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luengas\Downloads\"/>
    </mc:Choice>
  </mc:AlternateContent>
  <xr:revisionPtr revIDLastSave="0" documentId="13_ncr:1_{E36ED3A8-178F-41EB-8EBE-DED4A7689089}" xr6:coauthVersionLast="47" xr6:coauthVersionMax="47" xr10:uidLastSave="{00000000-0000-0000-0000-000000000000}"/>
  <bookViews>
    <workbookView xWindow="-120" yWindow="-120" windowWidth="29040" windowHeight="15720" tabRatio="886" activeTab="5" xr2:uid="{00000000-000D-0000-FFFF-FFFF00000000}"/>
  </bookViews>
  <sheets>
    <sheet name="Indice" sheetId="1" r:id="rId1"/>
    <sheet name="Deflactores" sheetId="2" state="hidden" r:id="rId2"/>
    <sheet name="C1 Aprop Resumen 2000-2026" sheetId="3" r:id="rId3"/>
    <sheet name="C2 Ejecución 00-18" sheetId="4" r:id="rId4"/>
    <sheet name="C3 Ejecución Nación 00-18" sheetId="5" r:id="rId5"/>
    <sheet name="C4 Ejecución Propios 00-18" sheetId="6" r:id="rId6"/>
    <sheet name="C5 Ejecución PGN 2019-2026" sheetId="7" r:id="rId7"/>
    <sheet name="C6 Ejec. Nac 19-26" sheetId="8" r:id="rId8"/>
    <sheet name="C7 Ejec. Prop 19-26" sheetId="9" r:id="rId9"/>
    <sheet name="C8 A Ejec. Sect. PGN 00-18" sheetId="10" r:id="rId10"/>
    <sheet name="C8 B Ejec. Sect. PGN 19-26" sheetId="11" r:id="rId11"/>
    <sheet name="C9 A Ejec. Sect. Nac 00-18" sheetId="12" r:id="rId12"/>
    <sheet name="C9 B Ejec. Sect. Nac 19-26" sheetId="13" r:id="rId13"/>
    <sheet name="C10 A Ejec. Sect Prop 00-18" sheetId="14" r:id="rId14"/>
    <sheet name="C10 B Ejec. Sect Prop 19-26" sheetId="15" r:id="rId15"/>
    <sheet name="C11 A Sec. Fto 00-18" sheetId="16" r:id="rId16"/>
    <sheet name="C11 B Sec. Fto 19-26" sheetId="17" r:id="rId17"/>
    <sheet name="C12 A Sec. Fto. Nac 00-18" sheetId="18" r:id="rId18"/>
    <sheet name="C12 B Sec. Fto. Nac 19-26" sheetId="19" r:id="rId19"/>
    <sheet name="C13 A Sec. Fto. Prop 00-18" sheetId="20" r:id="rId20"/>
    <sheet name="C13 B Sec. Fto. Prop 19-26" sheetId="21" r:id="rId21"/>
    <sheet name="C14 A Sec. Invsión 00-18" sheetId="22" r:id="rId22"/>
    <sheet name="C14 B Sec. Invsión 19-26" sheetId="23" r:id="rId23"/>
    <sheet name="C15 A Sec. Invsión Nac 00-18" sheetId="24" r:id="rId24"/>
    <sheet name="C15 B Sec. Invsión Nac 19-26" sheetId="25" r:id="rId25"/>
    <sheet name="C16 A Sec. Invsión Prop 00-18" sheetId="26" r:id="rId26"/>
    <sheet name="C16 B Sec. Invsión Prop 19-26" sheetId="27" r:id="rId27"/>
  </sheets>
  <definedNames>
    <definedName name="____h35" hidden="1">{#N/A,#N/A,FALSE,"informes"}</definedName>
    <definedName name="____R" hidden="1">{"INGRESOS DOLARES",#N/A,FALSE,"informes"}</definedName>
    <definedName name="___h35" hidden="1">{#N/A,#N/A,FALSE,"informes"}</definedName>
    <definedName name="___R" hidden="1">{"INGRESOS DOLARES",#N/A,FALSE,"informes"}</definedName>
    <definedName name="__123Graph_ATOTAL" hidden="1">#REF!</definedName>
    <definedName name="__123Graph_B" hidden="1">#REF!</definedName>
    <definedName name="__123Graph_D" hidden="1">#REF!</definedName>
    <definedName name="__123Graph_F" hidden="1">#REF!</definedName>
    <definedName name="__123Graph_X" hidden="1">#REF!</definedName>
    <definedName name="_Fill" hidden="1">#REF!</definedName>
    <definedName name="_h35" hidden="1">{#N/A,#N/A,FALSE,"informes"}</definedName>
    <definedName name="_Key1" hidden="1">#REF!</definedName>
    <definedName name="_MatInverse_In" hidden="1">#REF!</definedName>
    <definedName name="_MatInverse_Out" hidden="1">#REF!</definedName>
    <definedName name="_Order1" hidden="1">255</definedName>
    <definedName name="_Order2" hidden="1">255</definedName>
    <definedName name="_R" hidden="1">{"INGRESOS DOLARES",#N/A,FALSE,"informes"}</definedName>
    <definedName name="_Regression_Out" hidden="1">#REF!</definedName>
    <definedName name="_Regression_X" hidden="1">#REF!</definedName>
    <definedName name="_Regression_Y" hidden="1">#REF!</definedName>
    <definedName name="_Sort" hidden="1">#REF!</definedName>
    <definedName name="_Table1_Out" hidden="1">#REF!</definedName>
    <definedName name="_Table2_In2" hidden="1">#REF!</definedName>
    <definedName name="_Table2_Out" hidden="1">#REF!</definedName>
    <definedName name="AAA_DOCTOPS" hidden="1">"AAA_SET"</definedName>
    <definedName name="AAA_duser" hidden="1">"OFF"</definedName>
    <definedName name="aaaaa" hidden="1">{"INGRESOS DOLARES",#N/A,FALSE,"informes"}</definedName>
    <definedName name="AAB_Addin5" hidden="1">"AAB_Description for addin 5,Description for addin 5,Description for addin 5,Description for addin 5,Description for addin 5,Description for addin 5"</definedName>
    <definedName name="Actpecuaria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ad" hidden="1">{"empresa",#N/A,FALSE,"xEMPRESA"}</definedName>
    <definedName name="adi.yane" hidden="1">{"epma",#N/A,FALSE,"EPMA"}</definedName>
    <definedName name="ADICIONALCONIMPACTO" hidden="1">{"trimestre",#N/A,FALSE,"TRIMESTRE";"empresa",#N/A,FALSE,"xEMPRESA";"eaab",#N/A,FALSE,"EAAB";"epma",#N/A,FALSE,"EPMA";"emca",#N/A,FALSE,"EMCA"}</definedName>
    <definedName name="adicionalyaneth" hidden="1">{"epma",#N/A,FALSE,"EPMA"}</definedName>
    <definedName name="ae" hidden="1">{"empresa",#N/A,FALSE,"xEMPRESA"}</definedName>
    <definedName name="agrem" hidden="1">{"trimestre",#N/A,FALSE,"TRIMESTRE";"empresa",#N/A,FALSE,"xEMPRESA";"eaab",#N/A,FALSE,"EAAB";"epma",#N/A,FALSE,"EPMA";"emca",#N/A,FALSE,"EMCA"}</definedName>
    <definedName name="ALV" hidden="1">{#N/A,#N/A,FALSE,"informes"}</definedName>
    <definedName name="ART" hidden="1">{"INGRESOS DOLARES",#N/A,FALSE,"informes"}</definedName>
    <definedName name="as" hidden="1">{"trimestre",#N/A,FALSE,"TRIMESTRE";"empresa",#N/A,FALSE,"xEMPRESA";"eaab",#N/A,FALSE,"EAAB";"epma",#N/A,FALSE,"EPMA";"emca",#N/A,FALSE,"EMCA"}</definedName>
    <definedName name="asd" hidden="1">{"emca",#N/A,FALSE,"EMCA"}</definedName>
    <definedName name="BLPH2" hidden="1">#REF!</definedName>
    <definedName name="BLPH3" hidden="1">#REF!</definedName>
    <definedName name="bnño4swrlnaplnmfgmn" hidden="1">{#N/A,#N/A,FALSE,"informes"}</definedName>
    <definedName name="BRY" hidden="1">{#N/A,#N/A,FALSE,"informes"}</definedName>
    <definedName name="bsgdkjnbaklde" hidden="1">{"INGRESOS DOLARES",#N/A,FALSE,"informes"}</definedName>
    <definedName name="composición" hidden="1">{"trimestre",#N/A,FALSE,"TRIMESTRE";"empresa",#N/A,FALSE,"xEMPRESA";"eaab",#N/A,FALSE,"EAAB";"epma",#N/A,FALSE,"EPMA";"emca",#N/A,FALSE,"EMCA"}</definedName>
    <definedName name="CONCENTRACIONESPROPIOS" hidden="1">{"empresa",#N/A,FALSE,"xEMPRESA"}</definedName>
    <definedName name="COPIA" hidden="1">{"PAGOS DOLARES",#N/A,FALSE,"informes"}</definedName>
    <definedName name="CUA18A" hidden="1">{"trimestre",#N/A,FALSE,"TRIMESTRE";"empresa",#N/A,FALSE,"xEMPRESA";"eaab",#N/A,FALSE,"EAAB";"epma",#N/A,FALSE,"EPMA";"emca",#N/A,FALSE,"EMCA"}</definedName>
    <definedName name="cua18b" hidden="1">{"trimestre",#N/A,FALSE,"TRIMESTRE";"empresa",#N/A,FALSE,"xEMPRESA";"eaab",#N/A,FALSE,"EAAB";"epma",#N/A,FALSE,"EPMA";"emca",#N/A,FALSE,"EMCA"}</definedName>
    <definedName name="CUAJO" hidden="1">{"trimestre",#N/A,FALSE,"TRIMESTRE";"empresa",#N/A,FALSE,"xEMPRESA";"eaab",#N/A,FALSE,"EAAB";"epma",#N/A,FALSE,"EPMA";"emca",#N/A,FALSE,"EMCA"}</definedName>
    <definedName name="Cwvu.ComparEneMar9697." hidden="1">#REF!,#REF!,#REF!,#REF!,#REF!,#REF!</definedName>
    <definedName name="Cwvu.EneFeb." hidden="1">#REF!,#REF!</definedName>
    <definedName name="Cwvu.EneMar." hidden="1">#REF!,#REF!,#REF!,#REF!</definedName>
    <definedName name="Cwvu.Formato._.Corto." hidden="1">#REF!,#REF!,#REF!,#REF!,#REF!,#REF!,#REF!,#REF!,#REF!,#REF!,#REF!,#REF!</definedName>
    <definedName name="Cwvu.Formato._.Total." hidden="1">#REF!,#REF!,#REF!</definedName>
    <definedName name="DD" hidden="1">{"empresa",#N/A,FALSE,"xEMPRESA"}</definedName>
    <definedName name="DDD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DDDD" hidden="1">{#N/A,#N/A,FALSE,"informes"}</definedName>
    <definedName name="DDT" hidden="1">{"empresa",#N/A,FALSE,"xEMPRESA"}</definedName>
    <definedName name="DEDO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desapla" hidden="1">{"INGRESOS DOLARES",#N/A,FALSE,"informes"}</definedName>
    <definedName name="df" hidden="1">{"trimestre",#N/A,FALSE,"TRIMESTRE"}</definedName>
    <definedName name="dfd" hidden="1">{"empresa",#N/A,FALSE,"xEMPRESA"}</definedName>
    <definedName name="DIFU" hidden="1">{"INGRESOS DOLARES",#N/A,FALSE,"informes"}</definedName>
    <definedName name="ds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EDG" hidden="1">{#N/A,#N/A,FALSE,"informes"}</definedName>
    <definedName name="EE" hidden="1">{#N/A,#N/A,FALSE,"informes"}</definedName>
    <definedName name="EEEEE" hidden="1">{#N/A,#N/A,FALSE,"informes"}</definedName>
    <definedName name="ENERO" hidden="1">{#N/A,#N/A,FALSE,"informes"}</definedName>
    <definedName name="ES" hidden="1">{"PAGOS DOLARES",#N/A,FALSE,"informes"}</definedName>
    <definedName name="ESP" hidden="1">{#N/A,#N/A,FALSE,"informes"}</definedName>
    <definedName name="excedentes2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3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BAWV" hidden="1">{#N/A,#N/A,FALSE,"informes"}</definedName>
    <definedName name="fd" hidden="1">{#N/A,#N/A,FALSE,"informes"}</definedName>
    <definedName name="fdf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DG" hidden="1">{"empresa",#N/A,FALSE,"xEMPRESA"}</definedName>
    <definedName name="fds" hidden="1">{"epma",#N/A,FALSE,"EPMA"}</definedName>
    <definedName name="FER" hidden="1">{#N/A,#N/A,FALSE,"informes"}</definedName>
    <definedName name="FF" hidden="1">{"emca",#N/A,FALSE,"EMCA"}</definedName>
    <definedName name="ffff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FGTR" hidden="1">{"PAGOS DOLARES",#N/A,FALSE,"informes"}</definedName>
    <definedName name="FHKJBEARNKBW" hidden="1">{"INGRESOS DOLARES",#N/A,FALSE,"informes"}</definedName>
    <definedName name="FIN" hidden="1">{#N/A,#N/A,FALSE,"informes"}</definedName>
    <definedName name="fkjrthnk3t" hidden="1">{"PAGOS DOLARES",#N/A,FALSE,"informes"}</definedName>
    <definedName name="fmdñklje" hidden="1">{#N/A,#N/A,FALSE,"informes"}</definedName>
    <definedName name="FOL" hidden="1">{"INGRESOS DOLARES",#N/A,FALSE,"informes"}</definedName>
    <definedName name="FONPETOTAL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ORD" hidden="1">{#N/A,#N/A,FALSE,"informes"}</definedName>
    <definedName name="fs" hidden="1">{"empresa",#N/A,FALSE,"xEMPRESA"}</definedName>
    <definedName name="FUL" hidden="1">{#N/A,#N/A,FALSE,"informes"}</definedName>
    <definedName name="gfnmgfxmmfg" hidden="1">{#N/A,#N/A,FALSE,"informes"}</definedName>
    <definedName name="gg" hidden="1">{#N/A,#N/A,FALSE,"informes"}</definedName>
    <definedName name="ghhhhhhhhhhhhhhhhhhhhhhhh" hidden="1">{"PAGOS DOLARES",#N/A,FALSE,"informes"}</definedName>
    <definedName name="GILÑ" hidden="1">{#N/A,#N/A,FALSE,"informes"}</definedName>
    <definedName name="gjhg" hidden="1">{"empresa",#N/A,FALSE,"xEMPRESA"}</definedName>
    <definedName name="gjrtiury6iryrirjyrysyrjyrjstrtjs" hidden="1">{#N/A,#N/A,FALSE,"informes"}</definedName>
    <definedName name="gkljae" hidden="1">{"PAGOS DOLARES",#N/A,FALSE,"informes"}</definedName>
    <definedName name="glkjheanbwBT" hidden="1">{"PAGOS DOLARES",#N/A,FALSE,"informes"}</definedName>
    <definedName name="god" hidden="1">{"INGRESOS DOLARES",#N/A,FALSE,"informes"}</definedName>
    <definedName name="GOL" hidden="1">{"INGRESOS DOLARES",#N/A,FALSE,"informes"}</definedName>
    <definedName name="GOP" hidden="1">{#N/A,#N/A,FALSE,"informes"}</definedName>
    <definedName name="gyirxsryyjry" hidden="1">{"INGRESOS DOLARES",#N/A,FALSE,"informes"}</definedName>
    <definedName name="h" hidden="1">{#N/A,#N/A,FALSE,"informes"}</definedName>
    <definedName name="HACER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hdtya547i76riei" hidden="1">{"PAGOS DOLARES",#N/A,FALSE,"informes"}</definedName>
    <definedName name="hfdha" hidden="1">{"INGRESOS DOLARES",#N/A,FALSE,"informes"}</definedName>
    <definedName name="hhh" hidden="1">{"empresa",#N/A,FALSE,"xEMPRESA"}</definedName>
    <definedName name="hhhh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hjhjh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HJHJHJHJ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hjzr" hidden="1">{#N/A,#N/A,FALSE,"informes"}</definedName>
    <definedName name="hkmzlnmobznozdkgnodzo" hidden="1">{#N/A,#N/A,FALSE,"informes"}</definedName>
    <definedName name="hmj" hidden="1">{#N/A,#N/A,FALSE,"informes"}</definedName>
    <definedName name="IAMR" hidden="1">{"PAGOS DOLARES",#N/A,FALSE,"informes"}</definedName>
    <definedName name="IMAR" hidden="1">{"PAGOS DOLARES",#N/A,FALSE,"informes"}</definedName>
    <definedName name="imprimir.oswa" hidden="1">{"epma",#N/A,FALSE,"EPMA"}</definedName>
    <definedName name="impuestos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IS" hidden="1">{#N/A,#N/A,FALSE,"informes"}</definedName>
    <definedName name="IVAN" hidden="1">{"PAGOS DOLARES",#N/A,FALSE,"informes"}</definedName>
    <definedName name="IVG" hidden="1">{"PAGOS DOLARES",#N/A,FALSE,"informes"}</definedName>
    <definedName name="j6yuu" hidden="1">{#N/A,#N/A,FALSE,"informes"}</definedName>
    <definedName name="jasejrj" hidden="1">{"INGRESOS DOLARES",#N/A,FALSE,"informes"}</definedName>
    <definedName name="jbkgjhfhkjih" hidden="1">{#N/A,#N/A,FALSE,"informes"}</definedName>
    <definedName name="jes" hidden="1">{"INGRESOS DOLARES",#N/A,FALSE,"informes"}</definedName>
    <definedName name="jgfz" hidden="1">{"PAGOS DOLARES",#N/A,FALSE,"informes"}</definedName>
    <definedName name="jgjgj" hidden="1">{#N/A,#N/A,FALSE,"informes"}</definedName>
    <definedName name="jhet" hidden="1">{#N/A,#N/A,FALSE,"informes"}</definedName>
    <definedName name="jhtutuyu6iiiiiiiiiiiiiiiiiiiii" hidden="1">{#N/A,#N/A,FALSE,"informes"}</definedName>
    <definedName name="jhxkluxtikys" hidden="1">{"INGRESOS DOLARES",#N/A,FALSE,"informes"}</definedName>
    <definedName name="jiko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JKJKJK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JKJKJKJK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jkxhklxr7yikyxrjkr" hidden="1">{"PAGOS DOLARES",#N/A,FALSE,"informes"}</definedName>
    <definedName name="jnk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jreszjz" hidden="1">{#N/A,#N/A,FALSE,"informes"}</definedName>
    <definedName name="jrxsyktuod" hidden="1">{#N/A,#N/A,FALSE,"informes"}</definedName>
    <definedName name="JU" hidden="1">{#N/A,#N/A,FALSE,"informes"}</definedName>
    <definedName name="k.snkm" hidden="1">{"PAGOS DOLARES",#N/A,FALSE,"informes"}</definedName>
    <definedName name="kbijdbgea" hidden="1">{"PAGOS DOLARES",#N/A,FALSE,"informes"}</definedName>
    <definedName name="KBJAENB" hidden="1">{"INGRESOS DOLARES",#N/A,FALSE,"informes"}</definedName>
    <definedName name="KDJNHEANBH" hidden="1">{"INGRESOS DOLARES",#N/A,FALSE,"informes"}</definedName>
    <definedName name="kghs6r4k" hidden="1">{#N/A,#N/A,FALSE,"informes"}</definedName>
    <definedName name="KK" hidden="1">{#N/A,#N/A,FALSE,"informes"}</definedName>
    <definedName name="kky" hidden="1">{#N/A,#N/A,FALSE,"informes"}</definedName>
    <definedName name="KOL" hidden="1">{#N/A,#N/A,FALSE,"informes"}</definedName>
    <definedName name="kryxskrxkl" hidden="1">{#N/A,#N/A,FALSE,"informes"}</definedName>
    <definedName name="lala" hidden="1">{"INGRESOS DOLARES",#N/A,FALSE,"informes"}</definedName>
    <definedName name="LES" hidden="1">{#N/A,#N/A,FALSE,"informes"}</definedName>
    <definedName name="LIS" hidden="1">{#N/A,#N/A,FALSE,"informes"}</definedName>
    <definedName name="lklm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lkrjslkndalñkvnkea" hidden="1">{"INGRESOS DOLARES",#N/A,FALSE,"informes"}</definedName>
    <definedName name="LL" hidden="1">{#N/A,#N/A,FALSE,"informes"}</definedName>
    <definedName name="LO" hidden="1">{"PAGOS DOLARES",#N/A,FALSE,"informes"}</definedName>
    <definedName name="loq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LUI" hidden="1">{#N/A,#N/A,FALSE,"informes"}</definedName>
    <definedName name="LUNA" hidden="1">{"PAGOS DOLARES",#N/A,FALSE,"informes"}</definedName>
    <definedName name="LUZ" hidden="1">{#N/A,#N/A,FALSE,"informes"}</definedName>
    <definedName name="mia" hidden="1">{#N/A,#N/A,FALSE,"informes"}</definedName>
    <definedName name="MMMMMM" hidden="1">{"INGRESOS DOLARES",#N/A,FALSE,"informes"}</definedName>
    <definedName name="MN" hidden="1">{"PAGOS DOLARES",#N/A,FALSE,"informes"}</definedName>
    <definedName name="mr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mw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nfoajañañldlfdkfkfgkfggjgjgj" hidden="1">{"PAGOS DOLARES",#N/A,FALSE,"informes"}</definedName>
    <definedName name="njzetzektryk" hidden="1">{"PAGOS DOLARES",#N/A,FALSE,"informes"}</definedName>
    <definedName name="nklfrtmhosdgmlfgpnjrmsnmlrmn" hidden="1">{#N/A,#N/A,FALSE,"informes"}</definedName>
    <definedName name="nmklmeaknkgñlnkkgnmplrsñmjg" hidden="1">{#N/A,#N/A,FALSE,"informes"}</definedName>
    <definedName name="nmltmylnmapemhammonkha" hidden="1">{"PAGOS DOLARES",#N/A,FALSE,"informes"}</definedName>
    <definedName name="noñkrmjeamnmtlnmkbvnsr" hidden="1">{#N/A,#N/A,FALSE,"informes"}</definedName>
    <definedName name="NOS" hidden="1">{"INGRESOS DOLARES",#N/A,FALSE,"informes"}</definedName>
    <definedName name="nsfj" hidden="1">{"PAGOS DOLARES",#N/A,FALSE,"informes"}</definedName>
    <definedName name="NUB" hidden="1">{#N/A,#N/A,FALSE,"informes"}</definedName>
    <definedName name="ÑÑ" hidden="1">{"INGRESOS DOLARES",#N/A,FALSE,"informes"}</definedName>
    <definedName name="oìjhioeonmonmea" hidden="1">{#N/A,#N/A,FALSE,"informes"}</definedName>
    <definedName name="OO" hidden="1">{"PAGOS DOLARES",#N/A,FALSE,"informes"}</definedName>
    <definedName name="OOO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ORTJBJBHKBFNKJD" hidden="1">{"INGRESOS DOLARES",#N/A,FALSE,"informes"}</definedName>
    <definedName name="PENE" hidden="1">{"PAGOS DOLARES",#N/A,FALSE,"informes"}</definedName>
    <definedName name="PMES01" hidden="1">{#N/A,#N/A,FALSE,"informes"}</definedName>
    <definedName name="PMES2" hidden="1">{"PAGOS DOLARES",#N/A,FALSE,"informes"}</definedName>
    <definedName name="PONJRYIONJPEKHN" hidden="1">{#N/A,#N/A,FALSE,"informes"}</definedName>
    <definedName name="pp" hidden="1">{"INGRESOS DOLARES",#N/A,FALSE,"informes"}</definedName>
    <definedName name="pq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PTT" hidden="1">{#N/A,#N/A,FALSE,"informes"}</definedName>
    <definedName name="q" hidden="1">{"emca",#N/A,FALSE,"EMCA"}</definedName>
    <definedName name="QEN" hidden="1">{#N/A,#N/A,FALSE,"informes"}</definedName>
    <definedName name="QQ" hidden="1">{#N/A,#N/A,FALSE,"informes"}</definedName>
    <definedName name="que" hidden="1">{"PAGOS DOLARES",#N/A,FALSE,"informes"}</definedName>
    <definedName name="RES" hidden="1">{#N/A,#N/A,FALSE,"informes"}</definedName>
    <definedName name="rew" hidden="1">{"emca",#N/A,FALSE,"EMCA"}</definedName>
    <definedName name="REZ" hidden="1">{#N/A,#N/A,FALSE,"informes"}</definedName>
    <definedName name="REZAGOENERO" hidden="1">{"PAGOS DOLARES",#N/A,FALSE,"informes"}</definedName>
    <definedName name="REZAGOMAY" hidden="1">{#N/A,#N/A,FALSE,"informes"}</definedName>
    <definedName name="rhjr" hidden="1">{"INGRESOS DOLARES",#N/A,FALSE,"informes"}</definedName>
    <definedName name="RIC" hidden="1">{#N/A,#N/A,FALSE,"informes"}</definedName>
    <definedName name="rr" hidden="1">{#N/A,#N/A,FALSE,"informes"}</definedName>
    <definedName name="rt" hidden="1">{"emca",#N/A,FALSE,"EMCA"}</definedName>
    <definedName name="Rwvu.ComparEneMar9697." hidden="1">#REF!,#REF!</definedName>
    <definedName name="Rwvu.EneFeb." hidden="1">#REF!,#REF!</definedName>
    <definedName name="Rwvu.Formato._.Corto." hidden="1">#REF!,#REF!,#REF!,#REF!,#REF!,#REF!</definedName>
    <definedName name="Rwvu.OPEF._.96." hidden="1">#REF!,#REF!</definedName>
    <definedName name="Rwvu.OPEF._.97." hidden="1">#REF!,#REF!,#REF!</definedName>
    <definedName name="S" hidden="1">{"trimestre",#N/A,FALSE,"TRIMESTRE"}</definedName>
    <definedName name="sa" hidden="1">{"trimestre",#N/A,FALSE,"TRIMESTRE"}</definedName>
    <definedName name="san" hidden="1">{#N/A,#N/A,FALSE,"informes"}</definedName>
    <definedName name="sd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sda" hidden="1">{"eaab",#N/A,FALSE,"EAAB"}</definedName>
    <definedName name="skghafdn" hidden="1">{"PAGOS DOLARES",#N/A,FALSE,"informes"}</definedName>
    <definedName name="SOL" hidden="1">{#N/A,#N/A,FALSE,"informes"}</definedName>
    <definedName name="SS" hidden="1">{"PAGOS DOLARES",#N/A,FALSE,"informes"}</definedName>
    <definedName name="SSDS" hidden="1">{#N/A,#N/A,FALSE,"informes"}</definedName>
    <definedName name="SSSSS" hidden="1">{#N/A,#N/A,FALSE,"informes"}</definedName>
    <definedName name="TIM" hidden="1">{"PAGOS DOLARES",#N/A,FALSE,"informes"}</definedName>
    <definedName name="tony" hidden="1">{#N/A,#N/A,FALSE,"informes"}</definedName>
    <definedName name="TT" hidden="1">{"PAGOS DOLARES",#N/A,FALSE,"informes"}</definedName>
    <definedName name="ttt" hidden="1">{"INGRESOS DOLARES",#N/A,FALSE,"informes"}</definedName>
    <definedName name="TTTT" hidden="1">{#N/A,#N/A,FALSE,"informes"}</definedName>
    <definedName name="tyhjuopiwhsonjjy" hidden="1">{#N/A,#N/A,FALSE,"informes"}</definedName>
    <definedName name="tyt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UN" hidden="1">{#N/A,#N/A,FALSE,"informes"}</definedName>
    <definedName name="URRA" hidden="1">{"empresa",#N/A,FALSE,"xEMPRESA"}</definedName>
    <definedName name="usrg" hidden="1">{#N/A,#N/A,FALSE,"informes"}</definedName>
    <definedName name="USS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uu" hidden="1">{"PAGOS DOLARES",#N/A,FALSE,"informes"}</definedName>
    <definedName name="uyuy" hidden="1">{"PAGOS DOLARES",#N/A,FALSE,"informes"}</definedName>
    <definedName name="v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vknmryspo" hidden="1">{#N/A,#N/A,FALSE,"informes"}</definedName>
    <definedName name="VKNRSKNLRSJYÑKLNHJ" hidden="1">{"PAGOS DOLARES",#N/A,FALSE,"informes"}</definedName>
    <definedName name="wrn.ACUDEC." hidden="1">{#N/A,#N/A,FALSE,"ACUM-REAL"}</definedName>
    <definedName name="wrn.eaab." hidden="1">{"eaab",#N/A,FALSE,"EAAB"}</definedName>
    <definedName name="wrn.emca." hidden="1">{"emca",#N/A,FALSE,"EMCA"}</definedName>
    <definedName name="wrn.epma." hidden="1">{"epma",#N/A,FALSE,"EPMA"}</definedName>
    <definedName name="wrn.INGRESOS._.DOLARES." hidden="1">{"INGRESOS DOLARES",#N/A,FALSE,"informes"}</definedName>
    <definedName name="wrn.INGRESOS._.PESOS." hidden="1">{#N/A,#N/A,FALSE,"informes"}</definedName>
    <definedName name="wrn.PAGOS._.DOLARES." hidden="1">{"PAGOS DOLARES",#N/A,FALSE,"informes"}</definedName>
    <definedName name="wrn.PAGOS._.PESOS." hidden="1">{#N/A,#N/A,FALSE,"informes"}</definedName>
    <definedName name="wrn.SINDEC." hidden="1">{#N/A,#N/A,FALSE,"PAC-REAL"}</definedName>
    <definedName name="wrn.TODOS." hidden="1">{"trimestre",#N/A,FALSE,"TRIMESTRE";"empresa",#N/A,FALSE,"xEMPRESA";"eaab",#N/A,FALSE,"EAAB";"epma",#N/A,FALSE,"EPMA";"emca",#N/A,FALSE,"EMCA"}</definedName>
    <definedName name="wrn.trimestre." hidden="1">{"trimestre",#N/A,FALSE,"TRIMESTRE"}</definedName>
    <definedName name="wrn.xempresa." hidden="1">{"empresa",#N/A,FALSE,"xEMPRESA"}</definedName>
    <definedName name="wvu.ComparEneMar9697.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wvu.EneFeb.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wvu.Formato._.Corto.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wvu.Formato._.Total.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wvu.OPEF._.96.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vu.OPEF._.97." hidden="1">{TRUE,TRUE,-2.75,-17.75,483,276.75,FALSE,TRUE,TRUE,TRUE,0,2,#N/A,1,#N/A,6.24489795918367,20,1,FALSE,FALSE,3,TRUE,1,FALSE,75,"Swvu.OPEF._.97.","ACwvu.OPEF._.97.",#N/A,FALSE,FALSE,1.88,0.787401575,0.39,1.56,1,"","",FALSE,FALSE,FALSE,FALSE,1,#N/A,1,1,"=R4C2:R117C9",FALSE,"Rwvu.OPEF._.97.",#N/A,FALSE,FALSE,FALSE,5,300,300,FALSE,FALSE,TRUE,TRUE,TRUE}</definedName>
    <definedName name="WWW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XIT" hidden="1">{"PAGOS DOLARES",#N/A,FALSE,"informes"}</definedName>
    <definedName name="XXX" hidden="1">{"epma",#N/A,FALSE,"EPMA"}</definedName>
    <definedName name="yjwi4ojonpiyjioha" hidden="1">{#N/A,#N/A,FALSE,"informes"}</definedName>
    <definedName name="YU" hidden="1">{#N/A,#N/A,FALSE,"informes"}</definedName>
    <definedName name="YUR" hidden="1">{"INGRESOS DOLARES",#N/A,FALSE,"informes"}</definedName>
    <definedName name="yuy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Z_91E95AE5_DCC2_11D0_8DF1_00805F2A002D_.wvu.Cols" hidden="1">#REF!,#REF!</definedName>
    <definedName name="Z_91E95AE6_DCC2_11D0_8DF1_00805F2A002D_.wvu.Cols" hidden="1">#REF!,#REF!</definedName>
    <definedName name="Z_91E95AE6_DCC2_11D0_8DF1_00805F2A002D_.wvu.Rows" hidden="1">#REF!,#REF!</definedName>
    <definedName name="Z_91E95AE7_DCC2_11D0_8DF1_00805F2A002D_.wvu.Cols" hidden="1">#REF!,#REF!,#REF!,#REF!,#REF!,#REF!,#REF!,#REF!</definedName>
    <definedName name="Z_91E95AE8_DCC2_11D0_8DF1_00805F2A002D_.wvu.Cols" hidden="1">#REF!,#REF!,#REF!,#REF!,#REF!</definedName>
    <definedName name="Z_91E95AE9_DCC2_11D0_8DF1_00805F2A002D_.wvu.Cols" hidden="1">#REF!,#REF!,#REF!,#REF!,#REF!,#REF!</definedName>
    <definedName name="Z_91E95AEB_DCC2_11D0_8DF1_00805F2A002D_.wvu.Cols" hidden="1">#REF!,#REF!</definedName>
    <definedName name="Z_91E95AEC_DCC2_11D0_8DF1_00805F2A002D_.wvu.Cols" hidden="1">#REF!,#REF!,#REF!,#REF!,#REF!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99" i="27" l="1"/>
  <c r="F297" i="27"/>
  <c r="D297" i="27"/>
  <c r="F293" i="27"/>
  <c r="D293" i="27"/>
  <c r="F289" i="27"/>
  <c r="D289" i="27"/>
  <c r="F283" i="27"/>
  <c r="D283" i="27"/>
  <c r="F279" i="27"/>
  <c r="D279" i="27"/>
  <c r="F271" i="27"/>
  <c r="D271" i="27"/>
  <c r="F269" i="27"/>
  <c r="D269" i="27"/>
  <c r="C257" i="27"/>
  <c r="K255" i="27"/>
  <c r="K297" i="27" s="1"/>
  <c r="J255" i="27"/>
  <c r="J297" i="27" s="1"/>
  <c r="I255" i="27"/>
  <c r="I297" i="27" s="1"/>
  <c r="H255" i="27"/>
  <c r="H297" i="27" s="1"/>
  <c r="G255" i="27"/>
  <c r="G297" i="27" s="1"/>
  <c r="F255" i="27"/>
  <c r="E255" i="27"/>
  <c r="E297" i="27" s="1"/>
  <c r="D255" i="27"/>
  <c r="K254" i="27"/>
  <c r="J254" i="27"/>
  <c r="I254" i="27"/>
  <c r="H254" i="27"/>
  <c r="H296" i="27" s="1"/>
  <c r="G254" i="27"/>
  <c r="F254" i="27"/>
  <c r="F296" i="27" s="1"/>
  <c r="E254" i="27"/>
  <c r="E296" i="27" s="1"/>
  <c r="D254" i="27"/>
  <c r="D296" i="27" s="1"/>
  <c r="K253" i="27"/>
  <c r="K295" i="27" s="1"/>
  <c r="J253" i="27"/>
  <c r="J295" i="27" s="1"/>
  <c r="I253" i="27"/>
  <c r="I295" i="27" s="1"/>
  <c r="H253" i="27"/>
  <c r="H295" i="27" s="1"/>
  <c r="G253" i="27"/>
  <c r="G295" i="27" s="1"/>
  <c r="F253" i="27"/>
  <c r="E253" i="27"/>
  <c r="E295" i="27" s="1"/>
  <c r="D253" i="27"/>
  <c r="K252" i="27"/>
  <c r="J252" i="27"/>
  <c r="I252" i="27"/>
  <c r="H252" i="27"/>
  <c r="H294" i="27" s="1"/>
  <c r="G252" i="27"/>
  <c r="F252" i="27"/>
  <c r="F294" i="27" s="1"/>
  <c r="E252" i="27"/>
  <c r="E294" i="27" s="1"/>
  <c r="D252" i="27"/>
  <c r="D294" i="27" s="1"/>
  <c r="K251" i="27"/>
  <c r="K293" i="27" s="1"/>
  <c r="J251" i="27"/>
  <c r="J293" i="27" s="1"/>
  <c r="I251" i="27"/>
  <c r="I293" i="27" s="1"/>
  <c r="H251" i="27"/>
  <c r="H293" i="27" s="1"/>
  <c r="G251" i="27"/>
  <c r="G293" i="27" s="1"/>
  <c r="F251" i="27"/>
  <c r="E251" i="27"/>
  <c r="E293" i="27" s="1"/>
  <c r="D251" i="27"/>
  <c r="K250" i="27"/>
  <c r="J250" i="27"/>
  <c r="I250" i="27"/>
  <c r="H250" i="27"/>
  <c r="H292" i="27" s="1"/>
  <c r="G250" i="27"/>
  <c r="F250" i="27"/>
  <c r="F292" i="27" s="1"/>
  <c r="E250" i="27"/>
  <c r="E292" i="27" s="1"/>
  <c r="D250" i="27"/>
  <c r="D292" i="27" s="1"/>
  <c r="K249" i="27"/>
  <c r="K291" i="27" s="1"/>
  <c r="J249" i="27"/>
  <c r="J291" i="27" s="1"/>
  <c r="I249" i="27"/>
  <c r="I291" i="27" s="1"/>
  <c r="H249" i="27"/>
  <c r="H291" i="27" s="1"/>
  <c r="G249" i="27"/>
  <c r="G291" i="27" s="1"/>
  <c r="F249" i="27"/>
  <c r="E249" i="27"/>
  <c r="E291" i="27" s="1"/>
  <c r="D249" i="27"/>
  <c r="K248" i="27"/>
  <c r="J248" i="27"/>
  <c r="I248" i="27"/>
  <c r="H248" i="27"/>
  <c r="H290" i="27" s="1"/>
  <c r="G248" i="27"/>
  <c r="F248" i="27"/>
  <c r="F290" i="27" s="1"/>
  <c r="E248" i="27"/>
  <c r="E290" i="27" s="1"/>
  <c r="D248" i="27"/>
  <c r="D290" i="27" s="1"/>
  <c r="K247" i="27"/>
  <c r="K289" i="27" s="1"/>
  <c r="J247" i="27"/>
  <c r="J289" i="27" s="1"/>
  <c r="I247" i="27"/>
  <c r="I289" i="27" s="1"/>
  <c r="H247" i="27"/>
  <c r="H289" i="27" s="1"/>
  <c r="G247" i="27"/>
  <c r="G289" i="27" s="1"/>
  <c r="F247" i="27"/>
  <c r="E247" i="27"/>
  <c r="E289" i="27" s="1"/>
  <c r="D247" i="27"/>
  <c r="K246" i="27"/>
  <c r="J246" i="27"/>
  <c r="I246" i="27"/>
  <c r="H246" i="27"/>
  <c r="H288" i="27" s="1"/>
  <c r="G246" i="27"/>
  <c r="F246" i="27"/>
  <c r="F288" i="27" s="1"/>
  <c r="E246" i="27"/>
  <c r="E288" i="27" s="1"/>
  <c r="D246" i="27"/>
  <c r="D288" i="27" s="1"/>
  <c r="K245" i="27"/>
  <c r="K287" i="27" s="1"/>
  <c r="J245" i="27"/>
  <c r="J287" i="27" s="1"/>
  <c r="I245" i="27"/>
  <c r="I287" i="27" s="1"/>
  <c r="H245" i="27"/>
  <c r="H287" i="27" s="1"/>
  <c r="G245" i="27"/>
  <c r="G287" i="27" s="1"/>
  <c r="F245" i="27"/>
  <c r="E245" i="27"/>
  <c r="E287" i="27" s="1"/>
  <c r="D245" i="27"/>
  <c r="K244" i="27"/>
  <c r="K286" i="27" s="1"/>
  <c r="J244" i="27"/>
  <c r="J286" i="27" s="1"/>
  <c r="I244" i="27"/>
  <c r="I286" i="27" s="1"/>
  <c r="H244" i="27"/>
  <c r="H286" i="27" s="1"/>
  <c r="G244" i="27"/>
  <c r="G286" i="27" s="1"/>
  <c r="F244" i="27"/>
  <c r="F286" i="27" s="1"/>
  <c r="E244" i="27"/>
  <c r="E286" i="27" s="1"/>
  <c r="D244" i="27"/>
  <c r="D286" i="27" s="1"/>
  <c r="K243" i="27"/>
  <c r="K285" i="27" s="1"/>
  <c r="J243" i="27"/>
  <c r="J285" i="27" s="1"/>
  <c r="I243" i="27"/>
  <c r="I285" i="27" s="1"/>
  <c r="H243" i="27"/>
  <c r="H285" i="27" s="1"/>
  <c r="G243" i="27"/>
  <c r="G285" i="27" s="1"/>
  <c r="F243" i="27"/>
  <c r="E243" i="27"/>
  <c r="E285" i="27" s="1"/>
  <c r="D243" i="27"/>
  <c r="K242" i="27"/>
  <c r="J242" i="27"/>
  <c r="I242" i="27"/>
  <c r="H242" i="27"/>
  <c r="H284" i="27" s="1"/>
  <c r="G242" i="27"/>
  <c r="F242" i="27"/>
  <c r="F284" i="27" s="1"/>
  <c r="E242" i="27"/>
  <c r="E284" i="27" s="1"/>
  <c r="D242" i="27"/>
  <c r="D284" i="27" s="1"/>
  <c r="K241" i="27"/>
  <c r="K283" i="27" s="1"/>
  <c r="J241" i="27"/>
  <c r="J283" i="27" s="1"/>
  <c r="I241" i="27"/>
  <c r="I283" i="27" s="1"/>
  <c r="H241" i="27"/>
  <c r="H283" i="27" s="1"/>
  <c r="G241" i="27"/>
  <c r="G283" i="27" s="1"/>
  <c r="F241" i="27"/>
  <c r="E241" i="27"/>
  <c r="E283" i="27" s="1"/>
  <c r="D241" i="27"/>
  <c r="K240" i="27"/>
  <c r="K282" i="27" s="1"/>
  <c r="J240" i="27"/>
  <c r="J282" i="27" s="1"/>
  <c r="I240" i="27"/>
  <c r="I282" i="27" s="1"/>
  <c r="H240" i="27"/>
  <c r="H282" i="27" s="1"/>
  <c r="G240" i="27"/>
  <c r="G282" i="27" s="1"/>
  <c r="F240" i="27"/>
  <c r="F282" i="27" s="1"/>
  <c r="E240" i="27"/>
  <c r="E282" i="27" s="1"/>
  <c r="D240" i="27"/>
  <c r="D282" i="27" s="1"/>
  <c r="K239" i="27"/>
  <c r="K281" i="27" s="1"/>
  <c r="J239" i="27"/>
  <c r="J281" i="27" s="1"/>
  <c r="I239" i="27"/>
  <c r="I281" i="27" s="1"/>
  <c r="H239" i="27"/>
  <c r="H281" i="27" s="1"/>
  <c r="G239" i="27"/>
  <c r="G281" i="27" s="1"/>
  <c r="F239" i="27"/>
  <c r="E239" i="27"/>
  <c r="E281" i="27" s="1"/>
  <c r="D239" i="27"/>
  <c r="K238" i="27"/>
  <c r="K280" i="27" s="1"/>
  <c r="J238" i="27"/>
  <c r="J280" i="27" s="1"/>
  <c r="I238" i="27"/>
  <c r="I280" i="27" s="1"/>
  <c r="H238" i="27"/>
  <c r="H280" i="27" s="1"/>
  <c r="G238" i="27"/>
  <c r="F238" i="27"/>
  <c r="F280" i="27" s="1"/>
  <c r="E238" i="27"/>
  <c r="E280" i="27" s="1"/>
  <c r="D238" i="27"/>
  <c r="D280" i="27" s="1"/>
  <c r="K237" i="27"/>
  <c r="K279" i="27" s="1"/>
  <c r="J237" i="27"/>
  <c r="J279" i="27" s="1"/>
  <c r="I237" i="27"/>
  <c r="I279" i="27" s="1"/>
  <c r="H237" i="27"/>
  <c r="H279" i="27" s="1"/>
  <c r="G237" i="27"/>
  <c r="G279" i="27" s="1"/>
  <c r="F237" i="27"/>
  <c r="E237" i="27"/>
  <c r="E279" i="27" s="1"/>
  <c r="D237" i="27"/>
  <c r="K236" i="27"/>
  <c r="J236" i="27"/>
  <c r="I236" i="27"/>
  <c r="H236" i="27"/>
  <c r="H278" i="27" s="1"/>
  <c r="G236" i="27"/>
  <c r="F236" i="27"/>
  <c r="F278" i="27" s="1"/>
  <c r="E236" i="27"/>
  <c r="E278" i="27" s="1"/>
  <c r="D236" i="27"/>
  <c r="D278" i="27" s="1"/>
  <c r="K235" i="27"/>
  <c r="K277" i="27" s="1"/>
  <c r="J235" i="27"/>
  <c r="J277" i="27" s="1"/>
  <c r="I235" i="27"/>
  <c r="I277" i="27" s="1"/>
  <c r="H235" i="27"/>
  <c r="H277" i="27" s="1"/>
  <c r="G235" i="27"/>
  <c r="G277" i="27" s="1"/>
  <c r="F235" i="27"/>
  <c r="E235" i="27"/>
  <c r="E277" i="27" s="1"/>
  <c r="D235" i="27"/>
  <c r="K234" i="27"/>
  <c r="J234" i="27"/>
  <c r="I234" i="27"/>
  <c r="H234" i="27"/>
  <c r="H276" i="27" s="1"/>
  <c r="G234" i="27"/>
  <c r="F234" i="27"/>
  <c r="F276" i="27" s="1"/>
  <c r="E234" i="27"/>
  <c r="E276" i="27" s="1"/>
  <c r="D234" i="27"/>
  <c r="D276" i="27" s="1"/>
  <c r="K233" i="27"/>
  <c r="K275" i="27" s="1"/>
  <c r="J233" i="27"/>
  <c r="J275" i="27" s="1"/>
  <c r="I233" i="27"/>
  <c r="I275" i="27" s="1"/>
  <c r="H233" i="27"/>
  <c r="H275" i="27" s="1"/>
  <c r="G233" i="27"/>
  <c r="G275" i="27" s="1"/>
  <c r="F233" i="27"/>
  <c r="E233" i="27"/>
  <c r="E275" i="27" s="1"/>
  <c r="D233" i="27"/>
  <c r="K232" i="27"/>
  <c r="K274" i="27" s="1"/>
  <c r="J232" i="27"/>
  <c r="J274" i="27" s="1"/>
  <c r="I232" i="27"/>
  <c r="I274" i="27" s="1"/>
  <c r="H232" i="27"/>
  <c r="H274" i="27" s="1"/>
  <c r="G232" i="27"/>
  <c r="G274" i="27" s="1"/>
  <c r="F232" i="27"/>
  <c r="F274" i="27" s="1"/>
  <c r="E232" i="27"/>
  <c r="E274" i="27" s="1"/>
  <c r="D232" i="27"/>
  <c r="D274" i="27" s="1"/>
  <c r="K231" i="27"/>
  <c r="K273" i="27" s="1"/>
  <c r="J231" i="27"/>
  <c r="J273" i="27" s="1"/>
  <c r="I231" i="27"/>
  <c r="I273" i="27" s="1"/>
  <c r="H231" i="27"/>
  <c r="H273" i="27" s="1"/>
  <c r="G231" i="27"/>
  <c r="G273" i="27" s="1"/>
  <c r="F231" i="27"/>
  <c r="E231" i="27"/>
  <c r="E273" i="27" s="1"/>
  <c r="D231" i="27"/>
  <c r="K230" i="27"/>
  <c r="J230" i="27"/>
  <c r="I230" i="27"/>
  <c r="H230" i="27"/>
  <c r="H272" i="27" s="1"/>
  <c r="G230" i="27"/>
  <c r="F230" i="27"/>
  <c r="F272" i="27" s="1"/>
  <c r="E230" i="27"/>
  <c r="E272" i="27" s="1"/>
  <c r="D230" i="27"/>
  <c r="D272" i="27" s="1"/>
  <c r="K229" i="27"/>
  <c r="K271" i="27" s="1"/>
  <c r="J229" i="27"/>
  <c r="J271" i="27" s="1"/>
  <c r="I229" i="27"/>
  <c r="I271" i="27" s="1"/>
  <c r="H229" i="27"/>
  <c r="H271" i="27" s="1"/>
  <c r="G229" i="27"/>
  <c r="G271" i="27" s="1"/>
  <c r="F229" i="27"/>
  <c r="E229" i="27"/>
  <c r="E271" i="27" s="1"/>
  <c r="D229" i="27"/>
  <c r="K228" i="27"/>
  <c r="J228" i="27"/>
  <c r="I228" i="27"/>
  <c r="H228" i="27"/>
  <c r="H270" i="27" s="1"/>
  <c r="G228" i="27"/>
  <c r="F228" i="27"/>
  <c r="F270" i="27" s="1"/>
  <c r="E228" i="27"/>
  <c r="E270" i="27" s="1"/>
  <c r="D228" i="27"/>
  <c r="D270" i="27" s="1"/>
  <c r="K227" i="27"/>
  <c r="K269" i="27" s="1"/>
  <c r="J227" i="27"/>
  <c r="J269" i="27" s="1"/>
  <c r="I227" i="27"/>
  <c r="I269" i="27" s="1"/>
  <c r="H227" i="27"/>
  <c r="H269" i="27" s="1"/>
  <c r="G227" i="27"/>
  <c r="G269" i="27" s="1"/>
  <c r="F227" i="27"/>
  <c r="E227" i="27"/>
  <c r="E269" i="27" s="1"/>
  <c r="D227" i="27"/>
  <c r="K226" i="27"/>
  <c r="J226" i="27"/>
  <c r="I226" i="27"/>
  <c r="H226" i="27"/>
  <c r="H268" i="27" s="1"/>
  <c r="G226" i="27"/>
  <c r="F226" i="27"/>
  <c r="F268" i="27" s="1"/>
  <c r="E226" i="27"/>
  <c r="E256" i="27" s="1"/>
  <c r="D226" i="27"/>
  <c r="D256" i="27" s="1"/>
  <c r="K225" i="27"/>
  <c r="K267" i="27" s="1"/>
  <c r="J225" i="27"/>
  <c r="J267" i="27" s="1"/>
  <c r="I225" i="27"/>
  <c r="I267" i="27" s="1"/>
  <c r="H225" i="27"/>
  <c r="H267" i="27" s="1"/>
  <c r="G225" i="27"/>
  <c r="G267" i="27" s="1"/>
  <c r="F225" i="27"/>
  <c r="E225" i="27"/>
  <c r="E267" i="27" s="1"/>
  <c r="D225" i="27"/>
  <c r="C216" i="27"/>
  <c r="D214" i="27"/>
  <c r="J213" i="27"/>
  <c r="D212" i="27"/>
  <c r="D210" i="27"/>
  <c r="D208" i="27"/>
  <c r="D206" i="27"/>
  <c r="D204" i="27"/>
  <c r="J203" i="27"/>
  <c r="I203" i="27"/>
  <c r="D202" i="27"/>
  <c r="D200" i="27"/>
  <c r="J199" i="27"/>
  <c r="I199" i="27"/>
  <c r="D198" i="27"/>
  <c r="J197" i="27"/>
  <c r="I197" i="27"/>
  <c r="D196" i="27"/>
  <c r="D194" i="27"/>
  <c r="K193" i="27"/>
  <c r="J193" i="27"/>
  <c r="D192" i="27"/>
  <c r="J191" i="27"/>
  <c r="I191" i="27"/>
  <c r="D190" i="27"/>
  <c r="D188" i="27"/>
  <c r="D186" i="27"/>
  <c r="D184" i="27"/>
  <c r="C174" i="27"/>
  <c r="K172" i="27"/>
  <c r="K214" i="27" s="1"/>
  <c r="J172" i="27"/>
  <c r="J214" i="27" s="1"/>
  <c r="I172" i="27"/>
  <c r="I214" i="27" s="1"/>
  <c r="H172" i="27"/>
  <c r="H214" i="27" s="1"/>
  <c r="G172" i="27"/>
  <c r="G214" i="27" s="1"/>
  <c r="F172" i="27"/>
  <c r="F214" i="27" s="1"/>
  <c r="E172" i="27"/>
  <c r="E214" i="27" s="1"/>
  <c r="D172" i="27"/>
  <c r="K171" i="27"/>
  <c r="K213" i="27" s="1"/>
  <c r="J171" i="27"/>
  <c r="I171" i="27"/>
  <c r="H171" i="27"/>
  <c r="H213" i="27" s="1"/>
  <c r="G171" i="27"/>
  <c r="G213" i="27" s="1"/>
  <c r="F171" i="27"/>
  <c r="F213" i="27" s="1"/>
  <c r="E171" i="27"/>
  <c r="E213" i="27" s="1"/>
  <c r="D171" i="27"/>
  <c r="D213" i="27" s="1"/>
  <c r="K170" i="27"/>
  <c r="K212" i="27" s="1"/>
  <c r="J170" i="27"/>
  <c r="J212" i="27" s="1"/>
  <c r="I170" i="27"/>
  <c r="I212" i="27" s="1"/>
  <c r="H170" i="27"/>
  <c r="H212" i="27" s="1"/>
  <c r="G170" i="27"/>
  <c r="G212" i="27" s="1"/>
  <c r="F170" i="27"/>
  <c r="E170" i="27"/>
  <c r="E212" i="27" s="1"/>
  <c r="D170" i="27"/>
  <c r="K169" i="27"/>
  <c r="J169" i="27"/>
  <c r="I169" i="27"/>
  <c r="H169" i="27"/>
  <c r="H211" i="27" s="1"/>
  <c r="G169" i="27"/>
  <c r="G211" i="27" s="1"/>
  <c r="F169" i="27"/>
  <c r="F211" i="27" s="1"/>
  <c r="E169" i="27"/>
  <c r="E211" i="27" s="1"/>
  <c r="D169" i="27"/>
  <c r="D211" i="27" s="1"/>
  <c r="K168" i="27"/>
  <c r="K210" i="27" s="1"/>
  <c r="J168" i="27"/>
  <c r="J210" i="27" s="1"/>
  <c r="I168" i="27"/>
  <c r="I210" i="27" s="1"/>
  <c r="H168" i="27"/>
  <c r="H210" i="27" s="1"/>
  <c r="G168" i="27"/>
  <c r="G210" i="27" s="1"/>
  <c r="F168" i="27"/>
  <c r="F210" i="27" s="1"/>
  <c r="E168" i="27"/>
  <c r="E210" i="27" s="1"/>
  <c r="D168" i="27"/>
  <c r="K167" i="27"/>
  <c r="K209" i="27" s="1"/>
  <c r="J167" i="27"/>
  <c r="I167" i="27"/>
  <c r="H167" i="27"/>
  <c r="H209" i="27" s="1"/>
  <c r="G167" i="27"/>
  <c r="G209" i="27" s="1"/>
  <c r="F167" i="27"/>
  <c r="F209" i="27" s="1"/>
  <c r="E167" i="27"/>
  <c r="E209" i="27" s="1"/>
  <c r="D167" i="27"/>
  <c r="D209" i="27" s="1"/>
  <c r="K166" i="27"/>
  <c r="K208" i="27" s="1"/>
  <c r="J166" i="27"/>
  <c r="J208" i="27" s="1"/>
  <c r="I166" i="27"/>
  <c r="I208" i="27" s="1"/>
  <c r="H166" i="27"/>
  <c r="H208" i="27" s="1"/>
  <c r="G166" i="27"/>
  <c r="G208" i="27" s="1"/>
  <c r="F166" i="27"/>
  <c r="E166" i="27"/>
  <c r="E208" i="27" s="1"/>
  <c r="D166" i="27"/>
  <c r="K165" i="27"/>
  <c r="K207" i="27" s="1"/>
  <c r="J165" i="27"/>
  <c r="I165" i="27"/>
  <c r="H165" i="27"/>
  <c r="H207" i="27" s="1"/>
  <c r="G165" i="27"/>
  <c r="G207" i="27" s="1"/>
  <c r="F165" i="27"/>
  <c r="F207" i="27" s="1"/>
  <c r="E165" i="27"/>
  <c r="E207" i="27" s="1"/>
  <c r="D165" i="27"/>
  <c r="D207" i="27" s="1"/>
  <c r="K164" i="27"/>
  <c r="K206" i="27" s="1"/>
  <c r="J164" i="27"/>
  <c r="J206" i="27" s="1"/>
  <c r="I164" i="27"/>
  <c r="I206" i="27" s="1"/>
  <c r="H164" i="27"/>
  <c r="H206" i="27" s="1"/>
  <c r="G164" i="27"/>
  <c r="G206" i="27" s="1"/>
  <c r="F164" i="27"/>
  <c r="F206" i="27" s="1"/>
  <c r="E164" i="27"/>
  <c r="E206" i="27" s="1"/>
  <c r="D164" i="27"/>
  <c r="K163" i="27"/>
  <c r="K205" i="27" s="1"/>
  <c r="J163" i="27"/>
  <c r="I163" i="27"/>
  <c r="H163" i="27"/>
  <c r="H205" i="27" s="1"/>
  <c r="G163" i="27"/>
  <c r="G205" i="27" s="1"/>
  <c r="F163" i="27"/>
  <c r="F205" i="27" s="1"/>
  <c r="E163" i="27"/>
  <c r="E205" i="27" s="1"/>
  <c r="D163" i="27"/>
  <c r="D205" i="27" s="1"/>
  <c r="K162" i="27"/>
  <c r="K204" i="27" s="1"/>
  <c r="J162" i="27"/>
  <c r="J204" i="27" s="1"/>
  <c r="I162" i="27"/>
  <c r="I204" i="27" s="1"/>
  <c r="H162" i="27"/>
  <c r="H204" i="27" s="1"/>
  <c r="G162" i="27"/>
  <c r="G204" i="27" s="1"/>
  <c r="F162" i="27"/>
  <c r="E162" i="27"/>
  <c r="E204" i="27" s="1"/>
  <c r="D162" i="27"/>
  <c r="K161" i="27"/>
  <c r="K203" i="27" s="1"/>
  <c r="J161" i="27"/>
  <c r="I161" i="27"/>
  <c r="H161" i="27"/>
  <c r="H203" i="27" s="1"/>
  <c r="G161" i="27"/>
  <c r="G203" i="27" s="1"/>
  <c r="F161" i="27"/>
  <c r="F203" i="27" s="1"/>
  <c r="E161" i="27"/>
  <c r="E203" i="27" s="1"/>
  <c r="D161" i="27"/>
  <c r="D203" i="27" s="1"/>
  <c r="K160" i="27"/>
  <c r="K202" i="27" s="1"/>
  <c r="J160" i="27"/>
  <c r="J202" i="27" s="1"/>
  <c r="I160" i="27"/>
  <c r="I202" i="27" s="1"/>
  <c r="H160" i="27"/>
  <c r="H202" i="27" s="1"/>
  <c r="G160" i="27"/>
  <c r="G202" i="27" s="1"/>
  <c r="F160" i="27"/>
  <c r="E160" i="27"/>
  <c r="E202" i="27" s="1"/>
  <c r="D160" i="27"/>
  <c r="K159" i="27"/>
  <c r="J159" i="27"/>
  <c r="I159" i="27"/>
  <c r="H159" i="27"/>
  <c r="H201" i="27" s="1"/>
  <c r="G159" i="27"/>
  <c r="G201" i="27" s="1"/>
  <c r="F159" i="27"/>
  <c r="F201" i="27" s="1"/>
  <c r="E159" i="27"/>
  <c r="E201" i="27" s="1"/>
  <c r="D159" i="27"/>
  <c r="D201" i="27" s="1"/>
  <c r="K158" i="27"/>
  <c r="K200" i="27" s="1"/>
  <c r="J158" i="27"/>
  <c r="J200" i="27" s="1"/>
  <c r="I158" i="27"/>
  <c r="I200" i="27" s="1"/>
  <c r="H158" i="27"/>
  <c r="H200" i="27" s="1"/>
  <c r="G158" i="27"/>
  <c r="G200" i="27" s="1"/>
  <c r="F158" i="27"/>
  <c r="F200" i="27" s="1"/>
  <c r="E158" i="27"/>
  <c r="E200" i="27" s="1"/>
  <c r="D158" i="27"/>
  <c r="K157" i="27"/>
  <c r="K199" i="27" s="1"/>
  <c r="J157" i="27"/>
  <c r="I157" i="27"/>
  <c r="H157" i="27"/>
  <c r="H199" i="27" s="1"/>
  <c r="G157" i="27"/>
  <c r="G199" i="27" s="1"/>
  <c r="F157" i="27"/>
  <c r="F199" i="27" s="1"/>
  <c r="E157" i="27"/>
  <c r="E199" i="27" s="1"/>
  <c r="D157" i="27"/>
  <c r="D199" i="27" s="1"/>
  <c r="K156" i="27"/>
  <c r="K198" i="27" s="1"/>
  <c r="J156" i="27"/>
  <c r="J198" i="27" s="1"/>
  <c r="I156" i="27"/>
  <c r="I198" i="27" s="1"/>
  <c r="H156" i="27"/>
  <c r="H198" i="27" s="1"/>
  <c r="G156" i="27"/>
  <c r="G198" i="27" s="1"/>
  <c r="F156" i="27"/>
  <c r="E156" i="27"/>
  <c r="E198" i="27" s="1"/>
  <c r="D156" i="27"/>
  <c r="K155" i="27"/>
  <c r="K197" i="27" s="1"/>
  <c r="J155" i="27"/>
  <c r="I155" i="27"/>
  <c r="H155" i="27"/>
  <c r="H197" i="27" s="1"/>
  <c r="G155" i="27"/>
  <c r="G197" i="27" s="1"/>
  <c r="F155" i="27"/>
  <c r="F197" i="27" s="1"/>
  <c r="E155" i="27"/>
  <c r="E197" i="27" s="1"/>
  <c r="D155" i="27"/>
  <c r="D197" i="27" s="1"/>
  <c r="K154" i="27"/>
  <c r="K196" i="27" s="1"/>
  <c r="J154" i="27"/>
  <c r="J196" i="27" s="1"/>
  <c r="I154" i="27"/>
  <c r="I196" i="27" s="1"/>
  <c r="H154" i="27"/>
  <c r="H196" i="27" s="1"/>
  <c r="G154" i="27"/>
  <c r="G196" i="27" s="1"/>
  <c r="F154" i="27"/>
  <c r="F196" i="27" s="1"/>
  <c r="E154" i="27"/>
  <c r="E196" i="27" s="1"/>
  <c r="D154" i="27"/>
  <c r="K153" i="27"/>
  <c r="K195" i="27" s="1"/>
  <c r="J153" i="27"/>
  <c r="I153" i="27"/>
  <c r="H153" i="27"/>
  <c r="H195" i="27" s="1"/>
  <c r="G153" i="27"/>
  <c r="G195" i="27" s="1"/>
  <c r="F153" i="27"/>
  <c r="F195" i="27" s="1"/>
  <c r="E153" i="27"/>
  <c r="E195" i="27" s="1"/>
  <c r="D153" i="27"/>
  <c r="D195" i="27" s="1"/>
  <c r="K152" i="27"/>
  <c r="K194" i="27" s="1"/>
  <c r="J152" i="27"/>
  <c r="J194" i="27" s="1"/>
  <c r="I152" i="27"/>
  <c r="I194" i="27" s="1"/>
  <c r="H152" i="27"/>
  <c r="H194" i="27" s="1"/>
  <c r="G152" i="27"/>
  <c r="G194" i="27" s="1"/>
  <c r="F152" i="27"/>
  <c r="E152" i="27"/>
  <c r="E194" i="27" s="1"/>
  <c r="D152" i="27"/>
  <c r="K151" i="27"/>
  <c r="J151" i="27"/>
  <c r="I151" i="27"/>
  <c r="H151" i="27"/>
  <c r="H193" i="27" s="1"/>
  <c r="G151" i="27"/>
  <c r="G193" i="27" s="1"/>
  <c r="F151" i="27"/>
  <c r="F193" i="27" s="1"/>
  <c r="E151" i="27"/>
  <c r="E193" i="27" s="1"/>
  <c r="D151" i="27"/>
  <c r="D193" i="27" s="1"/>
  <c r="K150" i="27"/>
  <c r="K192" i="27" s="1"/>
  <c r="J150" i="27"/>
  <c r="J192" i="27" s="1"/>
  <c r="I150" i="27"/>
  <c r="I192" i="27" s="1"/>
  <c r="H150" i="27"/>
  <c r="H192" i="27" s="1"/>
  <c r="G150" i="27"/>
  <c r="G192" i="27" s="1"/>
  <c r="F150" i="27"/>
  <c r="E150" i="27"/>
  <c r="E192" i="27" s="1"/>
  <c r="D150" i="27"/>
  <c r="K149" i="27"/>
  <c r="K191" i="27" s="1"/>
  <c r="J149" i="27"/>
  <c r="I149" i="27"/>
  <c r="H149" i="27"/>
  <c r="H191" i="27" s="1"/>
  <c r="G149" i="27"/>
  <c r="G191" i="27" s="1"/>
  <c r="F149" i="27"/>
  <c r="F191" i="27" s="1"/>
  <c r="E149" i="27"/>
  <c r="E191" i="27" s="1"/>
  <c r="D149" i="27"/>
  <c r="D191" i="27" s="1"/>
  <c r="K148" i="27"/>
  <c r="K190" i="27" s="1"/>
  <c r="J148" i="27"/>
  <c r="J190" i="27" s="1"/>
  <c r="I148" i="27"/>
  <c r="I190" i="27" s="1"/>
  <c r="H148" i="27"/>
  <c r="H190" i="27" s="1"/>
  <c r="G148" i="27"/>
  <c r="G190" i="27" s="1"/>
  <c r="F148" i="27"/>
  <c r="E148" i="27"/>
  <c r="E190" i="27" s="1"/>
  <c r="D148" i="27"/>
  <c r="K147" i="27"/>
  <c r="K189" i="27" s="1"/>
  <c r="J147" i="27"/>
  <c r="I147" i="27"/>
  <c r="H147" i="27"/>
  <c r="H189" i="27" s="1"/>
  <c r="G147" i="27"/>
  <c r="G189" i="27" s="1"/>
  <c r="F147" i="27"/>
  <c r="F189" i="27" s="1"/>
  <c r="E147" i="27"/>
  <c r="E189" i="27" s="1"/>
  <c r="D147" i="27"/>
  <c r="D189" i="27" s="1"/>
  <c r="K146" i="27"/>
  <c r="K188" i="27" s="1"/>
  <c r="J146" i="27"/>
  <c r="J188" i="27" s="1"/>
  <c r="I146" i="27"/>
  <c r="I188" i="27" s="1"/>
  <c r="H146" i="27"/>
  <c r="H188" i="27" s="1"/>
  <c r="G146" i="27"/>
  <c r="G188" i="27" s="1"/>
  <c r="F146" i="27"/>
  <c r="F188" i="27" s="1"/>
  <c r="E146" i="27"/>
  <c r="E188" i="27" s="1"/>
  <c r="D146" i="27"/>
  <c r="K145" i="27"/>
  <c r="K187" i="27" s="1"/>
  <c r="J145" i="27"/>
  <c r="I145" i="27"/>
  <c r="H145" i="27"/>
  <c r="H187" i="27" s="1"/>
  <c r="G145" i="27"/>
  <c r="G187" i="27" s="1"/>
  <c r="F145" i="27"/>
  <c r="F187" i="27" s="1"/>
  <c r="E145" i="27"/>
  <c r="E187" i="27" s="1"/>
  <c r="D145" i="27"/>
  <c r="D187" i="27" s="1"/>
  <c r="K144" i="27"/>
  <c r="K186" i="27" s="1"/>
  <c r="J144" i="27"/>
  <c r="J186" i="27" s="1"/>
  <c r="I144" i="27"/>
  <c r="I186" i="27" s="1"/>
  <c r="H144" i="27"/>
  <c r="H186" i="27" s="1"/>
  <c r="G144" i="27"/>
  <c r="G186" i="27" s="1"/>
  <c r="F144" i="27"/>
  <c r="F186" i="27" s="1"/>
  <c r="E144" i="27"/>
  <c r="E186" i="27" s="1"/>
  <c r="D144" i="27"/>
  <c r="K143" i="27"/>
  <c r="K185" i="27" s="1"/>
  <c r="J143" i="27"/>
  <c r="I143" i="27"/>
  <c r="H143" i="27"/>
  <c r="G143" i="27"/>
  <c r="F143" i="27"/>
  <c r="E143" i="27"/>
  <c r="E185" i="27" s="1"/>
  <c r="D143" i="27"/>
  <c r="D185" i="27" s="1"/>
  <c r="K142" i="27"/>
  <c r="J142" i="27"/>
  <c r="J184" i="27" s="1"/>
  <c r="I142" i="27"/>
  <c r="I184" i="27" s="1"/>
  <c r="H142" i="27"/>
  <c r="H184" i="27" s="1"/>
  <c r="G142" i="27"/>
  <c r="G184" i="27" s="1"/>
  <c r="F142" i="27"/>
  <c r="E142" i="27"/>
  <c r="E184" i="27" s="1"/>
  <c r="D142" i="27"/>
  <c r="C132" i="27"/>
  <c r="D131" i="27"/>
  <c r="K130" i="27"/>
  <c r="D130" i="27"/>
  <c r="I129" i="27"/>
  <c r="H129" i="27"/>
  <c r="E129" i="27"/>
  <c r="D129" i="27"/>
  <c r="D128" i="27"/>
  <c r="H127" i="27"/>
  <c r="G127" i="27"/>
  <c r="E127" i="27"/>
  <c r="D127" i="27"/>
  <c r="K126" i="27"/>
  <c r="D126" i="27"/>
  <c r="I125" i="27"/>
  <c r="H125" i="27"/>
  <c r="G125" i="27"/>
  <c r="E125" i="27"/>
  <c r="D125" i="27"/>
  <c r="D124" i="27"/>
  <c r="H123" i="27"/>
  <c r="G123" i="27"/>
  <c r="E123" i="27"/>
  <c r="D123" i="27"/>
  <c r="K122" i="27"/>
  <c r="D122" i="27"/>
  <c r="I121" i="27"/>
  <c r="H121" i="27"/>
  <c r="G121" i="27"/>
  <c r="E121" i="27"/>
  <c r="D121" i="27"/>
  <c r="D120" i="27"/>
  <c r="I119" i="27"/>
  <c r="H119" i="27"/>
  <c r="G119" i="27"/>
  <c r="F119" i="27"/>
  <c r="D119" i="27"/>
  <c r="D118" i="27"/>
  <c r="H117" i="27"/>
  <c r="G117" i="27"/>
  <c r="E117" i="27"/>
  <c r="D117" i="27"/>
  <c r="K116" i="27"/>
  <c r="D116" i="27"/>
  <c r="I115" i="27"/>
  <c r="H115" i="27"/>
  <c r="G115" i="27"/>
  <c r="F115" i="27"/>
  <c r="D115" i="27"/>
  <c r="D114" i="27"/>
  <c r="I113" i="27"/>
  <c r="H113" i="27"/>
  <c r="E113" i="27"/>
  <c r="D113" i="27"/>
  <c r="D112" i="27"/>
  <c r="I111" i="27"/>
  <c r="H111" i="27"/>
  <c r="G111" i="27"/>
  <c r="E111" i="27"/>
  <c r="D111" i="27"/>
  <c r="D110" i="27"/>
  <c r="H109" i="27"/>
  <c r="D109" i="27"/>
  <c r="D108" i="27"/>
  <c r="I107" i="27"/>
  <c r="H107" i="27"/>
  <c r="G107" i="27"/>
  <c r="F107" i="27"/>
  <c r="E107" i="27"/>
  <c r="D107" i="27"/>
  <c r="D106" i="27"/>
  <c r="I105" i="27"/>
  <c r="H105" i="27"/>
  <c r="D105" i="27"/>
  <c r="K104" i="27"/>
  <c r="D104" i="27"/>
  <c r="H103" i="27"/>
  <c r="E103" i="27"/>
  <c r="D103" i="27"/>
  <c r="K102" i="27"/>
  <c r="D102" i="27"/>
  <c r="I101" i="27"/>
  <c r="H101" i="27"/>
  <c r="G101" i="27"/>
  <c r="E101" i="27"/>
  <c r="D101" i="27"/>
  <c r="D100" i="27"/>
  <c r="C90" i="27"/>
  <c r="K88" i="27"/>
  <c r="J88" i="27"/>
  <c r="J130" i="27" s="1"/>
  <c r="I88" i="27"/>
  <c r="I130" i="27" s="1"/>
  <c r="H88" i="27"/>
  <c r="H130" i="27" s="1"/>
  <c r="G88" i="27"/>
  <c r="G130" i="27" s="1"/>
  <c r="F88" i="27"/>
  <c r="F130" i="27" s="1"/>
  <c r="E88" i="27"/>
  <c r="E130" i="27" s="1"/>
  <c r="D88" i="27"/>
  <c r="K87" i="27"/>
  <c r="J87" i="27"/>
  <c r="I87" i="27"/>
  <c r="H87" i="27"/>
  <c r="G87" i="27"/>
  <c r="F87" i="27"/>
  <c r="E87" i="27"/>
  <c r="D87" i="27"/>
  <c r="K86" i="27"/>
  <c r="J86" i="27"/>
  <c r="J128" i="27" s="1"/>
  <c r="I86" i="27"/>
  <c r="I128" i="27" s="1"/>
  <c r="H86" i="27"/>
  <c r="H128" i="27" s="1"/>
  <c r="G86" i="27"/>
  <c r="G128" i="27" s="1"/>
  <c r="F86" i="27"/>
  <c r="E86" i="27"/>
  <c r="E128" i="27" s="1"/>
  <c r="D86" i="27"/>
  <c r="K85" i="27"/>
  <c r="J85" i="27"/>
  <c r="I85" i="27"/>
  <c r="H85" i="27"/>
  <c r="G85" i="27"/>
  <c r="F85" i="27"/>
  <c r="E85" i="27"/>
  <c r="D85" i="27"/>
  <c r="K84" i="27"/>
  <c r="J84" i="27"/>
  <c r="J126" i="27" s="1"/>
  <c r="I84" i="27"/>
  <c r="I126" i="27" s="1"/>
  <c r="H84" i="27"/>
  <c r="H126" i="27" s="1"/>
  <c r="G84" i="27"/>
  <c r="G126" i="27" s="1"/>
  <c r="F84" i="27"/>
  <c r="F126" i="27" s="1"/>
  <c r="E84" i="27"/>
  <c r="E126" i="27" s="1"/>
  <c r="D84" i="27"/>
  <c r="K83" i="27"/>
  <c r="J83" i="27"/>
  <c r="I83" i="27"/>
  <c r="H83" i="27"/>
  <c r="G83" i="27"/>
  <c r="F83" i="27"/>
  <c r="E83" i="27"/>
  <c r="D83" i="27"/>
  <c r="K82" i="27"/>
  <c r="J82" i="27"/>
  <c r="J124" i="27" s="1"/>
  <c r="I82" i="27"/>
  <c r="I124" i="27" s="1"/>
  <c r="H82" i="27"/>
  <c r="H124" i="27" s="1"/>
  <c r="G82" i="27"/>
  <c r="G124" i="27" s="1"/>
  <c r="F82" i="27"/>
  <c r="E82" i="27"/>
  <c r="E124" i="27" s="1"/>
  <c r="D82" i="27"/>
  <c r="K81" i="27"/>
  <c r="J81" i="27"/>
  <c r="I81" i="27"/>
  <c r="H81" i="27"/>
  <c r="G81" i="27"/>
  <c r="F81" i="27"/>
  <c r="E81" i="27"/>
  <c r="D81" i="27"/>
  <c r="K80" i="27"/>
  <c r="J80" i="27"/>
  <c r="J122" i="27" s="1"/>
  <c r="I80" i="27"/>
  <c r="I122" i="27" s="1"/>
  <c r="H80" i="27"/>
  <c r="H122" i="27" s="1"/>
  <c r="G80" i="27"/>
  <c r="G122" i="27" s="1"/>
  <c r="F80" i="27"/>
  <c r="F122" i="27" s="1"/>
  <c r="E80" i="27"/>
  <c r="E122" i="27" s="1"/>
  <c r="D80" i="27"/>
  <c r="K79" i="27"/>
  <c r="J79" i="27"/>
  <c r="I79" i="27"/>
  <c r="H79" i="27"/>
  <c r="G79" i="27"/>
  <c r="F79" i="27"/>
  <c r="E79" i="27"/>
  <c r="D79" i="27"/>
  <c r="K78" i="27"/>
  <c r="J78" i="27"/>
  <c r="J120" i="27" s="1"/>
  <c r="I78" i="27"/>
  <c r="I120" i="27" s="1"/>
  <c r="H78" i="27"/>
  <c r="H120" i="27" s="1"/>
  <c r="G78" i="27"/>
  <c r="G120" i="27" s="1"/>
  <c r="F78" i="27"/>
  <c r="E78" i="27"/>
  <c r="E120" i="27" s="1"/>
  <c r="D78" i="27"/>
  <c r="K77" i="27"/>
  <c r="K119" i="27" s="1"/>
  <c r="J77" i="27"/>
  <c r="J119" i="27" s="1"/>
  <c r="I77" i="27"/>
  <c r="H77" i="27"/>
  <c r="G77" i="27"/>
  <c r="F77" i="27"/>
  <c r="E77" i="27"/>
  <c r="E119" i="27" s="1"/>
  <c r="D77" i="27"/>
  <c r="K76" i="27"/>
  <c r="J76" i="27"/>
  <c r="J118" i="27" s="1"/>
  <c r="I76" i="27"/>
  <c r="I118" i="27" s="1"/>
  <c r="H76" i="27"/>
  <c r="H118" i="27" s="1"/>
  <c r="G76" i="27"/>
  <c r="G118" i="27" s="1"/>
  <c r="F76" i="27"/>
  <c r="E76" i="27"/>
  <c r="E118" i="27" s="1"/>
  <c r="D76" i="27"/>
  <c r="K75" i="27"/>
  <c r="J75" i="27"/>
  <c r="I75" i="27"/>
  <c r="H75" i="27"/>
  <c r="G75" i="27"/>
  <c r="F75" i="27"/>
  <c r="E75" i="27"/>
  <c r="D75" i="27"/>
  <c r="K74" i="27"/>
  <c r="J74" i="27"/>
  <c r="J116" i="27" s="1"/>
  <c r="I74" i="27"/>
  <c r="I116" i="27" s="1"/>
  <c r="H74" i="27"/>
  <c r="H116" i="27" s="1"/>
  <c r="G74" i="27"/>
  <c r="G116" i="27" s="1"/>
  <c r="F74" i="27"/>
  <c r="F116" i="27" s="1"/>
  <c r="E74" i="27"/>
  <c r="E116" i="27" s="1"/>
  <c r="D74" i="27"/>
  <c r="K73" i="27"/>
  <c r="K115" i="27" s="1"/>
  <c r="J73" i="27"/>
  <c r="J115" i="27" s="1"/>
  <c r="I73" i="27"/>
  <c r="H73" i="27"/>
  <c r="G73" i="27"/>
  <c r="F73" i="27"/>
  <c r="E73" i="27"/>
  <c r="E115" i="27" s="1"/>
  <c r="D73" i="27"/>
  <c r="K72" i="27"/>
  <c r="J72" i="27"/>
  <c r="J114" i="27" s="1"/>
  <c r="I72" i="27"/>
  <c r="I114" i="27" s="1"/>
  <c r="H72" i="27"/>
  <c r="H114" i="27" s="1"/>
  <c r="G72" i="27"/>
  <c r="G114" i="27" s="1"/>
  <c r="F72" i="27"/>
  <c r="E72" i="27"/>
  <c r="E114" i="27" s="1"/>
  <c r="D72" i="27"/>
  <c r="K71" i="27"/>
  <c r="K113" i="27" s="1"/>
  <c r="J71" i="27"/>
  <c r="J113" i="27" s="1"/>
  <c r="I71" i="27"/>
  <c r="H71" i="27"/>
  <c r="G71" i="27"/>
  <c r="F71" i="27"/>
  <c r="E71" i="27"/>
  <c r="D71" i="27"/>
  <c r="K70" i="27"/>
  <c r="J70" i="27"/>
  <c r="J112" i="27" s="1"/>
  <c r="I70" i="27"/>
  <c r="I112" i="27" s="1"/>
  <c r="H70" i="27"/>
  <c r="H112" i="27" s="1"/>
  <c r="G70" i="27"/>
  <c r="G112" i="27" s="1"/>
  <c r="F70" i="27"/>
  <c r="F112" i="27" s="1"/>
  <c r="E70" i="27"/>
  <c r="E112" i="27" s="1"/>
  <c r="D70" i="27"/>
  <c r="K69" i="27"/>
  <c r="J69" i="27"/>
  <c r="I69" i="27"/>
  <c r="H69" i="27"/>
  <c r="G69" i="27"/>
  <c r="F69" i="27"/>
  <c r="E69" i="27"/>
  <c r="D69" i="27"/>
  <c r="K68" i="27"/>
  <c r="J68" i="27"/>
  <c r="J110" i="27" s="1"/>
  <c r="I68" i="27"/>
  <c r="I110" i="27" s="1"/>
  <c r="H68" i="27"/>
  <c r="H110" i="27" s="1"/>
  <c r="G68" i="27"/>
  <c r="G110" i="27" s="1"/>
  <c r="F68" i="27"/>
  <c r="E68" i="27"/>
  <c r="E110" i="27" s="1"/>
  <c r="D68" i="27"/>
  <c r="K67" i="27"/>
  <c r="J67" i="27"/>
  <c r="I67" i="27"/>
  <c r="H67" i="27"/>
  <c r="G67" i="27"/>
  <c r="F67" i="27"/>
  <c r="E67" i="27"/>
  <c r="E109" i="27" s="1"/>
  <c r="D67" i="27"/>
  <c r="K66" i="27"/>
  <c r="J66" i="27"/>
  <c r="J108" i="27" s="1"/>
  <c r="I66" i="27"/>
  <c r="I108" i="27" s="1"/>
  <c r="H66" i="27"/>
  <c r="H108" i="27" s="1"/>
  <c r="G66" i="27"/>
  <c r="G108" i="27" s="1"/>
  <c r="F66" i="27"/>
  <c r="E66" i="27"/>
  <c r="E108" i="27" s="1"/>
  <c r="D66" i="27"/>
  <c r="K65" i="27"/>
  <c r="K107" i="27" s="1"/>
  <c r="J65" i="27"/>
  <c r="J107" i="27" s="1"/>
  <c r="I65" i="27"/>
  <c r="H65" i="27"/>
  <c r="G65" i="27"/>
  <c r="F65" i="27"/>
  <c r="E65" i="27"/>
  <c r="D65" i="27"/>
  <c r="K64" i="27"/>
  <c r="J64" i="27"/>
  <c r="J106" i="27" s="1"/>
  <c r="I64" i="27"/>
  <c r="I106" i="27" s="1"/>
  <c r="H64" i="27"/>
  <c r="H106" i="27" s="1"/>
  <c r="G64" i="27"/>
  <c r="G106" i="27" s="1"/>
  <c r="F64" i="27"/>
  <c r="E64" i="27"/>
  <c r="E106" i="27" s="1"/>
  <c r="D64" i="27"/>
  <c r="K63" i="27"/>
  <c r="J63" i="27"/>
  <c r="I63" i="27"/>
  <c r="H63" i="27"/>
  <c r="G63" i="27"/>
  <c r="F63" i="27"/>
  <c r="E63" i="27"/>
  <c r="E105" i="27" s="1"/>
  <c r="D63" i="27"/>
  <c r="K62" i="27"/>
  <c r="J62" i="27"/>
  <c r="J104" i="27" s="1"/>
  <c r="I62" i="27"/>
  <c r="I104" i="27" s="1"/>
  <c r="H62" i="27"/>
  <c r="H104" i="27" s="1"/>
  <c r="G62" i="27"/>
  <c r="G104" i="27" s="1"/>
  <c r="F62" i="27"/>
  <c r="F104" i="27" s="1"/>
  <c r="E62" i="27"/>
  <c r="E104" i="27" s="1"/>
  <c r="D62" i="27"/>
  <c r="K61" i="27"/>
  <c r="J61" i="27"/>
  <c r="I61" i="27"/>
  <c r="H61" i="27"/>
  <c r="G61" i="27"/>
  <c r="F61" i="27"/>
  <c r="E61" i="27"/>
  <c r="D61" i="27"/>
  <c r="K60" i="27"/>
  <c r="J60" i="27"/>
  <c r="J102" i="27" s="1"/>
  <c r="I60" i="27"/>
  <c r="I102" i="27" s="1"/>
  <c r="H60" i="27"/>
  <c r="H102" i="27" s="1"/>
  <c r="G60" i="27"/>
  <c r="G102" i="27" s="1"/>
  <c r="F60" i="27"/>
  <c r="F102" i="27" s="1"/>
  <c r="E60" i="27"/>
  <c r="E102" i="27" s="1"/>
  <c r="D60" i="27"/>
  <c r="K59" i="27"/>
  <c r="J59" i="27"/>
  <c r="I59" i="27"/>
  <c r="H59" i="27"/>
  <c r="G59" i="27"/>
  <c r="F59" i="27"/>
  <c r="E59" i="27"/>
  <c r="D59" i="27"/>
  <c r="K58" i="27"/>
  <c r="J58" i="27"/>
  <c r="I58" i="27"/>
  <c r="H58" i="27"/>
  <c r="G58" i="27"/>
  <c r="G100" i="27" s="1"/>
  <c r="F58" i="27"/>
  <c r="E58" i="27"/>
  <c r="E100" i="27" s="1"/>
  <c r="D58" i="27"/>
  <c r="D89" i="27" s="1"/>
  <c r="C47" i="27"/>
  <c r="K45" i="27"/>
  <c r="J45" i="27"/>
  <c r="I45" i="27"/>
  <c r="H45" i="27"/>
  <c r="G45" i="27"/>
  <c r="F45" i="27"/>
  <c r="E45" i="27"/>
  <c r="D45" i="27"/>
  <c r="K44" i="27"/>
  <c r="J44" i="27"/>
  <c r="I44" i="27"/>
  <c r="I213" i="27" s="1"/>
  <c r="H44" i="27"/>
  <c r="G44" i="27"/>
  <c r="G129" i="27" s="1"/>
  <c r="F44" i="27"/>
  <c r="F129" i="27" s="1"/>
  <c r="E44" i="27"/>
  <c r="D44" i="27"/>
  <c r="K43" i="27"/>
  <c r="K128" i="27" s="1"/>
  <c r="J43" i="27"/>
  <c r="I43" i="27"/>
  <c r="H43" i="27"/>
  <c r="G43" i="27"/>
  <c r="F43" i="27"/>
  <c r="F295" i="27" s="1"/>
  <c r="E43" i="27"/>
  <c r="D43" i="27"/>
  <c r="D295" i="27" s="1"/>
  <c r="K42" i="27"/>
  <c r="K211" i="27" s="1"/>
  <c r="J42" i="27"/>
  <c r="J211" i="27" s="1"/>
  <c r="I42" i="27"/>
  <c r="I211" i="27" s="1"/>
  <c r="H42" i="27"/>
  <c r="G42" i="27"/>
  <c r="F42" i="27"/>
  <c r="F127" i="27" s="1"/>
  <c r="E42" i="27"/>
  <c r="D42" i="27"/>
  <c r="K41" i="27"/>
  <c r="J41" i="27"/>
  <c r="I41" i="27"/>
  <c r="H41" i="27"/>
  <c r="G41" i="27"/>
  <c r="F41" i="27"/>
  <c r="E41" i="27"/>
  <c r="D41" i="27"/>
  <c r="K40" i="27"/>
  <c r="J40" i="27"/>
  <c r="J209" i="27" s="1"/>
  <c r="I40" i="27"/>
  <c r="I209" i="27" s="1"/>
  <c r="H40" i="27"/>
  <c r="G40" i="27"/>
  <c r="F40" i="27"/>
  <c r="F125" i="27" s="1"/>
  <c r="E40" i="27"/>
  <c r="D40" i="27"/>
  <c r="K39" i="27"/>
  <c r="K124" i="27" s="1"/>
  <c r="J39" i="27"/>
  <c r="I39" i="27"/>
  <c r="H39" i="27"/>
  <c r="G39" i="27"/>
  <c r="F39" i="27"/>
  <c r="F291" i="27" s="1"/>
  <c r="E39" i="27"/>
  <c r="D39" i="27"/>
  <c r="D291" i="27" s="1"/>
  <c r="K38" i="27"/>
  <c r="J38" i="27"/>
  <c r="J207" i="27" s="1"/>
  <c r="I38" i="27"/>
  <c r="I207" i="27" s="1"/>
  <c r="H38" i="27"/>
  <c r="G38" i="27"/>
  <c r="F38" i="27"/>
  <c r="F123" i="27" s="1"/>
  <c r="E38" i="27"/>
  <c r="D38" i="27"/>
  <c r="K37" i="27"/>
  <c r="J37" i="27"/>
  <c r="I37" i="27"/>
  <c r="H37" i="27"/>
  <c r="G37" i="27"/>
  <c r="F37" i="27"/>
  <c r="E37" i="27"/>
  <c r="D37" i="27"/>
  <c r="K36" i="27"/>
  <c r="J36" i="27"/>
  <c r="J205" i="27" s="1"/>
  <c r="I36" i="27"/>
  <c r="I205" i="27" s="1"/>
  <c r="H36" i="27"/>
  <c r="G36" i="27"/>
  <c r="F36" i="27"/>
  <c r="F121" i="27" s="1"/>
  <c r="E36" i="27"/>
  <c r="D36" i="27"/>
  <c r="K35" i="27"/>
  <c r="K120" i="27" s="1"/>
  <c r="J35" i="27"/>
  <c r="I35" i="27"/>
  <c r="H35" i="27"/>
  <c r="G35" i="27"/>
  <c r="F35" i="27"/>
  <c r="F287" i="27" s="1"/>
  <c r="E35" i="27"/>
  <c r="D35" i="27"/>
  <c r="D287" i="27" s="1"/>
  <c r="K34" i="27"/>
  <c r="J34" i="27"/>
  <c r="I34" i="27"/>
  <c r="H34" i="27"/>
  <c r="G34" i="27"/>
  <c r="F34" i="27"/>
  <c r="E34" i="27"/>
  <c r="D34" i="27"/>
  <c r="K33" i="27"/>
  <c r="K118" i="27" s="1"/>
  <c r="J33" i="27"/>
  <c r="I33" i="27"/>
  <c r="H33" i="27"/>
  <c r="G33" i="27"/>
  <c r="F33" i="27"/>
  <c r="F285" i="27" s="1"/>
  <c r="E33" i="27"/>
  <c r="D33" i="27"/>
  <c r="D285" i="27" s="1"/>
  <c r="K32" i="27"/>
  <c r="K201" i="27" s="1"/>
  <c r="J32" i="27"/>
  <c r="J201" i="27" s="1"/>
  <c r="I32" i="27"/>
  <c r="I201" i="27" s="1"/>
  <c r="H32" i="27"/>
  <c r="G32" i="27"/>
  <c r="F32" i="27"/>
  <c r="F117" i="27" s="1"/>
  <c r="E32" i="27"/>
  <c r="D32" i="27"/>
  <c r="K31" i="27"/>
  <c r="J31" i="27"/>
  <c r="I31" i="27"/>
  <c r="H31" i="27"/>
  <c r="G31" i="27"/>
  <c r="F31" i="27"/>
  <c r="E31" i="27"/>
  <c r="D31" i="27"/>
  <c r="K30" i="27"/>
  <c r="J30" i="27"/>
  <c r="I30" i="27"/>
  <c r="H30" i="27"/>
  <c r="G30" i="27"/>
  <c r="F30" i="27"/>
  <c r="E30" i="27"/>
  <c r="D30" i="27"/>
  <c r="K29" i="27"/>
  <c r="K114" i="27" s="1"/>
  <c r="J29" i="27"/>
  <c r="I29" i="27"/>
  <c r="H29" i="27"/>
  <c r="G29" i="27"/>
  <c r="F29" i="27"/>
  <c r="F281" i="27" s="1"/>
  <c r="E29" i="27"/>
  <c r="D29" i="27"/>
  <c r="D281" i="27" s="1"/>
  <c r="K28" i="27"/>
  <c r="J28" i="27"/>
  <c r="I28" i="27"/>
  <c r="H28" i="27"/>
  <c r="G28" i="27"/>
  <c r="G113" i="27" s="1"/>
  <c r="F28" i="27"/>
  <c r="F113" i="27" s="1"/>
  <c r="E28" i="27"/>
  <c r="D28" i="27"/>
  <c r="K27" i="27"/>
  <c r="K112" i="27" s="1"/>
  <c r="J27" i="27"/>
  <c r="I27" i="27"/>
  <c r="H27" i="27"/>
  <c r="G27" i="27"/>
  <c r="F27" i="27"/>
  <c r="E27" i="27"/>
  <c r="D27" i="27"/>
  <c r="K26" i="27"/>
  <c r="J26" i="27"/>
  <c r="J195" i="27" s="1"/>
  <c r="I26" i="27"/>
  <c r="I195" i="27" s="1"/>
  <c r="H26" i="27"/>
  <c r="G26" i="27"/>
  <c r="F26" i="27"/>
  <c r="F111" i="27" s="1"/>
  <c r="E26" i="27"/>
  <c r="D26" i="27"/>
  <c r="K25" i="27"/>
  <c r="K110" i="27" s="1"/>
  <c r="J25" i="27"/>
  <c r="I25" i="27"/>
  <c r="H25" i="27"/>
  <c r="G25" i="27"/>
  <c r="F25" i="27"/>
  <c r="F277" i="27" s="1"/>
  <c r="E25" i="27"/>
  <c r="D25" i="27"/>
  <c r="D277" i="27" s="1"/>
  <c r="K24" i="27"/>
  <c r="J24" i="27"/>
  <c r="I24" i="27"/>
  <c r="I193" i="27" s="1"/>
  <c r="H24" i="27"/>
  <c r="G24" i="27"/>
  <c r="G109" i="27" s="1"/>
  <c r="F24" i="27"/>
  <c r="F109" i="27" s="1"/>
  <c r="E24" i="27"/>
  <c r="D24" i="27"/>
  <c r="K23" i="27"/>
  <c r="K108" i="27" s="1"/>
  <c r="J23" i="27"/>
  <c r="I23" i="27"/>
  <c r="H23" i="27"/>
  <c r="G23" i="27"/>
  <c r="F23" i="27"/>
  <c r="F275" i="27" s="1"/>
  <c r="E23" i="27"/>
  <c r="D23" i="27"/>
  <c r="D275" i="27" s="1"/>
  <c r="K22" i="27"/>
  <c r="J22" i="27"/>
  <c r="I22" i="27"/>
  <c r="H22" i="27"/>
  <c r="G22" i="27"/>
  <c r="F22" i="27"/>
  <c r="E22" i="27"/>
  <c r="D22" i="27"/>
  <c r="K21" i="27"/>
  <c r="K106" i="27" s="1"/>
  <c r="J21" i="27"/>
  <c r="I21" i="27"/>
  <c r="H21" i="27"/>
  <c r="G21" i="27"/>
  <c r="F21" i="27"/>
  <c r="F273" i="27" s="1"/>
  <c r="E21" i="27"/>
  <c r="D21" i="27"/>
  <c r="D273" i="27" s="1"/>
  <c r="K20" i="27"/>
  <c r="J20" i="27"/>
  <c r="J189" i="27" s="1"/>
  <c r="I20" i="27"/>
  <c r="I189" i="27" s="1"/>
  <c r="H20" i="27"/>
  <c r="G20" i="27"/>
  <c r="G105" i="27" s="1"/>
  <c r="F20" i="27"/>
  <c r="F105" i="27" s="1"/>
  <c r="E20" i="27"/>
  <c r="D20" i="27"/>
  <c r="K19" i="27"/>
  <c r="J19" i="27"/>
  <c r="I19" i="27"/>
  <c r="H19" i="27"/>
  <c r="G19" i="27"/>
  <c r="F19" i="27"/>
  <c r="E19" i="27"/>
  <c r="D19" i="27"/>
  <c r="K18" i="27"/>
  <c r="J18" i="27"/>
  <c r="J187" i="27" s="1"/>
  <c r="I18" i="27"/>
  <c r="I187" i="27" s="1"/>
  <c r="H18" i="27"/>
  <c r="G18" i="27"/>
  <c r="G103" i="27" s="1"/>
  <c r="F18" i="27"/>
  <c r="F103" i="27" s="1"/>
  <c r="E18" i="27"/>
  <c r="D18" i="27"/>
  <c r="K17" i="27"/>
  <c r="J17" i="27"/>
  <c r="I17" i="27"/>
  <c r="H17" i="27"/>
  <c r="G17" i="27"/>
  <c r="F17" i="27"/>
  <c r="E17" i="27"/>
  <c r="D17" i="27"/>
  <c r="K16" i="27"/>
  <c r="K46" i="27" s="1"/>
  <c r="J16" i="27"/>
  <c r="J46" i="27" s="1"/>
  <c r="I16" i="27"/>
  <c r="I185" i="27" s="1"/>
  <c r="H16" i="27"/>
  <c r="H46" i="27" s="1"/>
  <c r="G16" i="27"/>
  <c r="G46" i="27" s="1"/>
  <c r="F16" i="27"/>
  <c r="F101" i="27" s="1"/>
  <c r="E16" i="27"/>
  <c r="E46" i="27" s="1"/>
  <c r="D16" i="27"/>
  <c r="D46" i="27" s="1"/>
  <c r="K15" i="27"/>
  <c r="K100" i="27" s="1"/>
  <c r="J15" i="27"/>
  <c r="I15" i="27"/>
  <c r="H15" i="27"/>
  <c r="G15" i="27"/>
  <c r="F15" i="27"/>
  <c r="F267" i="27" s="1"/>
  <c r="E15" i="27"/>
  <c r="D15" i="27"/>
  <c r="D267" i="27" s="1"/>
  <c r="T275" i="26"/>
  <c r="I275" i="26"/>
  <c r="H275" i="26"/>
  <c r="G275" i="26"/>
  <c r="U272" i="26"/>
  <c r="R272" i="26"/>
  <c r="Q272" i="26"/>
  <c r="N268" i="26"/>
  <c r="M268" i="26"/>
  <c r="L268" i="26"/>
  <c r="J268" i="26"/>
  <c r="E265" i="26"/>
  <c r="V259" i="26"/>
  <c r="U259" i="26"/>
  <c r="T259" i="26"/>
  <c r="S259" i="26"/>
  <c r="R259" i="26"/>
  <c r="Q259" i="26"/>
  <c r="P259" i="26"/>
  <c r="O259" i="26"/>
  <c r="N259" i="26"/>
  <c r="M259" i="26"/>
  <c r="L259" i="26"/>
  <c r="K259" i="26"/>
  <c r="J259" i="26"/>
  <c r="I259" i="26"/>
  <c r="H259" i="26"/>
  <c r="G259" i="26"/>
  <c r="F259" i="26"/>
  <c r="E259" i="26"/>
  <c r="D259" i="26"/>
  <c r="T254" i="26"/>
  <c r="S254" i="26"/>
  <c r="Q254" i="26"/>
  <c r="U251" i="26"/>
  <c r="E251" i="26"/>
  <c r="V236" i="26"/>
  <c r="V275" i="26" s="1"/>
  <c r="U236" i="26"/>
  <c r="U275" i="26" s="1"/>
  <c r="T236" i="26"/>
  <c r="S236" i="26"/>
  <c r="S275" i="26" s="1"/>
  <c r="R236" i="26"/>
  <c r="R275" i="26" s="1"/>
  <c r="Q236" i="26"/>
  <c r="Q275" i="26" s="1"/>
  <c r="P236" i="26"/>
  <c r="P275" i="26" s="1"/>
  <c r="O236" i="26"/>
  <c r="O275" i="26" s="1"/>
  <c r="N236" i="26"/>
  <c r="N275" i="26" s="1"/>
  <c r="M236" i="26"/>
  <c r="M275" i="26" s="1"/>
  <c r="L236" i="26"/>
  <c r="L275" i="26" s="1"/>
  <c r="K236" i="26"/>
  <c r="K275" i="26" s="1"/>
  <c r="J236" i="26"/>
  <c r="J275" i="26" s="1"/>
  <c r="I236" i="26"/>
  <c r="H236" i="26"/>
  <c r="G236" i="26"/>
  <c r="F236" i="26"/>
  <c r="E236" i="26"/>
  <c r="D236" i="26"/>
  <c r="V235" i="26"/>
  <c r="U235" i="26"/>
  <c r="T235" i="26"/>
  <c r="S235" i="26"/>
  <c r="R235" i="26"/>
  <c r="Q235" i="26"/>
  <c r="P235" i="26"/>
  <c r="O235" i="26"/>
  <c r="N235" i="26"/>
  <c r="M235" i="26"/>
  <c r="L235" i="26"/>
  <c r="K235" i="26"/>
  <c r="J235" i="26"/>
  <c r="I235" i="26"/>
  <c r="H235" i="26"/>
  <c r="G235" i="26"/>
  <c r="F235" i="26"/>
  <c r="E235" i="26"/>
  <c r="D235" i="26"/>
  <c r="V234" i="26"/>
  <c r="U234" i="26"/>
  <c r="T234" i="26"/>
  <c r="S234" i="26"/>
  <c r="R234" i="26"/>
  <c r="Q234" i="26"/>
  <c r="P234" i="26"/>
  <c r="O234" i="26"/>
  <c r="N234" i="26"/>
  <c r="M234" i="26"/>
  <c r="L234" i="26"/>
  <c r="K234" i="26"/>
  <c r="J234" i="26"/>
  <c r="I234" i="26"/>
  <c r="H234" i="26"/>
  <c r="G234" i="26"/>
  <c r="F234" i="26"/>
  <c r="E234" i="26"/>
  <c r="D234" i="26"/>
  <c r="V233" i="26"/>
  <c r="V272" i="26" s="1"/>
  <c r="U233" i="26"/>
  <c r="T233" i="26"/>
  <c r="T272" i="26" s="1"/>
  <c r="S233" i="26"/>
  <c r="S272" i="26" s="1"/>
  <c r="R233" i="26"/>
  <c r="Q233" i="26"/>
  <c r="P233" i="26"/>
  <c r="P272" i="26" s="1"/>
  <c r="O233" i="26"/>
  <c r="O272" i="26" s="1"/>
  <c r="N233" i="26"/>
  <c r="N272" i="26" s="1"/>
  <c r="M233" i="26"/>
  <c r="M272" i="26" s="1"/>
  <c r="L233" i="26"/>
  <c r="L272" i="26" s="1"/>
  <c r="K233" i="26"/>
  <c r="K272" i="26" s="1"/>
  <c r="J233" i="26"/>
  <c r="J272" i="26" s="1"/>
  <c r="I233" i="26"/>
  <c r="I272" i="26" s="1"/>
  <c r="H233" i="26"/>
  <c r="H272" i="26" s="1"/>
  <c r="G233" i="26"/>
  <c r="G272" i="26" s="1"/>
  <c r="F233" i="26"/>
  <c r="F272" i="26" s="1"/>
  <c r="E233" i="26"/>
  <c r="E272" i="26" s="1"/>
  <c r="D233" i="26"/>
  <c r="D272" i="26" s="1"/>
  <c r="V232" i="26"/>
  <c r="U232" i="26"/>
  <c r="T232" i="26"/>
  <c r="S232" i="26"/>
  <c r="R232" i="26"/>
  <c r="Q232" i="26"/>
  <c r="P232" i="26"/>
  <c r="O232" i="26"/>
  <c r="N232" i="26"/>
  <c r="M232" i="26"/>
  <c r="L232" i="26"/>
  <c r="K232" i="26"/>
  <c r="J232" i="26"/>
  <c r="I232" i="26"/>
  <c r="H232" i="26"/>
  <c r="G232" i="26"/>
  <c r="F232" i="26"/>
  <c r="E232" i="26"/>
  <c r="D232" i="26"/>
  <c r="V231" i="26"/>
  <c r="U231" i="26"/>
  <c r="T231" i="26"/>
  <c r="S231" i="26"/>
  <c r="R231" i="26"/>
  <c r="Q231" i="26"/>
  <c r="P231" i="26"/>
  <c r="O231" i="26"/>
  <c r="N231" i="26"/>
  <c r="M231" i="26"/>
  <c r="L231" i="26"/>
  <c r="K231" i="26"/>
  <c r="J231" i="26"/>
  <c r="I231" i="26"/>
  <c r="H231" i="26"/>
  <c r="G231" i="26"/>
  <c r="F231" i="26"/>
  <c r="E231" i="26"/>
  <c r="D231" i="26"/>
  <c r="V230" i="26"/>
  <c r="U230" i="26"/>
  <c r="T230" i="26"/>
  <c r="S230" i="26"/>
  <c r="R230" i="26"/>
  <c r="Q230" i="26"/>
  <c r="P230" i="26"/>
  <c r="O230" i="26"/>
  <c r="N230" i="26"/>
  <c r="M230" i="26"/>
  <c r="L230" i="26"/>
  <c r="K230" i="26"/>
  <c r="J230" i="26"/>
  <c r="I230" i="26"/>
  <c r="H230" i="26"/>
  <c r="G230" i="26"/>
  <c r="F230" i="26"/>
  <c r="E230" i="26"/>
  <c r="D230" i="26"/>
  <c r="V229" i="26"/>
  <c r="V268" i="26" s="1"/>
  <c r="U229" i="26"/>
  <c r="U268" i="26" s="1"/>
  <c r="T229" i="26"/>
  <c r="T268" i="26" s="1"/>
  <c r="S229" i="26"/>
  <c r="S268" i="26" s="1"/>
  <c r="R229" i="26"/>
  <c r="R268" i="26" s="1"/>
  <c r="Q229" i="26"/>
  <c r="Q268" i="26" s="1"/>
  <c r="P229" i="26"/>
  <c r="P268" i="26" s="1"/>
  <c r="O229" i="26"/>
  <c r="O268" i="26" s="1"/>
  <c r="N229" i="26"/>
  <c r="M229" i="26"/>
  <c r="L229" i="26"/>
  <c r="K229" i="26"/>
  <c r="K268" i="26" s="1"/>
  <c r="J229" i="26"/>
  <c r="I229" i="26"/>
  <c r="I268" i="26" s="1"/>
  <c r="H229" i="26"/>
  <c r="H268" i="26" s="1"/>
  <c r="G229" i="26"/>
  <c r="G268" i="26" s="1"/>
  <c r="F229" i="26"/>
  <c r="F268" i="26" s="1"/>
  <c r="E229" i="26"/>
  <c r="E268" i="26" s="1"/>
  <c r="D229" i="26"/>
  <c r="D268" i="26" s="1"/>
  <c r="V228" i="26"/>
  <c r="U228" i="26"/>
  <c r="T228" i="26"/>
  <c r="S228" i="26"/>
  <c r="R228" i="26"/>
  <c r="Q228" i="26"/>
  <c r="P228" i="26"/>
  <c r="O228" i="26"/>
  <c r="O267" i="26" s="1"/>
  <c r="N228" i="26"/>
  <c r="N267" i="26" s="1"/>
  <c r="M228" i="26"/>
  <c r="M267" i="26" s="1"/>
  <c r="L228" i="26"/>
  <c r="L267" i="26" s="1"/>
  <c r="K228" i="26"/>
  <c r="K267" i="26" s="1"/>
  <c r="J228" i="26"/>
  <c r="J267" i="26" s="1"/>
  <c r="I228" i="26"/>
  <c r="H228" i="26"/>
  <c r="G228" i="26"/>
  <c r="G267" i="26" s="1"/>
  <c r="F228" i="26"/>
  <c r="F267" i="26" s="1"/>
  <c r="E228" i="26"/>
  <c r="E267" i="26" s="1"/>
  <c r="D228" i="26"/>
  <c r="V227" i="26"/>
  <c r="U227" i="26"/>
  <c r="T227" i="26"/>
  <c r="S227" i="26"/>
  <c r="R227" i="26"/>
  <c r="Q227" i="26"/>
  <c r="P227" i="26"/>
  <c r="O227" i="26"/>
  <c r="N227" i="26"/>
  <c r="M227" i="26"/>
  <c r="L227" i="26"/>
  <c r="K227" i="26"/>
  <c r="J227" i="26"/>
  <c r="I227" i="26"/>
  <c r="H227" i="26"/>
  <c r="G227" i="26"/>
  <c r="F227" i="26"/>
  <c r="E227" i="26"/>
  <c r="D227" i="26"/>
  <c r="V226" i="26"/>
  <c r="V265" i="26" s="1"/>
  <c r="U226" i="26"/>
  <c r="U265" i="26" s="1"/>
  <c r="T226" i="26"/>
  <c r="S226" i="26"/>
  <c r="S265" i="26" s="1"/>
  <c r="R226" i="26"/>
  <c r="Q226" i="26"/>
  <c r="P226" i="26"/>
  <c r="O226" i="26"/>
  <c r="N226" i="26"/>
  <c r="M226" i="26"/>
  <c r="L226" i="26"/>
  <c r="K226" i="26"/>
  <c r="J226" i="26"/>
  <c r="J265" i="26" s="1"/>
  <c r="I226" i="26"/>
  <c r="I265" i="26" s="1"/>
  <c r="H226" i="26"/>
  <c r="H265" i="26" s="1"/>
  <c r="G226" i="26"/>
  <c r="G265" i="26" s="1"/>
  <c r="F226" i="26"/>
  <c r="F265" i="26" s="1"/>
  <c r="E226" i="26"/>
  <c r="D226" i="26"/>
  <c r="D265" i="26" s="1"/>
  <c r="V225" i="26"/>
  <c r="U225" i="26"/>
  <c r="T225" i="26"/>
  <c r="S225" i="26"/>
  <c r="R225" i="26"/>
  <c r="Q225" i="26"/>
  <c r="P225" i="26"/>
  <c r="O225" i="26"/>
  <c r="N225" i="26"/>
  <c r="M225" i="26"/>
  <c r="L225" i="26"/>
  <c r="K225" i="26"/>
  <c r="J225" i="26"/>
  <c r="I225" i="26"/>
  <c r="H225" i="26"/>
  <c r="G225" i="26"/>
  <c r="F225" i="26"/>
  <c r="E225" i="26"/>
  <c r="D225" i="26"/>
  <c r="V224" i="26"/>
  <c r="U224" i="26"/>
  <c r="T224" i="26"/>
  <c r="S224" i="26"/>
  <c r="R224" i="26"/>
  <c r="Q224" i="26"/>
  <c r="P224" i="26"/>
  <c r="O224" i="26"/>
  <c r="N224" i="26"/>
  <c r="M224" i="26"/>
  <c r="L224" i="26"/>
  <c r="K224" i="26"/>
  <c r="J224" i="26"/>
  <c r="I224" i="26"/>
  <c r="H224" i="26"/>
  <c r="G224" i="26"/>
  <c r="F224" i="26"/>
  <c r="E224" i="26"/>
  <c r="D224" i="26"/>
  <c r="V223" i="26"/>
  <c r="V262" i="26" s="1"/>
  <c r="U223" i="26"/>
  <c r="U262" i="26" s="1"/>
  <c r="T223" i="26"/>
  <c r="T262" i="26" s="1"/>
  <c r="S223" i="26"/>
  <c r="S262" i="26" s="1"/>
  <c r="R223" i="26"/>
  <c r="R262" i="26" s="1"/>
  <c r="Q223" i="26"/>
  <c r="P223" i="26"/>
  <c r="O223" i="26"/>
  <c r="N223" i="26"/>
  <c r="M223" i="26"/>
  <c r="L223" i="26"/>
  <c r="K223" i="26"/>
  <c r="J223" i="26"/>
  <c r="I223" i="26"/>
  <c r="H223" i="26"/>
  <c r="G223" i="26"/>
  <c r="F223" i="26"/>
  <c r="E223" i="26"/>
  <c r="D223" i="26"/>
  <c r="V222" i="26"/>
  <c r="U222" i="26"/>
  <c r="T222" i="26"/>
  <c r="S222" i="26"/>
  <c r="R222" i="26"/>
  <c r="Q222" i="26"/>
  <c r="P222" i="26"/>
  <c r="O222" i="26"/>
  <c r="N222" i="26"/>
  <c r="M222" i="26"/>
  <c r="L222" i="26"/>
  <c r="K222" i="26"/>
  <c r="J222" i="26"/>
  <c r="I222" i="26"/>
  <c r="H222" i="26"/>
  <c r="G222" i="26"/>
  <c r="F222" i="26"/>
  <c r="F261" i="26" s="1"/>
  <c r="E222" i="26"/>
  <c r="D222" i="26"/>
  <c r="V221" i="26"/>
  <c r="U221" i="26"/>
  <c r="T221" i="26"/>
  <c r="S221" i="26"/>
  <c r="R221" i="26"/>
  <c r="Q221" i="26"/>
  <c r="P221" i="26"/>
  <c r="O221" i="26"/>
  <c r="N221" i="26"/>
  <c r="M221" i="26"/>
  <c r="L221" i="26"/>
  <c r="K221" i="26"/>
  <c r="J221" i="26"/>
  <c r="I221" i="26"/>
  <c r="H221" i="26"/>
  <c r="G221" i="26"/>
  <c r="F221" i="26"/>
  <c r="E221" i="26"/>
  <c r="D221" i="26"/>
  <c r="V219" i="26"/>
  <c r="U219" i="26"/>
  <c r="T219" i="26"/>
  <c r="S219" i="26"/>
  <c r="R219" i="26"/>
  <c r="Q219" i="26"/>
  <c r="P219" i="26"/>
  <c r="O219" i="26"/>
  <c r="N219" i="26"/>
  <c r="M219" i="26"/>
  <c r="L219" i="26"/>
  <c r="K219" i="26"/>
  <c r="J219" i="26"/>
  <c r="I219" i="26"/>
  <c r="H219" i="26"/>
  <c r="G219" i="26"/>
  <c r="F219" i="26"/>
  <c r="E219" i="26"/>
  <c r="D219" i="26"/>
  <c r="V218" i="26"/>
  <c r="U218" i="26"/>
  <c r="T218" i="26"/>
  <c r="S218" i="26"/>
  <c r="R218" i="26"/>
  <c r="Q218" i="26"/>
  <c r="P218" i="26"/>
  <c r="O218" i="26"/>
  <c r="N218" i="26"/>
  <c r="M218" i="26"/>
  <c r="L218" i="26"/>
  <c r="K218" i="26"/>
  <c r="J218" i="26"/>
  <c r="I218" i="26"/>
  <c r="H218" i="26"/>
  <c r="G218" i="26"/>
  <c r="G257" i="26" s="1"/>
  <c r="F218" i="26"/>
  <c r="F257" i="26" s="1"/>
  <c r="E218" i="26"/>
  <c r="E257" i="26" s="1"/>
  <c r="D218" i="26"/>
  <c r="D257" i="26" s="1"/>
  <c r="V217" i="26"/>
  <c r="U217" i="26"/>
  <c r="T217" i="26"/>
  <c r="S217" i="26"/>
  <c r="S256" i="26" s="1"/>
  <c r="R217" i="26"/>
  <c r="R256" i="26" s="1"/>
  <c r="Q217" i="26"/>
  <c r="P217" i="26"/>
  <c r="O217" i="26"/>
  <c r="N217" i="26"/>
  <c r="M217" i="26"/>
  <c r="L217" i="26"/>
  <c r="K217" i="26"/>
  <c r="J217" i="26"/>
  <c r="I217" i="26"/>
  <c r="H217" i="26"/>
  <c r="G217" i="26"/>
  <c r="F217" i="26"/>
  <c r="E217" i="26"/>
  <c r="D217" i="26"/>
  <c r="V216" i="26"/>
  <c r="V255" i="26" s="1"/>
  <c r="U216" i="26"/>
  <c r="T216" i="26"/>
  <c r="S216" i="26"/>
  <c r="R216" i="26"/>
  <c r="Q216" i="26"/>
  <c r="P216" i="26"/>
  <c r="O216" i="26"/>
  <c r="N216" i="26"/>
  <c r="M216" i="26"/>
  <c r="L216" i="26"/>
  <c r="K216" i="26"/>
  <c r="J216" i="26"/>
  <c r="I216" i="26"/>
  <c r="H216" i="26"/>
  <c r="G216" i="26"/>
  <c r="F216" i="26"/>
  <c r="E216" i="26"/>
  <c r="D216" i="26"/>
  <c r="V215" i="26"/>
  <c r="V254" i="26" s="1"/>
  <c r="U215" i="26"/>
  <c r="U254" i="26" s="1"/>
  <c r="T215" i="26"/>
  <c r="S215" i="26"/>
  <c r="R215" i="26"/>
  <c r="R254" i="26" s="1"/>
  <c r="Q215" i="26"/>
  <c r="P215" i="26"/>
  <c r="P254" i="26" s="1"/>
  <c r="O215" i="26"/>
  <c r="N215" i="26"/>
  <c r="N254" i="26" s="1"/>
  <c r="M215" i="26"/>
  <c r="L215" i="26"/>
  <c r="K215" i="26"/>
  <c r="J215" i="26"/>
  <c r="I215" i="26"/>
  <c r="H215" i="26"/>
  <c r="G215" i="26"/>
  <c r="F215" i="26"/>
  <c r="E215" i="26"/>
  <c r="D215" i="26"/>
  <c r="V214" i="26"/>
  <c r="U214" i="26"/>
  <c r="T214" i="26"/>
  <c r="S214" i="26"/>
  <c r="R214" i="26"/>
  <c r="Q214" i="26"/>
  <c r="P214" i="26"/>
  <c r="O214" i="26"/>
  <c r="N214" i="26"/>
  <c r="M214" i="26"/>
  <c r="L214" i="26"/>
  <c r="K214" i="26"/>
  <c r="J214" i="26"/>
  <c r="I214" i="26"/>
  <c r="H214" i="26"/>
  <c r="G214" i="26"/>
  <c r="F214" i="26"/>
  <c r="E214" i="26"/>
  <c r="D214" i="26"/>
  <c r="V213" i="26"/>
  <c r="U213" i="26"/>
  <c r="T213" i="26"/>
  <c r="S213" i="26"/>
  <c r="R213" i="26"/>
  <c r="Q213" i="26"/>
  <c r="P213" i="26"/>
  <c r="O213" i="26"/>
  <c r="N213" i="26"/>
  <c r="M213" i="26"/>
  <c r="L213" i="26"/>
  <c r="K213" i="26"/>
  <c r="J213" i="26"/>
  <c r="I213" i="26"/>
  <c r="H213" i="26"/>
  <c r="G213" i="26"/>
  <c r="F213" i="26"/>
  <c r="E213" i="26"/>
  <c r="D213" i="26"/>
  <c r="V212" i="26"/>
  <c r="V251" i="26" s="1"/>
  <c r="U212" i="26"/>
  <c r="T212" i="26"/>
  <c r="T251" i="26" s="1"/>
  <c r="S212" i="26"/>
  <c r="S251" i="26" s="1"/>
  <c r="R212" i="26"/>
  <c r="R251" i="26" s="1"/>
  <c r="Q212" i="26"/>
  <c r="Q251" i="26" s="1"/>
  <c r="P212" i="26"/>
  <c r="P251" i="26" s="1"/>
  <c r="O212" i="26"/>
  <c r="O251" i="26" s="1"/>
  <c r="N212" i="26"/>
  <c r="N251" i="26" s="1"/>
  <c r="M212" i="26"/>
  <c r="M251" i="26" s="1"/>
  <c r="L212" i="26"/>
  <c r="L251" i="26" s="1"/>
  <c r="K212" i="26"/>
  <c r="K251" i="26" s="1"/>
  <c r="J212" i="26"/>
  <c r="J251" i="26" s="1"/>
  <c r="I212" i="26"/>
  <c r="I251" i="26" s="1"/>
  <c r="H212" i="26"/>
  <c r="H251" i="26" s="1"/>
  <c r="G212" i="26"/>
  <c r="G251" i="26" s="1"/>
  <c r="F212" i="26"/>
  <c r="F251" i="26" s="1"/>
  <c r="E212" i="26"/>
  <c r="D212" i="26"/>
  <c r="D251" i="26" s="1"/>
  <c r="V211" i="26"/>
  <c r="U211" i="26"/>
  <c r="T211" i="26"/>
  <c r="S211" i="26"/>
  <c r="R211" i="26"/>
  <c r="Q211" i="26"/>
  <c r="P211" i="26"/>
  <c r="O211" i="26"/>
  <c r="N211" i="26"/>
  <c r="M211" i="26"/>
  <c r="L211" i="26"/>
  <c r="K211" i="26"/>
  <c r="J211" i="26"/>
  <c r="I211" i="26"/>
  <c r="H211" i="26"/>
  <c r="G211" i="26"/>
  <c r="F211" i="26"/>
  <c r="E211" i="26"/>
  <c r="E250" i="26" s="1"/>
  <c r="D211" i="26"/>
  <c r="D250" i="26" s="1"/>
  <c r="V210" i="26"/>
  <c r="V249" i="26" s="1"/>
  <c r="U210" i="26"/>
  <c r="U249" i="26" s="1"/>
  <c r="T210" i="26"/>
  <c r="T249" i="26" s="1"/>
  <c r="S210" i="26"/>
  <c r="S249" i="26" s="1"/>
  <c r="R210" i="26"/>
  <c r="R249" i="26" s="1"/>
  <c r="Q210" i="26"/>
  <c r="Q249" i="26" s="1"/>
  <c r="P210" i="26"/>
  <c r="P249" i="26" s="1"/>
  <c r="O210" i="26"/>
  <c r="O249" i="26" s="1"/>
  <c r="N210" i="26"/>
  <c r="N249" i="26" s="1"/>
  <c r="M210" i="26"/>
  <c r="L210" i="26"/>
  <c r="K210" i="26"/>
  <c r="J210" i="26"/>
  <c r="I210" i="26"/>
  <c r="H210" i="26"/>
  <c r="H249" i="26" s="1"/>
  <c r="G210" i="26"/>
  <c r="G237" i="26" s="1"/>
  <c r="F210" i="26"/>
  <c r="E210" i="26"/>
  <c r="D210" i="26"/>
  <c r="V209" i="26"/>
  <c r="U209" i="26"/>
  <c r="T209" i="26"/>
  <c r="S209" i="26"/>
  <c r="R209" i="26"/>
  <c r="Q209" i="26"/>
  <c r="P209" i="26"/>
  <c r="O209" i="26"/>
  <c r="N209" i="26"/>
  <c r="M209" i="26"/>
  <c r="L209" i="26"/>
  <c r="K209" i="26"/>
  <c r="J209" i="26"/>
  <c r="J237" i="26" s="1"/>
  <c r="I209" i="26"/>
  <c r="I237" i="26" s="1"/>
  <c r="H209" i="26"/>
  <c r="G209" i="26"/>
  <c r="F209" i="26"/>
  <c r="E209" i="26"/>
  <c r="D209" i="26"/>
  <c r="V208" i="26"/>
  <c r="U208" i="26"/>
  <c r="T208" i="26"/>
  <c r="S208" i="26"/>
  <c r="R208" i="26"/>
  <c r="Q208" i="26"/>
  <c r="P208" i="26"/>
  <c r="O208" i="26"/>
  <c r="N208" i="26"/>
  <c r="M208" i="26"/>
  <c r="L208" i="26"/>
  <c r="L237" i="26" s="1"/>
  <c r="K208" i="26"/>
  <c r="J208" i="26"/>
  <c r="I208" i="26"/>
  <c r="H208" i="26"/>
  <c r="G208" i="26"/>
  <c r="F208" i="26"/>
  <c r="E208" i="26"/>
  <c r="D208" i="26"/>
  <c r="V198" i="26"/>
  <c r="Q198" i="26"/>
  <c r="K198" i="26"/>
  <c r="H198" i="26"/>
  <c r="F198" i="26"/>
  <c r="D197" i="26"/>
  <c r="Q196" i="26"/>
  <c r="Q195" i="26"/>
  <c r="O195" i="26"/>
  <c r="L195" i="26"/>
  <c r="J195" i="26"/>
  <c r="V191" i="26"/>
  <c r="I191" i="26"/>
  <c r="H191" i="26"/>
  <c r="G191" i="26"/>
  <c r="F191" i="26"/>
  <c r="K190" i="26"/>
  <c r="U189" i="26"/>
  <c r="V182" i="26"/>
  <c r="U182" i="26"/>
  <c r="T182" i="26"/>
  <c r="S182" i="26"/>
  <c r="R182" i="26"/>
  <c r="Q182" i="26"/>
  <c r="P182" i="26"/>
  <c r="O182" i="26"/>
  <c r="N182" i="26"/>
  <c r="M182" i="26"/>
  <c r="L182" i="26"/>
  <c r="K182" i="26"/>
  <c r="J182" i="26"/>
  <c r="I182" i="26"/>
  <c r="H182" i="26"/>
  <c r="G182" i="26"/>
  <c r="F182" i="26"/>
  <c r="E182" i="26"/>
  <c r="D182" i="26"/>
  <c r="I181" i="26"/>
  <c r="G180" i="26"/>
  <c r="F180" i="26"/>
  <c r="Q177" i="26"/>
  <c r="H174" i="26"/>
  <c r="S172" i="26"/>
  <c r="Q172" i="26"/>
  <c r="N172" i="26"/>
  <c r="V159" i="26"/>
  <c r="U159" i="26"/>
  <c r="U198" i="26" s="1"/>
  <c r="T159" i="26"/>
  <c r="T198" i="26" s="1"/>
  <c r="S159" i="26"/>
  <c r="S198" i="26" s="1"/>
  <c r="R159" i="26"/>
  <c r="R198" i="26" s="1"/>
  <c r="Q159" i="26"/>
  <c r="P159" i="26"/>
  <c r="P198" i="26" s="1"/>
  <c r="O159" i="26"/>
  <c r="O198" i="26" s="1"/>
  <c r="N159" i="26"/>
  <c r="N198" i="26" s="1"/>
  <c r="M159" i="26"/>
  <c r="M198" i="26" s="1"/>
  <c r="L159" i="26"/>
  <c r="L198" i="26" s="1"/>
  <c r="K159" i="26"/>
  <c r="J159" i="26"/>
  <c r="J198" i="26" s="1"/>
  <c r="I159" i="26"/>
  <c r="I198" i="26" s="1"/>
  <c r="H159" i="26"/>
  <c r="G159" i="26"/>
  <c r="G198" i="26" s="1"/>
  <c r="F159" i="26"/>
  <c r="E159" i="26"/>
  <c r="D159" i="26"/>
  <c r="V158" i="26"/>
  <c r="U158" i="26"/>
  <c r="T158" i="26"/>
  <c r="S158" i="26"/>
  <c r="R158" i="26"/>
  <c r="Q158" i="26"/>
  <c r="P158" i="26"/>
  <c r="O158" i="26"/>
  <c r="N158" i="26"/>
  <c r="N197" i="26" s="1"/>
  <c r="M158" i="26"/>
  <c r="L158" i="26"/>
  <c r="K158" i="26"/>
  <c r="J158" i="26"/>
  <c r="I158" i="26"/>
  <c r="H158" i="26"/>
  <c r="G158" i="26"/>
  <c r="F158" i="26"/>
  <c r="E158" i="26"/>
  <c r="D158" i="26"/>
  <c r="V157" i="26"/>
  <c r="U157" i="26"/>
  <c r="T157" i="26"/>
  <c r="S157" i="26"/>
  <c r="R157" i="26"/>
  <c r="Q157" i="26"/>
  <c r="P157" i="26"/>
  <c r="O157" i="26"/>
  <c r="N157" i="26"/>
  <c r="M157" i="26"/>
  <c r="L157" i="26"/>
  <c r="K157" i="26"/>
  <c r="J157" i="26"/>
  <c r="I157" i="26"/>
  <c r="H157" i="26"/>
  <c r="G157" i="26"/>
  <c r="F157" i="26"/>
  <c r="E157" i="26"/>
  <c r="D157" i="26"/>
  <c r="V156" i="26"/>
  <c r="V195" i="26" s="1"/>
  <c r="U156" i="26"/>
  <c r="U195" i="26" s="1"/>
  <c r="T156" i="26"/>
  <c r="T195" i="26" s="1"/>
  <c r="S156" i="26"/>
  <c r="S195" i="26" s="1"/>
  <c r="R156" i="26"/>
  <c r="R195" i="26" s="1"/>
  <c r="Q156" i="26"/>
  <c r="P156" i="26"/>
  <c r="P195" i="26" s="1"/>
  <c r="O156" i="26"/>
  <c r="N156" i="26"/>
  <c r="N195" i="26" s="1"/>
  <c r="M156" i="26"/>
  <c r="M195" i="26" s="1"/>
  <c r="L156" i="26"/>
  <c r="K156" i="26"/>
  <c r="K195" i="26" s="1"/>
  <c r="J156" i="26"/>
  <c r="I156" i="26"/>
  <c r="I195" i="26" s="1"/>
  <c r="H156" i="26"/>
  <c r="H195" i="26" s="1"/>
  <c r="G156" i="26"/>
  <c r="G195" i="26" s="1"/>
  <c r="F156" i="26"/>
  <c r="F195" i="26" s="1"/>
  <c r="E156" i="26"/>
  <c r="E195" i="26" s="1"/>
  <c r="D156" i="26"/>
  <c r="D195" i="26" s="1"/>
  <c r="V155" i="26"/>
  <c r="U155" i="26"/>
  <c r="T155" i="26"/>
  <c r="S155" i="26"/>
  <c r="R155" i="26"/>
  <c r="Q155" i="26"/>
  <c r="P155" i="26"/>
  <c r="O155" i="26"/>
  <c r="N155" i="26"/>
  <c r="M155" i="26"/>
  <c r="L155" i="26"/>
  <c r="K155" i="26"/>
  <c r="J155" i="26"/>
  <c r="I155" i="26"/>
  <c r="H155" i="26"/>
  <c r="G155" i="26"/>
  <c r="F155" i="26"/>
  <c r="E155" i="26"/>
  <c r="D155" i="26"/>
  <c r="V154" i="26"/>
  <c r="U154" i="26"/>
  <c r="T154" i="26"/>
  <c r="S154" i="26"/>
  <c r="R154" i="26"/>
  <c r="Q154" i="26"/>
  <c r="P154" i="26"/>
  <c r="O154" i="26"/>
  <c r="N154" i="26"/>
  <c r="M154" i="26"/>
  <c r="L154" i="26"/>
  <c r="K154" i="26"/>
  <c r="J154" i="26"/>
  <c r="I154" i="26"/>
  <c r="H154" i="26"/>
  <c r="G154" i="26"/>
  <c r="F154" i="26"/>
  <c r="E154" i="26"/>
  <c r="D154" i="26"/>
  <c r="V153" i="26"/>
  <c r="U153" i="26"/>
  <c r="T153" i="26"/>
  <c r="S153" i="26"/>
  <c r="R153" i="26"/>
  <c r="Q153" i="26"/>
  <c r="P153" i="26"/>
  <c r="O153" i="26"/>
  <c r="O192" i="26" s="1"/>
  <c r="N153" i="26"/>
  <c r="M153" i="26"/>
  <c r="L153" i="26"/>
  <c r="K153" i="26"/>
  <c r="J153" i="26"/>
  <c r="I153" i="26"/>
  <c r="H153" i="26"/>
  <c r="G153" i="26"/>
  <c r="F153" i="26"/>
  <c r="E153" i="26"/>
  <c r="D153" i="26"/>
  <c r="V152" i="26"/>
  <c r="U152" i="26"/>
  <c r="U191" i="26" s="1"/>
  <c r="T152" i="26"/>
  <c r="T191" i="26" s="1"/>
  <c r="S152" i="26"/>
  <c r="S191" i="26" s="1"/>
  <c r="R152" i="26"/>
  <c r="R191" i="26" s="1"/>
  <c r="Q152" i="26"/>
  <c r="Q191" i="26" s="1"/>
  <c r="P152" i="26"/>
  <c r="P191" i="26" s="1"/>
  <c r="O152" i="26"/>
  <c r="O191" i="26" s="1"/>
  <c r="N152" i="26"/>
  <c r="N191" i="26" s="1"/>
  <c r="M152" i="26"/>
  <c r="M191" i="26" s="1"/>
  <c r="L152" i="26"/>
  <c r="L191" i="26" s="1"/>
  <c r="K152" i="26"/>
  <c r="K191" i="26" s="1"/>
  <c r="J152" i="26"/>
  <c r="J191" i="26" s="1"/>
  <c r="I152" i="26"/>
  <c r="H152" i="26"/>
  <c r="G152" i="26"/>
  <c r="F152" i="26"/>
  <c r="E152" i="26"/>
  <c r="E191" i="26" s="1"/>
  <c r="D152" i="26"/>
  <c r="D191" i="26" s="1"/>
  <c r="V151" i="26"/>
  <c r="U151" i="26"/>
  <c r="U190" i="26" s="1"/>
  <c r="T151" i="26"/>
  <c r="S151" i="26"/>
  <c r="R151" i="26"/>
  <c r="Q151" i="26"/>
  <c r="P151" i="26"/>
  <c r="O151" i="26"/>
  <c r="O190" i="26" s="1"/>
  <c r="N151" i="26"/>
  <c r="N190" i="26" s="1"/>
  <c r="M151" i="26"/>
  <c r="M190" i="26" s="1"/>
  <c r="L151" i="26"/>
  <c r="L190" i="26" s="1"/>
  <c r="K151" i="26"/>
  <c r="J151" i="26"/>
  <c r="J190" i="26" s="1"/>
  <c r="I151" i="26"/>
  <c r="H151" i="26"/>
  <c r="G151" i="26"/>
  <c r="G190" i="26" s="1"/>
  <c r="F151" i="26"/>
  <c r="F190" i="26" s="1"/>
  <c r="E151" i="26"/>
  <c r="E190" i="26" s="1"/>
  <c r="D151" i="26"/>
  <c r="V150" i="26"/>
  <c r="U150" i="26"/>
  <c r="T150" i="26"/>
  <c r="S150" i="26"/>
  <c r="R150" i="26"/>
  <c r="Q150" i="26"/>
  <c r="P150" i="26"/>
  <c r="O150" i="26"/>
  <c r="N150" i="26"/>
  <c r="M150" i="26"/>
  <c r="L150" i="26"/>
  <c r="K150" i="26"/>
  <c r="J150" i="26"/>
  <c r="I150" i="26"/>
  <c r="H150" i="26"/>
  <c r="H189" i="26" s="1"/>
  <c r="G150" i="26"/>
  <c r="F150" i="26"/>
  <c r="E150" i="26"/>
  <c r="D150" i="26"/>
  <c r="V149" i="26"/>
  <c r="V188" i="26" s="1"/>
  <c r="U149" i="26"/>
  <c r="U188" i="26" s="1"/>
  <c r="T149" i="26"/>
  <c r="S149" i="26"/>
  <c r="S188" i="26" s="1"/>
  <c r="R149" i="26"/>
  <c r="Q149" i="26"/>
  <c r="P149" i="26"/>
  <c r="O149" i="26"/>
  <c r="N149" i="26"/>
  <c r="M149" i="26"/>
  <c r="L149" i="26"/>
  <c r="K149" i="26"/>
  <c r="K188" i="26" s="1"/>
  <c r="J149" i="26"/>
  <c r="J188" i="26" s="1"/>
  <c r="I149" i="26"/>
  <c r="I188" i="26" s="1"/>
  <c r="H149" i="26"/>
  <c r="H188" i="26" s="1"/>
  <c r="G149" i="26"/>
  <c r="G188" i="26" s="1"/>
  <c r="F149" i="26"/>
  <c r="F188" i="26" s="1"/>
  <c r="E149" i="26"/>
  <c r="E188" i="26" s="1"/>
  <c r="D149" i="26"/>
  <c r="D188" i="26" s="1"/>
  <c r="V148" i="26"/>
  <c r="U148" i="26"/>
  <c r="T148" i="26"/>
  <c r="S148" i="26"/>
  <c r="R148" i="26"/>
  <c r="Q148" i="26"/>
  <c r="P148" i="26"/>
  <c r="O148" i="26"/>
  <c r="N148" i="26"/>
  <c r="N187" i="26" s="1"/>
  <c r="M148" i="26"/>
  <c r="L148" i="26"/>
  <c r="K148" i="26"/>
  <c r="J148" i="26"/>
  <c r="I148" i="26"/>
  <c r="H148" i="26"/>
  <c r="G148" i="26"/>
  <c r="F148" i="26"/>
  <c r="E148" i="26"/>
  <c r="D148" i="26"/>
  <c r="V147" i="26"/>
  <c r="U147" i="26"/>
  <c r="T147" i="26"/>
  <c r="S147" i="26"/>
  <c r="R147" i="26"/>
  <c r="Q147" i="26"/>
  <c r="Q186" i="26" s="1"/>
  <c r="P147" i="26"/>
  <c r="O147" i="26"/>
  <c r="N147" i="26"/>
  <c r="M147" i="26"/>
  <c r="L147" i="26"/>
  <c r="K147" i="26"/>
  <c r="J147" i="26"/>
  <c r="I147" i="26"/>
  <c r="H147" i="26"/>
  <c r="G147" i="26"/>
  <c r="F147" i="26"/>
  <c r="E147" i="26"/>
  <c r="D147" i="26"/>
  <c r="V146" i="26"/>
  <c r="V185" i="26" s="1"/>
  <c r="U146" i="26"/>
  <c r="U185" i="26" s="1"/>
  <c r="T146" i="26"/>
  <c r="T185" i="26" s="1"/>
  <c r="S146" i="26"/>
  <c r="S185" i="26" s="1"/>
  <c r="R146" i="26"/>
  <c r="R185" i="26" s="1"/>
  <c r="Q146" i="26"/>
  <c r="P146" i="26"/>
  <c r="O146" i="26"/>
  <c r="N146" i="26"/>
  <c r="M146" i="26"/>
  <c r="L146" i="26"/>
  <c r="K146" i="26"/>
  <c r="J146" i="26"/>
  <c r="I146" i="26"/>
  <c r="H146" i="26"/>
  <c r="G146" i="26"/>
  <c r="F146" i="26"/>
  <c r="E146" i="26"/>
  <c r="D146" i="26"/>
  <c r="D185" i="26" s="1"/>
  <c r="V145" i="26"/>
  <c r="U145" i="26"/>
  <c r="T145" i="26"/>
  <c r="S145" i="26"/>
  <c r="R145" i="26"/>
  <c r="Q145" i="26"/>
  <c r="P145" i="26"/>
  <c r="O145" i="26"/>
  <c r="N145" i="26"/>
  <c r="M145" i="26"/>
  <c r="L145" i="26"/>
  <c r="K145" i="26"/>
  <c r="J145" i="26"/>
  <c r="I145" i="26"/>
  <c r="H145" i="26"/>
  <c r="G145" i="26"/>
  <c r="G184" i="26" s="1"/>
  <c r="F145" i="26"/>
  <c r="E145" i="26"/>
  <c r="D145" i="26"/>
  <c r="V144" i="26"/>
  <c r="U144" i="26"/>
  <c r="T144" i="26"/>
  <c r="S144" i="26"/>
  <c r="R144" i="26"/>
  <c r="Q144" i="26"/>
  <c r="P144" i="26"/>
  <c r="O144" i="26"/>
  <c r="N144" i="26"/>
  <c r="M144" i="26"/>
  <c r="L144" i="26"/>
  <c r="K144" i="26"/>
  <c r="J144" i="26"/>
  <c r="J183" i="26" s="1"/>
  <c r="I144" i="26"/>
  <c r="H144" i="26"/>
  <c r="G144" i="26"/>
  <c r="F144" i="26"/>
  <c r="E144" i="26"/>
  <c r="D144" i="26"/>
  <c r="V142" i="26"/>
  <c r="U142" i="26"/>
  <c r="T142" i="26"/>
  <c r="S142" i="26"/>
  <c r="R142" i="26"/>
  <c r="Q142" i="26"/>
  <c r="P142" i="26"/>
  <c r="O142" i="26"/>
  <c r="N142" i="26"/>
  <c r="N181" i="26" s="1"/>
  <c r="M142" i="26"/>
  <c r="M181" i="26" s="1"/>
  <c r="L142" i="26"/>
  <c r="K142" i="26"/>
  <c r="J142" i="26"/>
  <c r="I142" i="26"/>
  <c r="H142" i="26"/>
  <c r="G142" i="26"/>
  <c r="F142" i="26"/>
  <c r="E142" i="26"/>
  <c r="D142" i="26"/>
  <c r="V141" i="26"/>
  <c r="U141" i="26"/>
  <c r="T141" i="26"/>
  <c r="S141" i="26"/>
  <c r="R141" i="26"/>
  <c r="Q141" i="26"/>
  <c r="Q180" i="26" s="1"/>
  <c r="P141" i="26"/>
  <c r="P180" i="26" s="1"/>
  <c r="O141" i="26"/>
  <c r="N141" i="26"/>
  <c r="M141" i="26"/>
  <c r="L141" i="26"/>
  <c r="K141" i="26"/>
  <c r="J141" i="26"/>
  <c r="I141" i="26"/>
  <c r="H141" i="26"/>
  <c r="G141" i="26"/>
  <c r="F141" i="26"/>
  <c r="E141" i="26"/>
  <c r="E180" i="26" s="1"/>
  <c r="D141" i="26"/>
  <c r="D180" i="26" s="1"/>
  <c r="V140" i="26"/>
  <c r="U140" i="26"/>
  <c r="T140" i="26"/>
  <c r="T179" i="26" s="1"/>
  <c r="S140" i="26"/>
  <c r="S179" i="26" s="1"/>
  <c r="R140" i="26"/>
  <c r="Q140" i="26"/>
  <c r="P140" i="26"/>
  <c r="O140" i="26"/>
  <c r="N140" i="26"/>
  <c r="M140" i="26"/>
  <c r="L140" i="26"/>
  <c r="K140" i="26"/>
  <c r="J140" i="26"/>
  <c r="I140" i="26"/>
  <c r="H140" i="26"/>
  <c r="G140" i="26"/>
  <c r="F140" i="26"/>
  <c r="E140" i="26"/>
  <c r="D140" i="26"/>
  <c r="D179" i="26" s="1"/>
  <c r="V139" i="26"/>
  <c r="V178" i="26" s="1"/>
  <c r="U139" i="26"/>
  <c r="T139" i="26"/>
  <c r="T178" i="26" s="1"/>
  <c r="S139" i="26"/>
  <c r="R139" i="26"/>
  <c r="Q139" i="26"/>
  <c r="Q178" i="26" s="1"/>
  <c r="P139" i="26"/>
  <c r="O139" i="26"/>
  <c r="N139" i="26"/>
  <c r="M139" i="26"/>
  <c r="L139" i="26"/>
  <c r="K139" i="26"/>
  <c r="J139" i="26"/>
  <c r="I139" i="26"/>
  <c r="H139" i="26"/>
  <c r="G139" i="26"/>
  <c r="G178" i="26" s="1"/>
  <c r="F139" i="26"/>
  <c r="F178" i="26" s="1"/>
  <c r="E139" i="26"/>
  <c r="D139" i="26"/>
  <c r="V138" i="26"/>
  <c r="V177" i="26" s="1"/>
  <c r="U138" i="26"/>
  <c r="U177" i="26" s="1"/>
  <c r="T138" i="26"/>
  <c r="T177" i="26" s="1"/>
  <c r="S138" i="26"/>
  <c r="S177" i="26" s="1"/>
  <c r="R138" i="26"/>
  <c r="R177" i="26" s="1"/>
  <c r="Q138" i="26"/>
  <c r="P138" i="26"/>
  <c r="P177" i="26" s="1"/>
  <c r="O138" i="26"/>
  <c r="N138" i="26"/>
  <c r="N177" i="26" s="1"/>
  <c r="M138" i="26"/>
  <c r="L138" i="26"/>
  <c r="K138" i="26"/>
  <c r="J138" i="26"/>
  <c r="J177" i="26" s="1"/>
  <c r="I138" i="26"/>
  <c r="I177" i="26" s="1"/>
  <c r="H138" i="26"/>
  <c r="G138" i="26"/>
  <c r="F138" i="26"/>
  <c r="E138" i="26"/>
  <c r="D138" i="26"/>
  <c r="V137" i="26"/>
  <c r="U137" i="26"/>
  <c r="T137" i="26"/>
  <c r="S137" i="26"/>
  <c r="R137" i="26"/>
  <c r="Q137" i="26"/>
  <c r="P137" i="26"/>
  <c r="O137" i="26"/>
  <c r="N137" i="26"/>
  <c r="M137" i="26"/>
  <c r="M176" i="26" s="1"/>
  <c r="L137" i="26"/>
  <c r="L176" i="26" s="1"/>
  <c r="K137" i="26"/>
  <c r="J137" i="26"/>
  <c r="I137" i="26"/>
  <c r="H137" i="26"/>
  <c r="G137" i="26"/>
  <c r="F137" i="26"/>
  <c r="E137" i="26"/>
  <c r="D137" i="26"/>
  <c r="V136" i="26"/>
  <c r="U136" i="26"/>
  <c r="T136" i="26"/>
  <c r="S136" i="26"/>
  <c r="R136" i="26"/>
  <c r="Q136" i="26"/>
  <c r="P136" i="26"/>
  <c r="P175" i="26" s="1"/>
  <c r="O136" i="26"/>
  <c r="O175" i="26" s="1"/>
  <c r="N136" i="26"/>
  <c r="M136" i="26"/>
  <c r="L136" i="26"/>
  <c r="K136" i="26"/>
  <c r="J136" i="26"/>
  <c r="I136" i="26"/>
  <c r="H136" i="26"/>
  <c r="G136" i="26"/>
  <c r="F136" i="26"/>
  <c r="E136" i="26"/>
  <c r="D136" i="26"/>
  <c r="V135" i="26"/>
  <c r="V174" i="26" s="1"/>
  <c r="U135" i="26"/>
  <c r="U174" i="26" s="1"/>
  <c r="T135" i="26"/>
  <c r="T174" i="26" s="1"/>
  <c r="S135" i="26"/>
  <c r="S174" i="26" s="1"/>
  <c r="R135" i="26"/>
  <c r="R174" i="26" s="1"/>
  <c r="Q135" i="26"/>
  <c r="Q174" i="26" s="1"/>
  <c r="P135" i="26"/>
  <c r="P174" i="26" s="1"/>
  <c r="O135" i="26"/>
  <c r="O174" i="26" s="1"/>
  <c r="N135" i="26"/>
  <c r="N174" i="26" s="1"/>
  <c r="M135" i="26"/>
  <c r="M174" i="26" s="1"/>
  <c r="L135" i="26"/>
  <c r="L174" i="26" s="1"/>
  <c r="K135" i="26"/>
  <c r="K174" i="26" s="1"/>
  <c r="J135" i="26"/>
  <c r="J174" i="26" s="1"/>
  <c r="I135" i="26"/>
  <c r="I174" i="26" s="1"/>
  <c r="H135" i="26"/>
  <c r="G135" i="26"/>
  <c r="G174" i="26" s="1"/>
  <c r="F135" i="26"/>
  <c r="F174" i="26" s="1"/>
  <c r="E135" i="26"/>
  <c r="E174" i="26" s="1"/>
  <c r="D135" i="26"/>
  <c r="D174" i="26" s="1"/>
  <c r="V134" i="26"/>
  <c r="U134" i="26"/>
  <c r="U173" i="26" s="1"/>
  <c r="T134" i="26"/>
  <c r="S134" i="26"/>
  <c r="R134" i="26"/>
  <c r="Q134" i="26"/>
  <c r="P134" i="26"/>
  <c r="O134" i="26"/>
  <c r="N134" i="26"/>
  <c r="M134" i="26"/>
  <c r="L134" i="26"/>
  <c r="K134" i="26"/>
  <c r="J134" i="26"/>
  <c r="I134" i="26"/>
  <c r="H134" i="26"/>
  <c r="G134" i="26"/>
  <c r="F134" i="26"/>
  <c r="F173" i="26" s="1"/>
  <c r="E134" i="26"/>
  <c r="E173" i="26" s="1"/>
  <c r="D134" i="26"/>
  <c r="V133" i="26"/>
  <c r="V172" i="26" s="1"/>
  <c r="U133" i="26"/>
  <c r="U172" i="26" s="1"/>
  <c r="T133" i="26"/>
  <c r="T172" i="26" s="1"/>
  <c r="S133" i="26"/>
  <c r="R133" i="26"/>
  <c r="R172" i="26" s="1"/>
  <c r="Q133" i="26"/>
  <c r="P133" i="26"/>
  <c r="P172" i="26" s="1"/>
  <c r="O133" i="26"/>
  <c r="O172" i="26" s="1"/>
  <c r="N133" i="26"/>
  <c r="M133" i="26"/>
  <c r="L133" i="26"/>
  <c r="K133" i="26"/>
  <c r="J133" i="26"/>
  <c r="I133" i="26"/>
  <c r="I172" i="26" s="1"/>
  <c r="H133" i="26"/>
  <c r="H172" i="26" s="1"/>
  <c r="G133" i="26"/>
  <c r="F133" i="26"/>
  <c r="E133" i="26"/>
  <c r="D133" i="26"/>
  <c r="V132" i="26"/>
  <c r="U132" i="26"/>
  <c r="T132" i="26"/>
  <c r="S132" i="26"/>
  <c r="R132" i="26"/>
  <c r="Q132" i="26"/>
  <c r="P132" i="26"/>
  <c r="O132" i="26"/>
  <c r="N132" i="26"/>
  <c r="M132" i="26"/>
  <c r="L132" i="26"/>
  <c r="L171" i="26" s="1"/>
  <c r="K132" i="26"/>
  <c r="K171" i="26" s="1"/>
  <c r="J132" i="26"/>
  <c r="I132" i="26"/>
  <c r="H132" i="26"/>
  <c r="G132" i="26"/>
  <c r="F132" i="26"/>
  <c r="E132" i="26"/>
  <c r="D132" i="26"/>
  <c r="V131" i="26"/>
  <c r="U131" i="26"/>
  <c r="T131" i="26"/>
  <c r="S131" i="26"/>
  <c r="R131" i="26"/>
  <c r="Q131" i="26"/>
  <c r="P131" i="26"/>
  <c r="O131" i="26"/>
  <c r="N131" i="26"/>
  <c r="M131" i="26"/>
  <c r="L131" i="26"/>
  <c r="L170" i="26" s="1"/>
  <c r="K131" i="26"/>
  <c r="J131" i="26"/>
  <c r="I131" i="26"/>
  <c r="H131" i="26"/>
  <c r="G131" i="26"/>
  <c r="F131" i="26"/>
  <c r="E131" i="26"/>
  <c r="D131" i="26"/>
  <c r="T120" i="26"/>
  <c r="R119" i="26"/>
  <c r="Q119" i="26"/>
  <c r="H119" i="26"/>
  <c r="N117" i="26"/>
  <c r="M117" i="26"/>
  <c r="K117" i="26"/>
  <c r="Q115" i="26"/>
  <c r="P115" i="26"/>
  <c r="O115" i="26"/>
  <c r="U113" i="26"/>
  <c r="T113" i="26"/>
  <c r="I113" i="26"/>
  <c r="L112" i="26"/>
  <c r="P111" i="26"/>
  <c r="V107" i="26"/>
  <c r="L106" i="26"/>
  <c r="V104" i="26"/>
  <c r="U104" i="26"/>
  <c r="T104" i="26"/>
  <c r="S104" i="26"/>
  <c r="R104" i="26"/>
  <c r="Q104" i="26"/>
  <c r="P104" i="26"/>
  <c r="O104" i="26"/>
  <c r="N104" i="26"/>
  <c r="M104" i="26"/>
  <c r="L104" i="26"/>
  <c r="K104" i="26"/>
  <c r="J104" i="26"/>
  <c r="I104" i="26"/>
  <c r="H104" i="26"/>
  <c r="G104" i="26"/>
  <c r="F104" i="26"/>
  <c r="E104" i="26"/>
  <c r="D104" i="26"/>
  <c r="V103" i="26"/>
  <c r="G102" i="26"/>
  <c r="L101" i="26"/>
  <c r="I100" i="26"/>
  <c r="P99" i="26"/>
  <c r="D99" i="26"/>
  <c r="U98" i="26"/>
  <c r="T96" i="26"/>
  <c r="N96" i="26"/>
  <c r="I96" i="26"/>
  <c r="Q94" i="26"/>
  <c r="O94" i="26"/>
  <c r="N94" i="26"/>
  <c r="M94" i="26"/>
  <c r="M93" i="26"/>
  <c r="J92" i="26"/>
  <c r="K82" i="26"/>
  <c r="V81" i="26"/>
  <c r="V120" i="26" s="1"/>
  <c r="U81" i="26"/>
  <c r="U120" i="26" s="1"/>
  <c r="T81" i="26"/>
  <c r="S81" i="26"/>
  <c r="S120" i="26" s="1"/>
  <c r="R81" i="26"/>
  <c r="R120" i="26" s="1"/>
  <c r="Q81" i="26"/>
  <c r="Q120" i="26" s="1"/>
  <c r="P81" i="26"/>
  <c r="P120" i="26" s="1"/>
  <c r="O81" i="26"/>
  <c r="O120" i="26" s="1"/>
  <c r="N81" i="26"/>
  <c r="N120" i="26" s="1"/>
  <c r="M81" i="26"/>
  <c r="M120" i="26" s="1"/>
  <c r="L81" i="26"/>
  <c r="L120" i="26" s="1"/>
  <c r="K81" i="26"/>
  <c r="K120" i="26" s="1"/>
  <c r="J81" i="26"/>
  <c r="I81" i="26"/>
  <c r="H81" i="26"/>
  <c r="H120" i="26" s="1"/>
  <c r="G81" i="26"/>
  <c r="G120" i="26" s="1"/>
  <c r="F81" i="26"/>
  <c r="E81" i="26"/>
  <c r="E120" i="26" s="1"/>
  <c r="D81" i="26"/>
  <c r="V80" i="26"/>
  <c r="U80" i="26"/>
  <c r="T80" i="26"/>
  <c r="T119" i="26" s="1"/>
  <c r="S80" i="26"/>
  <c r="S119" i="26" s="1"/>
  <c r="R80" i="26"/>
  <c r="Q80" i="26"/>
  <c r="P80" i="26"/>
  <c r="P119" i="26" s="1"/>
  <c r="O80" i="26"/>
  <c r="O119" i="26" s="1"/>
  <c r="N80" i="26"/>
  <c r="N119" i="26" s="1"/>
  <c r="M80" i="26"/>
  <c r="L80" i="26"/>
  <c r="K80" i="26"/>
  <c r="J80" i="26"/>
  <c r="I80" i="26"/>
  <c r="H80" i="26"/>
  <c r="G80" i="26"/>
  <c r="F80" i="26"/>
  <c r="E80" i="26"/>
  <c r="E119" i="26" s="1"/>
  <c r="D80" i="26"/>
  <c r="D119" i="26" s="1"/>
  <c r="V79" i="26"/>
  <c r="V118" i="26" s="1"/>
  <c r="U79" i="26"/>
  <c r="U118" i="26" s="1"/>
  <c r="T79" i="26"/>
  <c r="T118" i="26" s="1"/>
  <c r="S79" i="26"/>
  <c r="S118" i="26" s="1"/>
  <c r="R79" i="26"/>
  <c r="R118" i="26" s="1"/>
  <c r="Q79" i="26"/>
  <c r="Q118" i="26" s="1"/>
  <c r="P79" i="26"/>
  <c r="O79" i="26"/>
  <c r="N79" i="26"/>
  <c r="M79" i="26"/>
  <c r="L79" i="26"/>
  <c r="K79" i="26"/>
  <c r="K118" i="26" s="1"/>
  <c r="J79" i="26"/>
  <c r="I79" i="26"/>
  <c r="H79" i="26"/>
  <c r="H118" i="26" s="1"/>
  <c r="G79" i="26"/>
  <c r="G118" i="26" s="1"/>
  <c r="F79" i="26"/>
  <c r="E79" i="26"/>
  <c r="E118" i="26" s="1"/>
  <c r="D79" i="26"/>
  <c r="D118" i="26" s="1"/>
  <c r="V78" i="26"/>
  <c r="V117" i="26" s="1"/>
  <c r="U78" i="26"/>
  <c r="U117" i="26" s="1"/>
  <c r="T78" i="26"/>
  <c r="T117" i="26" s="1"/>
  <c r="S78" i="26"/>
  <c r="S117" i="26" s="1"/>
  <c r="R78" i="26"/>
  <c r="R117" i="26" s="1"/>
  <c r="Q78" i="26"/>
  <c r="Q117" i="26" s="1"/>
  <c r="P78" i="26"/>
  <c r="P117" i="26" s="1"/>
  <c r="O78" i="26"/>
  <c r="O117" i="26" s="1"/>
  <c r="N78" i="26"/>
  <c r="M78" i="26"/>
  <c r="L78" i="26"/>
  <c r="L117" i="26" s="1"/>
  <c r="K78" i="26"/>
  <c r="J78" i="26"/>
  <c r="J117" i="26" s="1"/>
  <c r="I78" i="26"/>
  <c r="I117" i="26" s="1"/>
  <c r="H78" i="26"/>
  <c r="H117" i="26" s="1"/>
  <c r="G78" i="26"/>
  <c r="G117" i="26" s="1"/>
  <c r="F78" i="26"/>
  <c r="F117" i="26" s="1"/>
  <c r="E78" i="26"/>
  <c r="E117" i="26" s="1"/>
  <c r="D78" i="26"/>
  <c r="D117" i="26" s="1"/>
  <c r="V77" i="26"/>
  <c r="U77" i="26"/>
  <c r="T77" i="26"/>
  <c r="S77" i="26"/>
  <c r="R77" i="26"/>
  <c r="Q77" i="26"/>
  <c r="Q116" i="26" s="1"/>
  <c r="P77" i="26"/>
  <c r="O77" i="26"/>
  <c r="N77" i="26"/>
  <c r="N116" i="26" s="1"/>
  <c r="M77" i="26"/>
  <c r="M116" i="26" s="1"/>
  <c r="L77" i="26"/>
  <c r="L116" i="26" s="1"/>
  <c r="K77" i="26"/>
  <c r="K116" i="26" s="1"/>
  <c r="J77" i="26"/>
  <c r="J116" i="26" s="1"/>
  <c r="I77" i="26"/>
  <c r="I116" i="26" s="1"/>
  <c r="H77" i="26"/>
  <c r="H116" i="26" s="1"/>
  <c r="G77" i="26"/>
  <c r="F77" i="26"/>
  <c r="E77" i="26"/>
  <c r="D77" i="26"/>
  <c r="V76" i="26"/>
  <c r="U76" i="26"/>
  <c r="T76" i="26"/>
  <c r="T115" i="26" s="1"/>
  <c r="S76" i="26"/>
  <c r="R76" i="26"/>
  <c r="Q76" i="26"/>
  <c r="P76" i="26"/>
  <c r="O76" i="26"/>
  <c r="N76" i="26"/>
  <c r="N115" i="26" s="1"/>
  <c r="M76" i="26"/>
  <c r="M115" i="26" s="1"/>
  <c r="L76" i="26"/>
  <c r="L115" i="26" s="1"/>
  <c r="K76" i="26"/>
  <c r="K115" i="26" s="1"/>
  <c r="J76" i="26"/>
  <c r="I76" i="26"/>
  <c r="H76" i="26"/>
  <c r="G76" i="26"/>
  <c r="F76" i="26"/>
  <c r="E76" i="26"/>
  <c r="D76" i="26"/>
  <c r="D115" i="26" s="1"/>
  <c r="V75" i="26"/>
  <c r="U75" i="26"/>
  <c r="T75" i="26"/>
  <c r="T114" i="26" s="1"/>
  <c r="S75" i="26"/>
  <c r="S114" i="26" s="1"/>
  <c r="R75" i="26"/>
  <c r="Q75" i="26"/>
  <c r="Q114" i="26" s="1"/>
  <c r="P75" i="26"/>
  <c r="P114" i="26" s="1"/>
  <c r="O75" i="26"/>
  <c r="O114" i="26" s="1"/>
  <c r="N75" i="26"/>
  <c r="N114" i="26" s="1"/>
  <c r="M75" i="26"/>
  <c r="L75" i="26"/>
  <c r="L114" i="26" s="1"/>
  <c r="K75" i="26"/>
  <c r="J75" i="26"/>
  <c r="I75" i="26"/>
  <c r="H75" i="26"/>
  <c r="G75" i="26"/>
  <c r="G114" i="26" s="1"/>
  <c r="F75" i="26"/>
  <c r="E75" i="26"/>
  <c r="D75" i="26"/>
  <c r="D114" i="26" s="1"/>
  <c r="V74" i="26"/>
  <c r="V113" i="26" s="1"/>
  <c r="U74" i="26"/>
  <c r="T74" i="26"/>
  <c r="S74" i="26"/>
  <c r="S113" i="26" s="1"/>
  <c r="R74" i="26"/>
  <c r="R113" i="26" s="1"/>
  <c r="Q74" i="26"/>
  <c r="Q113" i="26" s="1"/>
  <c r="P74" i="26"/>
  <c r="P113" i="26" s="1"/>
  <c r="O74" i="26"/>
  <c r="O113" i="26" s="1"/>
  <c r="N74" i="26"/>
  <c r="N113" i="26" s="1"/>
  <c r="M74" i="26"/>
  <c r="M113" i="26" s="1"/>
  <c r="L74" i="26"/>
  <c r="L113" i="26" s="1"/>
  <c r="K74" i="26"/>
  <c r="K113" i="26" s="1"/>
  <c r="J74" i="26"/>
  <c r="J113" i="26" s="1"/>
  <c r="I74" i="26"/>
  <c r="H74" i="26"/>
  <c r="H113" i="26" s="1"/>
  <c r="G74" i="26"/>
  <c r="G113" i="26" s="1"/>
  <c r="F74" i="26"/>
  <c r="F113" i="26" s="1"/>
  <c r="E74" i="26"/>
  <c r="E113" i="26" s="1"/>
  <c r="D74" i="26"/>
  <c r="D113" i="26" s="1"/>
  <c r="V73" i="26"/>
  <c r="V112" i="26" s="1"/>
  <c r="U73" i="26"/>
  <c r="U112" i="26" s="1"/>
  <c r="T73" i="26"/>
  <c r="T112" i="26" s="1"/>
  <c r="S73" i="26"/>
  <c r="R73" i="26"/>
  <c r="R112" i="26" s="1"/>
  <c r="Q73" i="26"/>
  <c r="P73" i="26"/>
  <c r="O73" i="26"/>
  <c r="O112" i="26" s="1"/>
  <c r="N73" i="26"/>
  <c r="N112" i="26" s="1"/>
  <c r="M73" i="26"/>
  <c r="M112" i="26" s="1"/>
  <c r="L73" i="26"/>
  <c r="K73" i="26"/>
  <c r="K112" i="26" s="1"/>
  <c r="J73" i="26"/>
  <c r="J112" i="26" s="1"/>
  <c r="I73" i="26"/>
  <c r="I112" i="26" s="1"/>
  <c r="H73" i="26"/>
  <c r="G73" i="26"/>
  <c r="G112" i="26" s="1"/>
  <c r="F73" i="26"/>
  <c r="F112" i="26" s="1"/>
  <c r="E73" i="26"/>
  <c r="E112" i="26" s="1"/>
  <c r="D73" i="26"/>
  <c r="D112" i="26" s="1"/>
  <c r="V72" i="26"/>
  <c r="U72" i="26"/>
  <c r="U111" i="26" s="1"/>
  <c r="T72" i="26"/>
  <c r="S72" i="26"/>
  <c r="R72" i="26"/>
  <c r="Q72" i="26"/>
  <c r="P72" i="26"/>
  <c r="O72" i="26"/>
  <c r="N72" i="26"/>
  <c r="M72" i="26"/>
  <c r="M111" i="26" s="1"/>
  <c r="L72" i="26"/>
  <c r="L111" i="26" s="1"/>
  <c r="K72" i="26"/>
  <c r="J72" i="26"/>
  <c r="J111" i="26" s="1"/>
  <c r="I72" i="26"/>
  <c r="I111" i="26" s="1"/>
  <c r="H72" i="26"/>
  <c r="H111" i="26" s="1"/>
  <c r="G72" i="26"/>
  <c r="G111" i="26" s="1"/>
  <c r="F72" i="26"/>
  <c r="E72" i="26"/>
  <c r="E111" i="26" s="1"/>
  <c r="D72" i="26"/>
  <c r="V71" i="26"/>
  <c r="V110" i="26" s="1"/>
  <c r="U71" i="26"/>
  <c r="U110" i="26" s="1"/>
  <c r="T71" i="26"/>
  <c r="S71" i="26"/>
  <c r="S110" i="26" s="1"/>
  <c r="R71" i="26"/>
  <c r="Q71" i="26"/>
  <c r="P71" i="26"/>
  <c r="P110" i="26" s="1"/>
  <c r="O71" i="26"/>
  <c r="O110" i="26" s="1"/>
  <c r="N71" i="26"/>
  <c r="M71" i="26"/>
  <c r="M110" i="26" s="1"/>
  <c r="L71" i="26"/>
  <c r="L110" i="26" s="1"/>
  <c r="K71" i="26"/>
  <c r="K110" i="26" s="1"/>
  <c r="J71" i="26"/>
  <c r="J110" i="26" s="1"/>
  <c r="I71" i="26"/>
  <c r="I110" i="26" s="1"/>
  <c r="H71" i="26"/>
  <c r="H110" i="26" s="1"/>
  <c r="G71" i="26"/>
  <c r="G110" i="26" s="1"/>
  <c r="F71" i="26"/>
  <c r="F110" i="26" s="1"/>
  <c r="E71" i="26"/>
  <c r="E110" i="26" s="1"/>
  <c r="D71" i="26"/>
  <c r="D110" i="26" s="1"/>
  <c r="V70" i="26"/>
  <c r="U70" i="26"/>
  <c r="T70" i="26"/>
  <c r="S70" i="26"/>
  <c r="R70" i="26"/>
  <c r="Q70" i="26"/>
  <c r="P70" i="26"/>
  <c r="P109" i="26" s="1"/>
  <c r="O70" i="26"/>
  <c r="O109" i="26" s="1"/>
  <c r="N70" i="26"/>
  <c r="N109" i="26" s="1"/>
  <c r="M70" i="26"/>
  <c r="M109" i="26" s="1"/>
  <c r="L70" i="26"/>
  <c r="K70" i="26"/>
  <c r="K109" i="26" s="1"/>
  <c r="J70" i="26"/>
  <c r="I70" i="26"/>
  <c r="H70" i="26"/>
  <c r="G70" i="26"/>
  <c r="F70" i="26"/>
  <c r="F109" i="26" s="1"/>
  <c r="E70" i="26"/>
  <c r="D70" i="26"/>
  <c r="V69" i="26"/>
  <c r="V108" i="26" s="1"/>
  <c r="U69" i="26"/>
  <c r="T69" i="26"/>
  <c r="S69" i="26"/>
  <c r="S108" i="26" s="1"/>
  <c r="R69" i="26"/>
  <c r="R108" i="26" s="1"/>
  <c r="Q69" i="26"/>
  <c r="Q108" i="26" s="1"/>
  <c r="P69" i="26"/>
  <c r="P108" i="26" s="1"/>
  <c r="O69" i="26"/>
  <c r="N69" i="26"/>
  <c r="N108" i="26" s="1"/>
  <c r="M69" i="26"/>
  <c r="L69" i="26"/>
  <c r="K69" i="26"/>
  <c r="J69" i="26"/>
  <c r="I69" i="26"/>
  <c r="H69" i="26"/>
  <c r="G69" i="26"/>
  <c r="F69" i="26"/>
  <c r="F108" i="26" s="1"/>
  <c r="E69" i="26"/>
  <c r="D69" i="26"/>
  <c r="V68" i="26"/>
  <c r="U68" i="26"/>
  <c r="U107" i="26" s="1"/>
  <c r="T68" i="26"/>
  <c r="T107" i="26" s="1"/>
  <c r="S68" i="26"/>
  <c r="S107" i="26" s="1"/>
  <c r="R68" i="26"/>
  <c r="R107" i="26" s="1"/>
  <c r="Q68" i="26"/>
  <c r="Q107" i="26" s="1"/>
  <c r="P68" i="26"/>
  <c r="O68" i="26"/>
  <c r="N68" i="26"/>
  <c r="M68" i="26"/>
  <c r="M107" i="26" s="1"/>
  <c r="L68" i="26"/>
  <c r="L107" i="26" s="1"/>
  <c r="K68" i="26"/>
  <c r="J68" i="26"/>
  <c r="I68" i="26"/>
  <c r="I107" i="26" s="1"/>
  <c r="H68" i="26"/>
  <c r="G68" i="26"/>
  <c r="F68" i="26"/>
  <c r="F107" i="26" s="1"/>
  <c r="E68" i="26"/>
  <c r="E107" i="26" s="1"/>
  <c r="D68" i="26"/>
  <c r="D107" i="26" s="1"/>
  <c r="V67" i="26"/>
  <c r="V106" i="26" s="1"/>
  <c r="U67" i="26"/>
  <c r="T67" i="26"/>
  <c r="T106" i="26" s="1"/>
  <c r="S67" i="26"/>
  <c r="R67" i="26"/>
  <c r="Q67" i="26"/>
  <c r="P67" i="26"/>
  <c r="P106" i="26" s="1"/>
  <c r="O67" i="26"/>
  <c r="N67" i="26"/>
  <c r="M67" i="26"/>
  <c r="M106" i="26" s="1"/>
  <c r="L67" i="26"/>
  <c r="K67" i="26"/>
  <c r="J67" i="26"/>
  <c r="I67" i="26"/>
  <c r="I106" i="26" s="1"/>
  <c r="H67" i="26"/>
  <c r="H106" i="26" s="1"/>
  <c r="G67" i="26"/>
  <c r="G106" i="26" s="1"/>
  <c r="F67" i="26"/>
  <c r="F106" i="26" s="1"/>
  <c r="E67" i="26"/>
  <c r="D67" i="26"/>
  <c r="D106" i="26" s="1"/>
  <c r="V66" i="26"/>
  <c r="U66" i="26"/>
  <c r="T66" i="26"/>
  <c r="S66" i="26"/>
  <c r="S105" i="26" s="1"/>
  <c r="R66" i="26"/>
  <c r="Q66" i="26"/>
  <c r="P66" i="26"/>
  <c r="P105" i="26" s="1"/>
  <c r="O66" i="26"/>
  <c r="O105" i="26" s="1"/>
  <c r="N66" i="26"/>
  <c r="M66" i="26"/>
  <c r="L66" i="26"/>
  <c r="L105" i="26" s="1"/>
  <c r="K66" i="26"/>
  <c r="K105" i="26" s="1"/>
  <c r="J66" i="26"/>
  <c r="J105" i="26" s="1"/>
  <c r="I66" i="26"/>
  <c r="I105" i="26" s="1"/>
  <c r="H66" i="26"/>
  <c r="G66" i="26"/>
  <c r="G105" i="26" s="1"/>
  <c r="F66" i="26"/>
  <c r="E66" i="26"/>
  <c r="D66" i="26"/>
  <c r="V64" i="26"/>
  <c r="U64" i="26"/>
  <c r="T64" i="26"/>
  <c r="S64" i="26"/>
  <c r="S103" i="26" s="1"/>
  <c r="R64" i="26"/>
  <c r="R103" i="26" s="1"/>
  <c r="Q64" i="26"/>
  <c r="P64" i="26"/>
  <c r="O64" i="26"/>
  <c r="N64" i="26"/>
  <c r="N103" i="26" s="1"/>
  <c r="M64" i="26"/>
  <c r="M103" i="26" s="1"/>
  <c r="L64" i="26"/>
  <c r="L103" i="26" s="1"/>
  <c r="K64" i="26"/>
  <c r="J64" i="26"/>
  <c r="J103" i="26" s="1"/>
  <c r="I64" i="26"/>
  <c r="I103" i="26" s="1"/>
  <c r="H64" i="26"/>
  <c r="H103" i="26" s="1"/>
  <c r="G64" i="26"/>
  <c r="F64" i="26"/>
  <c r="F103" i="26" s="1"/>
  <c r="E64" i="26"/>
  <c r="D64" i="26"/>
  <c r="V63" i="26"/>
  <c r="V102" i="26" s="1"/>
  <c r="U63" i="26"/>
  <c r="T63" i="26"/>
  <c r="S63" i="26"/>
  <c r="R63" i="26"/>
  <c r="Q63" i="26"/>
  <c r="Q102" i="26" s="1"/>
  <c r="P63" i="26"/>
  <c r="P102" i="26" s="1"/>
  <c r="O63" i="26"/>
  <c r="O102" i="26" s="1"/>
  <c r="N63" i="26"/>
  <c r="M63" i="26"/>
  <c r="M102" i="26" s="1"/>
  <c r="L63" i="26"/>
  <c r="L102" i="26" s="1"/>
  <c r="K63" i="26"/>
  <c r="K102" i="26" s="1"/>
  <c r="J63" i="26"/>
  <c r="I63" i="26"/>
  <c r="I102" i="26" s="1"/>
  <c r="H63" i="26"/>
  <c r="G63" i="26"/>
  <c r="F63" i="26"/>
  <c r="F102" i="26" s="1"/>
  <c r="E63" i="26"/>
  <c r="E102" i="26" s="1"/>
  <c r="D63" i="26"/>
  <c r="D102" i="26" s="1"/>
  <c r="V62" i="26"/>
  <c r="U62" i="26"/>
  <c r="T62" i="26"/>
  <c r="T101" i="26" s="1"/>
  <c r="S62" i="26"/>
  <c r="S101" i="26" s="1"/>
  <c r="R62" i="26"/>
  <c r="R101" i="26" s="1"/>
  <c r="Q62" i="26"/>
  <c r="P62" i="26"/>
  <c r="P101" i="26" s="1"/>
  <c r="O62" i="26"/>
  <c r="O101" i="26" s="1"/>
  <c r="N62" i="26"/>
  <c r="N101" i="26" s="1"/>
  <c r="M62" i="26"/>
  <c r="L62" i="26"/>
  <c r="K62" i="26"/>
  <c r="J62" i="26"/>
  <c r="I62" i="26"/>
  <c r="I101" i="26" s="1"/>
  <c r="H62" i="26"/>
  <c r="H101" i="26" s="1"/>
  <c r="G62" i="26"/>
  <c r="F62" i="26"/>
  <c r="E62" i="26"/>
  <c r="D62" i="26"/>
  <c r="D101" i="26" s="1"/>
  <c r="V61" i="26"/>
  <c r="V100" i="26" s="1"/>
  <c r="U61" i="26"/>
  <c r="U100" i="26" s="1"/>
  <c r="T61" i="26"/>
  <c r="S61" i="26"/>
  <c r="S100" i="26" s="1"/>
  <c r="R61" i="26"/>
  <c r="R100" i="26" s="1"/>
  <c r="Q61" i="26"/>
  <c r="Q100" i="26" s="1"/>
  <c r="P61" i="26"/>
  <c r="O61" i="26"/>
  <c r="O100" i="26" s="1"/>
  <c r="N61" i="26"/>
  <c r="M61" i="26"/>
  <c r="L61" i="26"/>
  <c r="L100" i="26" s="1"/>
  <c r="K61" i="26"/>
  <c r="J61" i="26"/>
  <c r="I61" i="26"/>
  <c r="H61" i="26"/>
  <c r="G61" i="26"/>
  <c r="G100" i="26" s="1"/>
  <c r="F61" i="26"/>
  <c r="F100" i="26" s="1"/>
  <c r="E61" i="26"/>
  <c r="E100" i="26" s="1"/>
  <c r="D61" i="26"/>
  <c r="V60" i="26"/>
  <c r="V99" i="26" s="1"/>
  <c r="U60" i="26"/>
  <c r="U99" i="26" s="1"/>
  <c r="T60" i="26"/>
  <c r="T99" i="26" s="1"/>
  <c r="S60" i="26"/>
  <c r="S99" i="26" s="1"/>
  <c r="R60" i="26"/>
  <c r="R99" i="26" s="1"/>
  <c r="Q60" i="26"/>
  <c r="Q99" i="26" s="1"/>
  <c r="P60" i="26"/>
  <c r="O60" i="26"/>
  <c r="O99" i="26" s="1"/>
  <c r="N60" i="26"/>
  <c r="N99" i="26" s="1"/>
  <c r="M60" i="26"/>
  <c r="L60" i="26"/>
  <c r="K60" i="26"/>
  <c r="J60" i="26"/>
  <c r="J99" i="26" s="1"/>
  <c r="I60" i="26"/>
  <c r="I99" i="26" s="1"/>
  <c r="H60" i="26"/>
  <c r="H99" i="26" s="1"/>
  <c r="G60" i="26"/>
  <c r="F60" i="26"/>
  <c r="F99" i="26" s="1"/>
  <c r="E60" i="26"/>
  <c r="E99" i="26" s="1"/>
  <c r="D60" i="26"/>
  <c r="V59" i="26"/>
  <c r="U59" i="26"/>
  <c r="T59" i="26"/>
  <c r="S59" i="26"/>
  <c r="R59" i="26"/>
  <c r="R98" i="26" s="1"/>
  <c r="Q59" i="26"/>
  <c r="Q98" i="26" s="1"/>
  <c r="P59" i="26"/>
  <c r="O59" i="26"/>
  <c r="N59" i="26"/>
  <c r="M59" i="26"/>
  <c r="M98" i="26" s="1"/>
  <c r="L59" i="26"/>
  <c r="L98" i="26" s="1"/>
  <c r="K59" i="26"/>
  <c r="K98" i="26" s="1"/>
  <c r="J59" i="26"/>
  <c r="I59" i="26"/>
  <c r="I98" i="26" s="1"/>
  <c r="H59" i="26"/>
  <c r="H98" i="26" s="1"/>
  <c r="G59" i="26"/>
  <c r="G98" i="26" s="1"/>
  <c r="F59" i="26"/>
  <c r="E59" i="26"/>
  <c r="D59" i="26"/>
  <c r="V58" i="26"/>
  <c r="U58" i="26"/>
  <c r="T58" i="26"/>
  <c r="S58" i="26"/>
  <c r="R58" i="26"/>
  <c r="Q58" i="26"/>
  <c r="Q97" i="26" s="1"/>
  <c r="P58" i="26"/>
  <c r="P97" i="26" s="1"/>
  <c r="O58" i="26"/>
  <c r="O97" i="26" s="1"/>
  <c r="N58" i="26"/>
  <c r="N97" i="26" s="1"/>
  <c r="M58" i="26"/>
  <c r="L58" i="26"/>
  <c r="L97" i="26" s="1"/>
  <c r="K58" i="26"/>
  <c r="K97" i="26" s="1"/>
  <c r="J58" i="26"/>
  <c r="J97" i="26" s="1"/>
  <c r="I58" i="26"/>
  <c r="H58" i="26"/>
  <c r="H97" i="26" s="1"/>
  <c r="G58" i="26"/>
  <c r="F58" i="26"/>
  <c r="E58" i="26"/>
  <c r="E97" i="26" s="1"/>
  <c r="D58" i="26"/>
  <c r="D97" i="26" s="1"/>
  <c r="V57" i="26"/>
  <c r="V96" i="26" s="1"/>
  <c r="U57" i="26"/>
  <c r="U96" i="26" s="1"/>
  <c r="T57" i="26"/>
  <c r="S57" i="26"/>
  <c r="S96" i="26" s="1"/>
  <c r="R57" i="26"/>
  <c r="R96" i="26" s="1"/>
  <c r="Q57" i="26"/>
  <c r="Q96" i="26" s="1"/>
  <c r="P57" i="26"/>
  <c r="P96" i="26" s="1"/>
  <c r="O57" i="26"/>
  <c r="O96" i="26" s="1"/>
  <c r="N57" i="26"/>
  <c r="M57" i="26"/>
  <c r="M96" i="26" s="1"/>
  <c r="L57" i="26"/>
  <c r="L96" i="26" s="1"/>
  <c r="K57" i="26"/>
  <c r="K96" i="26" s="1"/>
  <c r="J57" i="26"/>
  <c r="J96" i="26" s="1"/>
  <c r="I57" i="26"/>
  <c r="H57" i="26"/>
  <c r="H96" i="26" s="1"/>
  <c r="G57" i="26"/>
  <c r="G96" i="26" s="1"/>
  <c r="F57" i="26"/>
  <c r="F96" i="26" s="1"/>
  <c r="E57" i="26"/>
  <c r="E96" i="26" s="1"/>
  <c r="D57" i="26"/>
  <c r="D96" i="26" s="1"/>
  <c r="V56" i="26"/>
  <c r="V95" i="26" s="1"/>
  <c r="U56" i="26"/>
  <c r="U95" i="26" s="1"/>
  <c r="T56" i="26"/>
  <c r="T95" i="26" s="1"/>
  <c r="S56" i="26"/>
  <c r="R56" i="26"/>
  <c r="R95" i="26" s="1"/>
  <c r="Q56" i="26"/>
  <c r="Q95" i="26" s="1"/>
  <c r="P56" i="26"/>
  <c r="P95" i="26" s="1"/>
  <c r="O56" i="26"/>
  <c r="N56" i="26"/>
  <c r="M56" i="26"/>
  <c r="L56" i="26"/>
  <c r="K56" i="26"/>
  <c r="K95" i="26" s="1"/>
  <c r="J56" i="26"/>
  <c r="J95" i="26" s="1"/>
  <c r="I56" i="26"/>
  <c r="H56" i="26"/>
  <c r="G56" i="26"/>
  <c r="G95" i="26" s="1"/>
  <c r="F56" i="26"/>
  <c r="F95" i="26" s="1"/>
  <c r="E56" i="26"/>
  <c r="E95" i="26" s="1"/>
  <c r="D56" i="26"/>
  <c r="D95" i="26" s="1"/>
  <c r="V55" i="26"/>
  <c r="V94" i="26" s="1"/>
  <c r="U55" i="26"/>
  <c r="U94" i="26" s="1"/>
  <c r="T55" i="26"/>
  <c r="T94" i="26" s="1"/>
  <c r="S55" i="26"/>
  <c r="S94" i="26" s="1"/>
  <c r="R55" i="26"/>
  <c r="R94" i="26" s="1"/>
  <c r="Q55" i="26"/>
  <c r="P55" i="26"/>
  <c r="P94" i="26" s="1"/>
  <c r="O55" i="26"/>
  <c r="N55" i="26"/>
  <c r="M55" i="26"/>
  <c r="L55" i="26"/>
  <c r="K55" i="26"/>
  <c r="J55" i="26"/>
  <c r="J94" i="26" s="1"/>
  <c r="I55" i="26"/>
  <c r="I94" i="26" s="1"/>
  <c r="H55" i="26"/>
  <c r="H94" i="26" s="1"/>
  <c r="G55" i="26"/>
  <c r="G94" i="26" s="1"/>
  <c r="F55" i="26"/>
  <c r="F94" i="26" s="1"/>
  <c r="E55" i="26"/>
  <c r="E94" i="26" s="1"/>
  <c r="D55" i="26"/>
  <c r="D94" i="26" s="1"/>
  <c r="V54" i="26"/>
  <c r="V93" i="26" s="1"/>
  <c r="U54" i="26"/>
  <c r="T54" i="26"/>
  <c r="T93" i="26" s="1"/>
  <c r="S54" i="26"/>
  <c r="R54" i="26"/>
  <c r="Q54" i="26"/>
  <c r="Q93" i="26" s="1"/>
  <c r="P54" i="26"/>
  <c r="P93" i="26" s="1"/>
  <c r="O54" i="26"/>
  <c r="N54" i="26"/>
  <c r="M54" i="26"/>
  <c r="L54" i="26"/>
  <c r="L93" i="26" s="1"/>
  <c r="K54" i="26"/>
  <c r="K93" i="26" s="1"/>
  <c r="J54" i="26"/>
  <c r="J93" i="26" s="1"/>
  <c r="I54" i="26"/>
  <c r="I93" i="26" s="1"/>
  <c r="H54" i="26"/>
  <c r="H93" i="26" s="1"/>
  <c r="G54" i="26"/>
  <c r="G93" i="26" s="1"/>
  <c r="F54" i="26"/>
  <c r="E54" i="26"/>
  <c r="D54" i="26"/>
  <c r="D93" i="26" s="1"/>
  <c r="V53" i="26"/>
  <c r="U53" i="26"/>
  <c r="T53" i="26"/>
  <c r="T92" i="26" s="1"/>
  <c r="S53" i="26"/>
  <c r="S92" i="26" s="1"/>
  <c r="R53" i="26"/>
  <c r="Q53" i="26"/>
  <c r="P53" i="26"/>
  <c r="O53" i="26"/>
  <c r="N53" i="26"/>
  <c r="M53" i="26"/>
  <c r="M82" i="26" s="1"/>
  <c r="L53" i="26"/>
  <c r="L92" i="26" s="1"/>
  <c r="K53" i="26"/>
  <c r="K92" i="26" s="1"/>
  <c r="J53" i="26"/>
  <c r="I53" i="26"/>
  <c r="H53" i="26"/>
  <c r="G53" i="26"/>
  <c r="G92" i="26" s="1"/>
  <c r="F53" i="26"/>
  <c r="E53" i="26"/>
  <c r="D53" i="26"/>
  <c r="D92" i="26" s="1"/>
  <c r="V41" i="26"/>
  <c r="U41" i="26"/>
  <c r="T41" i="26"/>
  <c r="S41" i="26"/>
  <c r="R41" i="26"/>
  <c r="Q41" i="26"/>
  <c r="P41" i="26"/>
  <c r="O41" i="26"/>
  <c r="N41" i="26"/>
  <c r="M41" i="26"/>
  <c r="L41" i="26"/>
  <c r="K41" i="26"/>
  <c r="J41" i="26"/>
  <c r="I41" i="26"/>
  <c r="H41" i="26"/>
  <c r="G41" i="26"/>
  <c r="F41" i="26"/>
  <c r="E41" i="26"/>
  <c r="E275" i="26" s="1"/>
  <c r="D41" i="26"/>
  <c r="V40" i="26"/>
  <c r="V197" i="26" s="1"/>
  <c r="U40" i="26"/>
  <c r="T40" i="26"/>
  <c r="T197" i="26" s="1"/>
  <c r="S40" i="26"/>
  <c r="R40" i="26"/>
  <c r="Q40" i="26"/>
  <c r="P40" i="26"/>
  <c r="O40" i="26"/>
  <c r="N40" i="26"/>
  <c r="M40" i="26"/>
  <c r="L40" i="26"/>
  <c r="K40" i="26"/>
  <c r="K197" i="26" s="1"/>
  <c r="J40" i="26"/>
  <c r="I40" i="26"/>
  <c r="I197" i="26" s="1"/>
  <c r="H40" i="26"/>
  <c r="H274" i="26" s="1"/>
  <c r="G40" i="26"/>
  <c r="G119" i="26" s="1"/>
  <c r="F40" i="26"/>
  <c r="F197" i="26" s="1"/>
  <c r="E40" i="26"/>
  <c r="E197" i="26" s="1"/>
  <c r="D40" i="26"/>
  <c r="V39" i="26"/>
  <c r="U39" i="26"/>
  <c r="T39" i="26"/>
  <c r="S39" i="26"/>
  <c r="R39" i="26"/>
  <c r="Q39" i="26"/>
  <c r="P39" i="26"/>
  <c r="O39" i="26"/>
  <c r="N39" i="26"/>
  <c r="N196" i="26" s="1"/>
  <c r="M39" i="26"/>
  <c r="M273" i="26" s="1"/>
  <c r="L39" i="26"/>
  <c r="L196" i="26" s="1"/>
  <c r="K39" i="26"/>
  <c r="J39" i="26"/>
  <c r="I39" i="26"/>
  <c r="I196" i="26" s="1"/>
  <c r="H39" i="26"/>
  <c r="G39" i="26"/>
  <c r="G196" i="26" s="1"/>
  <c r="F39" i="26"/>
  <c r="F118" i="26" s="1"/>
  <c r="E39" i="26"/>
  <c r="D39" i="26"/>
  <c r="V38" i="26"/>
  <c r="U38" i="26"/>
  <c r="T38" i="26"/>
  <c r="S38" i="26"/>
  <c r="R38" i="26"/>
  <c r="Q38" i="26"/>
  <c r="P38" i="26"/>
  <c r="O38" i="26"/>
  <c r="N38" i="26"/>
  <c r="M38" i="26"/>
  <c r="L38" i="26"/>
  <c r="K38" i="26"/>
  <c r="J38" i="26"/>
  <c r="I38" i="26"/>
  <c r="H38" i="26"/>
  <c r="G38" i="26"/>
  <c r="F38" i="26"/>
  <c r="E38" i="26"/>
  <c r="D38" i="26"/>
  <c r="V37" i="26"/>
  <c r="U37" i="26"/>
  <c r="T37" i="26"/>
  <c r="S37" i="26"/>
  <c r="R37" i="26"/>
  <c r="R194" i="26" s="1"/>
  <c r="Q37" i="26"/>
  <c r="P37" i="26"/>
  <c r="P116" i="26" s="1"/>
  <c r="O37" i="26"/>
  <c r="O194" i="26" s="1"/>
  <c r="N37" i="26"/>
  <c r="M37" i="26"/>
  <c r="L37" i="26"/>
  <c r="K37" i="26"/>
  <c r="J37" i="26"/>
  <c r="I37" i="26"/>
  <c r="H37" i="26"/>
  <c r="G37" i="26"/>
  <c r="F37" i="26"/>
  <c r="E37" i="26"/>
  <c r="E271" i="26" s="1"/>
  <c r="D37" i="26"/>
  <c r="V36" i="26"/>
  <c r="V270" i="26" s="1"/>
  <c r="U36" i="26"/>
  <c r="U193" i="26" s="1"/>
  <c r="T36" i="26"/>
  <c r="T270" i="26" s="1"/>
  <c r="S36" i="26"/>
  <c r="R36" i="26"/>
  <c r="R193" i="26" s="1"/>
  <c r="Q36" i="26"/>
  <c r="Q193" i="26" s="1"/>
  <c r="P36" i="26"/>
  <c r="P193" i="26" s="1"/>
  <c r="O36" i="26"/>
  <c r="N36" i="26"/>
  <c r="M36" i="26"/>
  <c r="L36" i="26"/>
  <c r="K36" i="26"/>
  <c r="J36" i="26"/>
  <c r="I36" i="26"/>
  <c r="H36" i="26"/>
  <c r="G36" i="26"/>
  <c r="G193" i="26" s="1"/>
  <c r="F36" i="26"/>
  <c r="E36" i="26"/>
  <c r="D36" i="26"/>
  <c r="V35" i="26"/>
  <c r="V114" i="26" s="1"/>
  <c r="U35" i="26"/>
  <c r="T35" i="26"/>
  <c r="S35" i="26"/>
  <c r="S192" i="26" s="1"/>
  <c r="R35" i="26"/>
  <c r="Q35" i="26"/>
  <c r="P35" i="26"/>
  <c r="O35" i="26"/>
  <c r="N35" i="26"/>
  <c r="M35" i="26"/>
  <c r="L35" i="26"/>
  <c r="L192" i="26" s="1"/>
  <c r="K35" i="26"/>
  <c r="J35" i="26"/>
  <c r="I35" i="26"/>
  <c r="H35" i="26"/>
  <c r="H192" i="26" s="1"/>
  <c r="G35" i="26"/>
  <c r="G192" i="26" s="1"/>
  <c r="F35" i="26"/>
  <c r="E35" i="26"/>
  <c r="E192" i="26" s="1"/>
  <c r="D35" i="26"/>
  <c r="V34" i="26"/>
  <c r="U34" i="26"/>
  <c r="T34" i="26"/>
  <c r="S34" i="26"/>
  <c r="R34" i="26"/>
  <c r="Q34" i="26"/>
  <c r="P34" i="26"/>
  <c r="O34" i="26"/>
  <c r="N34" i="26"/>
  <c r="M34" i="26"/>
  <c r="L34" i="26"/>
  <c r="K34" i="26"/>
  <c r="J34" i="26"/>
  <c r="I34" i="26"/>
  <c r="H34" i="26"/>
  <c r="G34" i="26"/>
  <c r="F34" i="26"/>
  <c r="E34" i="26"/>
  <c r="D34" i="26"/>
  <c r="V33" i="26"/>
  <c r="U33" i="26"/>
  <c r="T33" i="26"/>
  <c r="S33" i="26"/>
  <c r="R33" i="26"/>
  <c r="Q33" i="26"/>
  <c r="P33" i="26"/>
  <c r="O33" i="26"/>
  <c r="N33" i="26"/>
  <c r="M33" i="26"/>
  <c r="L33" i="26"/>
  <c r="K33" i="26"/>
  <c r="J33" i="26"/>
  <c r="I33" i="26"/>
  <c r="H33" i="26"/>
  <c r="G33" i="26"/>
  <c r="F33" i="26"/>
  <c r="E33" i="26"/>
  <c r="D33" i="26"/>
  <c r="V32" i="26"/>
  <c r="U32" i="26"/>
  <c r="T32" i="26"/>
  <c r="T266" i="26" s="1"/>
  <c r="S32" i="26"/>
  <c r="S266" i="26" s="1"/>
  <c r="R32" i="26"/>
  <c r="R266" i="26" s="1"/>
  <c r="Q32" i="26"/>
  <c r="Q189" i="26" s="1"/>
  <c r="P32" i="26"/>
  <c r="P266" i="26" s="1"/>
  <c r="O32" i="26"/>
  <c r="O266" i="26" s="1"/>
  <c r="N32" i="26"/>
  <c r="N189" i="26" s="1"/>
  <c r="M32" i="26"/>
  <c r="L32" i="26"/>
  <c r="L189" i="26" s="1"/>
  <c r="K32" i="26"/>
  <c r="K266" i="26" s="1"/>
  <c r="J32" i="26"/>
  <c r="I32" i="26"/>
  <c r="H32" i="26"/>
  <c r="G32" i="26"/>
  <c r="F32" i="26"/>
  <c r="E32" i="26"/>
  <c r="D32" i="26"/>
  <c r="V31" i="26"/>
  <c r="U31" i="26"/>
  <c r="T31" i="26"/>
  <c r="S31" i="26"/>
  <c r="R31" i="26"/>
  <c r="R110" i="26" s="1"/>
  <c r="Q31" i="26"/>
  <c r="Q188" i="26" s="1"/>
  <c r="P31" i="26"/>
  <c r="P188" i="26" s="1"/>
  <c r="O31" i="26"/>
  <c r="N31" i="26"/>
  <c r="M31" i="26"/>
  <c r="L31" i="26"/>
  <c r="K31" i="26"/>
  <c r="J31" i="26"/>
  <c r="I31" i="26"/>
  <c r="H31" i="26"/>
  <c r="G31" i="26"/>
  <c r="F31" i="26"/>
  <c r="E31" i="26"/>
  <c r="D31" i="26"/>
  <c r="V30" i="26"/>
  <c r="V264" i="26" s="1"/>
  <c r="U30" i="26"/>
  <c r="U264" i="26" s="1"/>
  <c r="T30" i="26"/>
  <c r="T187" i="26" s="1"/>
  <c r="S30" i="26"/>
  <c r="S109" i="26" s="1"/>
  <c r="R30" i="26"/>
  <c r="R109" i="26" s="1"/>
  <c r="Q30" i="26"/>
  <c r="Q264" i="26" s="1"/>
  <c r="P30" i="26"/>
  <c r="O30" i="26"/>
  <c r="N30" i="26"/>
  <c r="M30" i="26"/>
  <c r="L30" i="26"/>
  <c r="K30" i="26"/>
  <c r="J30" i="26"/>
  <c r="J264" i="26" s="1"/>
  <c r="I30" i="26"/>
  <c r="H30" i="26"/>
  <c r="G30" i="26"/>
  <c r="G187" i="26" s="1"/>
  <c r="F30" i="26"/>
  <c r="E30" i="26"/>
  <c r="D30" i="26"/>
  <c r="D187" i="26" s="1"/>
  <c r="V29" i="26"/>
  <c r="V186" i="26" s="1"/>
  <c r="U29" i="26"/>
  <c r="U186" i="26" s="1"/>
  <c r="T29" i="26"/>
  <c r="S29" i="26"/>
  <c r="R29" i="26"/>
  <c r="Q29" i="26"/>
  <c r="P29" i="26"/>
  <c r="O29" i="26"/>
  <c r="N29" i="26"/>
  <c r="M29" i="26"/>
  <c r="L29" i="26"/>
  <c r="K29" i="26"/>
  <c r="J29" i="26"/>
  <c r="I29" i="26"/>
  <c r="I108" i="26" s="1"/>
  <c r="H29" i="26"/>
  <c r="G29" i="26"/>
  <c r="F29" i="26"/>
  <c r="E29" i="26"/>
  <c r="E186" i="26" s="1"/>
  <c r="D29" i="26"/>
  <c r="D263" i="26" s="1"/>
  <c r="V28" i="26"/>
  <c r="U28" i="26"/>
  <c r="T28" i="26"/>
  <c r="S28" i="26"/>
  <c r="R28" i="26"/>
  <c r="Q28" i="26"/>
  <c r="Q185" i="26" s="1"/>
  <c r="P28" i="26"/>
  <c r="P262" i="26" s="1"/>
  <c r="O28" i="26"/>
  <c r="O262" i="26" s="1"/>
  <c r="N28" i="26"/>
  <c r="N262" i="26" s="1"/>
  <c r="M28" i="26"/>
  <c r="L28" i="26"/>
  <c r="L185" i="26" s="1"/>
  <c r="K28" i="26"/>
  <c r="K107" i="26" s="1"/>
  <c r="J28" i="26"/>
  <c r="J185" i="26" s="1"/>
  <c r="I28" i="26"/>
  <c r="H28" i="26"/>
  <c r="H185" i="26" s="1"/>
  <c r="G28" i="26"/>
  <c r="F28" i="26"/>
  <c r="E28" i="26"/>
  <c r="D28" i="26"/>
  <c r="V27" i="26"/>
  <c r="U27" i="26"/>
  <c r="T27" i="26"/>
  <c r="S27" i="26"/>
  <c r="R27" i="26"/>
  <c r="R261" i="26" s="1"/>
  <c r="Q27" i="26"/>
  <c r="P27" i="26"/>
  <c r="O27" i="26"/>
  <c r="O184" i="26" s="1"/>
  <c r="N27" i="26"/>
  <c r="N106" i="26" s="1"/>
  <c r="M27" i="26"/>
  <c r="M184" i="26" s="1"/>
  <c r="L27" i="26"/>
  <c r="K27" i="26"/>
  <c r="K184" i="26" s="1"/>
  <c r="J27" i="26"/>
  <c r="J184" i="26" s="1"/>
  <c r="I27" i="26"/>
  <c r="H27" i="26"/>
  <c r="G27" i="26"/>
  <c r="F27" i="26"/>
  <c r="E27" i="26"/>
  <c r="D27" i="26"/>
  <c r="V26" i="26"/>
  <c r="V260" i="26" s="1"/>
  <c r="U26" i="26"/>
  <c r="U260" i="26" s="1"/>
  <c r="T26" i="26"/>
  <c r="T260" i="26" s="1"/>
  <c r="S26" i="26"/>
  <c r="R26" i="26"/>
  <c r="R260" i="26" s="1"/>
  <c r="Q26" i="26"/>
  <c r="P26" i="26"/>
  <c r="O26" i="26"/>
  <c r="N26" i="26"/>
  <c r="M26" i="26"/>
  <c r="M183" i="26" s="1"/>
  <c r="L26" i="26"/>
  <c r="K26" i="26"/>
  <c r="J26" i="26"/>
  <c r="I26" i="26"/>
  <c r="H26" i="26"/>
  <c r="H183" i="26" s="1"/>
  <c r="G26" i="26"/>
  <c r="F26" i="26"/>
  <c r="E26" i="26"/>
  <c r="D26" i="26"/>
  <c r="V24" i="26"/>
  <c r="U24" i="26"/>
  <c r="T24" i="26"/>
  <c r="T103" i="26" s="1"/>
  <c r="S24" i="26"/>
  <c r="R24" i="26"/>
  <c r="R258" i="26" s="1"/>
  <c r="Q24" i="26"/>
  <c r="Q258" i="26" s="1"/>
  <c r="P24" i="26"/>
  <c r="P258" i="26" s="1"/>
  <c r="O24" i="26"/>
  <c r="N24" i="26"/>
  <c r="M24" i="26"/>
  <c r="L24" i="26"/>
  <c r="K24" i="26"/>
  <c r="J24" i="26"/>
  <c r="I24" i="26"/>
  <c r="H24" i="26"/>
  <c r="G24" i="26"/>
  <c r="G181" i="26" s="1"/>
  <c r="F24" i="26"/>
  <c r="E24" i="26"/>
  <c r="E103" i="26" s="1"/>
  <c r="D24" i="26"/>
  <c r="V23" i="26"/>
  <c r="V180" i="26" s="1"/>
  <c r="U23" i="26"/>
  <c r="U102" i="26" s="1"/>
  <c r="T23" i="26"/>
  <c r="T257" i="26" s="1"/>
  <c r="S23" i="26"/>
  <c r="S257" i="26" s="1"/>
  <c r="R23" i="26"/>
  <c r="R257" i="26" s="1"/>
  <c r="Q23" i="26"/>
  <c r="P23" i="26"/>
  <c r="O23" i="26"/>
  <c r="N23" i="26"/>
  <c r="M23" i="26"/>
  <c r="L23" i="26"/>
  <c r="K23" i="26"/>
  <c r="J23" i="26"/>
  <c r="I23" i="26"/>
  <c r="H23" i="26"/>
  <c r="G23" i="26"/>
  <c r="F23" i="26"/>
  <c r="E23" i="26"/>
  <c r="D23" i="26"/>
  <c r="V22" i="26"/>
  <c r="V179" i="26" s="1"/>
  <c r="U22" i="26"/>
  <c r="T22" i="26"/>
  <c r="S22" i="26"/>
  <c r="R22" i="26"/>
  <c r="Q22" i="26"/>
  <c r="P22" i="26"/>
  <c r="O22" i="26"/>
  <c r="N22" i="26"/>
  <c r="M22" i="26"/>
  <c r="M101" i="26" s="1"/>
  <c r="L22" i="26"/>
  <c r="K22" i="26"/>
  <c r="K101" i="26" s="1"/>
  <c r="J22" i="26"/>
  <c r="J101" i="26" s="1"/>
  <c r="I22" i="26"/>
  <c r="H22" i="26"/>
  <c r="G22" i="26"/>
  <c r="F22" i="26"/>
  <c r="E22" i="26"/>
  <c r="D22" i="26"/>
  <c r="V21" i="26"/>
  <c r="U21" i="26"/>
  <c r="T21" i="26"/>
  <c r="S21" i="26"/>
  <c r="R21" i="26"/>
  <c r="Q21" i="26"/>
  <c r="Q255" i="26" s="1"/>
  <c r="P21" i="26"/>
  <c r="P255" i="26" s="1"/>
  <c r="O21" i="26"/>
  <c r="N21" i="26"/>
  <c r="M21" i="26"/>
  <c r="M100" i="26" s="1"/>
  <c r="L21" i="26"/>
  <c r="L178" i="26" s="1"/>
  <c r="K21" i="26"/>
  <c r="K100" i="26" s="1"/>
  <c r="J21" i="26"/>
  <c r="J100" i="26" s="1"/>
  <c r="I21" i="26"/>
  <c r="H21" i="26"/>
  <c r="G21" i="26"/>
  <c r="F21" i="26"/>
  <c r="E21" i="26"/>
  <c r="D21" i="26"/>
  <c r="V20" i="26"/>
  <c r="U20" i="26"/>
  <c r="T20" i="26"/>
  <c r="S20" i="26"/>
  <c r="R20" i="26"/>
  <c r="Q20" i="26"/>
  <c r="P20" i="26"/>
  <c r="O20" i="26"/>
  <c r="O177" i="26" s="1"/>
  <c r="N20" i="26"/>
  <c r="M20" i="26"/>
  <c r="L20" i="26"/>
  <c r="K20" i="26"/>
  <c r="J20" i="26"/>
  <c r="I20" i="26"/>
  <c r="H20" i="26"/>
  <c r="G20" i="26"/>
  <c r="F20" i="26"/>
  <c r="E20" i="26"/>
  <c r="D20" i="26"/>
  <c r="D254" i="26" s="1"/>
  <c r="V19" i="26"/>
  <c r="V253" i="26" s="1"/>
  <c r="U19" i="26"/>
  <c r="U253" i="26" s="1"/>
  <c r="T19" i="26"/>
  <c r="T253" i="26" s="1"/>
  <c r="S19" i="26"/>
  <c r="S98" i="26" s="1"/>
  <c r="R19" i="26"/>
  <c r="R253" i="26" s="1"/>
  <c r="Q19" i="26"/>
  <c r="Q253" i="26" s="1"/>
  <c r="P19" i="26"/>
  <c r="O19" i="26"/>
  <c r="N19" i="26"/>
  <c r="M19" i="26"/>
  <c r="L19" i="26"/>
  <c r="K19" i="26"/>
  <c r="J19" i="26"/>
  <c r="I19" i="26"/>
  <c r="H19" i="26"/>
  <c r="H176" i="26" s="1"/>
  <c r="G19" i="26"/>
  <c r="F19" i="26"/>
  <c r="E19" i="26"/>
  <c r="D19" i="26"/>
  <c r="D253" i="26" s="1"/>
  <c r="V18" i="26"/>
  <c r="V97" i="26" s="1"/>
  <c r="U18" i="26"/>
  <c r="T18" i="26"/>
  <c r="T252" i="26" s="1"/>
  <c r="S18" i="26"/>
  <c r="S97" i="26" s="1"/>
  <c r="R18" i="26"/>
  <c r="R252" i="26" s="1"/>
  <c r="Q18" i="26"/>
  <c r="P18" i="26"/>
  <c r="O18" i="26"/>
  <c r="N18" i="26"/>
  <c r="M18" i="26"/>
  <c r="L18" i="26"/>
  <c r="K18" i="26"/>
  <c r="J18" i="26"/>
  <c r="I18" i="26"/>
  <c r="H18" i="26"/>
  <c r="H175" i="26" s="1"/>
  <c r="G18" i="26"/>
  <c r="F18" i="26"/>
  <c r="E18" i="26"/>
  <c r="D18" i="26"/>
  <c r="D252" i="26" s="1"/>
  <c r="V17" i="26"/>
  <c r="U17" i="26"/>
  <c r="T17" i="26"/>
  <c r="S17" i="26"/>
  <c r="R17" i="26"/>
  <c r="Q17" i="26"/>
  <c r="P17" i="26"/>
  <c r="O17" i="26"/>
  <c r="N17" i="26"/>
  <c r="M17" i="26"/>
  <c r="L17" i="26"/>
  <c r="K17" i="26"/>
  <c r="J17" i="26"/>
  <c r="I17" i="26"/>
  <c r="H17" i="26"/>
  <c r="G17" i="26"/>
  <c r="F17" i="26"/>
  <c r="E17" i="26"/>
  <c r="D17" i="26"/>
  <c r="V16" i="26"/>
  <c r="V173" i="26" s="1"/>
  <c r="U16" i="26"/>
  <c r="T16" i="26"/>
  <c r="S16" i="26"/>
  <c r="S173" i="26" s="1"/>
  <c r="R16" i="26"/>
  <c r="Q16" i="26"/>
  <c r="P16" i="26"/>
  <c r="O16" i="26"/>
  <c r="O95" i="26" s="1"/>
  <c r="N16" i="26"/>
  <c r="N95" i="26" s="1"/>
  <c r="M16" i="26"/>
  <c r="M95" i="26" s="1"/>
  <c r="L16" i="26"/>
  <c r="L95" i="26" s="1"/>
  <c r="K16" i="26"/>
  <c r="K173" i="26" s="1"/>
  <c r="J16" i="26"/>
  <c r="I16" i="26"/>
  <c r="H16" i="26"/>
  <c r="G16" i="26"/>
  <c r="F16" i="26"/>
  <c r="E16" i="26"/>
  <c r="D16" i="26"/>
  <c r="V15" i="26"/>
  <c r="U15" i="26"/>
  <c r="T15" i="26"/>
  <c r="S15" i="26"/>
  <c r="R15" i="26"/>
  <c r="Q15" i="26"/>
  <c r="P15" i="26"/>
  <c r="O15" i="26"/>
  <c r="N15" i="26"/>
  <c r="M15" i="26"/>
  <c r="L15" i="26"/>
  <c r="L94" i="26" s="1"/>
  <c r="K15" i="26"/>
  <c r="J15" i="26"/>
  <c r="I15" i="26"/>
  <c r="H15" i="26"/>
  <c r="G15" i="26"/>
  <c r="F15" i="26"/>
  <c r="E15" i="26"/>
  <c r="E249" i="26" s="1"/>
  <c r="D15" i="26"/>
  <c r="V14" i="26"/>
  <c r="V248" i="26" s="1"/>
  <c r="U14" i="26"/>
  <c r="U248" i="26" s="1"/>
  <c r="T14" i="26"/>
  <c r="S14" i="26"/>
  <c r="R14" i="26"/>
  <c r="Q14" i="26"/>
  <c r="P14" i="26"/>
  <c r="P42" i="26" s="1"/>
  <c r="O14" i="26"/>
  <c r="N14" i="26"/>
  <c r="N171" i="26" s="1"/>
  <c r="M14" i="26"/>
  <c r="L14" i="26"/>
  <c r="K14" i="26"/>
  <c r="J14" i="26"/>
  <c r="I14" i="26"/>
  <c r="H14" i="26"/>
  <c r="G14" i="26"/>
  <c r="F14" i="26"/>
  <c r="F248" i="26" s="1"/>
  <c r="E14" i="26"/>
  <c r="E248" i="26" s="1"/>
  <c r="D14" i="26"/>
  <c r="V13" i="26"/>
  <c r="U13" i="26"/>
  <c r="T13" i="26"/>
  <c r="T42" i="26" s="1"/>
  <c r="S13" i="26"/>
  <c r="R13" i="26"/>
  <c r="R42" i="26" s="1"/>
  <c r="Q13" i="26"/>
  <c r="Q42" i="26" s="1"/>
  <c r="P13" i="26"/>
  <c r="O13" i="26"/>
  <c r="N13" i="26"/>
  <c r="M13" i="26"/>
  <c r="L13" i="26"/>
  <c r="K13" i="26"/>
  <c r="J13" i="26"/>
  <c r="I13" i="26"/>
  <c r="H13" i="26"/>
  <c r="G13" i="26"/>
  <c r="F13" i="26"/>
  <c r="E13" i="26"/>
  <c r="D13" i="26"/>
  <c r="C299" i="25"/>
  <c r="G289" i="25"/>
  <c r="G288" i="25"/>
  <c r="G285" i="25"/>
  <c r="H279" i="25"/>
  <c r="F279" i="25"/>
  <c r="E279" i="25"/>
  <c r="K276" i="25"/>
  <c r="C257" i="25"/>
  <c r="I256" i="25"/>
  <c r="K255" i="25"/>
  <c r="J255" i="25"/>
  <c r="I255" i="25"/>
  <c r="H255" i="25"/>
  <c r="H297" i="25" s="1"/>
  <c r="G255" i="25"/>
  <c r="F255" i="25"/>
  <c r="E255" i="25"/>
  <c r="D255" i="25"/>
  <c r="K254" i="25"/>
  <c r="J254" i="25"/>
  <c r="J296" i="25" s="1"/>
  <c r="I254" i="25"/>
  <c r="H254" i="25"/>
  <c r="G254" i="25"/>
  <c r="G296" i="25" s="1"/>
  <c r="F254" i="25"/>
  <c r="F296" i="25" s="1"/>
  <c r="E254" i="25"/>
  <c r="D254" i="25"/>
  <c r="D296" i="25" s="1"/>
  <c r="K253" i="25"/>
  <c r="J253" i="25"/>
  <c r="I253" i="25"/>
  <c r="H253" i="25"/>
  <c r="H295" i="25" s="1"/>
  <c r="G253" i="25"/>
  <c r="F253" i="25"/>
  <c r="E253" i="25"/>
  <c r="D253" i="25"/>
  <c r="K252" i="25"/>
  <c r="K294" i="25" s="1"/>
  <c r="J252" i="25"/>
  <c r="J294" i="25" s="1"/>
  <c r="I252" i="25"/>
  <c r="H252" i="25"/>
  <c r="H294" i="25" s="1"/>
  <c r="G252" i="25"/>
  <c r="G294" i="25" s="1"/>
  <c r="F252" i="25"/>
  <c r="F294" i="25" s="1"/>
  <c r="E252" i="25"/>
  <c r="E294" i="25" s="1"/>
  <c r="D252" i="25"/>
  <c r="D294" i="25" s="1"/>
  <c r="K251" i="25"/>
  <c r="J251" i="25"/>
  <c r="I251" i="25"/>
  <c r="H251" i="25"/>
  <c r="H293" i="25" s="1"/>
  <c r="G251" i="25"/>
  <c r="F251" i="25"/>
  <c r="E251" i="25"/>
  <c r="D251" i="25"/>
  <c r="K250" i="25"/>
  <c r="K292" i="25" s="1"/>
  <c r="J250" i="25"/>
  <c r="I250" i="25"/>
  <c r="H250" i="25"/>
  <c r="G250" i="25"/>
  <c r="F250" i="25"/>
  <c r="F292" i="25" s="1"/>
  <c r="E250" i="25"/>
  <c r="D250" i="25"/>
  <c r="D292" i="25" s="1"/>
  <c r="K249" i="25"/>
  <c r="K291" i="25" s="1"/>
  <c r="J249" i="25"/>
  <c r="I249" i="25"/>
  <c r="H249" i="25"/>
  <c r="H291" i="25" s="1"/>
  <c r="G249" i="25"/>
  <c r="F249" i="25"/>
  <c r="E249" i="25"/>
  <c r="D249" i="25"/>
  <c r="K248" i="25"/>
  <c r="K290" i="25" s="1"/>
  <c r="J248" i="25"/>
  <c r="J290" i="25" s="1"/>
  <c r="I248" i="25"/>
  <c r="H248" i="25"/>
  <c r="G248" i="25"/>
  <c r="F248" i="25"/>
  <c r="F290" i="25" s="1"/>
  <c r="E248" i="25"/>
  <c r="D248" i="25"/>
  <c r="D290" i="25" s="1"/>
  <c r="K247" i="25"/>
  <c r="J247" i="25"/>
  <c r="I247" i="25"/>
  <c r="H247" i="25"/>
  <c r="G247" i="25"/>
  <c r="F247" i="25"/>
  <c r="E247" i="25"/>
  <c r="D247" i="25"/>
  <c r="K246" i="25"/>
  <c r="K288" i="25" s="1"/>
  <c r="J246" i="25"/>
  <c r="J288" i="25" s="1"/>
  <c r="I246" i="25"/>
  <c r="H246" i="25"/>
  <c r="G246" i="25"/>
  <c r="F246" i="25"/>
  <c r="F288" i="25" s="1"/>
  <c r="E246" i="25"/>
  <c r="D246" i="25"/>
  <c r="D288" i="25" s="1"/>
  <c r="K245" i="25"/>
  <c r="J245" i="25"/>
  <c r="I245" i="25"/>
  <c r="H245" i="25"/>
  <c r="G245" i="25"/>
  <c r="G287" i="25" s="1"/>
  <c r="F245" i="25"/>
  <c r="E245" i="25"/>
  <c r="D245" i="25"/>
  <c r="K244" i="25"/>
  <c r="J244" i="25"/>
  <c r="I244" i="25"/>
  <c r="H244" i="25"/>
  <c r="G244" i="25"/>
  <c r="G286" i="25" s="1"/>
  <c r="F244" i="25"/>
  <c r="F286" i="25" s="1"/>
  <c r="E244" i="25"/>
  <c r="D244" i="25"/>
  <c r="D286" i="25" s="1"/>
  <c r="K243" i="25"/>
  <c r="J243" i="25"/>
  <c r="I243" i="25"/>
  <c r="H243" i="25"/>
  <c r="G243" i="25"/>
  <c r="F243" i="25"/>
  <c r="E243" i="25"/>
  <c r="D243" i="25"/>
  <c r="K242" i="25"/>
  <c r="K284" i="25" s="1"/>
  <c r="J242" i="25"/>
  <c r="I242" i="25"/>
  <c r="H242" i="25"/>
  <c r="G242" i="25"/>
  <c r="F242" i="25"/>
  <c r="F284" i="25" s="1"/>
  <c r="E242" i="25"/>
  <c r="D242" i="25"/>
  <c r="D284" i="25" s="1"/>
  <c r="K241" i="25"/>
  <c r="J241" i="25"/>
  <c r="I241" i="25"/>
  <c r="H241" i="25"/>
  <c r="G241" i="25"/>
  <c r="G283" i="25" s="1"/>
  <c r="F241" i="25"/>
  <c r="E241" i="25"/>
  <c r="D241" i="25"/>
  <c r="K240" i="25"/>
  <c r="K282" i="25" s="1"/>
  <c r="J240" i="25"/>
  <c r="I240" i="25"/>
  <c r="H240" i="25"/>
  <c r="G240" i="25"/>
  <c r="F240" i="25"/>
  <c r="F282" i="25" s="1"/>
  <c r="E240" i="25"/>
  <c r="D240" i="25"/>
  <c r="D282" i="25" s="1"/>
  <c r="K239" i="25"/>
  <c r="J239" i="25"/>
  <c r="I239" i="25"/>
  <c r="H239" i="25"/>
  <c r="G239" i="25"/>
  <c r="G281" i="25" s="1"/>
  <c r="F239" i="25"/>
  <c r="E239" i="25"/>
  <c r="D239" i="25"/>
  <c r="K238" i="25"/>
  <c r="J238" i="25"/>
  <c r="J280" i="25" s="1"/>
  <c r="I238" i="25"/>
  <c r="H238" i="25"/>
  <c r="G238" i="25"/>
  <c r="G280" i="25" s="1"/>
  <c r="F238" i="25"/>
  <c r="F280" i="25" s="1"/>
  <c r="E238" i="25"/>
  <c r="D238" i="25"/>
  <c r="D280" i="25" s="1"/>
  <c r="K237" i="25"/>
  <c r="J237" i="25"/>
  <c r="I237" i="25"/>
  <c r="H237" i="25"/>
  <c r="G237" i="25"/>
  <c r="G279" i="25" s="1"/>
  <c r="F237" i="25"/>
  <c r="E237" i="25"/>
  <c r="D237" i="25"/>
  <c r="D279" i="25" s="1"/>
  <c r="K236" i="25"/>
  <c r="J236" i="25"/>
  <c r="I236" i="25"/>
  <c r="H236" i="25"/>
  <c r="G236" i="25"/>
  <c r="F236" i="25"/>
  <c r="F278" i="25" s="1"/>
  <c r="E236" i="25"/>
  <c r="D236" i="25"/>
  <c r="D278" i="25" s="1"/>
  <c r="K235" i="25"/>
  <c r="J235" i="25"/>
  <c r="I235" i="25"/>
  <c r="H235" i="25"/>
  <c r="G235" i="25"/>
  <c r="G277" i="25" s="1"/>
  <c r="F235" i="25"/>
  <c r="E235" i="25"/>
  <c r="D235" i="25"/>
  <c r="K234" i="25"/>
  <c r="J234" i="25"/>
  <c r="I234" i="25"/>
  <c r="H234" i="25"/>
  <c r="G234" i="25"/>
  <c r="F234" i="25"/>
  <c r="F276" i="25" s="1"/>
  <c r="E234" i="25"/>
  <c r="D234" i="25"/>
  <c r="D276" i="25" s="1"/>
  <c r="K233" i="25"/>
  <c r="J233" i="25"/>
  <c r="I233" i="25"/>
  <c r="H233" i="25"/>
  <c r="G233" i="25"/>
  <c r="G275" i="25" s="1"/>
  <c r="F233" i="25"/>
  <c r="E233" i="25"/>
  <c r="D233" i="25"/>
  <c r="K232" i="25"/>
  <c r="K274" i="25" s="1"/>
  <c r="J232" i="25"/>
  <c r="J274" i="25" s="1"/>
  <c r="I232" i="25"/>
  <c r="H232" i="25"/>
  <c r="G232" i="25"/>
  <c r="G274" i="25" s="1"/>
  <c r="F232" i="25"/>
  <c r="F274" i="25" s="1"/>
  <c r="E232" i="25"/>
  <c r="D232" i="25"/>
  <c r="D274" i="25" s="1"/>
  <c r="K231" i="25"/>
  <c r="J231" i="25"/>
  <c r="I231" i="25"/>
  <c r="H231" i="25"/>
  <c r="G231" i="25"/>
  <c r="G273" i="25" s="1"/>
  <c r="F231" i="25"/>
  <c r="E231" i="25"/>
  <c r="D231" i="25"/>
  <c r="K230" i="25"/>
  <c r="J230" i="25"/>
  <c r="I230" i="25"/>
  <c r="H230" i="25"/>
  <c r="G230" i="25"/>
  <c r="G272" i="25" s="1"/>
  <c r="F230" i="25"/>
  <c r="F272" i="25" s="1"/>
  <c r="E230" i="25"/>
  <c r="D230" i="25"/>
  <c r="D272" i="25" s="1"/>
  <c r="K229" i="25"/>
  <c r="J229" i="25"/>
  <c r="I229" i="25"/>
  <c r="H229" i="25"/>
  <c r="G229" i="25"/>
  <c r="G271" i="25" s="1"/>
  <c r="F229" i="25"/>
  <c r="E229" i="25"/>
  <c r="D229" i="25"/>
  <c r="K228" i="25"/>
  <c r="J228" i="25"/>
  <c r="I228" i="25"/>
  <c r="H228" i="25"/>
  <c r="G228" i="25"/>
  <c r="F228" i="25"/>
  <c r="F270" i="25" s="1"/>
  <c r="E228" i="25"/>
  <c r="D228" i="25"/>
  <c r="D270" i="25" s="1"/>
  <c r="K227" i="25"/>
  <c r="J227" i="25"/>
  <c r="I227" i="25"/>
  <c r="H227" i="25"/>
  <c r="G227" i="25"/>
  <c r="G269" i="25" s="1"/>
  <c r="F227" i="25"/>
  <c r="E227" i="25"/>
  <c r="D227" i="25"/>
  <c r="K226" i="25"/>
  <c r="K268" i="25" s="1"/>
  <c r="J226" i="25"/>
  <c r="J256" i="25" s="1"/>
  <c r="I226" i="25"/>
  <c r="H226" i="25"/>
  <c r="G226" i="25"/>
  <c r="F226" i="25"/>
  <c r="E226" i="25"/>
  <c r="D226" i="25"/>
  <c r="D268" i="25" s="1"/>
  <c r="K225" i="25"/>
  <c r="K256" i="25" s="1"/>
  <c r="J225" i="25"/>
  <c r="I225" i="25"/>
  <c r="H225" i="25"/>
  <c r="H256" i="25" s="1"/>
  <c r="G225" i="25"/>
  <c r="G267" i="25" s="1"/>
  <c r="F225" i="25"/>
  <c r="E225" i="25"/>
  <c r="D225" i="25"/>
  <c r="C216" i="25"/>
  <c r="D213" i="25"/>
  <c r="G212" i="25"/>
  <c r="K211" i="25"/>
  <c r="H211" i="25"/>
  <c r="E211" i="25"/>
  <c r="D211" i="25"/>
  <c r="G210" i="25"/>
  <c r="D209" i="25"/>
  <c r="K208" i="25"/>
  <c r="K205" i="25"/>
  <c r="H205" i="25"/>
  <c r="K203" i="25"/>
  <c r="G203" i="25"/>
  <c r="G202" i="25"/>
  <c r="H200" i="25"/>
  <c r="H199" i="25"/>
  <c r="G198" i="25"/>
  <c r="H197" i="25"/>
  <c r="G197" i="25"/>
  <c r="D197" i="25"/>
  <c r="E196" i="25"/>
  <c r="D196" i="25"/>
  <c r="K195" i="25"/>
  <c r="G195" i="25"/>
  <c r="J192" i="25"/>
  <c r="K191" i="25"/>
  <c r="D191" i="25"/>
  <c r="H189" i="25"/>
  <c r="D189" i="25"/>
  <c r="G187" i="25"/>
  <c r="G186" i="25"/>
  <c r="H185" i="25"/>
  <c r="C174" i="25"/>
  <c r="K172" i="25"/>
  <c r="J172" i="25"/>
  <c r="I172" i="25"/>
  <c r="H172" i="25"/>
  <c r="H214" i="25" s="1"/>
  <c r="G172" i="25"/>
  <c r="G214" i="25" s="1"/>
  <c r="F172" i="25"/>
  <c r="E172" i="25"/>
  <c r="D172" i="25"/>
  <c r="K171" i="25"/>
  <c r="K213" i="25" s="1"/>
  <c r="J171" i="25"/>
  <c r="J213" i="25" s="1"/>
  <c r="I171" i="25"/>
  <c r="I213" i="25" s="1"/>
  <c r="H171" i="25"/>
  <c r="G171" i="25"/>
  <c r="G213" i="25" s="1"/>
  <c r="F171" i="25"/>
  <c r="F213" i="25" s="1"/>
  <c r="E171" i="25"/>
  <c r="D171" i="25"/>
  <c r="K170" i="25"/>
  <c r="J170" i="25"/>
  <c r="I170" i="25"/>
  <c r="H170" i="25"/>
  <c r="H212" i="25" s="1"/>
  <c r="G170" i="25"/>
  <c r="F170" i="25"/>
  <c r="E170" i="25"/>
  <c r="D170" i="25"/>
  <c r="K169" i="25"/>
  <c r="J169" i="25"/>
  <c r="J211" i="25" s="1"/>
  <c r="I169" i="25"/>
  <c r="I211" i="25" s="1"/>
  <c r="H169" i="25"/>
  <c r="G169" i="25"/>
  <c r="G211" i="25" s="1"/>
  <c r="F169" i="25"/>
  <c r="F211" i="25" s="1"/>
  <c r="E169" i="25"/>
  <c r="D169" i="25"/>
  <c r="K168" i="25"/>
  <c r="J168" i="25"/>
  <c r="I168" i="25"/>
  <c r="H168" i="25"/>
  <c r="H210" i="25" s="1"/>
  <c r="G168" i="25"/>
  <c r="F168" i="25"/>
  <c r="E168" i="25"/>
  <c r="D168" i="25"/>
  <c r="K167" i="25"/>
  <c r="K209" i="25" s="1"/>
  <c r="J167" i="25"/>
  <c r="J209" i="25" s="1"/>
  <c r="I167" i="25"/>
  <c r="I209" i="25" s="1"/>
  <c r="H167" i="25"/>
  <c r="H209" i="25" s="1"/>
  <c r="G167" i="25"/>
  <c r="G209" i="25" s="1"/>
  <c r="F167" i="25"/>
  <c r="F209" i="25" s="1"/>
  <c r="E167" i="25"/>
  <c r="E209" i="25" s="1"/>
  <c r="D167" i="25"/>
  <c r="K166" i="25"/>
  <c r="J166" i="25"/>
  <c r="I166" i="25"/>
  <c r="H166" i="25"/>
  <c r="H208" i="25" s="1"/>
  <c r="G166" i="25"/>
  <c r="G208" i="25" s="1"/>
  <c r="F166" i="25"/>
  <c r="E166" i="25"/>
  <c r="D166" i="25"/>
  <c r="K165" i="25"/>
  <c r="K207" i="25" s="1"/>
  <c r="J165" i="25"/>
  <c r="J207" i="25" s="1"/>
  <c r="I165" i="25"/>
  <c r="I207" i="25" s="1"/>
  <c r="H165" i="25"/>
  <c r="H207" i="25" s="1"/>
  <c r="G165" i="25"/>
  <c r="G207" i="25" s="1"/>
  <c r="F165" i="25"/>
  <c r="F207" i="25" s="1"/>
  <c r="E165" i="25"/>
  <c r="D165" i="25"/>
  <c r="D207" i="25" s="1"/>
  <c r="K164" i="25"/>
  <c r="J164" i="25"/>
  <c r="I164" i="25"/>
  <c r="H164" i="25"/>
  <c r="G164" i="25"/>
  <c r="G206" i="25" s="1"/>
  <c r="F164" i="25"/>
  <c r="E164" i="25"/>
  <c r="D164" i="25"/>
  <c r="K163" i="25"/>
  <c r="J163" i="25"/>
  <c r="J205" i="25" s="1"/>
  <c r="I163" i="25"/>
  <c r="I205" i="25" s="1"/>
  <c r="H163" i="25"/>
  <c r="G163" i="25"/>
  <c r="G205" i="25" s="1"/>
  <c r="F163" i="25"/>
  <c r="F205" i="25" s="1"/>
  <c r="E163" i="25"/>
  <c r="D163" i="25"/>
  <c r="K162" i="25"/>
  <c r="J162" i="25"/>
  <c r="I162" i="25"/>
  <c r="H162" i="25"/>
  <c r="G162" i="25"/>
  <c r="G204" i="25" s="1"/>
  <c r="F162" i="25"/>
  <c r="E162" i="25"/>
  <c r="D162" i="25"/>
  <c r="K161" i="25"/>
  <c r="J161" i="25"/>
  <c r="J203" i="25" s="1"/>
  <c r="I161" i="25"/>
  <c r="I203" i="25" s="1"/>
  <c r="H161" i="25"/>
  <c r="G161" i="25"/>
  <c r="F161" i="25"/>
  <c r="F203" i="25" s="1"/>
  <c r="E161" i="25"/>
  <c r="E203" i="25" s="1"/>
  <c r="D161" i="25"/>
  <c r="K160" i="25"/>
  <c r="J160" i="25"/>
  <c r="I160" i="25"/>
  <c r="H160" i="25"/>
  <c r="G160" i="25"/>
  <c r="F160" i="25"/>
  <c r="E160" i="25"/>
  <c r="D160" i="25"/>
  <c r="K159" i="25"/>
  <c r="K201" i="25" s="1"/>
  <c r="J159" i="25"/>
  <c r="J201" i="25" s="1"/>
  <c r="I159" i="25"/>
  <c r="I201" i="25" s="1"/>
  <c r="H159" i="25"/>
  <c r="H201" i="25" s="1"/>
  <c r="G159" i="25"/>
  <c r="G201" i="25" s="1"/>
  <c r="F159" i="25"/>
  <c r="F201" i="25" s="1"/>
  <c r="E159" i="25"/>
  <c r="E201" i="25" s="1"/>
  <c r="D159" i="25"/>
  <c r="D201" i="25" s="1"/>
  <c r="K158" i="25"/>
  <c r="J158" i="25"/>
  <c r="I158" i="25"/>
  <c r="H158" i="25"/>
  <c r="G158" i="25"/>
  <c r="G200" i="25" s="1"/>
  <c r="F158" i="25"/>
  <c r="E158" i="25"/>
  <c r="D158" i="25"/>
  <c r="K157" i="25"/>
  <c r="K199" i="25" s="1"/>
  <c r="J157" i="25"/>
  <c r="J199" i="25" s="1"/>
  <c r="I157" i="25"/>
  <c r="I199" i="25" s="1"/>
  <c r="H157" i="25"/>
  <c r="G157" i="25"/>
  <c r="G199" i="25" s="1"/>
  <c r="F157" i="25"/>
  <c r="F199" i="25" s="1"/>
  <c r="E157" i="25"/>
  <c r="D157" i="25"/>
  <c r="D199" i="25" s="1"/>
  <c r="K156" i="25"/>
  <c r="J156" i="25"/>
  <c r="I156" i="25"/>
  <c r="H156" i="25"/>
  <c r="G156" i="25"/>
  <c r="F156" i="25"/>
  <c r="E156" i="25"/>
  <c r="D156" i="25"/>
  <c r="K155" i="25"/>
  <c r="K197" i="25" s="1"/>
  <c r="J155" i="25"/>
  <c r="J197" i="25" s="1"/>
  <c r="I155" i="25"/>
  <c r="I197" i="25" s="1"/>
  <c r="H155" i="25"/>
  <c r="G155" i="25"/>
  <c r="F155" i="25"/>
  <c r="F197" i="25" s="1"/>
  <c r="E155" i="25"/>
  <c r="D155" i="25"/>
  <c r="K154" i="25"/>
  <c r="J154" i="25"/>
  <c r="I154" i="25"/>
  <c r="H154" i="25"/>
  <c r="H196" i="25" s="1"/>
  <c r="G154" i="25"/>
  <c r="G196" i="25" s="1"/>
  <c r="F154" i="25"/>
  <c r="F196" i="25" s="1"/>
  <c r="E154" i="25"/>
  <c r="D154" i="25"/>
  <c r="K153" i="25"/>
  <c r="J153" i="25"/>
  <c r="J195" i="25" s="1"/>
  <c r="I153" i="25"/>
  <c r="I195" i="25" s="1"/>
  <c r="H153" i="25"/>
  <c r="G153" i="25"/>
  <c r="F153" i="25"/>
  <c r="F195" i="25" s="1"/>
  <c r="E153" i="25"/>
  <c r="E195" i="25" s="1"/>
  <c r="D153" i="25"/>
  <c r="K152" i="25"/>
  <c r="J152" i="25"/>
  <c r="I152" i="25"/>
  <c r="H152" i="25"/>
  <c r="G152" i="25"/>
  <c r="G194" i="25" s="1"/>
  <c r="F152" i="25"/>
  <c r="E152" i="25"/>
  <c r="D152" i="25"/>
  <c r="K151" i="25"/>
  <c r="K193" i="25" s="1"/>
  <c r="J151" i="25"/>
  <c r="J193" i="25" s="1"/>
  <c r="I151" i="25"/>
  <c r="I193" i="25" s="1"/>
  <c r="H151" i="25"/>
  <c r="H193" i="25" s="1"/>
  <c r="G151" i="25"/>
  <c r="G193" i="25" s="1"/>
  <c r="F151" i="25"/>
  <c r="F193" i="25" s="1"/>
  <c r="E151" i="25"/>
  <c r="D151" i="25"/>
  <c r="D193" i="25" s="1"/>
  <c r="K150" i="25"/>
  <c r="J150" i="25"/>
  <c r="I150" i="25"/>
  <c r="H150" i="25"/>
  <c r="G150" i="25"/>
  <c r="G192" i="25" s="1"/>
  <c r="F150" i="25"/>
  <c r="E150" i="25"/>
  <c r="D150" i="25"/>
  <c r="K149" i="25"/>
  <c r="J149" i="25"/>
  <c r="J191" i="25" s="1"/>
  <c r="I149" i="25"/>
  <c r="I191" i="25" s="1"/>
  <c r="H149" i="25"/>
  <c r="G149" i="25"/>
  <c r="G191" i="25" s="1"/>
  <c r="F149" i="25"/>
  <c r="F191" i="25" s="1"/>
  <c r="E149" i="25"/>
  <c r="D149" i="25"/>
  <c r="K148" i="25"/>
  <c r="J148" i="25"/>
  <c r="I148" i="25"/>
  <c r="H148" i="25"/>
  <c r="G148" i="25"/>
  <c r="G190" i="25" s="1"/>
  <c r="F148" i="25"/>
  <c r="E148" i="25"/>
  <c r="D148" i="25"/>
  <c r="K147" i="25"/>
  <c r="K189" i="25" s="1"/>
  <c r="J147" i="25"/>
  <c r="J189" i="25" s="1"/>
  <c r="I147" i="25"/>
  <c r="I189" i="25" s="1"/>
  <c r="H147" i="25"/>
  <c r="G147" i="25"/>
  <c r="G189" i="25" s="1"/>
  <c r="F147" i="25"/>
  <c r="F189" i="25" s="1"/>
  <c r="E147" i="25"/>
  <c r="D147" i="25"/>
  <c r="K146" i="25"/>
  <c r="J146" i="25"/>
  <c r="I146" i="25"/>
  <c r="H146" i="25"/>
  <c r="H188" i="25" s="1"/>
  <c r="G146" i="25"/>
  <c r="G188" i="25" s="1"/>
  <c r="F146" i="25"/>
  <c r="E146" i="25"/>
  <c r="D146" i="25"/>
  <c r="K145" i="25"/>
  <c r="K187" i="25" s="1"/>
  <c r="J145" i="25"/>
  <c r="J187" i="25" s="1"/>
  <c r="I145" i="25"/>
  <c r="I187" i="25" s="1"/>
  <c r="H145" i="25"/>
  <c r="G145" i="25"/>
  <c r="F145" i="25"/>
  <c r="F187" i="25" s="1"/>
  <c r="E145" i="25"/>
  <c r="E187" i="25" s="1"/>
  <c r="D145" i="25"/>
  <c r="K144" i="25"/>
  <c r="J144" i="25"/>
  <c r="I144" i="25"/>
  <c r="H144" i="25"/>
  <c r="G144" i="25"/>
  <c r="F144" i="25"/>
  <c r="E144" i="25"/>
  <c r="D144" i="25"/>
  <c r="K143" i="25"/>
  <c r="K173" i="25" s="1"/>
  <c r="J143" i="25"/>
  <c r="I143" i="25"/>
  <c r="H143" i="25"/>
  <c r="G143" i="25"/>
  <c r="F143" i="25"/>
  <c r="E143" i="25"/>
  <c r="E185" i="25" s="1"/>
  <c r="D143" i="25"/>
  <c r="D185" i="25" s="1"/>
  <c r="K142" i="25"/>
  <c r="J142" i="25"/>
  <c r="I142" i="25"/>
  <c r="H142" i="25"/>
  <c r="G142" i="25"/>
  <c r="G184" i="25" s="1"/>
  <c r="F142" i="25"/>
  <c r="E142" i="25"/>
  <c r="E173" i="25" s="1"/>
  <c r="D142" i="25"/>
  <c r="C132" i="25"/>
  <c r="G130" i="25"/>
  <c r="K129" i="25"/>
  <c r="J129" i="25"/>
  <c r="G129" i="25"/>
  <c r="G128" i="25"/>
  <c r="K127" i="25"/>
  <c r="G127" i="25"/>
  <c r="G126" i="25"/>
  <c r="K125" i="25"/>
  <c r="J125" i="25"/>
  <c r="G125" i="25"/>
  <c r="G124" i="25"/>
  <c r="K123" i="25"/>
  <c r="J123" i="25"/>
  <c r="G123" i="25"/>
  <c r="G122" i="25"/>
  <c r="K121" i="25"/>
  <c r="J121" i="25"/>
  <c r="G121" i="25"/>
  <c r="G120" i="25"/>
  <c r="K119" i="25"/>
  <c r="J119" i="25"/>
  <c r="G119" i="25"/>
  <c r="G118" i="25"/>
  <c r="K117" i="25"/>
  <c r="J117" i="25"/>
  <c r="G117" i="25"/>
  <c r="G116" i="25"/>
  <c r="K115" i="25"/>
  <c r="G115" i="25"/>
  <c r="G114" i="25"/>
  <c r="K113" i="25"/>
  <c r="J113" i="25"/>
  <c r="G113" i="25"/>
  <c r="G112" i="25"/>
  <c r="F112" i="25"/>
  <c r="D112" i="25"/>
  <c r="K111" i="25"/>
  <c r="J111" i="25"/>
  <c r="G111" i="25"/>
  <c r="G110" i="25"/>
  <c r="K109" i="25"/>
  <c r="G109" i="25"/>
  <c r="G108" i="25"/>
  <c r="K107" i="25"/>
  <c r="J107" i="25"/>
  <c r="G107" i="25"/>
  <c r="H106" i="25"/>
  <c r="G106" i="25"/>
  <c r="K105" i="25"/>
  <c r="J105" i="25"/>
  <c r="G105" i="25"/>
  <c r="G104" i="25"/>
  <c r="K103" i="25"/>
  <c r="G103" i="25"/>
  <c r="G102" i="25"/>
  <c r="K101" i="25"/>
  <c r="J101" i="25"/>
  <c r="G101" i="25"/>
  <c r="I100" i="25"/>
  <c r="G100" i="25"/>
  <c r="C90" i="25"/>
  <c r="J89" i="25"/>
  <c r="K88" i="25"/>
  <c r="J88" i="25"/>
  <c r="I88" i="25"/>
  <c r="H88" i="25"/>
  <c r="H130" i="25" s="1"/>
  <c r="G88" i="25"/>
  <c r="F88" i="25"/>
  <c r="E88" i="25"/>
  <c r="D88" i="25"/>
  <c r="K87" i="25"/>
  <c r="J87" i="25"/>
  <c r="I87" i="25"/>
  <c r="I129" i="25" s="1"/>
  <c r="H87" i="25"/>
  <c r="H129" i="25" s="1"/>
  <c r="G87" i="25"/>
  <c r="F87" i="25"/>
  <c r="F129" i="25" s="1"/>
  <c r="E87" i="25"/>
  <c r="E129" i="25" s="1"/>
  <c r="D87" i="25"/>
  <c r="D129" i="25" s="1"/>
  <c r="K86" i="25"/>
  <c r="J86" i="25"/>
  <c r="I86" i="25"/>
  <c r="H86" i="25"/>
  <c r="H128" i="25" s="1"/>
  <c r="G86" i="25"/>
  <c r="F86" i="25"/>
  <c r="E86" i="25"/>
  <c r="D86" i="25"/>
  <c r="K85" i="25"/>
  <c r="J85" i="25"/>
  <c r="J127" i="25" s="1"/>
  <c r="I85" i="25"/>
  <c r="I127" i="25" s="1"/>
  <c r="H85" i="25"/>
  <c r="H127" i="25" s="1"/>
  <c r="G85" i="25"/>
  <c r="F85" i="25"/>
  <c r="F127" i="25" s="1"/>
  <c r="E85" i="25"/>
  <c r="E127" i="25" s="1"/>
  <c r="D85" i="25"/>
  <c r="D127" i="25" s="1"/>
  <c r="K84" i="25"/>
  <c r="J84" i="25"/>
  <c r="I84" i="25"/>
  <c r="H84" i="25"/>
  <c r="H126" i="25" s="1"/>
  <c r="G84" i="25"/>
  <c r="F84" i="25"/>
  <c r="E84" i="25"/>
  <c r="D84" i="25"/>
  <c r="K83" i="25"/>
  <c r="J83" i="25"/>
  <c r="I83" i="25"/>
  <c r="I125" i="25" s="1"/>
  <c r="H83" i="25"/>
  <c r="H125" i="25" s="1"/>
  <c r="G83" i="25"/>
  <c r="F83" i="25"/>
  <c r="F125" i="25" s="1"/>
  <c r="E83" i="25"/>
  <c r="E125" i="25" s="1"/>
  <c r="D83" i="25"/>
  <c r="D125" i="25" s="1"/>
  <c r="K82" i="25"/>
  <c r="J82" i="25"/>
  <c r="I82" i="25"/>
  <c r="H82" i="25"/>
  <c r="H124" i="25" s="1"/>
  <c r="G82" i="25"/>
  <c r="F82" i="25"/>
  <c r="E82" i="25"/>
  <c r="D82" i="25"/>
  <c r="K81" i="25"/>
  <c r="J81" i="25"/>
  <c r="I81" i="25"/>
  <c r="I123" i="25" s="1"/>
  <c r="H81" i="25"/>
  <c r="H123" i="25" s="1"/>
  <c r="G81" i="25"/>
  <c r="F81" i="25"/>
  <c r="F123" i="25" s="1"/>
  <c r="E81" i="25"/>
  <c r="E123" i="25" s="1"/>
  <c r="D81" i="25"/>
  <c r="D123" i="25" s="1"/>
  <c r="K80" i="25"/>
  <c r="J80" i="25"/>
  <c r="I80" i="25"/>
  <c r="H80" i="25"/>
  <c r="H122" i="25" s="1"/>
  <c r="G80" i="25"/>
  <c r="F80" i="25"/>
  <c r="E80" i="25"/>
  <c r="D80" i="25"/>
  <c r="K79" i="25"/>
  <c r="J79" i="25"/>
  <c r="I79" i="25"/>
  <c r="I121" i="25" s="1"/>
  <c r="H79" i="25"/>
  <c r="H121" i="25" s="1"/>
  <c r="G79" i="25"/>
  <c r="F79" i="25"/>
  <c r="F121" i="25" s="1"/>
  <c r="E79" i="25"/>
  <c r="E121" i="25" s="1"/>
  <c r="D79" i="25"/>
  <c r="D121" i="25" s="1"/>
  <c r="K78" i="25"/>
  <c r="J78" i="25"/>
  <c r="I78" i="25"/>
  <c r="H78" i="25"/>
  <c r="H120" i="25" s="1"/>
  <c r="G78" i="25"/>
  <c r="F78" i="25"/>
  <c r="E78" i="25"/>
  <c r="D78" i="25"/>
  <c r="K77" i="25"/>
  <c r="J77" i="25"/>
  <c r="I77" i="25"/>
  <c r="I119" i="25" s="1"/>
  <c r="H77" i="25"/>
  <c r="H119" i="25" s="1"/>
  <c r="G77" i="25"/>
  <c r="F77" i="25"/>
  <c r="F119" i="25" s="1"/>
  <c r="E77" i="25"/>
  <c r="E119" i="25" s="1"/>
  <c r="D77" i="25"/>
  <c r="D119" i="25" s="1"/>
  <c r="K76" i="25"/>
  <c r="J76" i="25"/>
  <c r="I76" i="25"/>
  <c r="H76" i="25"/>
  <c r="H118" i="25" s="1"/>
  <c r="G76" i="25"/>
  <c r="F76" i="25"/>
  <c r="E76" i="25"/>
  <c r="D76" i="25"/>
  <c r="K75" i="25"/>
  <c r="J75" i="25"/>
  <c r="I75" i="25"/>
  <c r="I117" i="25" s="1"/>
  <c r="H75" i="25"/>
  <c r="H117" i="25" s="1"/>
  <c r="G75" i="25"/>
  <c r="F75" i="25"/>
  <c r="F117" i="25" s="1"/>
  <c r="E75" i="25"/>
  <c r="E117" i="25" s="1"/>
  <c r="D75" i="25"/>
  <c r="D117" i="25" s="1"/>
  <c r="K74" i="25"/>
  <c r="J74" i="25"/>
  <c r="I74" i="25"/>
  <c r="H74" i="25"/>
  <c r="H116" i="25" s="1"/>
  <c r="G74" i="25"/>
  <c r="F74" i="25"/>
  <c r="E74" i="25"/>
  <c r="D74" i="25"/>
  <c r="K73" i="25"/>
  <c r="J73" i="25"/>
  <c r="J115" i="25" s="1"/>
  <c r="I73" i="25"/>
  <c r="I115" i="25" s="1"/>
  <c r="H73" i="25"/>
  <c r="H115" i="25" s="1"/>
  <c r="G73" i="25"/>
  <c r="F73" i="25"/>
  <c r="F115" i="25" s="1"/>
  <c r="E73" i="25"/>
  <c r="E115" i="25" s="1"/>
  <c r="D73" i="25"/>
  <c r="D115" i="25" s="1"/>
  <c r="K72" i="25"/>
  <c r="J72" i="25"/>
  <c r="I72" i="25"/>
  <c r="H72" i="25"/>
  <c r="H114" i="25" s="1"/>
  <c r="G72" i="25"/>
  <c r="F72" i="25"/>
  <c r="E72" i="25"/>
  <c r="D72" i="25"/>
  <c r="K71" i="25"/>
  <c r="J71" i="25"/>
  <c r="I71" i="25"/>
  <c r="I113" i="25" s="1"/>
  <c r="H71" i="25"/>
  <c r="H113" i="25" s="1"/>
  <c r="G71" i="25"/>
  <c r="F71" i="25"/>
  <c r="E71" i="25"/>
  <c r="E113" i="25" s="1"/>
  <c r="D71" i="25"/>
  <c r="D113" i="25" s="1"/>
  <c r="K70" i="25"/>
  <c r="J70" i="25"/>
  <c r="I70" i="25"/>
  <c r="H70" i="25"/>
  <c r="H112" i="25" s="1"/>
  <c r="G70" i="25"/>
  <c r="F70" i="25"/>
  <c r="E70" i="25"/>
  <c r="E112" i="25" s="1"/>
  <c r="D70" i="25"/>
  <c r="K69" i="25"/>
  <c r="J69" i="25"/>
  <c r="I69" i="25"/>
  <c r="I111" i="25" s="1"/>
  <c r="H69" i="25"/>
  <c r="H111" i="25" s="1"/>
  <c r="G69" i="25"/>
  <c r="F69" i="25"/>
  <c r="E69" i="25"/>
  <c r="E111" i="25" s="1"/>
  <c r="D69" i="25"/>
  <c r="D111" i="25" s="1"/>
  <c r="K68" i="25"/>
  <c r="J68" i="25"/>
  <c r="I68" i="25"/>
  <c r="H68" i="25"/>
  <c r="H110" i="25" s="1"/>
  <c r="G68" i="25"/>
  <c r="F68" i="25"/>
  <c r="E68" i="25"/>
  <c r="D68" i="25"/>
  <c r="K67" i="25"/>
  <c r="J67" i="25"/>
  <c r="J109" i="25" s="1"/>
  <c r="I67" i="25"/>
  <c r="I109" i="25" s="1"/>
  <c r="H67" i="25"/>
  <c r="H109" i="25" s="1"/>
  <c r="G67" i="25"/>
  <c r="F67" i="25"/>
  <c r="E67" i="25"/>
  <c r="E109" i="25" s="1"/>
  <c r="D67" i="25"/>
  <c r="D109" i="25" s="1"/>
  <c r="K66" i="25"/>
  <c r="J66" i="25"/>
  <c r="I66" i="25"/>
  <c r="H66" i="25"/>
  <c r="H108" i="25" s="1"/>
  <c r="G66" i="25"/>
  <c r="F66" i="25"/>
  <c r="E66" i="25"/>
  <c r="D66" i="25"/>
  <c r="K65" i="25"/>
  <c r="J65" i="25"/>
  <c r="I65" i="25"/>
  <c r="I107" i="25" s="1"/>
  <c r="H65" i="25"/>
  <c r="H107" i="25" s="1"/>
  <c r="G65" i="25"/>
  <c r="F65" i="25"/>
  <c r="E65" i="25"/>
  <c r="E107" i="25" s="1"/>
  <c r="D65" i="25"/>
  <c r="D107" i="25" s="1"/>
  <c r="K64" i="25"/>
  <c r="J64" i="25"/>
  <c r="I64" i="25"/>
  <c r="H64" i="25"/>
  <c r="G64" i="25"/>
  <c r="F64" i="25"/>
  <c r="E64" i="25"/>
  <c r="D64" i="25"/>
  <c r="K63" i="25"/>
  <c r="J63" i="25"/>
  <c r="I63" i="25"/>
  <c r="I105" i="25" s="1"/>
  <c r="H63" i="25"/>
  <c r="H105" i="25" s="1"/>
  <c r="G63" i="25"/>
  <c r="F63" i="25"/>
  <c r="E63" i="25"/>
  <c r="E105" i="25" s="1"/>
  <c r="D63" i="25"/>
  <c r="D105" i="25" s="1"/>
  <c r="K62" i="25"/>
  <c r="J62" i="25"/>
  <c r="I62" i="25"/>
  <c r="H62" i="25"/>
  <c r="H104" i="25" s="1"/>
  <c r="G62" i="25"/>
  <c r="F62" i="25"/>
  <c r="E62" i="25"/>
  <c r="D62" i="25"/>
  <c r="K61" i="25"/>
  <c r="J61" i="25"/>
  <c r="I61" i="25"/>
  <c r="I103" i="25" s="1"/>
  <c r="H61" i="25"/>
  <c r="H103" i="25" s="1"/>
  <c r="G61" i="25"/>
  <c r="F61" i="25"/>
  <c r="E61" i="25"/>
  <c r="E103" i="25" s="1"/>
  <c r="D61" i="25"/>
  <c r="D103" i="25" s="1"/>
  <c r="K60" i="25"/>
  <c r="J60" i="25"/>
  <c r="I60" i="25"/>
  <c r="H60" i="25"/>
  <c r="H102" i="25" s="1"/>
  <c r="G60" i="25"/>
  <c r="F60" i="25"/>
  <c r="E60" i="25"/>
  <c r="D60" i="25"/>
  <c r="K59" i="25"/>
  <c r="J59" i="25"/>
  <c r="I59" i="25"/>
  <c r="I101" i="25" s="1"/>
  <c r="H59" i="25"/>
  <c r="H101" i="25" s="1"/>
  <c r="G59" i="25"/>
  <c r="G89" i="25" s="1"/>
  <c r="F59" i="25"/>
  <c r="E59" i="25"/>
  <c r="D59" i="25"/>
  <c r="D101" i="25" s="1"/>
  <c r="K58" i="25"/>
  <c r="J58" i="25"/>
  <c r="I58" i="25"/>
  <c r="H58" i="25"/>
  <c r="H89" i="25" s="1"/>
  <c r="G58" i="25"/>
  <c r="F58" i="25"/>
  <c r="F89" i="25" s="1"/>
  <c r="E58" i="25"/>
  <c r="D58" i="25"/>
  <c r="C47" i="25"/>
  <c r="K45" i="25"/>
  <c r="J45" i="25"/>
  <c r="I45" i="25"/>
  <c r="I130" i="25" s="1"/>
  <c r="H45" i="25"/>
  <c r="G45" i="25"/>
  <c r="G297" i="25" s="1"/>
  <c r="F45" i="25"/>
  <c r="E45" i="25"/>
  <c r="E297" i="25" s="1"/>
  <c r="D45" i="25"/>
  <c r="K44" i="25"/>
  <c r="K296" i="25" s="1"/>
  <c r="J44" i="25"/>
  <c r="I44" i="25"/>
  <c r="H44" i="25"/>
  <c r="H213" i="25" s="1"/>
  <c r="G44" i="25"/>
  <c r="F44" i="25"/>
  <c r="E44" i="25"/>
  <c r="E213" i="25" s="1"/>
  <c r="D44" i="25"/>
  <c r="K43" i="25"/>
  <c r="K295" i="25" s="1"/>
  <c r="J43" i="25"/>
  <c r="J295" i="25" s="1"/>
  <c r="I43" i="25"/>
  <c r="H43" i="25"/>
  <c r="G43" i="25"/>
  <c r="G295" i="25" s="1"/>
  <c r="F43" i="25"/>
  <c r="E43" i="25"/>
  <c r="E295" i="25" s="1"/>
  <c r="D43" i="25"/>
  <c r="K42" i="25"/>
  <c r="J42" i="25"/>
  <c r="I42" i="25"/>
  <c r="H42" i="25"/>
  <c r="G42" i="25"/>
  <c r="F42" i="25"/>
  <c r="E42" i="25"/>
  <c r="D42" i="25"/>
  <c r="K41" i="25"/>
  <c r="K210" i="25" s="1"/>
  <c r="J41" i="25"/>
  <c r="J293" i="25" s="1"/>
  <c r="I41" i="25"/>
  <c r="I126" i="25" s="1"/>
  <c r="H41" i="25"/>
  <c r="G41" i="25"/>
  <c r="G293" i="25" s="1"/>
  <c r="F41" i="25"/>
  <c r="E41" i="25"/>
  <c r="D41" i="25"/>
  <c r="D126" i="25" s="1"/>
  <c r="K40" i="25"/>
  <c r="J40" i="25"/>
  <c r="J292" i="25" s="1"/>
  <c r="I40" i="25"/>
  <c r="H40" i="25"/>
  <c r="G40" i="25"/>
  <c r="G292" i="25" s="1"/>
  <c r="F40" i="25"/>
  <c r="E40" i="25"/>
  <c r="D40" i="25"/>
  <c r="K39" i="25"/>
  <c r="J39" i="25"/>
  <c r="I39" i="25"/>
  <c r="I208" i="25" s="1"/>
  <c r="H39" i="25"/>
  <c r="G39" i="25"/>
  <c r="G291" i="25" s="1"/>
  <c r="F39" i="25"/>
  <c r="E39" i="25"/>
  <c r="D39" i="25"/>
  <c r="K38" i="25"/>
  <c r="J38" i="25"/>
  <c r="I38" i="25"/>
  <c r="H38" i="25"/>
  <c r="G38" i="25"/>
  <c r="G290" i="25" s="1"/>
  <c r="F38" i="25"/>
  <c r="E38" i="25"/>
  <c r="E207" i="25" s="1"/>
  <c r="D38" i="25"/>
  <c r="K37" i="25"/>
  <c r="K289" i="25" s="1"/>
  <c r="J37" i="25"/>
  <c r="I37" i="25"/>
  <c r="I206" i="25" s="1"/>
  <c r="H37" i="25"/>
  <c r="G37" i="25"/>
  <c r="F37" i="25"/>
  <c r="E37" i="25"/>
  <c r="D37" i="25"/>
  <c r="K36" i="25"/>
  <c r="J36" i="25"/>
  <c r="I36" i="25"/>
  <c r="H36" i="25"/>
  <c r="G36" i="25"/>
  <c r="F36" i="25"/>
  <c r="E36" i="25"/>
  <c r="E205" i="25" s="1"/>
  <c r="D36" i="25"/>
  <c r="D205" i="25" s="1"/>
  <c r="K35" i="25"/>
  <c r="K287" i="25" s="1"/>
  <c r="J35" i="25"/>
  <c r="J287" i="25" s="1"/>
  <c r="I35" i="25"/>
  <c r="I204" i="25" s="1"/>
  <c r="H35" i="25"/>
  <c r="G35" i="25"/>
  <c r="F35" i="25"/>
  <c r="E35" i="25"/>
  <c r="E287" i="25" s="1"/>
  <c r="D35" i="25"/>
  <c r="K34" i="25"/>
  <c r="K286" i="25" s="1"/>
  <c r="J34" i="25"/>
  <c r="J286" i="25" s="1"/>
  <c r="I34" i="25"/>
  <c r="H34" i="25"/>
  <c r="H203" i="25" s="1"/>
  <c r="G34" i="25"/>
  <c r="F34" i="25"/>
  <c r="E34" i="25"/>
  <c r="D34" i="25"/>
  <c r="D203" i="25" s="1"/>
  <c r="K33" i="25"/>
  <c r="J33" i="25"/>
  <c r="J285" i="25" s="1"/>
  <c r="I33" i="25"/>
  <c r="I202" i="25" s="1"/>
  <c r="H33" i="25"/>
  <c r="G33" i="25"/>
  <c r="F33" i="25"/>
  <c r="E33" i="25"/>
  <c r="E285" i="25" s="1"/>
  <c r="D33" i="25"/>
  <c r="D118" i="25" s="1"/>
  <c r="K32" i="25"/>
  <c r="J32" i="25"/>
  <c r="J284" i="25" s="1"/>
  <c r="I32" i="25"/>
  <c r="H32" i="25"/>
  <c r="G32" i="25"/>
  <c r="G284" i="25" s="1"/>
  <c r="F32" i="25"/>
  <c r="E32" i="25"/>
  <c r="D32" i="25"/>
  <c r="K31" i="25"/>
  <c r="K283" i="25" s="1"/>
  <c r="J31" i="25"/>
  <c r="J283" i="25" s="1"/>
  <c r="I31" i="25"/>
  <c r="I116" i="25" s="1"/>
  <c r="H31" i="25"/>
  <c r="G31" i="25"/>
  <c r="F31" i="25"/>
  <c r="F116" i="25" s="1"/>
  <c r="E31" i="25"/>
  <c r="E283" i="25" s="1"/>
  <c r="D31" i="25"/>
  <c r="K30" i="25"/>
  <c r="J30" i="25"/>
  <c r="J282" i="25" s="1"/>
  <c r="I30" i="25"/>
  <c r="H30" i="25"/>
  <c r="G30" i="25"/>
  <c r="G282" i="25" s="1"/>
  <c r="F30" i="25"/>
  <c r="E30" i="25"/>
  <c r="E199" i="25" s="1"/>
  <c r="D30" i="25"/>
  <c r="K29" i="25"/>
  <c r="K281" i="25" s="1"/>
  <c r="J29" i="25"/>
  <c r="J281" i="25" s="1"/>
  <c r="I29" i="25"/>
  <c r="I198" i="25" s="1"/>
  <c r="H29" i="25"/>
  <c r="G29" i="25"/>
  <c r="F29" i="25"/>
  <c r="E29" i="25"/>
  <c r="D29" i="25"/>
  <c r="D114" i="25" s="1"/>
  <c r="K28" i="25"/>
  <c r="K280" i="25" s="1"/>
  <c r="J28" i="25"/>
  <c r="I28" i="25"/>
  <c r="H28" i="25"/>
  <c r="G28" i="25"/>
  <c r="F28" i="25"/>
  <c r="E28" i="25"/>
  <c r="E197" i="25" s="1"/>
  <c r="D28" i="25"/>
  <c r="K27" i="25"/>
  <c r="J27" i="25"/>
  <c r="J279" i="25" s="1"/>
  <c r="I27" i="25"/>
  <c r="I196" i="25" s="1"/>
  <c r="H27" i="25"/>
  <c r="G27" i="25"/>
  <c r="F27" i="25"/>
  <c r="E27" i="25"/>
  <c r="D27" i="25"/>
  <c r="K26" i="25"/>
  <c r="K278" i="25" s="1"/>
  <c r="J26" i="25"/>
  <c r="J278" i="25" s="1"/>
  <c r="I26" i="25"/>
  <c r="H26" i="25"/>
  <c r="H195" i="25" s="1"/>
  <c r="G26" i="25"/>
  <c r="G278" i="25" s="1"/>
  <c r="F26" i="25"/>
  <c r="E26" i="25"/>
  <c r="D26" i="25"/>
  <c r="D195" i="25" s="1"/>
  <c r="K25" i="25"/>
  <c r="K194" i="25" s="1"/>
  <c r="J25" i="25"/>
  <c r="J277" i="25" s="1"/>
  <c r="I25" i="25"/>
  <c r="I277" i="25" s="1"/>
  <c r="H25" i="25"/>
  <c r="G25" i="25"/>
  <c r="F25" i="25"/>
  <c r="F110" i="25" s="1"/>
  <c r="E25" i="25"/>
  <c r="E277" i="25" s="1"/>
  <c r="D25" i="25"/>
  <c r="D110" i="25" s="1"/>
  <c r="K24" i="25"/>
  <c r="J24" i="25"/>
  <c r="J276" i="25" s="1"/>
  <c r="I24" i="25"/>
  <c r="H24" i="25"/>
  <c r="G24" i="25"/>
  <c r="G276" i="25" s="1"/>
  <c r="F24" i="25"/>
  <c r="E24" i="25"/>
  <c r="E193" i="25" s="1"/>
  <c r="D24" i="25"/>
  <c r="K23" i="25"/>
  <c r="J23" i="25"/>
  <c r="I23" i="25"/>
  <c r="I108" i="25" s="1"/>
  <c r="H23" i="25"/>
  <c r="G23" i="25"/>
  <c r="F23" i="25"/>
  <c r="F108" i="25" s="1"/>
  <c r="E23" i="25"/>
  <c r="E275" i="25" s="1"/>
  <c r="D23" i="25"/>
  <c r="D108" i="25" s="1"/>
  <c r="K22" i="25"/>
  <c r="J22" i="25"/>
  <c r="I22" i="25"/>
  <c r="H22" i="25"/>
  <c r="H191" i="25" s="1"/>
  <c r="G22" i="25"/>
  <c r="F22" i="25"/>
  <c r="E22" i="25"/>
  <c r="E191" i="25" s="1"/>
  <c r="D22" i="25"/>
  <c r="K21" i="25"/>
  <c r="J21" i="25"/>
  <c r="I21" i="25"/>
  <c r="I190" i="25" s="1"/>
  <c r="H21" i="25"/>
  <c r="G21" i="25"/>
  <c r="F21" i="25"/>
  <c r="F106" i="25" s="1"/>
  <c r="E21" i="25"/>
  <c r="E273" i="25" s="1"/>
  <c r="D21" i="25"/>
  <c r="K20" i="25"/>
  <c r="K272" i="25" s="1"/>
  <c r="J20" i="25"/>
  <c r="J272" i="25" s="1"/>
  <c r="I20" i="25"/>
  <c r="H20" i="25"/>
  <c r="G20" i="25"/>
  <c r="F20" i="25"/>
  <c r="E20" i="25"/>
  <c r="E189" i="25" s="1"/>
  <c r="D20" i="25"/>
  <c r="K19" i="25"/>
  <c r="J19" i="25"/>
  <c r="J271" i="25" s="1"/>
  <c r="I19" i="25"/>
  <c r="I188" i="25" s="1"/>
  <c r="H19" i="25"/>
  <c r="G19" i="25"/>
  <c r="F19" i="25"/>
  <c r="F104" i="25" s="1"/>
  <c r="E19" i="25"/>
  <c r="E271" i="25" s="1"/>
  <c r="D19" i="25"/>
  <c r="K18" i="25"/>
  <c r="K270" i="25" s="1"/>
  <c r="J18" i="25"/>
  <c r="J270" i="25" s="1"/>
  <c r="I18" i="25"/>
  <c r="H18" i="25"/>
  <c r="H187" i="25" s="1"/>
  <c r="G18" i="25"/>
  <c r="G270" i="25" s="1"/>
  <c r="F18" i="25"/>
  <c r="E18" i="25"/>
  <c r="D18" i="25"/>
  <c r="D187" i="25" s="1"/>
  <c r="K17" i="25"/>
  <c r="K186" i="25" s="1"/>
  <c r="J17" i="25"/>
  <c r="I17" i="25"/>
  <c r="I269" i="25" s="1"/>
  <c r="H17" i="25"/>
  <c r="G17" i="25"/>
  <c r="F17" i="25"/>
  <c r="E17" i="25"/>
  <c r="E269" i="25" s="1"/>
  <c r="D17" i="25"/>
  <c r="D102" i="25" s="1"/>
  <c r="K16" i="25"/>
  <c r="J16" i="25"/>
  <c r="I16" i="25"/>
  <c r="H16" i="25"/>
  <c r="G16" i="25"/>
  <c r="G268" i="25" s="1"/>
  <c r="F16" i="25"/>
  <c r="E16" i="25"/>
  <c r="D16" i="25"/>
  <c r="K15" i="25"/>
  <c r="J15" i="25"/>
  <c r="I15" i="25"/>
  <c r="I184" i="25" s="1"/>
  <c r="H15" i="25"/>
  <c r="H46" i="25" s="1"/>
  <c r="G15" i="25"/>
  <c r="G46" i="25" s="1"/>
  <c r="F15" i="25"/>
  <c r="E15" i="25"/>
  <c r="D15" i="25"/>
  <c r="T275" i="24"/>
  <c r="P272" i="24"/>
  <c r="M272" i="24"/>
  <c r="L272" i="24"/>
  <c r="H272" i="24"/>
  <c r="G272" i="24"/>
  <c r="E272" i="24"/>
  <c r="F270" i="24"/>
  <c r="V258" i="24"/>
  <c r="V236" i="24"/>
  <c r="U236" i="24"/>
  <c r="T236" i="24"/>
  <c r="S236" i="24"/>
  <c r="R236" i="24"/>
  <c r="Q236" i="24"/>
  <c r="P236" i="24"/>
  <c r="O236" i="24"/>
  <c r="N236" i="24"/>
  <c r="M236" i="24"/>
  <c r="L236" i="24"/>
  <c r="K236" i="24"/>
  <c r="J236" i="24"/>
  <c r="I236" i="24"/>
  <c r="H236" i="24"/>
  <c r="G236" i="24"/>
  <c r="F236" i="24"/>
  <c r="E236" i="24"/>
  <c r="D236" i="24"/>
  <c r="V235" i="24"/>
  <c r="U235" i="24"/>
  <c r="T235" i="24"/>
  <c r="S235" i="24"/>
  <c r="R235" i="24"/>
  <c r="Q235" i="24"/>
  <c r="Q274" i="24" s="1"/>
  <c r="P235" i="24"/>
  <c r="O235" i="24"/>
  <c r="N235" i="24"/>
  <c r="M235" i="24"/>
  <c r="L235" i="24"/>
  <c r="K235" i="24"/>
  <c r="J235" i="24"/>
  <c r="I235" i="24"/>
  <c r="H235" i="24"/>
  <c r="G235" i="24"/>
  <c r="F235" i="24"/>
  <c r="E235" i="24"/>
  <c r="D235" i="24"/>
  <c r="V234" i="24"/>
  <c r="U234" i="24"/>
  <c r="T234" i="24"/>
  <c r="S234" i="24"/>
  <c r="R234" i="24"/>
  <c r="Q234" i="24"/>
  <c r="P234" i="24"/>
  <c r="O234" i="24"/>
  <c r="N234" i="24"/>
  <c r="M234" i="24"/>
  <c r="L234" i="24"/>
  <c r="K234" i="24"/>
  <c r="J234" i="24"/>
  <c r="I234" i="24"/>
  <c r="H234" i="24"/>
  <c r="G234" i="24"/>
  <c r="F234" i="24"/>
  <c r="E234" i="24"/>
  <c r="D234" i="24"/>
  <c r="V233" i="24"/>
  <c r="U233" i="24"/>
  <c r="U272" i="24" s="1"/>
  <c r="T233" i="24"/>
  <c r="T272" i="24" s="1"/>
  <c r="S233" i="24"/>
  <c r="S272" i="24" s="1"/>
  <c r="R233" i="24"/>
  <c r="R272" i="24" s="1"/>
  <c r="Q233" i="24"/>
  <c r="Q272" i="24" s="1"/>
  <c r="P233" i="24"/>
  <c r="O233" i="24"/>
  <c r="O272" i="24" s="1"/>
  <c r="N233" i="24"/>
  <c r="N272" i="24" s="1"/>
  <c r="M233" i="24"/>
  <c r="L233" i="24"/>
  <c r="K233" i="24"/>
  <c r="K272" i="24" s="1"/>
  <c r="J233" i="24"/>
  <c r="J272" i="24" s="1"/>
  <c r="I233" i="24"/>
  <c r="I272" i="24" s="1"/>
  <c r="H233" i="24"/>
  <c r="G233" i="24"/>
  <c r="F233" i="24"/>
  <c r="F272" i="24" s="1"/>
  <c r="E233" i="24"/>
  <c r="D233" i="24"/>
  <c r="D272" i="24" s="1"/>
  <c r="V232" i="24"/>
  <c r="U232" i="24"/>
  <c r="T232" i="24"/>
  <c r="S232" i="24"/>
  <c r="R232" i="24"/>
  <c r="Q232" i="24"/>
  <c r="P232" i="24"/>
  <c r="O232" i="24"/>
  <c r="N232" i="24"/>
  <c r="M232" i="24"/>
  <c r="L232" i="24"/>
  <c r="K232" i="24"/>
  <c r="J232" i="24"/>
  <c r="I232" i="24"/>
  <c r="H232" i="24"/>
  <c r="G232" i="24"/>
  <c r="F232" i="24"/>
  <c r="E232" i="24"/>
  <c r="D232" i="24"/>
  <c r="V231" i="24"/>
  <c r="U231" i="24"/>
  <c r="T231" i="24"/>
  <c r="S231" i="24"/>
  <c r="R231" i="24"/>
  <c r="Q231" i="24"/>
  <c r="P231" i="24"/>
  <c r="O231" i="24"/>
  <c r="N231" i="24"/>
  <c r="M231" i="24"/>
  <c r="L231" i="24"/>
  <c r="K231" i="24"/>
  <c r="J231" i="24"/>
  <c r="I231" i="24"/>
  <c r="H231" i="24"/>
  <c r="G231" i="24"/>
  <c r="G270" i="24" s="1"/>
  <c r="F231" i="24"/>
  <c r="E231" i="24"/>
  <c r="E270" i="24" s="1"/>
  <c r="D231" i="24"/>
  <c r="D270" i="24" s="1"/>
  <c r="V230" i="24"/>
  <c r="U230" i="24"/>
  <c r="T230" i="24"/>
  <c r="S230" i="24"/>
  <c r="R230" i="24"/>
  <c r="Q230" i="24"/>
  <c r="P230" i="24"/>
  <c r="O230" i="24"/>
  <c r="N230" i="24"/>
  <c r="M230" i="24"/>
  <c r="L230" i="24"/>
  <c r="K230" i="24"/>
  <c r="J230" i="24"/>
  <c r="I230" i="24"/>
  <c r="H230" i="24"/>
  <c r="G230" i="24"/>
  <c r="F230" i="24"/>
  <c r="F269" i="24" s="1"/>
  <c r="E230" i="24"/>
  <c r="E269" i="24" s="1"/>
  <c r="D230" i="24"/>
  <c r="V229" i="24"/>
  <c r="U229" i="24"/>
  <c r="T229" i="24"/>
  <c r="S229" i="24"/>
  <c r="S268" i="24" s="1"/>
  <c r="R229" i="24"/>
  <c r="Q229" i="24"/>
  <c r="P229" i="24"/>
  <c r="O229" i="24"/>
  <c r="N229" i="24"/>
  <c r="M229" i="24"/>
  <c r="L229" i="24"/>
  <c r="K229" i="24"/>
  <c r="J229" i="24"/>
  <c r="I229" i="24"/>
  <c r="H229" i="24"/>
  <c r="G229" i="24"/>
  <c r="F229" i="24"/>
  <c r="E229" i="24"/>
  <c r="D229" i="24"/>
  <c r="V228" i="24"/>
  <c r="U228" i="24"/>
  <c r="T228" i="24"/>
  <c r="S228" i="24"/>
  <c r="R228" i="24"/>
  <c r="Q228" i="24"/>
  <c r="P228" i="24"/>
  <c r="O228" i="24"/>
  <c r="N228" i="24"/>
  <c r="M228" i="24"/>
  <c r="L228" i="24"/>
  <c r="K228" i="24"/>
  <c r="J228" i="24"/>
  <c r="I228" i="24"/>
  <c r="H228" i="24"/>
  <c r="G228" i="24"/>
  <c r="F228" i="24"/>
  <c r="E228" i="24"/>
  <c r="D228" i="24"/>
  <c r="V227" i="24"/>
  <c r="U227" i="24"/>
  <c r="T227" i="24"/>
  <c r="S227" i="24"/>
  <c r="R227" i="24"/>
  <c r="Q227" i="24"/>
  <c r="P227" i="24"/>
  <c r="O227" i="24"/>
  <c r="N227" i="24"/>
  <c r="M227" i="24"/>
  <c r="L227" i="24"/>
  <c r="K227" i="24"/>
  <c r="J227" i="24"/>
  <c r="I227" i="24"/>
  <c r="H227" i="24"/>
  <c r="G227" i="24"/>
  <c r="F227" i="24"/>
  <c r="E227" i="24"/>
  <c r="D227" i="24"/>
  <c r="V226" i="24"/>
  <c r="U226" i="24"/>
  <c r="T226" i="24"/>
  <c r="S226" i="24"/>
  <c r="R226" i="24"/>
  <c r="Q226" i="24"/>
  <c r="P226" i="24"/>
  <c r="O226" i="24"/>
  <c r="N226" i="24"/>
  <c r="M226" i="24"/>
  <c r="L226" i="24"/>
  <c r="K226" i="24"/>
  <c r="J226" i="24"/>
  <c r="I226" i="24"/>
  <c r="H226" i="24"/>
  <c r="G226" i="24"/>
  <c r="F226" i="24"/>
  <c r="E226" i="24"/>
  <c r="D226" i="24"/>
  <c r="V225" i="24"/>
  <c r="U225" i="24"/>
  <c r="T225" i="24"/>
  <c r="S225" i="24"/>
  <c r="R225" i="24"/>
  <c r="Q225" i="24"/>
  <c r="P225" i="24"/>
  <c r="O225" i="24"/>
  <c r="N225" i="24"/>
  <c r="M225" i="24"/>
  <c r="L225" i="24"/>
  <c r="K225" i="24"/>
  <c r="J225" i="24"/>
  <c r="I225" i="24"/>
  <c r="H225" i="24"/>
  <c r="G225" i="24"/>
  <c r="F225" i="24"/>
  <c r="E225" i="24"/>
  <c r="D225" i="24"/>
  <c r="V224" i="24"/>
  <c r="U224" i="24"/>
  <c r="T224" i="24"/>
  <c r="S224" i="24"/>
  <c r="R224" i="24"/>
  <c r="Q224" i="24"/>
  <c r="P224" i="24"/>
  <c r="O224" i="24"/>
  <c r="N224" i="24"/>
  <c r="M224" i="24"/>
  <c r="L224" i="24"/>
  <c r="K224" i="24"/>
  <c r="J224" i="24"/>
  <c r="I224" i="24"/>
  <c r="H224" i="24"/>
  <c r="G224" i="24"/>
  <c r="F224" i="24"/>
  <c r="E224" i="24"/>
  <c r="D224" i="24"/>
  <c r="V223" i="24"/>
  <c r="U223" i="24"/>
  <c r="T223" i="24"/>
  <c r="S223" i="24"/>
  <c r="R223" i="24"/>
  <c r="Q223" i="24"/>
  <c r="P223" i="24"/>
  <c r="O223" i="24"/>
  <c r="O262" i="24" s="1"/>
  <c r="N223" i="24"/>
  <c r="M223" i="24"/>
  <c r="L223" i="24"/>
  <c r="K223" i="24"/>
  <c r="K262" i="24" s="1"/>
  <c r="J223" i="24"/>
  <c r="J262" i="24" s="1"/>
  <c r="I223" i="24"/>
  <c r="I262" i="24" s="1"/>
  <c r="H223" i="24"/>
  <c r="H262" i="24" s="1"/>
  <c r="G223" i="24"/>
  <c r="G262" i="24" s="1"/>
  <c r="F223" i="24"/>
  <c r="E223" i="24"/>
  <c r="E262" i="24" s="1"/>
  <c r="D223" i="24"/>
  <c r="V222" i="24"/>
  <c r="U222" i="24"/>
  <c r="T222" i="24"/>
  <c r="S222" i="24"/>
  <c r="R222" i="24"/>
  <c r="Q222" i="24"/>
  <c r="P222" i="24"/>
  <c r="O222" i="24"/>
  <c r="N222" i="24"/>
  <c r="M222" i="24"/>
  <c r="L222" i="24"/>
  <c r="K222" i="24"/>
  <c r="J222" i="24"/>
  <c r="I222" i="24"/>
  <c r="H222" i="24"/>
  <c r="G222" i="24"/>
  <c r="F222" i="24"/>
  <c r="E222" i="24"/>
  <c r="D222" i="24"/>
  <c r="V221" i="24"/>
  <c r="U221" i="24"/>
  <c r="T221" i="24"/>
  <c r="S221" i="24"/>
  <c r="R221" i="24"/>
  <c r="Q221" i="24"/>
  <c r="P221" i="24"/>
  <c r="O221" i="24"/>
  <c r="N221" i="24"/>
  <c r="M221" i="24"/>
  <c r="L221" i="24"/>
  <c r="K221" i="24"/>
  <c r="J221" i="24"/>
  <c r="I221" i="24"/>
  <c r="H221" i="24"/>
  <c r="G221" i="24"/>
  <c r="F221" i="24"/>
  <c r="E221" i="24"/>
  <c r="D221" i="24"/>
  <c r="R220" i="24"/>
  <c r="V219" i="24"/>
  <c r="U219" i="24"/>
  <c r="T219" i="24"/>
  <c r="S219" i="24"/>
  <c r="R219" i="24"/>
  <c r="Q219" i="24"/>
  <c r="P219" i="24"/>
  <c r="O219" i="24"/>
  <c r="O258" i="24" s="1"/>
  <c r="N219" i="24"/>
  <c r="M219" i="24"/>
  <c r="L219" i="24"/>
  <c r="K219" i="24"/>
  <c r="J219" i="24"/>
  <c r="I219" i="24"/>
  <c r="H219" i="24"/>
  <c r="G219" i="24"/>
  <c r="F219" i="24"/>
  <c r="E219" i="24"/>
  <c r="D219" i="24"/>
  <c r="V218" i="24"/>
  <c r="U218" i="24"/>
  <c r="T218" i="24"/>
  <c r="S218" i="24"/>
  <c r="R218" i="24"/>
  <c r="Q218" i="24"/>
  <c r="P218" i="24"/>
  <c r="O218" i="24"/>
  <c r="N218" i="24"/>
  <c r="M218" i="24"/>
  <c r="L218" i="24"/>
  <c r="K218" i="24"/>
  <c r="J218" i="24"/>
  <c r="I218" i="24"/>
  <c r="H218" i="24"/>
  <c r="G218" i="24"/>
  <c r="F218" i="24"/>
  <c r="E218" i="24"/>
  <c r="D218" i="24"/>
  <c r="V217" i="24"/>
  <c r="U217" i="24"/>
  <c r="U256" i="24" s="1"/>
  <c r="T217" i="24"/>
  <c r="S217" i="24"/>
  <c r="R217" i="24"/>
  <c r="Q217" i="24"/>
  <c r="P217" i="24"/>
  <c r="O217" i="24"/>
  <c r="N217" i="24"/>
  <c r="M217" i="24"/>
  <c r="L217" i="24"/>
  <c r="K217" i="24"/>
  <c r="J217" i="24"/>
  <c r="J256" i="24" s="1"/>
  <c r="I217" i="24"/>
  <c r="H217" i="24"/>
  <c r="G217" i="24"/>
  <c r="G256" i="24" s="1"/>
  <c r="F217" i="24"/>
  <c r="F256" i="24" s="1"/>
  <c r="E217" i="24"/>
  <c r="E256" i="24" s="1"/>
  <c r="D217" i="24"/>
  <c r="D256" i="24" s="1"/>
  <c r="V216" i="24"/>
  <c r="U216" i="24"/>
  <c r="T216" i="24"/>
  <c r="S216" i="24"/>
  <c r="R216" i="24"/>
  <c r="Q216" i="24"/>
  <c r="P216" i="24"/>
  <c r="O216" i="24"/>
  <c r="N216" i="24"/>
  <c r="M216" i="24"/>
  <c r="L216" i="24"/>
  <c r="K216" i="24"/>
  <c r="J216" i="24"/>
  <c r="I216" i="24"/>
  <c r="H216" i="24"/>
  <c r="G216" i="24"/>
  <c r="F216" i="24"/>
  <c r="E216" i="24"/>
  <c r="D216" i="24"/>
  <c r="V215" i="24"/>
  <c r="U215" i="24"/>
  <c r="T215" i="24"/>
  <c r="S215" i="24"/>
  <c r="R215" i="24"/>
  <c r="Q215" i="24"/>
  <c r="P215" i="24"/>
  <c r="O215" i="24"/>
  <c r="N215" i="24"/>
  <c r="M215" i="24"/>
  <c r="L215" i="24"/>
  <c r="K215" i="24"/>
  <c r="J215" i="24"/>
  <c r="I215" i="24"/>
  <c r="H215" i="24"/>
  <c r="G215" i="24"/>
  <c r="F215" i="24"/>
  <c r="E215" i="24"/>
  <c r="D215" i="24"/>
  <c r="V214" i="24"/>
  <c r="U214" i="24"/>
  <c r="T214" i="24"/>
  <c r="S214" i="24"/>
  <c r="R214" i="24"/>
  <c r="Q214" i="24"/>
  <c r="P214" i="24"/>
  <c r="O214" i="24"/>
  <c r="N214" i="24"/>
  <c r="M214" i="24"/>
  <c r="L214" i="24"/>
  <c r="K214" i="24"/>
  <c r="J214" i="24"/>
  <c r="I214" i="24"/>
  <c r="H214" i="24"/>
  <c r="G214" i="24"/>
  <c r="F214" i="24"/>
  <c r="E214" i="24"/>
  <c r="D214" i="24"/>
  <c r="V213" i="24"/>
  <c r="U213" i="24"/>
  <c r="T213" i="24"/>
  <c r="S213" i="24"/>
  <c r="R213" i="24"/>
  <c r="Q213" i="24"/>
  <c r="P213" i="24"/>
  <c r="O213" i="24"/>
  <c r="N213" i="24"/>
  <c r="M213" i="24"/>
  <c r="L213" i="24"/>
  <c r="K213" i="24"/>
  <c r="J213" i="24"/>
  <c r="I213" i="24"/>
  <c r="H213" i="24"/>
  <c r="G213" i="24"/>
  <c r="F213" i="24"/>
  <c r="E213" i="24"/>
  <c r="D213" i="24"/>
  <c r="V212" i="24"/>
  <c r="U212" i="24"/>
  <c r="T212" i="24"/>
  <c r="S212" i="24"/>
  <c r="R212" i="24"/>
  <c r="Q212" i="24"/>
  <c r="P212" i="24"/>
  <c r="O212" i="24"/>
  <c r="N212" i="24"/>
  <c r="M212" i="24"/>
  <c r="L212" i="24"/>
  <c r="K212" i="24"/>
  <c r="J212" i="24"/>
  <c r="I212" i="24"/>
  <c r="H212" i="24"/>
  <c r="H251" i="24" s="1"/>
  <c r="G212" i="24"/>
  <c r="G251" i="24" s="1"/>
  <c r="F212" i="24"/>
  <c r="F251" i="24" s="1"/>
  <c r="E212" i="24"/>
  <c r="E251" i="24" s="1"/>
  <c r="D212" i="24"/>
  <c r="D251" i="24" s="1"/>
  <c r="V211" i="24"/>
  <c r="U211" i="24"/>
  <c r="T211" i="24"/>
  <c r="S211" i="24"/>
  <c r="R211" i="24"/>
  <c r="Q211" i="24"/>
  <c r="P211" i="24"/>
  <c r="O211" i="24"/>
  <c r="N211" i="24"/>
  <c r="M211" i="24"/>
  <c r="L211" i="24"/>
  <c r="K211" i="24"/>
  <c r="J211" i="24"/>
  <c r="I211" i="24"/>
  <c r="H211" i="24"/>
  <c r="G211" i="24"/>
  <c r="F211" i="24"/>
  <c r="E211" i="24"/>
  <c r="D211" i="24"/>
  <c r="V210" i="24"/>
  <c r="U210" i="24"/>
  <c r="T210" i="24"/>
  <c r="S210" i="24"/>
  <c r="R210" i="24"/>
  <c r="Q210" i="24"/>
  <c r="P210" i="24"/>
  <c r="O210" i="24"/>
  <c r="N210" i="24"/>
  <c r="M210" i="24"/>
  <c r="L210" i="24"/>
  <c r="K210" i="24"/>
  <c r="J210" i="24"/>
  <c r="J249" i="24" s="1"/>
  <c r="I210" i="24"/>
  <c r="H210" i="24"/>
  <c r="G210" i="24"/>
  <c r="F210" i="24"/>
  <c r="E210" i="24"/>
  <c r="D210" i="24"/>
  <c r="V209" i="24"/>
  <c r="U209" i="24"/>
  <c r="T209" i="24"/>
  <c r="S209" i="24"/>
  <c r="R209" i="24"/>
  <c r="Q209" i="24"/>
  <c r="P209" i="24"/>
  <c r="O209" i="24"/>
  <c r="N209" i="24"/>
  <c r="M209" i="24"/>
  <c r="M248" i="24" s="1"/>
  <c r="L209" i="24"/>
  <c r="K209" i="24"/>
  <c r="J209" i="24"/>
  <c r="I209" i="24"/>
  <c r="H209" i="24"/>
  <c r="G209" i="24"/>
  <c r="F209" i="24"/>
  <c r="E209" i="24"/>
  <c r="D209" i="24"/>
  <c r="V208" i="24"/>
  <c r="U208" i="24"/>
  <c r="T208" i="24"/>
  <c r="S208" i="24"/>
  <c r="R208" i="24"/>
  <c r="Q208" i="24"/>
  <c r="P208" i="24"/>
  <c r="P247" i="24" s="1"/>
  <c r="O208" i="24"/>
  <c r="N208" i="24"/>
  <c r="M208" i="24"/>
  <c r="L208" i="24"/>
  <c r="L237" i="24" s="1"/>
  <c r="K208" i="24"/>
  <c r="J208" i="24"/>
  <c r="I208" i="24"/>
  <c r="H208" i="24"/>
  <c r="G208" i="24"/>
  <c r="F208" i="24"/>
  <c r="E208" i="24"/>
  <c r="D208" i="24"/>
  <c r="T198" i="24"/>
  <c r="Q195" i="24"/>
  <c r="M195" i="24"/>
  <c r="H195" i="24"/>
  <c r="G193" i="24"/>
  <c r="F192" i="24"/>
  <c r="G188" i="24"/>
  <c r="H185" i="24"/>
  <c r="D184" i="24"/>
  <c r="V182" i="24"/>
  <c r="U182" i="24"/>
  <c r="T182" i="24"/>
  <c r="S182" i="24"/>
  <c r="Q182" i="24"/>
  <c r="P182" i="24"/>
  <c r="O182" i="24"/>
  <c r="N182" i="24"/>
  <c r="M182" i="24"/>
  <c r="L182" i="24"/>
  <c r="K182" i="24"/>
  <c r="J182" i="24"/>
  <c r="I182" i="24"/>
  <c r="H182" i="24"/>
  <c r="G182" i="24"/>
  <c r="F182" i="24"/>
  <c r="E182" i="24"/>
  <c r="D182" i="24"/>
  <c r="J179" i="24"/>
  <c r="L175" i="24"/>
  <c r="E174" i="24"/>
  <c r="E172" i="24"/>
  <c r="V159" i="24"/>
  <c r="V198" i="24" s="1"/>
  <c r="U159" i="24"/>
  <c r="T159" i="24"/>
  <c r="S159" i="24"/>
  <c r="R159" i="24"/>
  <c r="Q159" i="24"/>
  <c r="P159" i="24"/>
  <c r="O159" i="24"/>
  <c r="N159" i="24"/>
  <c r="M159" i="24"/>
  <c r="L159" i="24"/>
  <c r="K159" i="24"/>
  <c r="J159" i="24"/>
  <c r="I159" i="24"/>
  <c r="H159" i="24"/>
  <c r="G159" i="24"/>
  <c r="F159" i="24"/>
  <c r="F198" i="24" s="1"/>
  <c r="E159" i="24"/>
  <c r="D159" i="24"/>
  <c r="V158" i="24"/>
  <c r="U158" i="24"/>
  <c r="T158" i="24"/>
  <c r="S158" i="24"/>
  <c r="R158" i="24"/>
  <c r="Q158" i="24"/>
  <c r="P158" i="24"/>
  <c r="O158" i="24"/>
  <c r="N158" i="24"/>
  <c r="M158" i="24"/>
  <c r="L158" i="24"/>
  <c r="K158" i="24"/>
  <c r="J158" i="24"/>
  <c r="I158" i="24"/>
  <c r="I197" i="24" s="1"/>
  <c r="H158" i="24"/>
  <c r="G158" i="24"/>
  <c r="F158" i="24"/>
  <c r="E158" i="24"/>
  <c r="D158" i="24"/>
  <c r="V157" i="24"/>
  <c r="U157" i="24"/>
  <c r="T157" i="24"/>
  <c r="S157" i="24"/>
  <c r="R157" i="24"/>
  <c r="Q157" i="24"/>
  <c r="P157" i="24"/>
  <c r="O157" i="24"/>
  <c r="N157" i="24"/>
  <c r="M157" i="24"/>
  <c r="M196" i="24" s="1"/>
  <c r="L157" i="24"/>
  <c r="L196" i="24" s="1"/>
  <c r="K157" i="24"/>
  <c r="J157" i="24"/>
  <c r="I157" i="24"/>
  <c r="H157" i="24"/>
  <c r="G157" i="24"/>
  <c r="F157" i="24"/>
  <c r="E157" i="24"/>
  <c r="D157" i="24"/>
  <c r="V156" i="24"/>
  <c r="U156" i="24"/>
  <c r="U195" i="24" s="1"/>
  <c r="T156" i="24"/>
  <c r="T195" i="24" s="1"/>
  <c r="S156" i="24"/>
  <c r="S195" i="24" s="1"/>
  <c r="R156" i="24"/>
  <c r="R195" i="24" s="1"/>
  <c r="Q156" i="24"/>
  <c r="P156" i="24"/>
  <c r="P195" i="24" s="1"/>
  <c r="O156" i="24"/>
  <c r="O195" i="24" s="1"/>
  <c r="N156" i="24"/>
  <c r="N195" i="24" s="1"/>
  <c r="M156" i="24"/>
  <c r="L156" i="24"/>
  <c r="L195" i="24" s="1"/>
  <c r="K156" i="24"/>
  <c r="K195" i="24" s="1"/>
  <c r="J156" i="24"/>
  <c r="J195" i="24" s="1"/>
  <c r="I156" i="24"/>
  <c r="I195" i="24" s="1"/>
  <c r="H156" i="24"/>
  <c r="G156" i="24"/>
  <c r="G195" i="24" s="1"/>
  <c r="F156" i="24"/>
  <c r="F195" i="24" s="1"/>
  <c r="E156" i="24"/>
  <c r="E195" i="24" s="1"/>
  <c r="D156" i="24"/>
  <c r="D195" i="24" s="1"/>
  <c r="V155" i="24"/>
  <c r="U155" i="24"/>
  <c r="T155" i="24"/>
  <c r="S155" i="24"/>
  <c r="R155" i="24"/>
  <c r="R194" i="24" s="1"/>
  <c r="Q155" i="24"/>
  <c r="P155" i="24"/>
  <c r="O155" i="24"/>
  <c r="N155" i="24"/>
  <c r="M155" i="24"/>
  <c r="L155" i="24"/>
  <c r="K155" i="24"/>
  <c r="J155" i="24"/>
  <c r="I155" i="24"/>
  <c r="H155" i="24"/>
  <c r="G155" i="24"/>
  <c r="F155" i="24"/>
  <c r="E155" i="24"/>
  <c r="D155" i="24"/>
  <c r="V154" i="24"/>
  <c r="U154" i="24"/>
  <c r="U193" i="24" s="1"/>
  <c r="T154" i="24"/>
  <c r="S154" i="24"/>
  <c r="R154" i="24"/>
  <c r="Q154" i="24"/>
  <c r="P154" i="24"/>
  <c r="O154" i="24"/>
  <c r="N154" i="24"/>
  <c r="M154" i="24"/>
  <c r="L154" i="24"/>
  <c r="K154" i="24"/>
  <c r="J154" i="24"/>
  <c r="I154" i="24"/>
  <c r="H154" i="24"/>
  <c r="G154" i="24"/>
  <c r="F154" i="24"/>
  <c r="F193" i="24" s="1"/>
  <c r="E154" i="24"/>
  <c r="E193" i="24" s="1"/>
  <c r="D154" i="24"/>
  <c r="D193" i="24" s="1"/>
  <c r="V153" i="24"/>
  <c r="U153" i="24"/>
  <c r="T153" i="24"/>
  <c r="S153" i="24"/>
  <c r="R153" i="24"/>
  <c r="Q153" i="24"/>
  <c r="P153" i="24"/>
  <c r="O153" i="24"/>
  <c r="N153" i="24"/>
  <c r="M153" i="24"/>
  <c r="L153" i="24"/>
  <c r="K153" i="24"/>
  <c r="K192" i="24" s="1"/>
  <c r="J153" i="24"/>
  <c r="I153" i="24"/>
  <c r="I192" i="24" s="1"/>
  <c r="H153" i="24"/>
  <c r="H192" i="24" s="1"/>
  <c r="G153" i="24"/>
  <c r="F153" i="24"/>
  <c r="E153" i="24"/>
  <c r="E192" i="24" s="1"/>
  <c r="D153" i="24"/>
  <c r="V152" i="24"/>
  <c r="U152" i="24"/>
  <c r="T152" i="24"/>
  <c r="S152" i="24"/>
  <c r="R152" i="24"/>
  <c r="Q152" i="24"/>
  <c r="P152" i="24"/>
  <c r="O152" i="24"/>
  <c r="N152" i="24"/>
  <c r="M152" i="24"/>
  <c r="L152" i="24"/>
  <c r="K152" i="24"/>
  <c r="K191" i="24" s="1"/>
  <c r="J152" i="24"/>
  <c r="I152" i="24"/>
  <c r="H152" i="24"/>
  <c r="G152" i="24"/>
  <c r="F152" i="24"/>
  <c r="E152" i="24"/>
  <c r="D152" i="24"/>
  <c r="V151" i="24"/>
  <c r="U151" i="24"/>
  <c r="T151" i="24"/>
  <c r="S151" i="24"/>
  <c r="R151" i="24"/>
  <c r="Q151" i="24"/>
  <c r="P151" i="24"/>
  <c r="O151" i="24"/>
  <c r="N151" i="24"/>
  <c r="N190" i="24" s="1"/>
  <c r="M151" i="24"/>
  <c r="L151" i="24"/>
  <c r="K151" i="24"/>
  <c r="J151" i="24"/>
  <c r="I151" i="24"/>
  <c r="H151" i="24"/>
  <c r="G151" i="24"/>
  <c r="F151" i="24"/>
  <c r="E151" i="24"/>
  <c r="D151" i="24"/>
  <c r="V150" i="24"/>
  <c r="U150" i="24"/>
  <c r="T150" i="24"/>
  <c r="S150" i="24"/>
  <c r="R150" i="24"/>
  <c r="Q150" i="24"/>
  <c r="Q189" i="24" s="1"/>
  <c r="P150" i="24"/>
  <c r="O150" i="24"/>
  <c r="N150" i="24"/>
  <c r="M150" i="24"/>
  <c r="L150" i="24"/>
  <c r="K150" i="24"/>
  <c r="J150" i="24"/>
  <c r="I150" i="24"/>
  <c r="H150" i="24"/>
  <c r="G150" i="24"/>
  <c r="F150" i="24"/>
  <c r="E150" i="24"/>
  <c r="D150" i="24"/>
  <c r="V149" i="24"/>
  <c r="U149" i="24"/>
  <c r="T149" i="24"/>
  <c r="T188" i="24" s="1"/>
  <c r="S149" i="24"/>
  <c r="R149" i="24"/>
  <c r="Q149" i="24"/>
  <c r="P149" i="24"/>
  <c r="O149" i="24"/>
  <c r="N149" i="24"/>
  <c r="M149" i="24"/>
  <c r="L149" i="24"/>
  <c r="K149" i="24"/>
  <c r="J149" i="24"/>
  <c r="I149" i="24"/>
  <c r="H149" i="24"/>
  <c r="G149" i="24"/>
  <c r="F149" i="24"/>
  <c r="E149" i="24"/>
  <c r="D149" i="24"/>
  <c r="D188" i="24" s="1"/>
  <c r="V148" i="24"/>
  <c r="U148" i="24"/>
  <c r="T148" i="24"/>
  <c r="S148" i="24"/>
  <c r="R148" i="24"/>
  <c r="Q148" i="24"/>
  <c r="P148" i="24"/>
  <c r="O148" i="24"/>
  <c r="N148" i="24"/>
  <c r="M148" i="24"/>
  <c r="L148" i="24"/>
  <c r="K148" i="24"/>
  <c r="J148" i="24"/>
  <c r="I148" i="24"/>
  <c r="H148" i="24"/>
  <c r="G148" i="24"/>
  <c r="G187" i="24" s="1"/>
  <c r="F148" i="24"/>
  <c r="E148" i="24"/>
  <c r="D148" i="24"/>
  <c r="V147" i="24"/>
  <c r="U147" i="24"/>
  <c r="T147" i="24"/>
  <c r="S147" i="24"/>
  <c r="R147" i="24"/>
  <c r="Q147" i="24"/>
  <c r="P147" i="24"/>
  <c r="O147" i="24"/>
  <c r="N147" i="24"/>
  <c r="M147" i="24"/>
  <c r="L147" i="24"/>
  <c r="K147" i="24"/>
  <c r="J147" i="24"/>
  <c r="J186" i="24" s="1"/>
  <c r="I147" i="24"/>
  <c r="H147" i="24"/>
  <c r="G147" i="24"/>
  <c r="F147" i="24"/>
  <c r="E147" i="24"/>
  <c r="D147" i="24"/>
  <c r="V146" i="24"/>
  <c r="U146" i="24"/>
  <c r="T146" i="24"/>
  <c r="S146" i="24"/>
  <c r="R146" i="24"/>
  <c r="Q146" i="24"/>
  <c r="P146" i="24"/>
  <c r="O146" i="24"/>
  <c r="O185" i="24" s="1"/>
  <c r="N146" i="24"/>
  <c r="M146" i="24"/>
  <c r="M185" i="24" s="1"/>
  <c r="L146" i="24"/>
  <c r="K146" i="24"/>
  <c r="K185" i="24" s="1"/>
  <c r="J146" i="24"/>
  <c r="J185" i="24" s="1"/>
  <c r="I146" i="24"/>
  <c r="I185" i="24" s="1"/>
  <c r="H146" i="24"/>
  <c r="G146" i="24"/>
  <c r="G185" i="24" s="1"/>
  <c r="F146" i="24"/>
  <c r="E146" i="24"/>
  <c r="D146" i="24"/>
  <c r="V145" i="24"/>
  <c r="U145" i="24"/>
  <c r="T145" i="24"/>
  <c r="S145" i="24"/>
  <c r="S184" i="24" s="1"/>
  <c r="R145" i="24"/>
  <c r="Q145" i="24"/>
  <c r="P145" i="24"/>
  <c r="P184" i="24" s="1"/>
  <c r="O145" i="24"/>
  <c r="N145" i="24"/>
  <c r="M145" i="24"/>
  <c r="L145" i="24"/>
  <c r="K145" i="24"/>
  <c r="J145" i="24"/>
  <c r="I145" i="24"/>
  <c r="H145" i="24"/>
  <c r="G145" i="24"/>
  <c r="F145" i="24"/>
  <c r="E145" i="24"/>
  <c r="D145" i="24"/>
  <c r="V144" i="24"/>
  <c r="U144" i="24"/>
  <c r="T144" i="24"/>
  <c r="S144" i="24"/>
  <c r="S183" i="24" s="1"/>
  <c r="R144" i="24"/>
  <c r="Q144" i="24"/>
  <c r="P144" i="24"/>
  <c r="O144" i="24"/>
  <c r="N144" i="24"/>
  <c r="M144" i="24"/>
  <c r="L144" i="24"/>
  <c r="K144" i="24"/>
  <c r="J144" i="24"/>
  <c r="I144" i="24"/>
  <c r="H144" i="24"/>
  <c r="G144" i="24"/>
  <c r="F144" i="24"/>
  <c r="E144" i="24"/>
  <c r="D144" i="24"/>
  <c r="R143" i="24"/>
  <c r="R182" i="24" s="1"/>
  <c r="V142" i="24"/>
  <c r="U142" i="24"/>
  <c r="T142" i="24"/>
  <c r="S142" i="24"/>
  <c r="R142" i="24"/>
  <c r="Q142" i="24"/>
  <c r="P142" i="24"/>
  <c r="O142" i="24"/>
  <c r="N142" i="24"/>
  <c r="M142" i="24"/>
  <c r="L142" i="24"/>
  <c r="K142" i="24"/>
  <c r="J142" i="24"/>
  <c r="I142" i="24"/>
  <c r="H142" i="24"/>
  <c r="G142" i="24"/>
  <c r="F142" i="24"/>
  <c r="E142" i="24"/>
  <c r="D142" i="24"/>
  <c r="V141" i="24"/>
  <c r="V180" i="24" s="1"/>
  <c r="U141" i="24"/>
  <c r="T141" i="24"/>
  <c r="S141" i="24"/>
  <c r="R141" i="24"/>
  <c r="Q141" i="24"/>
  <c r="P141" i="24"/>
  <c r="O141" i="24"/>
  <c r="N141" i="24"/>
  <c r="M141" i="24"/>
  <c r="L141" i="24"/>
  <c r="K141" i="24"/>
  <c r="J141" i="24"/>
  <c r="I141" i="24"/>
  <c r="I180" i="24" s="1"/>
  <c r="H141" i="24"/>
  <c r="G141" i="24"/>
  <c r="F141" i="24"/>
  <c r="E141" i="24"/>
  <c r="D141" i="24"/>
  <c r="V140" i="24"/>
  <c r="U140" i="24"/>
  <c r="T140" i="24"/>
  <c r="S140" i="24"/>
  <c r="R140" i="24"/>
  <c r="Q140" i="24"/>
  <c r="P140" i="24"/>
  <c r="O140" i="24"/>
  <c r="N140" i="24"/>
  <c r="M140" i="24"/>
  <c r="M179" i="24" s="1"/>
  <c r="L140" i="24"/>
  <c r="K140" i="24"/>
  <c r="J140" i="24"/>
  <c r="I140" i="24"/>
  <c r="I179" i="24" s="1"/>
  <c r="H140" i="24"/>
  <c r="G140" i="24"/>
  <c r="G179" i="24" s="1"/>
  <c r="F140" i="24"/>
  <c r="F179" i="24" s="1"/>
  <c r="E140" i="24"/>
  <c r="E179" i="24" s="1"/>
  <c r="D140" i="24"/>
  <c r="D179" i="24" s="1"/>
  <c r="V139" i="24"/>
  <c r="U139" i="24"/>
  <c r="T139" i="24"/>
  <c r="S139" i="24"/>
  <c r="R139" i="24"/>
  <c r="Q139" i="24"/>
  <c r="P139" i="24"/>
  <c r="O139" i="24"/>
  <c r="N139" i="24"/>
  <c r="M139" i="24"/>
  <c r="L139" i="24"/>
  <c r="K139" i="24"/>
  <c r="J139" i="24"/>
  <c r="I139" i="24"/>
  <c r="H139" i="24"/>
  <c r="G139" i="24"/>
  <c r="F139" i="24"/>
  <c r="E139" i="24"/>
  <c r="D139" i="24"/>
  <c r="V138" i="24"/>
  <c r="U138" i="24"/>
  <c r="T138" i="24"/>
  <c r="S138" i="24"/>
  <c r="R138" i="24"/>
  <c r="Q138" i="24"/>
  <c r="P138" i="24"/>
  <c r="O138" i="24"/>
  <c r="O177" i="24" s="1"/>
  <c r="N138" i="24"/>
  <c r="M138" i="24"/>
  <c r="L138" i="24"/>
  <c r="K138" i="24"/>
  <c r="J138" i="24"/>
  <c r="I138" i="24"/>
  <c r="H138" i="24"/>
  <c r="G138" i="24"/>
  <c r="F138" i="24"/>
  <c r="E138" i="24"/>
  <c r="D138" i="24"/>
  <c r="V137" i="24"/>
  <c r="U137" i="24"/>
  <c r="T137" i="24"/>
  <c r="S137" i="24"/>
  <c r="R137" i="24"/>
  <c r="Q137" i="24"/>
  <c r="P137" i="24"/>
  <c r="O137" i="24"/>
  <c r="N137" i="24"/>
  <c r="M137" i="24"/>
  <c r="L137" i="24"/>
  <c r="K137" i="24"/>
  <c r="J137" i="24"/>
  <c r="I137" i="24"/>
  <c r="H137" i="24"/>
  <c r="G137" i="24"/>
  <c r="F137" i="24"/>
  <c r="E137" i="24"/>
  <c r="D137" i="24"/>
  <c r="V136" i="24"/>
  <c r="U136" i="24"/>
  <c r="T136" i="24"/>
  <c r="S136" i="24"/>
  <c r="R136" i="24"/>
  <c r="Q136" i="24"/>
  <c r="P136" i="24"/>
  <c r="O136" i="24"/>
  <c r="N136" i="24"/>
  <c r="M136" i="24"/>
  <c r="L136" i="24"/>
  <c r="K136" i="24"/>
  <c r="J136" i="24"/>
  <c r="I136" i="24"/>
  <c r="H136" i="24"/>
  <c r="G136" i="24"/>
  <c r="F136" i="24"/>
  <c r="E136" i="24"/>
  <c r="D136" i="24"/>
  <c r="V135" i="24"/>
  <c r="U135" i="24"/>
  <c r="T135" i="24"/>
  <c r="S135" i="24"/>
  <c r="R135" i="24"/>
  <c r="Q135" i="24"/>
  <c r="P135" i="24"/>
  <c r="O135" i="24"/>
  <c r="N135" i="24"/>
  <c r="M135" i="24"/>
  <c r="L135" i="24"/>
  <c r="K135" i="24"/>
  <c r="J135" i="24"/>
  <c r="I135" i="24"/>
  <c r="H135" i="24"/>
  <c r="H174" i="24" s="1"/>
  <c r="G135" i="24"/>
  <c r="F135" i="24"/>
  <c r="F174" i="24" s="1"/>
  <c r="E135" i="24"/>
  <c r="D135" i="24"/>
  <c r="D174" i="24" s="1"/>
  <c r="V134" i="24"/>
  <c r="U134" i="24"/>
  <c r="T134" i="24"/>
  <c r="S134" i="24"/>
  <c r="R134" i="24"/>
  <c r="R173" i="24" s="1"/>
  <c r="Q134" i="24"/>
  <c r="P134" i="24"/>
  <c r="O134" i="24"/>
  <c r="N134" i="24"/>
  <c r="M134" i="24"/>
  <c r="L134" i="24"/>
  <c r="K134" i="24"/>
  <c r="J134" i="24"/>
  <c r="I134" i="24"/>
  <c r="H134" i="24"/>
  <c r="G134" i="24"/>
  <c r="F134" i="24"/>
  <c r="E134" i="24"/>
  <c r="D134" i="24"/>
  <c r="V133" i="24"/>
  <c r="U133" i="24"/>
  <c r="U172" i="24" s="1"/>
  <c r="T133" i="24"/>
  <c r="S133" i="24"/>
  <c r="R133" i="24"/>
  <c r="Q133" i="24"/>
  <c r="P133" i="24"/>
  <c r="O133" i="24"/>
  <c r="N133" i="24"/>
  <c r="M133" i="24"/>
  <c r="L133" i="24"/>
  <c r="K133" i="24"/>
  <c r="J133" i="24"/>
  <c r="I133" i="24"/>
  <c r="H133" i="24"/>
  <c r="G133" i="24"/>
  <c r="F133" i="24"/>
  <c r="E133" i="24"/>
  <c r="D133" i="24"/>
  <c r="V132" i="24"/>
  <c r="U132" i="24"/>
  <c r="T132" i="24"/>
  <c r="S132" i="24"/>
  <c r="R132" i="24"/>
  <c r="Q132" i="24"/>
  <c r="P132" i="24"/>
  <c r="O132" i="24"/>
  <c r="N132" i="24"/>
  <c r="M132" i="24"/>
  <c r="L132" i="24"/>
  <c r="K132" i="24"/>
  <c r="J132" i="24"/>
  <c r="I132" i="24"/>
  <c r="H132" i="24"/>
  <c r="H171" i="24" s="1"/>
  <c r="G132" i="24"/>
  <c r="F132" i="24"/>
  <c r="E132" i="24"/>
  <c r="D132" i="24"/>
  <c r="V131" i="24"/>
  <c r="U131" i="24"/>
  <c r="T131" i="24"/>
  <c r="S131" i="24"/>
  <c r="R131" i="24"/>
  <c r="Q131" i="24"/>
  <c r="P131" i="24"/>
  <c r="O131" i="24"/>
  <c r="N131" i="24"/>
  <c r="N160" i="24" s="1"/>
  <c r="M131" i="24"/>
  <c r="L131" i="24"/>
  <c r="K131" i="24"/>
  <c r="K170" i="24" s="1"/>
  <c r="J131" i="24"/>
  <c r="I131" i="24"/>
  <c r="H131" i="24"/>
  <c r="G131" i="24"/>
  <c r="F131" i="24"/>
  <c r="E131" i="24"/>
  <c r="D131" i="24"/>
  <c r="F120" i="24"/>
  <c r="E120" i="24"/>
  <c r="D119" i="24"/>
  <c r="T118" i="24"/>
  <c r="T117" i="24"/>
  <c r="S117" i="24"/>
  <c r="E117" i="24"/>
  <c r="D117" i="24"/>
  <c r="R116" i="24"/>
  <c r="Q116" i="24"/>
  <c r="M115" i="24"/>
  <c r="L114" i="24"/>
  <c r="K113" i="24"/>
  <c r="F112" i="24"/>
  <c r="E111" i="24"/>
  <c r="D110" i="24"/>
  <c r="V109" i="24"/>
  <c r="R108" i="24"/>
  <c r="Q107" i="24"/>
  <c r="P106" i="24"/>
  <c r="V104" i="24"/>
  <c r="U104" i="24"/>
  <c r="T104" i="24"/>
  <c r="S104" i="24"/>
  <c r="Q104" i="24"/>
  <c r="P104" i="24"/>
  <c r="O104" i="24"/>
  <c r="N104" i="24"/>
  <c r="M104" i="24"/>
  <c r="L104" i="24"/>
  <c r="K104" i="24"/>
  <c r="J104" i="24"/>
  <c r="I104" i="24"/>
  <c r="H104" i="24"/>
  <c r="G104" i="24"/>
  <c r="F104" i="24"/>
  <c r="E104" i="24"/>
  <c r="D104" i="24"/>
  <c r="L102" i="24"/>
  <c r="L101" i="24"/>
  <c r="I101" i="24"/>
  <c r="L100" i="24"/>
  <c r="K95" i="24"/>
  <c r="O94" i="24"/>
  <c r="R93" i="24"/>
  <c r="Q93" i="24"/>
  <c r="T92" i="24"/>
  <c r="V81" i="24"/>
  <c r="V120" i="24" s="1"/>
  <c r="U81" i="24"/>
  <c r="U120" i="24" s="1"/>
  <c r="T81" i="24"/>
  <c r="T120" i="24" s="1"/>
  <c r="S81" i="24"/>
  <c r="S120" i="24" s="1"/>
  <c r="R81" i="24"/>
  <c r="Q81" i="24"/>
  <c r="Q120" i="24" s="1"/>
  <c r="P81" i="24"/>
  <c r="O81" i="24"/>
  <c r="N81" i="24"/>
  <c r="N120" i="24" s="1"/>
  <c r="M81" i="24"/>
  <c r="L81" i="24"/>
  <c r="K81" i="24"/>
  <c r="J81" i="24"/>
  <c r="J120" i="24" s="1"/>
  <c r="I81" i="24"/>
  <c r="I120" i="24" s="1"/>
  <c r="H81" i="24"/>
  <c r="H120" i="24" s="1"/>
  <c r="G81" i="24"/>
  <c r="G120" i="24" s="1"/>
  <c r="F81" i="24"/>
  <c r="E81" i="24"/>
  <c r="D81" i="24"/>
  <c r="D120" i="24" s="1"/>
  <c r="V80" i="24"/>
  <c r="V119" i="24" s="1"/>
  <c r="U80" i="24"/>
  <c r="T80" i="24"/>
  <c r="S80" i="24"/>
  <c r="R80" i="24"/>
  <c r="Q80" i="24"/>
  <c r="P80" i="24"/>
  <c r="O80" i="24"/>
  <c r="N80" i="24"/>
  <c r="M80" i="24"/>
  <c r="M119" i="24" s="1"/>
  <c r="L80" i="24"/>
  <c r="L119" i="24" s="1"/>
  <c r="K80" i="24"/>
  <c r="K119" i="24" s="1"/>
  <c r="J80" i="24"/>
  <c r="J119" i="24" s="1"/>
  <c r="I80" i="24"/>
  <c r="I119" i="24" s="1"/>
  <c r="H80" i="24"/>
  <c r="H119" i="24" s="1"/>
  <c r="G80" i="24"/>
  <c r="G119" i="24" s="1"/>
  <c r="F80" i="24"/>
  <c r="F119" i="24" s="1"/>
  <c r="E80" i="24"/>
  <c r="D80" i="24"/>
  <c r="V79" i="24"/>
  <c r="U79" i="24"/>
  <c r="T79" i="24"/>
  <c r="S79" i="24"/>
  <c r="R79" i="24"/>
  <c r="Q79" i="24"/>
  <c r="P79" i="24"/>
  <c r="P118" i="24" s="1"/>
  <c r="O79" i="24"/>
  <c r="O118" i="24" s="1"/>
  <c r="N79" i="24"/>
  <c r="N118" i="24" s="1"/>
  <c r="M79" i="24"/>
  <c r="M118" i="24" s="1"/>
  <c r="L79" i="24"/>
  <c r="L118" i="24" s="1"/>
  <c r="K79" i="24"/>
  <c r="J79" i="24"/>
  <c r="J118" i="24" s="1"/>
  <c r="I79" i="24"/>
  <c r="I118" i="24" s="1"/>
  <c r="H79" i="24"/>
  <c r="G79" i="24"/>
  <c r="G118" i="24" s="1"/>
  <c r="F79" i="24"/>
  <c r="E79" i="24"/>
  <c r="D79" i="24"/>
  <c r="D118" i="24" s="1"/>
  <c r="V78" i="24"/>
  <c r="U78" i="24"/>
  <c r="U117" i="24" s="1"/>
  <c r="T78" i="24"/>
  <c r="S78" i="24"/>
  <c r="R78" i="24"/>
  <c r="R117" i="24" s="1"/>
  <c r="Q78" i="24"/>
  <c r="Q117" i="24" s="1"/>
  <c r="P78" i="24"/>
  <c r="P117" i="24" s="1"/>
  <c r="O78" i="24"/>
  <c r="O117" i="24" s="1"/>
  <c r="N78" i="24"/>
  <c r="N117" i="24" s="1"/>
  <c r="M78" i="24"/>
  <c r="M117" i="24" s="1"/>
  <c r="L78" i="24"/>
  <c r="L117" i="24" s="1"/>
  <c r="K78" i="24"/>
  <c r="K117" i="24" s="1"/>
  <c r="J78" i="24"/>
  <c r="J117" i="24" s="1"/>
  <c r="I78" i="24"/>
  <c r="I117" i="24" s="1"/>
  <c r="H78" i="24"/>
  <c r="H117" i="24" s="1"/>
  <c r="G78" i="24"/>
  <c r="G117" i="24" s="1"/>
  <c r="F78" i="24"/>
  <c r="F117" i="24" s="1"/>
  <c r="E78" i="24"/>
  <c r="D78" i="24"/>
  <c r="V77" i="24"/>
  <c r="V116" i="24" s="1"/>
  <c r="U77" i="24"/>
  <c r="U116" i="24" s="1"/>
  <c r="T77" i="24"/>
  <c r="T116" i="24" s="1"/>
  <c r="S77" i="24"/>
  <c r="S116" i="24" s="1"/>
  <c r="R77" i="24"/>
  <c r="Q77" i="24"/>
  <c r="P77" i="24"/>
  <c r="P116" i="24" s="1"/>
  <c r="O77" i="24"/>
  <c r="O116" i="24" s="1"/>
  <c r="N77" i="24"/>
  <c r="M77" i="24"/>
  <c r="L77" i="24"/>
  <c r="K77" i="24"/>
  <c r="J77" i="24"/>
  <c r="I77" i="24"/>
  <c r="H77" i="24"/>
  <c r="G77" i="24"/>
  <c r="F77" i="24"/>
  <c r="F116" i="24" s="1"/>
  <c r="E77" i="24"/>
  <c r="E116" i="24" s="1"/>
  <c r="D77" i="24"/>
  <c r="D116" i="24" s="1"/>
  <c r="V76" i="24"/>
  <c r="V115" i="24" s="1"/>
  <c r="U76" i="24"/>
  <c r="U115" i="24" s="1"/>
  <c r="T76" i="24"/>
  <c r="S76" i="24"/>
  <c r="S115" i="24" s="1"/>
  <c r="R76" i="24"/>
  <c r="R115" i="24" s="1"/>
  <c r="Q76" i="24"/>
  <c r="P76" i="24"/>
  <c r="O76" i="24"/>
  <c r="N76" i="24"/>
  <c r="M76" i="24"/>
  <c r="L76" i="24"/>
  <c r="K76" i="24"/>
  <c r="J76" i="24"/>
  <c r="I76" i="24"/>
  <c r="I115" i="24" s="1"/>
  <c r="H76" i="24"/>
  <c r="H115" i="24" s="1"/>
  <c r="G76" i="24"/>
  <c r="G115" i="24" s="1"/>
  <c r="F76" i="24"/>
  <c r="F115" i="24" s="1"/>
  <c r="E76" i="24"/>
  <c r="E115" i="24" s="1"/>
  <c r="D76" i="24"/>
  <c r="D115" i="24" s="1"/>
  <c r="V75" i="24"/>
  <c r="V114" i="24" s="1"/>
  <c r="U75" i="24"/>
  <c r="U114" i="24" s="1"/>
  <c r="T75" i="24"/>
  <c r="S75" i="24"/>
  <c r="R75" i="24"/>
  <c r="Q75" i="24"/>
  <c r="P75" i="24"/>
  <c r="P114" i="24" s="1"/>
  <c r="O75" i="24"/>
  <c r="N75" i="24"/>
  <c r="M75" i="24"/>
  <c r="L75" i="24"/>
  <c r="K75" i="24"/>
  <c r="K114" i="24" s="1"/>
  <c r="J75" i="24"/>
  <c r="J114" i="24" s="1"/>
  <c r="I75" i="24"/>
  <c r="I114" i="24" s="1"/>
  <c r="H75" i="24"/>
  <c r="H114" i="24" s="1"/>
  <c r="G75" i="24"/>
  <c r="F75" i="24"/>
  <c r="F114" i="24" s="1"/>
  <c r="E75" i="24"/>
  <c r="E114" i="24" s="1"/>
  <c r="D75" i="24"/>
  <c r="V74" i="24"/>
  <c r="U74" i="24"/>
  <c r="T74" i="24"/>
  <c r="S74" i="24"/>
  <c r="S113" i="24" s="1"/>
  <c r="R74" i="24"/>
  <c r="Q74" i="24"/>
  <c r="P74" i="24"/>
  <c r="O74" i="24"/>
  <c r="O113" i="24" s="1"/>
  <c r="N74" i="24"/>
  <c r="N113" i="24" s="1"/>
  <c r="M74" i="24"/>
  <c r="M113" i="24" s="1"/>
  <c r="L74" i="24"/>
  <c r="K74" i="24"/>
  <c r="J74" i="24"/>
  <c r="I74" i="24"/>
  <c r="I113" i="24" s="1"/>
  <c r="H74" i="24"/>
  <c r="H113" i="24" s="1"/>
  <c r="G74" i="24"/>
  <c r="F74" i="24"/>
  <c r="E74" i="24"/>
  <c r="D74" i="24"/>
  <c r="V73" i="24"/>
  <c r="U73" i="24"/>
  <c r="T73" i="24"/>
  <c r="S73" i="24"/>
  <c r="R73" i="24"/>
  <c r="R112" i="24" s="1"/>
  <c r="Q73" i="24"/>
  <c r="Q112" i="24" s="1"/>
  <c r="P73" i="24"/>
  <c r="O73" i="24"/>
  <c r="N73" i="24"/>
  <c r="N112" i="24" s="1"/>
  <c r="M73" i="24"/>
  <c r="L73" i="24"/>
  <c r="L112" i="24" s="1"/>
  <c r="K73" i="24"/>
  <c r="K112" i="24" s="1"/>
  <c r="J73" i="24"/>
  <c r="I73" i="24"/>
  <c r="H73" i="24"/>
  <c r="G73" i="24"/>
  <c r="F73" i="24"/>
  <c r="E73" i="24"/>
  <c r="D73" i="24"/>
  <c r="V72" i="24"/>
  <c r="U72" i="24"/>
  <c r="U111" i="24" s="1"/>
  <c r="T72" i="24"/>
  <c r="T111" i="24" s="1"/>
  <c r="S72" i="24"/>
  <c r="R72" i="24"/>
  <c r="Q72" i="24"/>
  <c r="Q111" i="24" s="1"/>
  <c r="P72" i="24"/>
  <c r="O72" i="24"/>
  <c r="O111" i="24" s="1"/>
  <c r="N72" i="24"/>
  <c r="N111" i="24" s="1"/>
  <c r="M72" i="24"/>
  <c r="L72" i="24"/>
  <c r="K72" i="24"/>
  <c r="J72" i="24"/>
  <c r="I72" i="24"/>
  <c r="I111" i="24" s="1"/>
  <c r="H72" i="24"/>
  <c r="G72" i="24"/>
  <c r="F72" i="24"/>
  <c r="E72" i="24"/>
  <c r="D72" i="24"/>
  <c r="D111" i="24" s="1"/>
  <c r="V71" i="24"/>
  <c r="U71" i="24"/>
  <c r="T71" i="24"/>
  <c r="T110" i="24" s="1"/>
  <c r="S71" i="24"/>
  <c r="R71" i="24"/>
  <c r="R110" i="24" s="1"/>
  <c r="Q71" i="24"/>
  <c r="Q110" i="24" s="1"/>
  <c r="P71" i="24"/>
  <c r="O71" i="24"/>
  <c r="N71" i="24"/>
  <c r="M71" i="24"/>
  <c r="L71" i="24"/>
  <c r="L110" i="24" s="1"/>
  <c r="K71" i="24"/>
  <c r="J71" i="24"/>
  <c r="I71" i="24"/>
  <c r="H71" i="24"/>
  <c r="H110" i="24" s="1"/>
  <c r="G71" i="24"/>
  <c r="G110" i="24" s="1"/>
  <c r="F71" i="24"/>
  <c r="E71" i="24"/>
  <c r="D71" i="24"/>
  <c r="V70" i="24"/>
  <c r="U70" i="24"/>
  <c r="U109" i="24" s="1"/>
  <c r="T70" i="24"/>
  <c r="T109" i="24" s="1"/>
  <c r="S70" i="24"/>
  <c r="R70" i="24"/>
  <c r="Q70" i="24"/>
  <c r="P70" i="24"/>
  <c r="O70" i="24"/>
  <c r="N70" i="24"/>
  <c r="M70" i="24"/>
  <c r="L70" i="24"/>
  <c r="K70" i="24"/>
  <c r="K109" i="24" s="1"/>
  <c r="J70" i="24"/>
  <c r="J109" i="24" s="1"/>
  <c r="I70" i="24"/>
  <c r="H70" i="24"/>
  <c r="G70" i="24"/>
  <c r="G109" i="24" s="1"/>
  <c r="F70" i="24"/>
  <c r="E70" i="24"/>
  <c r="E109" i="24" s="1"/>
  <c r="D70" i="24"/>
  <c r="D109" i="24" s="1"/>
  <c r="V69" i="24"/>
  <c r="U69" i="24"/>
  <c r="T69" i="24"/>
  <c r="S69" i="24"/>
  <c r="R69" i="24"/>
  <c r="Q69" i="24"/>
  <c r="P69" i="24"/>
  <c r="O69" i="24"/>
  <c r="N69" i="24"/>
  <c r="N108" i="24" s="1"/>
  <c r="M69" i="24"/>
  <c r="M108" i="24" s="1"/>
  <c r="L69" i="24"/>
  <c r="K69" i="24"/>
  <c r="J69" i="24"/>
  <c r="J108" i="24" s="1"/>
  <c r="I69" i="24"/>
  <c r="H69" i="24"/>
  <c r="H108" i="24" s="1"/>
  <c r="G69" i="24"/>
  <c r="G108" i="24" s="1"/>
  <c r="F69" i="24"/>
  <c r="E69" i="24"/>
  <c r="D69" i="24"/>
  <c r="V68" i="24"/>
  <c r="U68" i="24"/>
  <c r="U107" i="24" s="1"/>
  <c r="T68" i="24"/>
  <c r="S68" i="24"/>
  <c r="R68" i="24"/>
  <c r="Q68" i="24"/>
  <c r="P68" i="24"/>
  <c r="P107" i="24" s="1"/>
  <c r="O68" i="24"/>
  <c r="O107" i="24" s="1"/>
  <c r="N68" i="24"/>
  <c r="M68" i="24"/>
  <c r="M107" i="24" s="1"/>
  <c r="L68" i="24"/>
  <c r="K68" i="24"/>
  <c r="K107" i="24" s="1"/>
  <c r="J68" i="24"/>
  <c r="J107" i="24" s="1"/>
  <c r="I68" i="24"/>
  <c r="I107" i="24" s="1"/>
  <c r="H68" i="24"/>
  <c r="H107" i="24" s="1"/>
  <c r="G68" i="24"/>
  <c r="F68" i="24"/>
  <c r="E68" i="24"/>
  <c r="E107" i="24" s="1"/>
  <c r="D68" i="24"/>
  <c r="V67" i="24"/>
  <c r="U67" i="24"/>
  <c r="T67" i="24"/>
  <c r="T106" i="24" s="1"/>
  <c r="S67" i="24"/>
  <c r="S106" i="24" s="1"/>
  <c r="R67" i="24"/>
  <c r="Q67" i="24"/>
  <c r="P67" i="24"/>
  <c r="O67" i="24"/>
  <c r="N67" i="24"/>
  <c r="N106" i="24" s="1"/>
  <c r="M67" i="24"/>
  <c r="M106" i="24" s="1"/>
  <c r="L67" i="24"/>
  <c r="K67" i="24"/>
  <c r="J67" i="24"/>
  <c r="I67" i="24"/>
  <c r="H67" i="24"/>
  <c r="H106" i="24" s="1"/>
  <c r="G67" i="24"/>
  <c r="F67" i="24"/>
  <c r="E67" i="24"/>
  <c r="D67" i="24"/>
  <c r="D106" i="24" s="1"/>
  <c r="V66" i="24"/>
  <c r="V105" i="24" s="1"/>
  <c r="U66" i="24"/>
  <c r="T66" i="24"/>
  <c r="S66" i="24"/>
  <c r="S105" i="24" s="1"/>
  <c r="R66" i="24"/>
  <c r="Q66" i="24"/>
  <c r="Q105" i="24" s="1"/>
  <c r="P66" i="24"/>
  <c r="P105" i="24" s="1"/>
  <c r="O66" i="24"/>
  <c r="N66" i="24"/>
  <c r="M66" i="24"/>
  <c r="L66" i="24"/>
  <c r="K66" i="24"/>
  <c r="J66" i="24"/>
  <c r="I66" i="24"/>
  <c r="H66" i="24"/>
  <c r="G66" i="24"/>
  <c r="G105" i="24" s="1"/>
  <c r="F66" i="24"/>
  <c r="F105" i="24" s="1"/>
  <c r="E66" i="24"/>
  <c r="D66" i="24"/>
  <c r="R65" i="24"/>
  <c r="R104" i="24" s="1"/>
  <c r="V64" i="24"/>
  <c r="V103" i="24" s="1"/>
  <c r="U64" i="24"/>
  <c r="T64" i="24"/>
  <c r="T103" i="24" s="1"/>
  <c r="S64" i="24"/>
  <c r="S103" i="24" s="1"/>
  <c r="R64" i="24"/>
  <c r="Q64" i="24"/>
  <c r="P64" i="24"/>
  <c r="P103" i="24" s="1"/>
  <c r="O64" i="24"/>
  <c r="N64" i="24"/>
  <c r="M64" i="24"/>
  <c r="L64" i="24"/>
  <c r="K64" i="24"/>
  <c r="J64" i="24"/>
  <c r="I64" i="24"/>
  <c r="I103" i="24" s="1"/>
  <c r="H64" i="24"/>
  <c r="G64" i="24"/>
  <c r="F64" i="24"/>
  <c r="F103" i="24" s="1"/>
  <c r="E64" i="24"/>
  <c r="D64" i="24"/>
  <c r="D103" i="24" s="1"/>
  <c r="V63" i="24"/>
  <c r="V102" i="24" s="1"/>
  <c r="U63" i="24"/>
  <c r="T63" i="24"/>
  <c r="S63" i="24"/>
  <c r="S102" i="24" s="1"/>
  <c r="R63" i="24"/>
  <c r="Q63" i="24"/>
  <c r="P63" i="24"/>
  <c r="O63" i="24"/>
  <c r="N63" i="24"/>
  <c r="M63" i="24"/>
  <c r="L63" i="24"/>
  <c r="K63" i="24"/>
  <c r="J63" i="24"/>
  <c r="I63" i="24"/>
  <c r="I102" i="24" s="1"/>
  <c r="H63" i="24"/>
  <c r="G63" i="24"/>
  <c r="G102" i="24" s="1"/>
  <c r="F63" i="24"/>
  <c r="F102" i="24" s="1"/>
  <c r="E63" i="24"/>
  <c r="D63" i="24"/>
  <c r="V62" i="24"/>
  <c r="V101" i="24" s="1"/>
  <c r="U62" i="24"/>
  <c r="T62" i="24"/>
  <c r="S62" i="24"/>
  <c r="R62" i="24"/>
  <c r="Q62" i="24"/>
  <c r="P62" i="24"/>
  <c r="O62" i="24"/>
  <c r="O101" i="24" s="1"/>
  <c r="N62" i="24"/>
  <c r="M62" i="24"/>
  <c r="L62" i="24"/>
  <c r="K62" i="24"/>
  <c r="J62" i="24"/>
  <c r="J101" i="24" s="1"/>
  <c r="I62" i="24"/>
  <c r="H62" i="24"/>
  <c r="G62" i="24"/>
  <c r="G101" i="24" s="1"/>
  <c r="F62" i="24"/>
  <c r="F101" i="24" s="1"/>
  <c r="E62" i="24"/>
  <c r="E101" i="24" s="1"/>
  <c r="D62" i="24"/>
  <c r="D101" i="24" s="1"/>
  <c r="V61" i="24"/>
  <c r="U61" i="24"/>
  <c r="T61" i="24"/>
  <c r="S61" i="24"/>
  <c r="R61" i="24"/>
  <c r="R100" i="24" s="1"/>
  <c r="Q61" i="24"/>
  <c r="P61" i="24"/>
  <c r="O61" i="24"/>
  <c r="O100" i="24" s="1"/>
  <c r="N61" i="24"/>
  <c r="M61" i="24"/>
  <c r="M100" i="24" s="1"/>
  <c r="L61" i="24"/>
  <c r="K61" i="24"/>
  <c r="J61" i="24"/>
  <c r="I61" i="24"/>
  <c r="I100" i="24" s="1"/>
  <c r="H61" i="24"/>
  <c r="G61" i="24"/>
  <c r="F61" i="24"/>
  <c r="E61" i="24"/>
  <c r="D61" i="24"/>
  <c r="V60" i="24"/>
  <c r="U60" i="24"/>
  <c r="U99" i="24" s="1"/>
  <c r="T60" i="24"/>
  <c r="S60" i="24"/>
  <c r="R60" i="24"/>
  <c r="R99" i="24" s="1"/>
  <c r="Q60" i="24"/>
  <c r="P60" i="24"/>
  <c r="P99" i="24" s="1"/>
  <c r="O60" i="24"/>
  <c r="O99" i="24" s="1"/>
  <c r="N60" i="24"/>
  <c r="M60" i="24"/>
  <c r="L60" i="24"/>
  <c r="L99" i="24" s="1"/>
  <c r="K60" i="24"/>
  <c r="J60" i="24"/>
  <c r="I60" i="24"/>
  <c r="H60" i="24"/>
  <c r="G60" i="24"/>
  <c r="F60" i="24"/>
  <c r="E60" i="24"/>
  <c r="E99" i="24" s="1"/>
  <c r="D60" i="24"/>
  <c r="V59" i="24"/>
  <c r="U59" i="24"/>
  <c r="U98" i="24" s="1"/>
  <c r="T59" i="24"/>
  <c r="S59" i="24"/>
  <c r="S98" i="24" s="1"/>
  <c r="R59" i="24"/>
  <c r="R98" i="24" s="1"/>
  <c r="Q59" i="24"/>
  <c r="Q98" i="24" s="1"/>
  <c r="P59" i="24"/>
  <c r="O59" i="24"/>
  <c r="O98" i="24" s="1"/>
  <c r="N59" i="24"/>
  <c r="M59" i="24"/>
  <c r="L59" i="24"/>
  <c r="K59" i="24"/>
  <c r="J59" i="24"/>
  <c r="I59" i="24"/>
  <c r="H59" i="24"/>
  <c r="H98" i="24" s="1"/>
  <c r="G59" i="24"/>
  <c r="F59" i="24"/>
  <c r="E59" i="24"/>
  <c r="E98" i="24" s="1"/>
  <c r="D59" i="24"/>
  <c r="V58" i="24"/>
  <c r="V97" i="24" s="1"/>
  <c r="U58" i="24"/>
  <c r="U97" i="24" s="1"/>
  <c r="T58" i="24"/>
  <c r="T97" i="24" s="1"/>
  <c r="S58" i="24"/>
  <c r="R58" i="24"/>
  <c r="R97" i="24" s="1"/>
  <c r="Q58" i="24"/>
  <c r="P58" i="24"/>
  <c r="O58" i="24"/>
  <c r="N58" i="24"/>
  <c r="M58" i="24"/>
  <c r="L58" i="24"/>
  <c r="K58" i="24"/>
  <c r="K97" i="24" s="1"/>
  <c r="J58" i="24"/>
  <c r="I58" i="24"/>
  <c r="H58" i="24"/>
  <c r="G58" i="24"/>
  <c r="F58" i="24"/>
  <c r="F97" i="24" s="1"/>
  <c r="E58" i="24"/>
  <c r="E97" i="24" s="1"/>
  <c r="D58" i="24"/>
  <c r="D97" i="24" s="1"/>
  <c r="V57" i="24"/>
  <c r="U57" i="24"/>
  <c r="U96" i="24" s="1"/>
  <c r="T57" i="24"/>
  <c r="S57" i="24"/>
  <c r="R57" i="24"/>
  <c r="Q57" i="24"/>
  <c r="P57" i="24"/>
  <c r="O57" i="24"/>
  <c r="N57" i="24"/>
  <c r="N96" i="24" s="1"/>
  <c r="M57" i="24"/>
  <c r="L57" i="24"/>
  <c r="K57" i="24"/>
  <c r="J57" i="24"/>
  <c r="I57" i="24"/>
  <c r="I96" i="24" s="1"/>
  <c r="H57" i="24"/>
  <c r="H96" i="24" s="1"/>
  <c r="G57" i="24"/>
  <c r="F57" i="24"/>
  <c r="F96" i="24" s="1"/>
  <c r="E57" i="24"/>
  <c r="E96" i="24" s="1"/>
  <c r="D57" i="24"/>
  <c r="D96" i="24" s="1"/>
  <c r="V56" i="24"/>
  <c r="U56" i="24"/>
  <c r="T56" i="24"/>
  <c r="S56" i="24"/>
  <c r="R56" i="24"/>
  <c r="R95" i="24" s="1"/>
  <c r="Q56" i="24"/>
  <c r="Q95" i="24" s="1"/>
  <c r="P56" i="24"/>
  <c r="O56" i="24"/>
  <c r="N56" i="24"/>
  <c r="N95" i="24" s="1"/>
  <c r="M56" i="24"/>
  <c r="L56" i="24"/>
  <c r="L95" i="24" s="1"/>
  <c r="K56" i="24"/>
  <c r="J56" i="24"/>
  <c r="J95" i="24" s="1"/>
  <c r="I56" i="24"/>
  <c r="H56" i="24"/>
  <c r="H95" i="24" s="1"/>
  <c r="G56" i="24"/>
  <c r="F56" i="24"/>
  <c r="E56" i="24"/>
  <c r="D56" i="24"/>
  <c r="V55" i="24"/>
  <c r="U55" i="24"/>
  <c r="U94" i="24" s="1"/>
  <c r="T55" i="24"/>
  <c r="T94" i="24" s="1"/>
  <c r="S55" i="24"/>
  <c r="R55" i="24"/>
  <c r="Q55" i="24"/>
  <c r="Q94" i="24" s="1"/>
  <c r="P55" i="24"/>
  <c r="O55" i="24"/>
  <c r="N55" i="24"/>
  <c r="N94" i="24" s="1"/>
  <c r="M55" i="24"/>
  <c r="L55" i="24"/>
  <c r="K55" i="24"/>
  <c r="K94" i="24" s="1"/>
  <c r="J55" i="24"/>
  <c r="I55" i="24"/>
  <c r="H55" i="24"/>
  <c r="G55" i="24"/>
  <c r="F55" i="24"/>
  <c r="E55" i="24"/>
  <c r="E94" i="24" s="1"/>
  <c r="D55" i="24"/>
  <c r="D94" i="24" s="1"/>
  <c r="V54" i="24"/>
  <c r="U54" i="24"/>
  <c r="T54" i="24"/>
  <c r="S54" i="24"/>
  <c r="R54" i="24"/>
  <c r="Q54" i="24"/>
  <c r="P54" i="24"/>
  <c r="P93" i="24" s="1"/>
  <c r="O54" i="24"/>
  <c r="N54" i="24"/>
  <c r="N93" i="24" s="1"/>
  <c r="M54" i="24"/>
  <c r="L54" i="24"/>
  <c r="K54" i="24"/>
  <c r="J54" i="24"/>
  <c r="I54" i="24"/>
  <c r="H54" i="24"/>
  <c r="H93" i="24" s="1"/>
  <c r="G54" i="24"/>
  <c r="G93" i="24" s="1"/>
  <c r="F54" i="24"/>
  <c r="E54" i="24"/>
  <c r="D54" i="24"/>
  <c r="V53" i="24"/>
  <c r="U53" i="24"/>
  <c r="U92" i="24" s="1"/>
  <c r="T53" i="24"/>
  <c r="S53" i="24"/>
  <c r="R53" i="24"/>
  <c r="Q53" i="24"/>
  <c r="Q92" i="24" s="1"/>
  <c r="P53" i="24"/>
  <c r="O53" i="24"/>
  <c r="O82" i="24" s="1"/>
  <c r="N53" i="24"/>
  <c r="M53" i="24"/>
  <c r="L53" i="24"/>
  <c r="K53" i="24"/>
  <c r="K92" i="24" s="1"/>
  <c r="J53" i="24"/>
  <c r="I53" i="24"/>
  <c r="H53" i="24"/>
  <c r="G53" i="24"/>
  <c r="F53" i="24"/>
  <c r="E53" i="24"/>
  <c r="E92" i="24" s="1"/>
  <c r="D53" i="24"/>
  <c r="D92" i="24" s="1"/>
  <c r="V41" i="24"/>
  <c r="U41" i="24"/>
  <c r="T41" i="24"/>
  <c r="S41" i="24"/>
  <c r="S275" i="24" s="1"/>
  <c r="R41" i="24"/>
  <c r="Q41" i="24"/>
  <c r="Q275" i="24" s="1"/>
  <c r="P41" i="24"/>
  <c r="P275" i="24" s="1"/>
  <c r="O41" i="24"/>
  <c r="O198" i="24" s="1"/>
  <c r="N41" i="24"/>
  <c r="M41" i="24"/>
  <c r="L41" i="24"/>
  <c r="L120" i="24" s="1"/>
  <c r="K41" i="24"/>
  <c r="K120" i="24" s="1"/>
  <c r="J41" i="24"/>
  <c r="I41" i="24"/>
  <c r="H41" i="24"/>
  <c r="H198" i="24" s="1"/>
  <c r="G41" i="24"/>
  <c r="F41" i="24"/>
  <c r="E41" i="24"/>
  <c r="E198" i="24" s="1"/>
  <c r="D41" i="24"/>
  <c r="D275" i="24" s="1"/>
  <c r="V40" i="24"/>
  <c r="V274" i="24" s="1"/>
  <c r="U40" i="24"/>
  <c r="T40" i="24"/>
  <c r="T274" i="24" s="1"/>
  <c r="S40" i="24"/>
  <c r="S197" i="24" s="1"/>
  <c r="R40" i="24"/>
  <c r="Q40" i="24"/>
  <c r="Q119" i="24" s="1"/>
  <c r="P40" i="24"/>
  <c r="O40" i="24"/>
  <c r="O274" i="24" s="1"/>
  <c r="N40" i="24"/>
  <c r="N119" i="24" s="1"/>
  <c r="M40" i="24"/>
  <c r="L40" i="24"/>
  <c r="K40" i="24"/>
  <c r="J40" i="24"/>
  <c r="J197" i="24" s="1"/>
  <c r="I40" i="24"/>
  <c r="H40" i="24"/>
  <c r="G40" i="24"/>
  <c r="G197" i="24" s="1"/>
  <c r="F40" i="24"/>
  <c r="E40" i="24"/>
  <c r="D40" i="24"/>
  <c r="D197" i="24" s="1"/>
  <c r="V39" i="24"/>
  <c r="V196" i="24" s="1"/>
  <c r="U39" i="24"/>
  <c r="U196" i="24" s="1"/>
  <c r="T39" i="24"/>
  <c r="S39" i="24"/>
  <c r="R39" i="24"/>
  <c r="Q39" i="24"/>
  <c r="Q118" i="24" s="1"/>
  <c r="P39" i="24"/>
  <c r="O39" i="24"/>
  <c r="N39" i="24"/>
  <c r="N196" i="24" s="1"/>
  <c r="M39" i="24"/>
  <c r="M273" i="24" s="1"/>
  <c r="L39" i="24"/>
  <c r="K39" i="24"/>
  <c r="J39" i="24"/>
  <c r="J273" i="24" s="1"/>
  <c r="I39" i="24"/>
  <c r="I273" i="24" s="1"/>
  <c r="H39" i="24"/>
  <c r="G39" i="24"/>
  <c r="F39" i="24"/>
  <c r="F196" i="24" s="1"/>
  <c r="E39" i="24"/>
  <c r="E196" i="24" s="1"/>
  <c r="D39" i="24"/>
  <c r="V38" i="24"/>
  <c r="U38" i="24"/>
  <c r="T38" i="24"/>
  <c r="S38" i="24"/>
  <c r="R38" i="24"/>
  <c r="Q38" i="24"/>
  <c r="P38" i="24"/>
  <c r="O38" i="24"/>
  <c r="N38" i="24"/>
  <c r="M38" i="24"/>
  <c r="L38" i="24"/>
  <c r="K38" i="24"/>
  <c r="J38" i="24"/>
  <c r="I38" i="24"/>
  <c r="H38" i="24"/>
  <c r="G38" i="24"/>
  <c r="F38" i="24"/>
  <c r="E38" i="24"/>
  <c r="D38" i="24"/>
  <c r="V37" i="24"/>
  <c r="U37" i="24"/>
  <c r="T37" i="24"/>
  <c r="T194" i="24" s="1"/>
  <c r="S37" i="24"/>
  <c r="S194" i="24" s="1"/>
  <c r="R37" i="24"/>
  <c r="Q37" i="24"/>
  <c r="Q194" i="24" s="1"/>
  <c r="P37" i="24"/>
  <c r="P194" i="24" s="1"/>
  <c r="O37" i="24"/>
  <c r="N37" i="24"/>
  <c r="M37" i="24"/>
  <c r="M116" i="24" s="1"/>
  <c r="L37" i="24"/>
  <c r="L194" i="24" s="1"/>
  <c r="K37" i="24"/>
  <c r="K271" i="24" s="1"/>
  <c r="J37" i="24"/>
  <c r="J271" i="24" s="1"/>
  <c r="I37" i="24"/>
  <c r="H37" i="24"/>
  <c r="H271" i="24" s="1"/>
  <c r="G37" i="24"/>
  <c r="G116" i="24" s="1"/>
  <c r="F37" i="24"/>
  <c r="E37" i="24"/>
  <c r="D37" i="24"/>
  <c r="V36" i="24"/>
  <c r="U36" i="24"/>
  <c r="T36" i="24"/>
  <c r="S36" i="24"/>
  <c r="R36" i="24"/>
  <c r="Q36" i="24"/>
  <c r="P36" i="24"/>
  <c r="P193" i="24" s="1"/>
  <c r="O36" i="24"/>
  <c r="O193" i="24" s="1"/>
  <c r="N36" i="24"/>
  <c r="N193" i="24" s="1"/>
  <c r="M36" i="24"/>
  <c r="L36" i="24"/>
  <c r="K36" i="24"/>
  <c r="K115" i="24" s="1"/>
  <c r="J36" i="24"/>
  <c r="J115" i="24" s="1"/>
  <c r="I36" i="24"/>
  <c r="H36" i="24"/>
  <c r="G36" i="24"/>
  <c r="F36" i="24"/>
  <c r="E36" i="24"/>
  <c r="D36" i="24"/>
  <c r="V35" i="24"/>
  <c r="V269" i="24" s="1"/>
  <c r="U35" i="24"/>
  <c r="U269" i="24" s="1"/>
  <c r="T35" i="24"/>
  <c r="S35" i="24"/>
  <c r="S269" i="24" s="1"/>
  <c r="R35" i="24"/>
  <c r="R192" i="24" s="1"/>
  <c r="Q35" i="24"/>
  <c r="P35" i="24"/>
  <c r="O35" i="24"/>
  <c r="N35" i="24"/>
  <c r="M35" i="24"/>
  <c r="M114" i="24" s="1"/>
  <c r="L35" i="24"/>
  <c r="K35" i="24"/>
  <c r="J35" i="24"/>
  <c r="J192" i="24" s="1"/>
  <c r="I35" i="24"/>
  <c r="H35" i="24"/>
  <c r="G35" i="24"/>
  <c r="F35" i="24"/>
  <c r="E35" i="24"/>
  <c r="D35" i="24"/>
  <c r="V34" i="24"/>
  <c r="V268" i="24" s="1"/>
  <c r="U34" i="24"/>
  <c r="T34" i="24"/>
  <c r="T191" i="24" s="1"/>
  <c r="S34" i="24"/>
  <c r="R34" i="24"/>
  <c r="Q34" i="24"/>
  <c r="Q113" i="24" s="1"/>
  <c r="P34" i="24"/>
  <c r="P113" i="24" s="1"/>
  <c r="O34" i="24"/>
  <c r="O191" i="24" s="1"/>
  <c r="N34" i="24"/>
  <c r="M34" i="24"/>
  <c r="M191" i="24" s="1"/>
  <c r="L34" i="24"/>
  <c r="L268" i="24" s="1"/>
  <c r="K34" i="24"/>
  <c r="J34" i="24"/>
  <c r="J191" i="24" s="1"/>
  <c r="I34" i="24"/>
  <c r="H34" i="24"/>
  <c r="G34" i="24"/>
  <c r="F34" i="24"/>
  <c r="F113" i="24" s="1"/>
  <c r="E34" i="24"/>
  <c r="D34" i="24"/>
  <c r="V33" i="24"/>
  <c r="V112" i="24" s="1"/>
  <c r="U33" i="24"/>
  <c r="T33" i="24"/>
  <c r="S33" i="24"/>
  <c r="R33" i="24"/>
  <c r="Q33" i="24"/>
  <c r="P33" i="24"/>
  <c r="O33" i="24"/>
  <c r="N33" i="24"/>
  <c r="M33" i="24"/>
  <c r="L33" i="24"/>
  <c r="K33" i="24"/>
  <c r="K267" i="24" s="1"/>
  <c r="J33" i="24"/>
  <c r="J190" i="24" s="1"/>
  <c r="I33" i="24"/>
  <c r="I267" i="24" s="1"/>
  <c r="H33" i="24"/>
  <c r="H267" i="24" s="1"/>
  <c r="G33" i="24"/>
  <c r="F33" i="24"/>
  <c r="E33" i="24"/>
  <c r="D33" i="24"/>
  <c r="V32" i="24"/>
  <c r="V111" i="24" s="1"/>
  <c r="U32" i="24"/>
  <c r="T32" i="24"/>
  <c r="S32" i="24"/>
  <c r="S189" i="24" s="1"/>
  <c r="R32" i="24"/>
  <c r="Q32" i="24"/>
  <c r="P32" i="24"/>
  <c r="O32" i="24"/>
  <c r="N32" i="24"/>
  <c r="M32" i="24"/>
  <c r="L32" i="24"/>
  <c r="L266" i="24" s="1"/>
  <c r="K32" i="24"/>
  <c r="K189" i="24" s="1"/>
  <c r="J32" i="24"/>
  <c r="J189" i="24" s="1"/>
  <c r="I32" i="24"/>
  <c r="H32" i="24"/>
  <c r="G32" i="24"/>
  <c r="G266" i="24" s="1"/>
  <c r="F32" i="24"/>
  <c r="F111" i="24" s="1"/>
  <c r="E32" i="24"/>
  <c r="D32" i="24"/>
  <c r="V31" i="24"/>
  <c r="V188" i="24" s="1"/>
  <c r="U31" i="24"/>
  <c r="T31" i="24"/>
  <c r="S31" i="24"/>
  <c r="R31" i="24"/>
  <c r="Q31" i="24"/>
  <c r="P31" i="24"/>
  <c r="O31" i="24"/>
  <c r="N31" i="24"/>
  <c r="N188" i="24" s="1"/>
  <c r="M31" i="24"/>
  <c r="M188" i="24" s="1"/>
  <c r="L31" i="24"/>
  <c r="K31" i="24"/>
  <c r="J31" i="24"/>
  <c r="J110" i="24" s="1"/>
  <c r="I31" i="24"/>
  <c r="H31" i="24"/>
  <c r="H188" i="24" s="1"/>
  <c r="G31" i="24"/>
  <c r="F31" i="24"/>
  <c r="E31" i="24"/>
  <c r="D31" i="24"/>
  <c r="V30" i="24"/>
  <c r="V187" i="24" s="1"/>
  <c r="U30" i="24"/>
  <c r="T30" i="24"/>
  <c r="T264" i="24" s="1"/>
  <c r="S30" i="24"/>
  <c r="R30" i="24"/>
  <c r="Q30" i="24"/>
  <c r="P30" i="24"/>
  <c r="P187" i="24" s="1"/>
  <c r="O30" i="24"/>
  <c r="O109" i="24" s="1"/>
  <c r="N30" i="24"/>
  <c r="M30" i="24"/>
  <c r="L30" i="24"/>
  <c r="K30" i="24"/>
  <c r="K187" i="24" s="1"/>
  <c r="J30" i="24"/>
  <c r="I30" i="24"/>
  <c r="H30" i="24"/>
  <c r="H187" i="24" s="1"/>
  <c r="G30" i="24"/>
  <c r="G264" i="24" s="1"/>
  <c r="F30" i="24"/>
  <c r="F264" i="24" s="1"/>
  <c r="E30" i="24"/>
  <c r="E264" i="24" s="1"/>
  <c r="D30" i="24"/>
  <c r="D264" i="24" s="1"/>
  <c r="V29" i="24"/>
  <c r="U29" i="24"/>
  <c r="U108" i="24" s="1"/>
  <c r="T29" i="24"/>
  <c r="S29" i="24"/>
  <c r="R29" i="24"/>
  <c r="R263" i="24" s="1"/>
  <c r="Q29" i="24"/>
  <c r="P29" i="24"/>
  <c r="P108" i="24" s="1"/>
  <c r="O29" i="24"/>
  <c r="O108" i="24" s="1"/>
  <c r="N29" i="24"/>
  <c r="N186" i="24" s="1"/>
  <c r="M29" i="24"/>
  <c r="L29" i="24"/>
  <c r="L186" i="24" s="1"/>
  <c r="K29" i="24"/>
  <c r="K186" i="24" s="1"/>
  <c r="J29" i="24"/>
  <c r="I29" i="24"/>
  <c r="H29" i="24"/>
  <c r="H186" i="24" s="1"/>
  <c r="G29" i="24"/>
  <c r="G263" i="24" s="1"/>
  <c r="F29" i="24"/>
  <c r="E29" i="24"/>
  <c r="E263" i="24" s="1"/>
  <c r="D29" i="24"/>
  <c r="V28" i="24"/>
  <c r="V185" i="24" s="1"/>
  <c r="U28" i="24"/>
  <c r="T28" i="24"/>
  <c r="S28" i="24"/>
  <c r="S262" i="24" s="1"/>
  <c r="R28" i="24"/>
  <c r="R107" i="24" s="1"/>
  <c r="Q28" i="24"/>
  <c r="P28" i="24"/>
  <c r="O28" i="24"/>
  <c r="N28" i="24"/>
  <c r="N185" i="24" s="1"/>
  <c r="M28" i="24"/>
  <c r="L28" i="24"/>
  <c r="K28" i="24"/>
  <c r="J28" i="24"/>
  <c r="I28" i="24"/>
  <c r="H28" i="24"/>
  <c r="G28" i="24"/>
  <c r="F28" i="24"/>
  <c r="E28" i="24"/>
  <c r="D28" i="24"/>
  <c r="V27" i="24"/>
  <c r="U27" i="24"/>
  <c r="T27" i="24"/>
  <c r="S27" i="24"/>
  <c r="R27" i="24"/>
  <c r="Q27" i="24"/>
  <c r="Q261" i="24" s="1"/>
  <c r="P27" i="24"/>
  <c r="P261" i="24" s="1"/>
  <c r="O27" i="24"/>
  <c r="O261" i="24" s="1"/>
  <c r="N27" i="24"/>
  <c r="M27" i="24"/>
  <c r="L27" i="24"/>
  <c r="K27" i="24"/>
  <c r="K106" i="24" s="1"/>
  <c r="J27" i="24"/>
  <c r="I27" i="24"/>
  <c r="H27" i="24"/>
  <c r="G27" i="24"/>
  <c r="F27" i="24"/>
  <c r="F184" i="24" s="1"/>
  <c r="E27" i="24"/>
  <c r="D27" i="24"/>
  <c r="V26" i="24"/>
  <c r="U26" i="24"/>
  <c r="T26" i="24"/>
  <c r="T260" i="24" s="1"/>
  <c r="S26" i="24"/>
  <c r="R26" i="24"/>
  <c r="R260" i="24" s="1"/>
  <c r="Q26" i="24"/>
  <c r="Q260" i="24" s="1"/>
  <c r="P26" i="24"/>
  <c r="P260" i="24" s="1"/>
  <c r="O26" i="24"/>
  <c r="N26" i="24"/>
  <c r="N260" i="24" s="1"/>
  <c r="M26" i="24"/>
  <c r="L26" i="24"/>
  <c r="L183" i="24" s="1"/>
  <c r="K26" i="24"/>
  <c r="K105" i="24" s="1"/>
  <c r="J26" i="24"/>
  <c r="I26" i="24"/>
  <c r="H26" i="24"/>
  <c r="H105" i="24" s="1"/>
  <c r="G26" i="24"/>
  <c r="G183" i="24" s="1"/>
  <c r="F26" i="24"/>
  <c r="E26" i="24"/>
  <c r="E183" i="24" s="1"/>
  <c r="D26" i="24"/>
  <c r="D183" i="24" s="1"/>
  <c r="V24" i="24"/>
  <c r="V181" i="24" s="1"/>
  <c r="U24" i="24"/>
  <c r="U258" i="24" s="1"/>
  <c r="T24" i="24"/>
  <c r="T258" i="24" s="1"/>
  <c r="S24" i="24"/>
  <c r="R24" i="24"/>
  <c r="Q24" i="24"/>
  <c r="P24" i="24"/>
  <c r="O24" i="24"/>
  <c r="N24" i="24"/>
  <c r="N103" i="24" s="1"/>
  <c r="M24" i="24"/>
  <c r="M103" i="24" s="1"/>
  <c r="L24" i="24"/>
  <c r="L103" i="24" s="1"/>
  <c r="K24" i="24"/>
  <c r="J24" i="24"/>
  <c r="I24" i="24"/>
  <c r="H24" i="24"/>
  <c r="H181" i="24" s="1"/>
  <c r="G24" i="24"/>
  <c r="F24" i="24"/>
  <c r="E24" i="24"/>
  <c r="D24" i="24"/>
  <c r="D258" i="24" s="1"/>
  <c r="V23" i="24"/>
  <c r="V257" i="24" s="1"/>
  <c r="U23" i="24"/>
  <c r="T23" i="24"/>
  <c r="S23" i="24"/>
  <c r="R23" i="24"/>
  <c r="Q23" i="24"/>
  <c r="P23" i="24"/>
  <c r="P102" i="24" s="1"/>
  <c r="O23" i="24"/>
  <c r="O102" i="24" s="1"/>
  <c r="N23" i="24"/>
  <c r="N180" i="24" s="1"/>
  <c r="M23" i="24"/>
  <c r="L23" i="24"/>
  <c r="L180" i="24" s="1"/>
  <c r="K23" i="24"/>
  <c r="K180" i="24" s="1"/>
  <c r="J23" i="24"/>
  <c r="J102" i="24" s="1"/>
  <c r="I23" i="24"/>
  <c r="H23" i="24"/>
  <c r="G23" i="24"/>
  <c r="F23" i="24"/>
  <c r="E23" i="24"/>
  <c r="D23" i="24"/>
  <c r="V22" i="24"/>
  <c r="V179" i="24" s="1"/>
  <c r="U22" i="24"/>
  <c r="T22" i="24"/>
  <c r="S22" i="24"/>
  <c r="S101" i="24" s="1"/>
  <c r="R22" i="24"/>
  <c r="Q22" i="24"/>
  <c r="Q179" i="24" s="1"/>
  <c r="P22" i="24"/>
  <c r="O22" i="24"/>
  <c r="N22" i="24"/>
  <c r="M22" i="24"/>
  <c r="M256" i="24" s="1"/>
  <c r="L22" i="24"/>
  <c r="L256" i="24" s="1"/>
  <c r="K22" i="24"/>
  <c r="J22" i="24"/>
  <c r="I22" i="24"/>
  <c r="H22" i="24"/>
  <c r="G22" i="24"/>
  <c r="F22" i="24"/>
  <c r="E22" i="24"/>
  <c r="D22" i="24"/>
  <c r="V21" i="24"/>
  <c r="V178" i="24" s="1"/>
  <c r="U21" i="24"/>
  <c r="U100" i="24" s="1"/>
  <c r="T21" i="24"/>
  <c r="T255" i="24" s="1"/>
  <c r="S21" i="24"/>
  <c r="S255" i="24" s="1"/>
  <c r="R21" i="24"/>
  <c r="Q21" i="24"/>
  <c r="Q255" i="24" s="1"/>
  <c r="P21" i="24"/>
  <c r="O21" i="24"/>
  <c r="O255" i="24" s="1"/>
  <c r="N21" i="24"/>
  <c r="M21" i="24"/>
  <c r="M255" i="24" s="1"/>
  <c r="L21" i="24"/>
  <c r="L255" i="24" s="1"/>
  <c r="K21" i="24"/>
  <c r="K178" i="24" s="1"/>
  <c r="J21" i="24"/>
  <c r="J100" i="24" s="1"/>
  <c r="I21" i="24"/>
  <c r="I178" i="24" s="1"/>
  <c r="H21" i="24"/>
  <c r="H100" i="24" s="1"/>
  <c r="G21" i="24"/>
  <c r="F21" i="24"/>
  <c r="F100" i="24" s="1"/>
  <c r="E21" i="24"/>
  <c r="D21" i="24"/>
  <c r="D178" i="24" s="1"/>
  <c r="V20" i="24"/>
  <c r="U20" i="24"/>
  <c r="T20" i="24"/>
  <c r="T177" i="24" s="1"/>
  <c r="S20" i="24"/>
  <c r="S254" i="24" s="1"/>
  <c r="R20" i="24"/>
  <c r="R254" i="24" s="1"/>
  <c r="Q20" i="24"/>
  <c r="P20" i="24"/>
  <c r="O20" i="24"/>
  <c r="O254" i="24" s="1"/>
  <c r="N20" i="24"/>
  <c r="M20" i="24"/>
  <c r="L20" i="24"/>
  <c r="K20" i="24"/>
  <c r="K99" i="24" s="1"/>
  <c r="J20" i="24"/>
  <c r="J99" i="24" s="1"/>
  <c r="I20" i="24"/>
  <c r="H20" i="24"/>
  <c r="H99" i="24" s="1"/>
  <c r="G20" i="24"/>
  <c r="F20" i="24"/>
  <c r="E20" i="24"/>
  <c r="E177" i="24" s="1"/>
  <c r="D20" i="24"/>
  <c r="V19" i="24"/>
  <c r="U19" i="24"/>
  <c r="T19" i="24"/>
  <c r="S19" i="24"/>
  <c r="S253" i="24" s="1"/>
  <c r="R19" i="24"/>
  <c r="R253" i="24" s="1"/>
  <c r="Q19" i="24"/>
  <c r="P19" i="24"/>
  <c r="O19" i="24"/>
  <c r="O176" i="24" s="1"/>
  <c r="N19" i="24"/>
  <c r="N253" i="24" s="1"/>
  <c r="M19" i="24"/>
  <c r="L19" i="24"/>
  <c r="L98" i="24" s="1"/>
  <c r="K19" i="24"/>
  <c r="K98" i="24" s="1"/>
  <c r="J19" i="24"/>
  <c r="J176" i="24" s="1"/>
  <c r="I19" i="24"/>
  <c r="H19" i="24"/>
  <c r="G19" i="24"/>
  <c r="F19" i="24"/>
  <c r="E19" i="24"/>
  <c r="D19" i="24"/>
  <c r="V18" i="24"/>
  <c r="U18" i="24"/>
  <c r="T18" i="24"/>
  <c r="S18" i="24"/>
  <c r="R18" i="24"/>
  <c r="R252" i="24" s="1"/>
  <c r="Q18" i="24"/>
  <c r="Q252" i="24" s="1"/>
  <c r="P18" i="24"/>
  <c r="O18" i="24"/>
  <c r="O97" i="24" s="1"/>
  <c r="N18" i="24"/>
  <c r="N97" i="24" s="1"/>
  <c r="M18" i="24"/>
  <c r="M97" i="24" s="1"/>
  <c r="L18" i="24"/>
  <c r="K18" i="24"/>
  <c r="K175" i="24" s="1"/>
  <c r="J18" i="24"/>
  <c r="J42" i="24" s="1"/>
  <c r="I18" i="24"/>
  <c r="H18" i="24"/>
  <c r="G18" i="24"/>
  <c r="F18" i="24"/>
  <c r="E18" i="24"/>
  <c r="D18" i="24"/>
  <c r="V17" i="24"/>
  <c r="U17" i="24"/>
  <c r="T17" i="24"/>
  <c r="S17" i="24"/>
  <c r="R17" i="24"/>
  <c r="Q17" i="24"/>
  <c r="P17" i="24"/>
  <c r="P174" i="24" s="1"/>
  <c r="O17" i="24"/>
  <c r="N17" i="24"/>
  <c r="M17" i="24"/>
  <c r="M174" i="24" s="1"/>
  <c r="L17" i="24"/>
  <c r="L251" i="24" s="1"/>
  <c r="K17" i="24"/>
  <c r="K251" i="24" s="1"/>
  <c r="J17" i="24"/>
  <c r="I17" i="24"/>
  <c r="I251" i="24" s="1"/>
  <c r="H17" i="24"/>
  <c r="G17" i="24"/>
  <c r="G96" i="24" s="1"/>
  <c r="F17" i="24"/>
  <c r="E17" i="24"/>
  <c r="D17" i="24"/>
  <c r="V16" i="24"/>
  <c r="U16" i="24"/>
  <c r="T16" i="24"/>
  <c r="T95" i="24" s="1"/>
  <c r="S16" i="24"/>
  <c r="S173" i="24" s="1"/>
  <c r="R16" i="24"/>
  <c r="Q16" i="24"/>
  <c r="P16" i="24"/>
  <c r="O16" i="24"/>
  <c r="O250" i="24" s="1"/>
  <c r="N16" i="24"/>
  <c r="N250" i="24" s="1"/>
  <c r="M16" i="24"/>
  <c r="L16" i="24"/>
  <c r="L250" i="24" s="1"/>
  <c r="K16" i="24"/>
  <c r="K250" i="24" s="1"/>
  <c r="J16" i="24"/>
  <c r="I16" i="24"/>
  <c r="H16" i="24"/>
  <c r="G16" i="24"/>
  <c r="F16" i="24"/>
  <c r="E16" i="24"/>
  <c r="D16" i="24"/>
  <c r="D95" i="24" s="1"/>
  <c r="V15" i="24"/>
  <c r="V172" i="24" s="1"/>
  <c r="U15" i="24"/>
  <c r="T15" i="24"/>
  <c r="S15" i="24"/>
  <c r="R15" i="24"/>
  <c r="Q15" i="24"/>
  <c r="Q249" i="24" s="1"/>
  <c r="P15" i="24"/>
  <c r="O15" i="24"/>
  <c r="O249" i="24" s="1"/>
  <c r="N15" i="24"/>
  <c r="N249" i="24" s="1"/>
  <c r="M15" i="24"/>
  <c r="M94" i="24" s="1"/>
  <c r="L15" i="24"/>
  <c r="K15" i="24"/>
  <c r="J15" i="24"/>
  <c r="I15" i="24"/>
  <c r="H15" i="24"/>
  <c r="G15" i="24"/>
  <c r="G94" i="24" s="1"/>
  <c r="F15" i="24"/>
  <c r="F172" i="24" s="1"/>
  <c r="E15" i="24"/>
  <c r="D15" i="24"/>
  <c r="V14" i="24"/>
  <c r="U14" i="24"/>
  <c r="T14" i="24"/>
  <c r="S14" i="24"/>
  <c r="R14" i="24"/>
  <c r="Q14" i="24"/>
  <c r="Q248" i="24" s="1"/>
  <c r="P14" i="24"/>
  <c r="O14" i="24"/>
  <c r="O93" i="24" s="1"/>
  <c r="N14" i="24"/>
  <c r="M14" i="24"/>
  <c r="L14" i="24"/>
  <c r="K14" i="24"/>
  <c r="J14" i="24"/>
  <c r="I14" i="24"/>
  <c r="I171" i="24" s="1"/>
  <c r="H14" i="24"/>
  <c r="G14" i="24"/>
  <c r="F14" i="24"/>
  <c r="E14" i="24"/>
  <c r="D14" i="24"/>
  <c r="V13" i="24"/>
  <c r="U13" i="24"/>
  <c r="T13" i="24"/>
  <c r="S13" i="24"/>
  <c r="R13" i="24"/>
  <c r="Q13" i="24"/>
  <c r="P13" i="24"/>
  <c r="O13" i="24"/>
  <c r="N13" i="24"/>
  <c r="M13" i="24"/>
  <c r="M247" i="24" s="1"/>
  <c r="L13" i="24"/>
  <c r="L170" i="24" s="1"/>
  <c r="K13" i="24"/>
  <c r="J13" i="24"/>
  <c r="I13" i="24"/>
  <c r="I42" i="24" s="1"/>
  <c r="H13" i="24"/>
  <c r="G13" i="24"/>
  <c r="F13" i="24"/>
  <c r="E13" i="24"/>
  <c r="D13" i="24"/>
  <c r="C299" i="23"/>
  <c r="I297" i="23"/>
  <c r="D295" i="23"/>
  <c r="J287" i="23"/>
  <c r="G280" i="23"/>
  <c r="G279" i="23"/>
  <c r="D279" i="23"/>
  <c r="D278" i="23"/>
  <c r="H275" i="23"/>
  <c r="K272" i="23"/>
  <c r="H270" i="23"/>
  <c r="C257" i="23"/>
  <c r="K255" i="23"/>
  <c r="J255" i="23"/>
  <c r="J297" i="23" s="1"/>
  <c r="I255" i="23"/>
  <c r="H255" i="23"/>
  <c r="G255" i="23"/>
  <c r="F255" i="23"/>
  <c r="E255" i="23"/>
  <c r="D255" i="23"/>
  <c r="K254" i="23"/>
  <c r="J254" i="23"/>
  <c r="J296" i="23" s="1"/>
  <c r="I254" i="23"/>
  <c r="H254" i="23"/>
  <c r="G254" i="23"/>
  <c r="F254" i="23"/>
  <c r="E254" i="23"/>
  <c r="D254" i="23"/>
  <c r="K253" i="23"/>
  <c r="J253" i="23"/>
  <c r="J295" i="23" s="1"/>
  <c r="I253" i="23"/>
  <c r="I295" i="23" s="1"/>
  <c r="H253" i="23"/>
  <c r="H295" i="23" s="1"/>
  <c r="G253" i="23"/>
  <c r="F253" i="23"/>
  <c r="E253" i="23"/>
  <c r="D253" i="23"/>
  <c r="K252" i="23"/>
  <c r="J252" i="23"/>
  <c r="J294" i="23" s="1"/>
  <c r="I252" i="23"/>
  <c r="H252" i="23"/>
  <c r="H294" i="23" s="1"/>
  <c r="G252" i="23"/>
  <c r="F252" i="23"/>
  <c r="E252" i="23"/>
  <c r="D252" i="23"/>
  <c r="K251" i="23"/>
  <c r="J251" i="23"/>
  <c r="J293" i="23" s="1"/>
  <c r="I251" i="23"/>
  <c r="I293" i="23" s="1"/>
  <c r="H251" i="23"/>
  <c r="H293" i="23" s="1"/>
  <c r="G251" i="23"/>
  <c r="F251" i="23"/>
  <c r="E251" i="23"/>
  <c r="D251" i="23"/>
  <c r="K250" i="23"/>
  <c r="J250" i="23"/>
  <c r="J292" i="23" s="1"/>
  <c r="I250" i="23"/>
  <c r="H250" i="23"/>
  <c r="G250" i="23"/>
  <c r="G292" i="23" s="1"/>
  <c r="F250" i="23"/>
  <c r="E250" i="23"/>
  <c r="D250" i="23"/>
  <c r="D292" i="23" s="1"/>
  <c r="K249" i="23"/>
  <c r="J249" i="23"/>
  <c r="J291" i="23" s="1"/>
  <c r="I249" i="23"/>
  <c r="I291" i="23" s="1"/>
  <c r="H249" i="23"/>
  <c r="G249" i="23"/>
  <c r="F249" i="23"/>
  <c r="E249" i="23"/>
  <c r="D249" i="23"/>
  <c r="K248" i="23"/>
  <c r="J248" i="23"/>
  <c r="J290" i="23" s="1"/>
  <c r="I248" i="23"/>
  <c r="H248" i="23"/>
  <c r="H290" i="23" s="1"/>
  <c r="G248" i="23"/>
  <c r="G290" i="23" s="1"/>
  <c r="F248" i="23"/>
  <c r="E248" i="23"/>
  <c r="D248" i="23"/>
  <c r="K247" i="23"/>
  <c r="J247" i="23"/>
  <c r="J289" i="23" s="1"/>
  <c r="I247" i="23"/>
  <c r="I289" i="23" s="1"/>
  <c r="H247" i="23"/>
  <c r="H289" i="23" s="1"/>
  <c r="G247" i="23"/>
  <c r="F247" i="23"/>
  <c r="E247" i="23"/>
  <c r="D247" i="23"/>
  <c r="K246" i="23"/>
  <c r="J246" i="23"/>
  <c r="J288" i="23" s="1"/>
  <c r="I246" i="23"/>
  <c r="H246" i="23"/>
  <c r="H288" i="23" s="1"/>
  <c r="G246" i="23"/>
  <c r="F246" i="23"/>
  <c r="E246" i="23"/>
  <c r="D246" i="23"/>
  <c r="D288" i="23" s="1"/>
  <c r="K245" i="23"/>
  <c r="J245" i="23"/>
  <c r="I245" i="23"/>
  <c r="I287" i="23" s="1"/>
  <c r="H245" i="23"/>
  <c r="H287" i="23" s="1"/>
  <c r="G245" i="23"/>
  <c r="F245" i="23"/>
  <c r="E245" i="23"/>
  <c r="D245" i="23"/>
  <c r="D287" i="23" s="1"/>
  <c r="K244" i="23"/>
  <c r="K286" i="23" s="1"/>
  <c r="J244" i="23"/>
  <c r="J286" i="23" s="1"/>
  <c r="I244" i="23"/>
  <c r="H244" i="23"/>
  <c r="G244" i="23"/>
  <c r="F244" i="23"/>
  <c r="E244" i="23"/>
  <c r="D244" i="23"/>
  <c r="K243" i="23"/>
  <c r="J243" i="23"/>
  <c r="J285" i="23" s="1"/>
  <c r="I243" i="23"/>
  <c r="I285" i="23" s="1"/>
  <c r="H243" i="23"/>
  <c r="H285" i="23" s="1"/>
  <c r="G243" i="23"/>
  <c r="F243" i="23"/>
  <c r="E243" i="23"/>
  <c r="D243" i="23"/>
  <c r="K242" i="23"/>
  <c r="J242" i="23"/>
  <c r="J284" i="23" s="1"/>
  <c r="I242" i="23"/>
  <c r="H242" i="23"/>
  <c r="H284" i="23" s="1"/>
  <c r="G242" i="23"/>
  <c r="G284" i="23" s="1"/>
  <c r="F242" i="23"/>
  <c r="E242" i="23"/>
  <c r="D242" i="23"/>
  <c r="K241" i="23"/>
  <c r="J241" i="23"/>
  <c r="J283" i="23" s="1"/>
  <c r="I241" i="23"/>
  <c r="I283" i="23" s="1"/>
  <c r="H241" i="23"/>
  <c r="G241" i="23"/>
  <c r="F241" i="23"/>
  <c r="E241" i="23"/>
  <c r="D241" i="23"/>
  <c r="D283" i="23" s="1"/>
  <c r="K240" i="23"/>
  <c r="K282" i="23" s="1"/>
  <c r="J240" i="23"/>
  <c r="J282" i="23" s="1"/>
  <c r="I240" i="23"/>
  <c r="H240" i="23"/>
  <c r="H282" i="23" s="1"/>
  <c r="G240" i="23"/>
  <c r="G282" i="23" s="1"/>
  <c r="F240" i="23"/>
  <c r="E240" i="23"/>
  <c r="D240" i="23"/>
  <c r="D282" i="23" s="1"/>
  <c r="K239" i="23"/>
  <c r="J239" i="23"/>
  <c r="J281" i="23" s="1"/>
  <c r="I239" i="23"/>
  <c r="H239" i="23"/>
  <c r="G239" i="23"/>
  <c r="F239" i="23"/>
  <c r="E239" i="23"/>
  <c r="D239" i="23"/>
  <c r="D281" i="23" s="1"/>
  <c r="K238" i="23"/>
  <c r="J238" i="23"/>
  <c r="J280" i="23" s="1"/>
  <c r="I238" i="23"/>
  <c r="H238" i="23"/>
  <c r="H280" i="23" s="1"/>
  <c r="G238" i="23"/>
  <c r="F238" i="23"/>
  <c r="E238" i="23"/>
  <c r="D238" i="23"/>
  <c r="K237" i="23"/>
  <c r="J237" i="23"/>
  <c r="J279" i="23" s="1"/>
  <c r="I237" i="23"/>
  <c r="I279" i="23" s="1"/>
  <c r="H237" i="23"/>
  <c r="H279" i="23" s="1"/>
  <c r="G237" i="23"/>
  <c r="F237" i="23"/>
  <c r="F279" i="23" s="1"/>
  <c r="E237" i="23"/>
  <c r="E279" i="23" s="1"/>
  <c r="D237" i="23"/>
  <c r="K236" i="23"/>
  <c r="J236" i="23"/>
  <c r="J278" i="23" s="1"/>
  <c r="I236" i="23"/>
  <c r="H236" i="23"/>
  <c r="G236" i="23"/>
  <c r="F236" i="23"/>
  <c r="E236" i="23"/>
  <c r="D236" i="23"/>
  <c r="K235" i="23"/>
  <c r="J235" i="23"/>
  <c r="J277" i="23" s="1"/>
  <c r="I235" i="23"/>
  <c r="I277" i="23" s="1"/>
  <c r="H235" i="23"/>
  <c r="H277" i="23" s="1"/>
  <c r="G235" i="23"/>
  <c r="F235" i="23"/>
  <c r="E235" i="23"/>
  <c r="D235" i="23"/>
  <c r="D277" i="23" s="1"/>
  <c r="K234" i="23"/>
  <c r="K276" i="23" s="1"/>
  <c r="J234" i="23"/>
  <c r="J276" i="23" s="1"/>
  <c r="I234" i="23"/>
  <c r="H234" i="23"/>
  <c r="G234" i="23"/>
  <c r="G276" i="23" s="1"/>
  <c r="F234" i="23"/>
  <c r="E234" i="23"/>
  <c r="D234" i="23"/>
  <c r="K233" i="23"/>
  <c r="J233" i="23"/>
  <c r="J275" i="23" s="1"/>
  <c r="I233" i="23"/>
  <c r="I275" i="23" s="1"/>
  <c r="H233" i="23"/>
  <c r="G233" i="23"/>
  <c r="F233" i="23"/>
  <c r="E233" i="23"/>
  <c r="D233" i="23"/>
  <c r="K232" i="23"/>
  <c r="J232" i="23"/>
  <c r="J274" i="23" s="1"/>
  <c r="I232" i="23"/>
  <c r="H232" i="23"/>
  <c r="H274" i="23" s="1"/>
  <c r="G232" i="23"/>
  <c r="F232" i="23"/>
  <c r="E232" i="23"/>
  <c r="D232" i="23"/>
  <c r="K231" i="23"/>
  <c r="J231" i="23"/>
  <c r="J273" i="23" s="1"/>
  <c r="I231" i="23"/>
  <c r="I273" i="23" s="1"/>
  <c r="H231" i="23"/>
  <c r="G231" i="23"/>
  <c r="F231" i="23"/>
  <c r="E231" i="23"/>
  <c r="D231" i="23"/>
  <c r="D273" i="23" s="1"/>
  <c r="K230" i="23"/>
  <c r="J230" i="23"/>
  <c r="J272" i="23" s="1"/>
  <c r="I230" i="23"/>
  <c r="H230" i="23"/>
  <c r="H272" i="23" s="1"/>
  <c r="G230" i="23"/>
  <c r="G272" i="23" s="1"/>
  <c r="F230" i="23"/>
  <c r="E230" i="23"/>
  <c r="D230" i="23"/>
  <c r="K229" i="23"/>
  <c r="J229" i="23"/>
  <c r="J271" i="23" s="1"/>
  <c r="I229" i="23"/>
  <c r="I271" i="23" s="1"/>
  <c r="H229" i="23"/>
  <c r="H271" i="23" s="1"/>
  <c r="G229" i="23"/>
  <c r="F229" i="23"/>
  <c r="E229" i="23"/>
  <c r="D229" i="23"/>
  <c r="K228" i="23"/>
  <c r="J228" i="23"/>
  <c r="J270" i="23" s="1"/>
  <c r="I228" i="23"/>
  <c r="H228" i="23"/>
  <c r="G228" i="23"/>
  <c r="F228" i="23"/>
  <c r="E228" i="23"/>
  <c r="D228" i="23"/>
  <c r="K227" i="23"/>
  <c r="J227" i="23"/>
  <c r="J269" i="23" s="1"/>
  <c r="I227" i="23"/>
  <c r="I269" i="23" s="1"/>
  <c r="H227" i="23"/>
  <c r="G227" i="23"/>
  <c r="F227" i="23"/>
  <c r="E227" i="23"/>
  <c r="D227" i="23"/>
  <c r="K226" i="23"/>
  <c r="J226" i="23"/>
  <c r="J268" i="23" s="1"/>
  <c r="I226" i="23"/>
  <c r="H226" i="23"/>
  <c r="G226" i="23"/>
  <c r="G268" i="23" s="1"/>
  <c r="F226" i="23"/>
  <c r="E226" i="23"/>
  <c r="D226" i="23"/>
  <c r="K225" i="23"/>
  <c r="K256" i="23" s="1"/>
  <c r="J225" i="23"/>
  <c r="J267" i="23" s="1"/>
  <c r="I225" i="23"/>
  <c r="I256" i="23" s="1"/>
  <c r="H225" i="23"/>
  <c r="H256" i="23" s="1"/>
  <c r="G225" i="23"/>
  <c r="F225" i="23"/>
  <c r="E225" i="23"/>
  <c r="D225" i="23"/>
  <c r="D256" i="23" s="1"/>
  <c r="C216" i="23"/>
  <c r="J214" i="23"/>
  <c r="J212" i="23"/>
  <c r="I212" i="23"/>
  <c r="I210" i="23"/>
  <c r="H210" i="23"/>
  <c r="H209" i="23"/>
  <c r="H208" i="23"/>
  <c r="H203" i="23"/>
  <c r="D203" i="23"/>
  <c r="H201" i="23"/>
  <c r="J198" i="23"/>
  <c r="I196" i="23"/>
  <c r="G196" i="23"/>
  <c r="F196" i="23"/>
  <c r="H194" i="23"/>
  <c r="H193" i="23"/>
  <c r="J190" i="23"/>
  <c r="H186" i="23"/>
  <c r="C174" i="23"/>
  <c r="K172" i="23"/>
  <c r="K214" i="23" s="1"/>
  <c r="J172" i="23"/>
  <c r="I172" i="23"/>
  <c r="H172" i="23"/>
  <c r="H214" i="23" s="1"/>
  <c r="G172" i="23"/>
  <c r="F172" i="23"/>
  <c r="E172" i="23"/>
  <c r="D172" i="23"/>
  <c r="D214" i="23" s="1"/>
  <c r="K171" i="23"/>
  <c r="K213" i="23" s="1"/>
  <c r="J171" i="23"/>
  <c r="I171" i="23"/>
  <c r="H171" i="23"/>
  <c r="H213" i="23" s="1"/>
  <c r="G171" i="23"/>
  <c r="G213" i="23" s="1"/>
  <c r="F171" i="23"/>
  <c r="E171" i="23"/>
  <c r="D171" i="23"/>
  <c r="D213" i="23" s="1"/>
  <c r="K170" i="23"/>
  <c r="K212" i="23" s="1"/>
  <c r="J170" i="23"/>
  <c r="I170" i="23"/>
  <c r="H170" i="23"/>
  <c r="G170" i="23"/>
  <c r="F170" i="23"/>
  <c r="E170" i="23"/>
  <c r="D170" i="23"/>
  <c r="D212" i="23" s="1"/>
  <c r="K169" i="23"/>
  <c r="K211" i="23" s="1"/>
  <c r="J169" i="23"/>
  <c r="I169" i="23"/>
  <c r="H169" i="23"/>
  <c r="G169" i="23"/>
  <c r="G211" i="23" s="1"/>
  <c r="F169" i="23"/>
  <c r="E169" i="23"/>
  <c r="D169" i="23"/>
  <c r="D211" i="23" s="1"/>
  <c r="K168" i="23"/>
  <c r="K210" i="23" s="1"/>
  <c r="J168" i="23"/>
  <c r="J210" i="23" s="1"/>
  <c r="I168" i="23"/>
  <c r="H168" i="23"/>
  <c r="G168" i="23"/>
  <c r="F168" i="23"/>
  <c r="E168" i="23"/>
  <c r="D168" i="23"/>
  <c r="D210" i="23" s="1"/>
  <c r="K167" i="23"/>
  <c r="K209" i="23" s="1"/>
  <c r="J167" i="23"/>
  <c r="I167" i="23"/>
  <c r="H167" i="23"/>
  <c r="G167" i="23"/>
  <c r="G209" i="23" s="1"/>
  <c r="F167" i="23"/>
  <c r="E167" i="23"/>
  <c r="D167" i="23"/>
  <c r="K166" i="23"/>
  <c r="K208" i="23" s="1"/>
  <c r="J166" i="23"/>
  <c r="J208" i="23" s="1"/>
  <c r="I166" i="23"/>
  <c r="I208" i="23" s="1"/>
  <c r="H166" i="23"/>
  <c r="G166" i="23"/>
  <c r="F166" i="23"/>
  <c r="E166" i="23"/>
  <c r="D166" i="23"/>
  <c r="D208" i="23" s="1"/>
  <c r="K165" i="23"/>
  <c r="K207" i="23" s="1"/>
  <c r="J165" i="23"/>
  <c r="I165" i="23"/>
  <c r="H165" i="23"/>
  <c r="H207" i="23" s="1"/>
  <c r="G165" i="23"/>
  <c r="G207" i="23" s="1"/>
  <c r="F165" i="23"/>
  <c r="E165" i="23"/>
  <c r="D165" i="23"/>
  <c r="K164" i="23"/>
  <c r="K206" i="23" s="1"/>
  <c r="J164" i="23"/>
  <c r="J206" i="23" s="1"/>
  <c r="I164" i="23"/>
  <c r="I206" i="23" s="1"/>
  <c r="H164" i="23"/>
  <c r="H206" i="23" s="1"/>
  <c r="G164" i="23"/>
  <c r="F164" i="23"/>
  <c r="E164" i="23"/>
  <c r="D164" i="23"/>
  <c r="D206" i="23" s="1"/>
  <c r="K163" i="23"/>
  <c r="K205" i="23" s="1"/>
  <c r="J163" i="23"/>
  <c r="I163" i="23"/>
  <c r="H163" i="23"/>
  <c r="H205" i="23" s="1"/>
  <c r="G163" i="23"/>
  <c r="G205" i="23" s="1"/>
  <c r="F163" i="23"/>
  <c r="E163" i="23"/>
  <c r="D163" i="23"/>
  <c r="K162" i="23"/>
  <c r="K204" i="23" s="1"/>
  <c r="J162" i="23"/>
  <c r="J204" i="23" s="1"/>
  <c r="I162" i="23"/>
  <c r="I204" i="23" s="1"/>
  <c r="H162" i="23"/>
  <c r="H204" i="23" s="1"/>
  <c r="G162" i="23"/>
  <c r="F162" i="23"/>
  <c r="E162" i="23"/>
  <c r="D162" i="23"/>
  <c r="D204" i="23" s="1"/>
  <c r="K161" i="23"/>
  <c r="K203" i="23" s="1"/>
  <c r="J161" i="23"/>
  <c r="I161" i="23"/>
  <c r="H161" i="23"/>
  <c r="G161" i="23"/>
  <c r="G203" i="23" s="1"/>
  <c r="F161" i="23"/>
  <c r="E161" i="23"/>
  <c r="D161" i="23"/>
  <c r="K160" i="23"/>
  <c r="K202" i="23" s="1"/>
  <c r="J160" i="23"/>
  <c r="J202" i="23" s="1"/>
  <c r="I160" i="23"/>
  <c r="I202" i="23" s="1"/>
  <c r="H160" i="23"/>
  <c r="H202" i="23" s="1"/>
  <c r="G160" i="23"/>
  <c r="F160" i="23"/>
  <c r="E160" i="23"/>
  <c r="D160" i="23"/>
  <c r="D202" i="23" s="1"/>
  <c r="K159" i="23"/>
  <c r="K201" i="23" s="1"/>
  <c r="J159" i="23"/>
  <c r="I159" i="23"/>
  <c r="H159" i="23"/>
  <c r="G159" i="23"/>
  <c r="G201" i="23" s="1"/>
  <c r="F159" i="23"/>
  <c r="E159" i="23"/>
  <c r="D159" i="23"/>
  <c r="D201" i="23" s="1"/>
  <c r="K158" i="23"/>
  <c r="K200" i="23" s="1"/>
  <c r="J158" i="23"/>
  <c r="J200" i="23" s="1"/>
  <c r="I158" i="23"/>
  <c r="I200" i="23" s="1"/>
  <c r="H158" i="23"/>
  <c r="H200" i="23" s="1"/>
  <c r="G158" i="23"/>
  <c r="F158" i="23"/>
  <c r="E158" i="23"/>
  <c r="D158" i="23"/>
  <c r="D200" i="23" s="1"/>
  <c r="K157" i="23"/>
  <c r="K199" i="23" s="1"/>
  <c r="J157" i="23"/>
  <c r="I157" i="23"/>
  <c r="H157" i="23"/>
  <c r="H199" i="23" s="1"/>
  <c r="G157" i="23"/>
  <c r="G199" i="23" s="1"/>
  <c r="F157" i="23"/>
  <c r="E157" i="23"/>
  <c r="D157" i="23"/>
  <c r="D199" i="23" s="1"/>
  <c r="K156" i="23"/>
  <c r="K198" i="23" s="1"/>
  <c r="J156" i="23"/>
  <c r="I156" i="23"/>
  <c r="H156" i="23"/>
  <c r="H198" i="23" s="1"/>
  <c r="G156" i="23"/>
  <c r="F156" i="23"/>
  <c r="E156" i="23"/>
  <c r="D156" i="23"/>
  <c r="D198" i="23" s="1"/>
  <c r="K155" i="23"/>
  <c r="K197" i="23" s="1"/>
  <c r="J155" i="23"/>
  <c r="I155" i="23"/>
  <c r="H155" i="23"/>
  <c r="H197" i="23" s="1"/>
  <c r="G155" i="23"/>
  <c r="G197" i="23" s="1"/>
  <c r="F155" i="23"/>
  <c r="E155" i="23"/>
  <c r="D155" i="23"/>
  <c r="K154" i="23"/>
  <c r="K196" i="23" s="1"/>
  <c r="J154" i="23"/>
  <c r="J196" i="23" s="1"/>
  <c r="I154" i="23"/>
  <c r="H154" i="23"/>
  <c r="G154" i="23"/>
  <c r="F154" i="23"/>
  <c r="E154" i="23"/>
  <c r="E196" i="23" s="1"/>
  <c r="D154" i="23"/>
  <c r="D196" i="23" s="1"/>
  <c r="K153" i="23"/>
  <c r="K195" i="23" s="1"/>
  <c r="J153" i="23"/>
  <c r="I153" i="23"/>
  <c r="H153" i="23"/>
  <c r="G153" i="23"/>
  <c r="G195" i="23" s="1"/>
  <c r="F153" i="23"/>
  <c r="E153" i="23"/>
  <c r="D153" i="23"/>
  <c r="K152" i="23"/>
  <c r="K194" i="23" s="1"/>
  <c r="J152" i="23"/>
  <c r="J194" i="23" s="1"/>
  <c r="I152" i="23"/>
  <c r="I194" i="23" s="1"/>
  <c r="H152" i="23"/>
  <c r="G152" i="23"/>
  <c r="F152" i="23"/>
  <c r="E152" i="23"/>
  <c r="D152" i="23"/>
  <c r="D194" i="23" s="1"/>
  <c r="K151" i="23"/>
  <c r="K193" i="23" s="1"/>
  <c r="J151" i="23"/>
  <c r="I151" i="23"/>
  <c r="H151" i="23"/>
  <c r="G151" i="23"/>
  <c r="G193" i="23" s="1"/>
  <c r="F151" i="23"/>
  <c r="E151" i="23"/>
  <c r="D151" i="23"/>
  <c r="K150" i="23"/>
  <c r="K192" i="23" s="1"/>
  <c r="J150" i="23"/>
  <c r="J192" i="23" s="1"/>
  <c r="I150" i="23"/>
  <c r="I192" i="23" s="1"/>
  <c r="H150" i="23"/>
  <c r="H192" i="23" s="1"/>
  <c r="G150" i="23"/>
  <c r="F150" i="23"/>
  <c r="E150" i="23"/>
  <c r="D150" i="23"/>
  <c r="D192" i="23" s="1"/>
  <c r="K149" i="23"/>
  <c r="K191" i="23" s="1"/>
  <c r="J149" i="23"/>
  <c r="I149" i="23"/>
  <c r="H149" i="23"/>
  <c r="G149" i="23"/>
  <c r="G191" i="23" s="1"/>
  <c r="F149" i="23"/>
  <c r="E149" i="23"/>
  <c r="D149" i="23"/>
  <c r="K148" i="23"/>
  <c r="K190" i="23" s="1"/>
  <c r="J148" i="23"/>
  <c r="I148" i="23"/>
  <c r="H148" i="23"/>
  <c r="H190" i="23" s="1"/>
  <c r="G148" i="23"/>
  <c r="F148" i="23"/>
  <c r="E148" i="23"/>
  <c r="D148" i="23"/>
  <c r="K147" i="23"/>
  <c r="K189" i="23" s="1"/>
  <c r="J147" i="23"/>
  <c r="I147" i="23"/>
  <c r="H147" i="23"/>
  <c r="H189" i="23" s="1"/>
  <c r="G147" i="23"/>
  <c r="G189" i="23" s="1"/>
  <c r="F147" i="23"/>
  <c r="E147" i="23"/>
  <c r="D147" i="23"/>
  <c r="K146" i="23"/>
  <c r="K188" i="23" s="1"/>
  <c r="J146" i="23"/>
  <c r="J188" i="23" s="1"/>
  <c r="I146" i="23"/>
  <c r="H146" i="23"/>
  <c r="G146" i="23"/>
  <c r="F146" i="23"/>
  <c r="E146" i="23"/>
  <c r="D146" i="23"/>
  <c r="K145" i="23"/>
  <c r="K187" i="23" s="1"/>
  <c r="J145" i="23"/>
  <c r="I145" i="23"/>
  <c r="H145" i="23"/>
  <c r="H187" i="23" s="1"/>
  <c r="G145" i="23"/>
  <c r="G187" i="23" s="1"/>
  <c r="F145" i="23"/>
  <c r="E145" i="23"/>
  <c r="D145" i="23"/>
  <c r="K144" i="23"/>
  <c r="K186" i="23" s="1"/>
  <c r="J144" i="23"/>
  <c r="J186" i="23" s="1"/>
  <c r="I144" i="23"/>
  <c r="I186" i="23" s="1"/>
  <c r="H144" i="23"/>
  <c r="G144" i="23"/>
  <c r="F144" i="23"/>
  <c r="E144" i="23"/>
  <c r="D144" i="23"/>
  <c r="K143" i="23"/>
  <c r="K185" i="23" s="1"/>
  <c r="J143" i="23"/>
  <c r="I143" i="23"/>
  <c r="H143" i="23"/>
  <c r="H185" i="23" s="1"/>
  <c r="G143" i="23"/>
  <c r="F143" i="23"/>
  <c r="E143" i="23"/>
  <c r="D143" i="23"/>
  <c r="K142" i="23"/>
  <c r="J142" i="23"/>
  <c r="J184" i="23" s="1"/>
  <c r="I142" i="23"/>
  <c r="I184" i="23" s="1"/>
  <c r="H142" i="23"/>
  <c r="H184" i="23" s="1"/>
  <c r="G142" i="23"/>
  <c r="F142" i="23"/>
  <c r="E142" i="23"/>
  <c r="D142" i="23"/>
  <c r="C132" i="23"/>
  <c r="D130" i="23"/>
  <c r="H129" i="23"/>
  <c r="G129" i="23"/>
  <c r="D129" i="23"/>
  <c r="D128" i="23"/>
  <c r="H127" i="23"/>
  <c r="G127" i="23"/>
  <c r="D127" i="23"/>
  <c r="D126" i="23"/>
  <c r="H125" i="23"/>
  <c r="G125" i="23"/>
  <c r="D125" i="23"/>
  <c r="D124" i="23"/>
  <c r="H123" i="23"/>
  <c r="G123" i="23"/>
  <c r="D123" i="23"/>
  <c r="D122" i="23"/>
  <c r="H121" i="23"/>
  <c r="G121" i="23"/>
  <c r="D121" i="23"/>
  <c r="D120" i="23"/>
  <c r="H119" i="23"/>
  <c r="G119" i="23"/>
  <c r="D119" i="23"/>
  <c r="D118" i="23"/>
  <c r="H117" i="23"/>
  <c r="G117" i="23"/>
  <c r="D117" i="23"/>
  <c r="H115" i="23"/>
  <c r="G115" i="23"/>
  <c r="D115" i="23"/>
  <c r="H113" i="23"/>
  <c r="G113" i="23"/>
  <c r="D113" i="23"/>
  <c r="E112" i="23"/>
  <c r="D112" i="23"/>
  <c r="H111" i="23"/>
  <c r="G111" i="23"/>
  <c r="D111" i="23"/>
  <c r="H109" i="23"/>
  <c r="G109" i="23"/>
  <c r="D109" i="23"/>
  <c r="H107" i="23"/>
  <c r="G107" i="23"/>
  <c r="D107" i="23"/>
  <c r="D106" i="23"/>
  <c r="H105" i="23"/>
  <c r="G105" i="23"/>
  <c r="D105" i="23"/>
  <c r="H103" i="23"/>
  <c r="G103" i="23"/>
  <c r="H101" i="23"/>
  <c r="G101" i="23"/>
  <c r="D101" i="23"/>
  <c r="C90" i="23"/>
  <c r="K88" i="23"/>
  <c r="J88" i="23"/>
  <c r="J130" i="23" s="1"/>
  <c r="I88" i="23"/>
  <c r="I130" i="23" s="1"/>
  <c r="H88" i="23"/>
  <c r="H130" i="23" s="1"/>
  <c r="G88" i="23"/>
  <c r="F88" i="23"/>
  <c r="E88" i="23"/>
  <c r="E130" i="23" s="1"/>
  <c r="D88" i="23"/>
  <c r="K87" i="23"/>
  <c r="J87" i="23"/>
  <c r="I87" i="23"/>
  <c r="H87" i="23"/>
  <c r="G87" i="23"/>
  <c r="F87" i="23"/>
  <c r="F129" i="23" s="1"/>
  <c r="E87" i="23"/>
  <c r="D87" i="23"/>
  <c r="K86" i="23"/>
  <c r="J86" i="23"/>
  <c r="J128" i="23" s="1"/>
  <c r="I86" i="23"/>
  <c r="I128" i="23" s="1"/>
  <c r="H86" i="23"/>
  <c r="H128" i="23" s="1"/>
  <c r="G86" i="23"/>
  <c r="F86" i="23"/>
  <c r="E86" i="23"/>
  <c r="E128" i="23" s="1"/>
  <c r="D86" i="23"/>
  <c r="K85" i="23"/>
  <c r="J85" i="23"/>
  <c r="I85" i="23"/>
  <c r="H85" i="23"/>
  <c r="G85" i="23"/>
  <c r="F85" i="23"/>
  <c r="F127" i="23" s="1"/>
  <c r="E85" i="23"/>
  <c r="D85" i="23"/>
  <c r="K84" i="23"/>
  <c r="J84" i="23"/>
  <c r="J126" i="23" s="1"/>
  <c r="I84" i="23"/>
  <c r="I126" i="23" s="1"/>
  <c r="H84" i="23"/>
  <c r="H126" i="23" s="1"/>
  <c r="G84" i="23"/>
  <c r="F84" i="23"/>
  <c r="E84" i="23"/>
  <c r="D84" i="23"/>
  <c r="K83" i="23"/>
  <c r="J83" i="23"/>
  <c r="I83" i="23"/>
  <c r="H83" i="23"/>
  <c r="G83" i="23"/>
  <c r="F83" i="23"/>
  <c r="F125" i="23" s="1"/>
  <c r="E83" i="23"/>
  <c r="D83" i="23"/>
  <c r="K82" i="23"/>
  <c r="J82" i="23"/>
  <c r="J124" i="23" s="1"/>
  <c r="I82" i="23"/>
  <c r="I124" i="23" s="1"/>
  <c r="H82" i="23"/>
  <c r="H124" i="23" s="1"/>
  <c r="G82" i="23"/>
  <c r="F82" i="23"/>
  <c r="E82" i="23"/>
  <c r="D82" i="23"/>
  <c r="K81" i="23"/>
  <c r="J81" i="23"/>
  <c r="I81" i="23"/>
  <c r="H81" i="23"/>
  <c r="G81" i="23"/>
  <c r="F81" i="23"/>
  <c r="F123" i="23" s="1"/>
  <c r="E81" i="23"/>
  <c r="D81" i="23"/>
  <c r="K80" i="23"/>
  <c r="J80" i="23"/>
  <c r="J122" i="23" s="1"/>
  <c r="I80" i="23"/>
  <c r="I122" i="23" s="1"/>
  <c r="H80" i="23"/>
  <c r="H122" i="23" s="1"/>
  <c r="G80" i="23"/>
  <c r="F80" i="23"/>
  <c r="E80" i="23"/>
  <c r="D80" i="23"/>
  <c r="K79" i="23"/>
  <c r="J79" i="23"/>
  <c r="I79" i="23"/>
  <c r="H79" i="23"/>
  <c r="G79" i="23"/>
  <c r="F79" i="23"/>
  <c r="F121" i="23" s="1"/>
  <c r="E79" i="23"/>
  <c r="D79" i="23"/>
  <c r="K78" i="23"/>
  <c r="J78" i="23"/>
  <c r="J120" i="23" s="1"/>
  <c r="I78" i="23"/>
  <c r="I120" i="23" s="1"/>
  <c r="H78" i="23"/>
  <c r="H120" i="23" s="1"/>
  <c r="G78" i="23"/>
  <c r="F78" i="23"/>
  <c r="E78" i="23"/>
  <c r="D78" i="23"/>
  <c r="K77" i="23"/>
  <c r="J77" i="23"/>
  <c r="I77" i="23"/>
  <c r="H77" i="23"/>
  <c r="G77" i="23"/>
  <c r="F77" i="23"/>
  <c r="F119" i="23" s="1"/>
  <c r="E77" i="23"/>
  <c r="D77" i="23"/>
  <c r="K76" i="23"/>
  <c r="J76" i="23"/>
  <c r="J118" i="23" s="1"/>
  <c r="I76" i="23"/>
  <c r="I118" i="23" s="1"/>
  <c r="H76" i="23"/>
  <c r="H118" i="23" s="1"/>
  <c r="G76" i="23"/>
  <c r="F76" i="23"/>
  <c r="E76" i="23"/>
  <c r="D76" i="23"/>
  <c r="K75" i="23"/>
  <c r="J75" i="23"/>
  <c r="I75" i="23"/>
  <c r="H75" i="23"/>
  <c r="G75" i="23"/>
  <c r="F75" i="23"/>
  <c r="F117" i="23" s="1"/>
  <c r="E75" i="23"/>
  <c r="D75" i="23"/>
  <c r="K74" i="23"/>
  <c r="J74" i="23"/>
  <c r="J116" i="23" s="1"/>
  <c r="I74" i="23"/>
  <c r="I116" i="23" s="1"/>
  <c r="H74" i="23"/>
  <c r="H116" i="23" s="1"/>
  <c r="G74" i="23"/>
  <c r="F74" i="23"/>
  <c r="E74" i="23"/>
  <c r="E116" i="23" s="1"/>
  <c r="D74" i="23"/>
  <c r="D116" i="23" s="1"/>
  <c r="K73" i="23"/>
  <c r="J73" i="23"/>
  <c r="I73" i="23"/>
  <c r="H73" i="23"/>
  <c r="G73" i="23"/>
  <c r="F73" i="23"/>
  <c r="F115" i="23" s="1"/>
  <c r="E73" i="23"/>
  <c r="D73" i="23"/>
  <c r="K72" i="23"/>
  <c r="J72" i="23"/>
  <c r="J114" i="23" s="1"/>
  <c r="I72" i="23"/>
  <c r="I114" i="23" s="1"/>
  <c r="H72" i="23"/>
  <c r="H114" i="23" s="1"/>
  <c r="G72" i="23"/>
  <c r="F72" i="23"/>
  <c r="E72" i="23"/>
  <c r="E114" i="23" s="1"/>
  <c r="D72" i="23"/>
  <c r="D114" i="23" s="1"/>
  <c r="K71" i="23"/>
  <c r="J71" i="23"/>
  <c r="I71" i="23"/>
  <c r="H71" i="23"/>
  <c r="G71" i="23"/>
  <c r="F71" i="23"/>
  <c r="F113" i="23" s="1"/>
  <c r="E71" i="23"/>
  <c r="D71" i="23"/>
  <c r="K70" i="23"/>
  <c r="J70" i="23"/>
  <c r="J112" i="23" s="1"/>
  <c r="I70" i="23"/>
  <c r="I112" i="23" s="1"/>
  <c r="H70" i="23"/>
  <c r="H112" i="23" s="1"/>
  <c r="G70" i="23"/>
  <c r="G112" i="23" s="1"/>
  <c r="F70" i="23"/>
  <c r="F112" i="23" s="1"/>
  <c r="E70" i="23"/>
  <c r="D70" i="23"/>
  <c r="K69" i="23"/>
  <c r="J69" i="23"/>
  <c r="I69" i="23"/>
  <c r="H69" i="23"/>
  <c r="G69" i="23"/>
  <c r="F69" i="23"/>
  <c r="F111" i="23" s="1"/>
  <c r="E69" i="23"/>
  <c r="D69" i="23"/>
  <c r="K68" i="23"/>
  <c r="J68" i="23"/>
  <c r="J110" i="23" s="1"/>
  <c r="I68" i="23"/>
  <c r="I110" i="23" s="1"/>
  <c r="H68" i="23"/>
  <c r="H110" i="23" s="1"/>
  <c r="G68" i="23"/>
  <c r="F68" i="23"/>
  <c r="E68" i="23"/>
  <c r="E110" i="23" s="1"/>
  <c r="D68" i="23"/>
  <c r="D110" i="23" s="1"/>
  <c r="K67" i="23"/>
  <c r="J67" i="23"/>
  <c r="I67" i="23"/>
  <c r="H67" i="23"/>
  <c r="G67" i="23"/>
  <c r="F67" i="23"/>
  <c r="F109" i="23" s="1"/>
  <c r="E67" i="23"/>
  <c r="D67" i="23"/>
  <c r="K66" i="23"/>
  <c r="J66" i="23"/>
  <c r="J108" i="23" s="1"/>
  <c r="I66" i="23"/>
  <c r="I108" i="23" s="1"/>
  <c r="H66" i="23"/>
  <c r="H108" i="23" s="1"/>
  <c r="G66" i="23"/>
  <c r="F66" i="23"/>
  <c r="E66" i="23"/>
  <c r="E108" i="23" s="1"/>
  <c r="D66" i="23"/>
  <c r="D108" i="23" s="1"/>
  <c r="K65" i="23"/>
  <c r="J65" i="23"/>
  <c r="I65" i="23"/>
  <c r="H65" i="23"/>
  <c r="G65" i="23"/>
  <c r="F65" i="23"/>
  <c r="F107" i="23" s="1"/>
  <c r="E65" i="23"/>
  <c r="D65" i="23"/>
  <c r="K64" i="23"/>
  <c r="J64" i="23"/>
  <c r="J106" i="23" s="1"/>
  <c r="I64" i="23"/>
  <c r="I106" i="23" s="1"/>
  <c r="H64" i="23"/>
  <c r="H106" i="23" s="1"/>
  <c r="G64" i="23"/>
  <c r="F64" i="23"/>
  <c r="E64" i="23"/>
  <c r="E106" i="23" s="1"/>
  <c r="D64" i="23"/>
  <c r="K63" i="23"/>
  <c r="J63" i="23"/>
  <c r="I63" i="23"/>
  <c r="H63" i="23"/>
  <c r="G63" i="23"/>
  <c r="F63" i="23"/>
  <c r="F105" i="23" s="1"/>
  <c r="E63" i="23"/>
  <c r="D63" i="23"/>
  <c r="K62" i="23"/>
  <c r="J62" i="23"/>
  <c r="J104" i="23" s="1"/>
  <c r="I62" i="23"/>
  <c r="I104" i="23" s="1"/>
  <c r="H62" i="23"/>
  <c r="H104" i="23" s="1"/>
  <c r="G62" i="23"/>
  <c r="F62" i="23"/>
  <c r="E62" i="23"/>
  <c r="E104" i="23" s="1"/>
  <c r="D62" i="23"/>
  <c r="D104" i="23" s="1"/>
  <c r="K61" i="23"/>
  <c r="J61" i="23"/>
  <c r="I61" i="23"/>
  <c r="H61" i="23"/>
  <c r="G61" i="23"/>
  <c r="F61" i="23"/>
  <c r="F103" i="23" s="1"/>
  <c r="E61" i="23"/>
  <c r="D61" i="23"/>
  <c r="K60" i="23"/>
  <c r="J60" i="23"/>
  <c r="J102" i="23" s="1"/>
  <c r="I60" i="23"/>
  <c r="I102" i="23" s="1"/>
  <c r="H60" i="23"/>
  <c r="H102" i="23" s="1"/>
  <c r="G60" i="23"/>
  <c r="F60" i="23"/>
  <c r="E60" i="23"/>
  <c r="E102" i="23" s="1"/>
  <c r="D60" i="23"/>
  <c r="D102" i="23" s="1"/>
  <c r="K59" i="23"/>
  <c r="K101" i="23" s="1"/>
  <c r="J59" i="23"/>
  <c r="I59" i="23"/>
  <c r="H59" i="23"/>
  <c r="G59" i="23"/>
  <c r="F59" i="23"/>
  <c r="E59" i="23"/>
  <c r="D59" i="23"/>
  <c r="K58" i="23"/>
  <c r="K89" i="23" s="1"/>
  <c r="J58" i="23"/>
  <c r="J89" i="23" s="1"/>
  <c r="I58" i="23"/>
  <c r="H58" i="23"/>
  <c r="G58" i="23"/>
  <c r="F58" i="23"/>
  <c r="E58" i="23"/>
  <c r="E89" i="23" s="1"/>
  <c r="D58" i="23"/>
  <c r="D89" i="23" s="1"/>
  <c r="C47" i="23"/>
  <c r="J46" i="23"/>
  <c r="F46" i="23"/>
  <c r="K45" i="23"/>
  <c r="K130" i="23" s="1"/>
  <c r="J45" i="23"/>
  <c r="I45" i="23"/>
  <c r="I214" i="23" s="1"/>
  <c r="H45" i="23"/>
  <c r="H297" i="23" s="1"/>
  <c r="G45" i="23"/>
  <c r="G214" i="23" s="1"/>
  <c r="F45" i="23"/>
  <c r="F214" i="23" s="1"/>
  <c r="E45" i="23"/>
  <c r="E214" i="23" s="1"/>
  <c r="D45" i="23"/>
  <c r="D297" i="23" s="1"/>
  <c r="K44" i="23"/>
  <c r="K296" i="23" s="1"/>
  <c r="J44" i="23"/>
  <c r="J213" i="23" s="1"/>
  <c r="I44" i="23"/>
  <c r="H44" i="23"/>
  <c r="H296" i="23" s="1"/>
  <c r="G44" i="23"/>
  <c r="G296" i="23" s="1"/>
  <c r="F44" i="23"/>
  <c r="F296" i="23" s="1"/>
  <c r="E44" i="23"/>
  <c r="E296" i="23" s="1"/>
  <c r="D44" i="23"/>
  <c r="D296" i="23" s="1"/>
  <c r="K43" i="23"/>
  <c r="K128" i="23" s="1"/>
  <c r="J43" i="23"/>
  <c r="I43" i="23"/>
  <c r="H43" i="23"/>
  <c r="H212" i="23" s="1"/>
  <c r="G43" i="23"/>
  <c r="G212" i="23" s="1"/>
  <c r="F43" i="23"/>
  <c r="F212" i="23" s="1"/>
  <c r="E43" i="23"/>
  <c r="E212" i="23" s="1"/>
  <c r="D43" i="23"/>
  <c r="K42" i="23"/>
  <c r="K127" i="23" s="1"/>
  <c r="J42" i="23"/>
  <c r="I42" i="23"/>
  <c r="I127" i="23" s="1"/>
  <c r="H42" i="23"/>
  <c r="H211" i="23" s="1"/>
  <c r="G42" i="23"/>
  <c r="G294" i="23" s="1"/>
  <c r="F42" i="23"/>
  <c r="F294" i="23" s="1"/>
  <c r="E42" i="23"/>
  <c r="D42" i="23"/>
  <c r="D294" i="23" s="1"/>
  <c r="K41" i="23"/>
  <c r="K126" i="23" s="1"/>
  <c r="J41" i="23"/>
  <c r="I41" i="23"/>
  <c r="H41" i="23"/>
  <c r="G41" i="23"/>
  <c r="F41" i="23"/>
  <c r="F210" i="23" s="1"/>
  <c r="E41" i="23"/>
  <c r="E210" i="23" s="1"/>
  <c r="D41" i="23"/>
  <c r="D293" i="23" s="1"/>
  <c r="K40" i="23"/>
  <c r="K125" i="23" s="1"/>
  <c r="J40" i="23"/>
  <c r="I40" i="23"/>
  <c r="I125" i="23" s="1"/>
  <c r="H40" i="23"/>
  <c r="H292" i="23" s="1"/>
  <c r="G40" i="23"/>
  <c r="F40" i="23"/>
  <c r="F292" i="23" s="1"/>
  <c r="E40" i="23"/>
  <c r="D40" i="23"/>
  <c r="D209" i="23" s="1"/>
  <c r="K39" i="23"/>
  <c r="K124" i="23" s="1"/>
  <c r="J39" i="23"/>
  <c r="I39" i="23"/>
  <c r="H39" i="23"/>
  <c r="H291" i="23" s="1"/>
  <c r="G39" i="23"/>
  <c r="F39" i="23"/>
  <c r="F208" i="23" s="1"/>
  <c r="E39" i="23"/>
  <c r="E208" i="23" s="1"/>
  <c r="D39" i="23"/>
  <c r="D291" i="23" s="1"/>
  <c r="K38" i="23"/>
  <c r="K123" i="23" s="1"/>
  <c r="J38" i="23"/>
  <c r="J207" i="23" s="1"/>
  <c r="I38" i="23"/>
  <c r="I123" i="23" s="1"/>
  <c r="H38" i="23"/>
  <c r="G38" i="23"/>
  <c r="F38" i="23"/>
  <c r="F290" i="23" s="1"/>
  <c r="E38" i="23"/>
  <c r="D38" i="23"/>
  <c r="D290" i="23" s="1"/>
  <c r="K37" i="23"/>
  <c r="K122" i="23" s="1"/>
  <c r="J37" i="23"/>
  <c r="I37" i="23"/>
  <c r="H37" i="23"/>
  <c r="G37" i="23"/>
  <c r="G206" i="23" s="1"/>
  <c r="F37" i="23"/>
  <c r="F206" i="23" s="1"/>
  <c r="E37" i="23"/>
  <c r="E206" i="23" s="1"/>
  <c r="D37" i="23"/>
  <c r="D289" i="23" s="1"/>
  <c r="K36" i="23"/>
  <c r="K288" i="23" s="1"/>
  <c r="J36" i="23"/>
  <c r="J205" i="23" s="1"/>
  <c r="I36" i="23"/>
  <c r="H36" i="23"/>
  <c r="G36" i="23"/>
  <c r="G288" i="23" s="1"/>
  <c r="F36" i="23"/>
  <c r="F288" i="23" s="1"/>
  <c r="E36" i="23"/>
  <c r="D36" i="23"/>
  <c r="D205" i="23" s="1"/>
  <c r="K35" i="23"/>
  <c r="K120" i="23" s="1"/>
  <c r="J35" i="23"/>
  <c r="I35" i="23"/>
  <c r="H35" i="23"/>
  <c r="G35" i="23"/>
  <c r="G204" i="23" s="1"/>
  <c r="F35" i="23"/>
  <c r="F204" i="23" s="1"/>
  <c r="E35" i="23"/>
  <c r="E204" i="23" s="1"/>
  <c r="D35" i="23"/>
  <c r="K34" i="23"/>
  <c r="K119" i="23" s="1"/>
  <c r="J34" i="23"/>
  <c r="I34" i="23"/>
  <c r="H34" i="23"/>
  <c r="H286" i="23" s="1"/>
  <c r="G34" i="23"/>
  <c r="G286" i="23" s="1"/>
  <c r="F34" i="23"/>
  <c r="F286" i="23" s="1"/>
  <c r="E34" i="23"/>
  <c r="E286" i="23" s="1"/>
  <c r="D34" i="23"/>
  <c r="D286" i="23" s="1"/>
  <c r="K33" i="23"/>
  <c r="K118" i="23" s="1"/>
  <c r="J33" i="23"/>
  <c r="I33" i="23"/>
  <c r="H33" i="23"/>
  <c r="G33" i="23"/>
  <c r="G285" i="23" s="1"/>
  <c r="F33" i="23"/>
  <c r="E33" i="23"/>
  <c r="E202" i="23" s="1"/>
  <c r="D33" i="23"/>
  <c r="D285" i="23" s="1"/>
  <c r="K32" i="23"/>
  <c r="K117" i="23" s="1"/>
  <c r="J32" i="23"/>
  <c r="I32" i="23"/>
  <c r="I117" i="23" s="1"/>
  <c r="H32" i="23"/>
  <c r="G32" i="23"/>
  <c r="F32" i="23"/>
  <c r="F284" i="23" s="1"/>
  <c r="E32" i="23"/>
  <c r="E284" i="23" s="1"/>
  <c r="D32" i="23"/>
  <c r="D284" i="23" s="1"/>
  <c r="K31" i="23"/>
  <c r="K116" i="23" s="1"/>
  <c r="J31" i="23"/>
  <c r="I31" i="23"/>
  <c r="H31" i="23"/>
  <c r="H283" i="23" s="1"/>
  <c r="G31" i="23"/>
  <c r="G283" i="23" s="1"/>
  <c r="F31" i="23"/>
  <c r="E31" i="23"/>
  <c r="D31" i="23"/>
  <c r="K30" i="23"/>
  <c r="K115" i="23" s="1"/>
  <c r="J30" i="23"/>
  <c r="I30" i="23"/>
  <c r="I115" i="23" s="1"/>
  <c r="H30" i="23"/>
  <c r="G30" i="23"/>
  <c r="F30" i="23"/>
  <c r="F282" i="23" s="1"/>
  <c r="E30" i="23"/>
  <c r="E199" i="23" s="1"/>
  <c r="D30" i="23"/>
  <c r="K29" i="23"/>
  <c r="K114" i="23" s="1"/>
  <c r="J29" i="23"/>
  <c r="I29" i="23"/>
  <c r="I281" i="23" s="1"/>
  <c r="H29" i="23"/>
  <c r="H281" i="23" s="1"/>
  <c r="G29" i="23"/>
  <c r="G198" i="23" s="1"/>
  <c r="F29" i="23"/>
  <c r="E29" i="23"/>
  <c r="D29" i="23"/>
  <c r="K28" i="23"/>
  <c r="K113" i="23" s="1"/>
  <c r="J28" i="23"/>
  <c r="J197" i="23" s="1"/>
  <c r="I28" i="23"/>
  <c r="H28" i="23"/>
  <c r="G28" i="23"/>
  <c r="F28" i="23"/>
  <c r="F280" i="23" s="1"/>
  <c r="E28" i="23"/>
  <c r="D28" i="23"/>
  <c r="D280" i="23" s="1"/>
  <c r="K27" i="23"/>
  <c r="K112" i="23" s="1"/>
  <c r="J27" i="23"/>
  <c r="I27" i="23"/>
  <c r="H27" i="23"/>
  <c r="H196" i="23" s="1"/>
  <c r="G27" i="23"/>
  <c r="F27" i="23"/>
  <c r="E27" i="23"/>
  <c r="D27" i="23"/>
  <c r="K26" i="23"/>
  <c r="K278" i="23" s="1"/>
  <c r="J26" i="23"/>
  <c r="J195" i="23" s="1"/>
  <c r="I26" i="23"/>
  <c r="H26" i="23"/>
  <c r="H195" i="23" s="1"/>
  <c r="G26" i="23"/>
  <c r="G278" i="23" s="1"/>
  <c r="F26" i="23"/>
  <c r="F278" i="23" s="1"/>
  <c r="E26" i="23"/>
  <c r="D26" i="23"/>
  <c r="D195" i="23" s="1"/>
  <c r="K25" i="23"/>
  <c r="K110" i="23" s="1"/>
  <c r="J25" i="23"/>
  <c r="I25" i="23"/>
  <c r="H25" i="23"/>
  <c r="G25" i="23"/>
  <c r="G194" i="23" s="1"/>
  <c r="F25" i="23"/>
  <c r="F194" i="23" s="1"/>
  <c r="E25" i="23"/>
  <c r="E194" i="23" s="1"/>
  <c r="D25" i="23"/>
  <c r="K24" i="23"/>
  <c r="K109" i="23" s="1"/>
  <c r="J24" i="23"/>
  <c r="I24" i="23"/>
  <c r="H24" i="23"/>
  <c r="H276" i="23" s="1"/>
  <c r="G24" i="23"/>
  <c r="F24" i="23"/>
  <c r="F276" i="23" s="1"/>
  <c r="E24" i="23"/>
  <c r="D24" i="23"/>
  <c r="D193" i="23" s="1"/>
  <c r="K23" i="23"/>
  <c r="K108" i="23" s="1"/>
  <c r="J23" i="23"/>
  <c r="I23" i="23"/>
  <c r="H23" i="23"/>
  <c r="G23" i="23"/>
  <c r="G275" i="23" s="1"/>
  <c r="F23" i="23"/>
  <c r="F192" i="23" s="1"/>
  <c r="E23" i="23"/>
  <c r="E192" i="23" s="1"/>
  <c r="D23" i="23"/>
  <c r="D275" i="23" s="1"/>
  <c r="K22" i="23"/>
  <c r="K274" i="23" s="1"/>
  <c r="J22" i="23"/>
  <c r="I22" i="23"/>
  <c r="I107" i="23" s="1"/>
  <c r="H22" i="23"/>
  <c r="H191" i="23" s="1"/>
  <c r="G22" i="23"/>
  <c r="G274" i="23" s="1"/>
  <c r="F22" i="23"/>
  <c r="F274" i="23" s="1"/>
  <c r="E22" i="23"/>
  <c r="D22" i="23"/>
  <c r="D274" i="23" s="1"/>
  <c r="K21" i="23"/>
  <c r="K106" i="23" s="1"/>
  <c r="J21" i="23"/>
  <c r="I21" i="23"/>
  <c r="I190" i="23" s="1"/>
  <c r="H21" i="23"/>
  <c r="H273" i="23" s="1"/>
  <c r="G21" i="23"/>
  <c r="F21" i="23"/>
  <c r="F190" i="23" s="1"/>
  <c r="E21" i="23"/>
  <c r="E190" i="23" s="1"/>
  <c r="D21" i="23"/>
  <c r="K20" i="23"/>
  <c r="K105" i="23" s="1"/>
  <c r="J20" i="23"/>
  <c r="I20" i="23"/>
  <c r="I105" i="23" s="1"/>
  <c r="H20" i="23"/>
  <c r="G20" i="23"/>
  <c r="F20" i="23"/>
  <c r="F272" i="23" s="1"/>
  <c r="E20" i="23"/>
  <c r="E189" i="23" s="1"/>
  <c r="D20" i="23"/>
  <c r="K19" i="23"/>
  <c r="K104" i="23" s="1"/>
  <c r="J19" i="23"/>
  <c r="I19" i="23"/>
  <c r="I188" i="23" s="1"/>
  <c r="H19" i="23"/>
  <c r="H188" i="23" s="1"/>
  <c r="G19" i="23"/>
  <c r="F19" i="23"/>
  <c r="E19" i="23"/>
  <c r="E188" i="23" s="1"/>
  <c r="D19" i="23"/>
  <c r="D271" i="23" s="1"/>
  <c r="K18" i="23"/>
  <c r="K103" i="23" s="1"/>
  <c r="J18" i="23"/>
  <c r="I18" i="23"/>
  <c r="I103" i="23" s="1"/>
  <c r="H18" i="23"/>
  <c r="G18" i="23"/>
  <c r="G270" i="23" s="1"/>
  <c r="F18" i="23"/>
  <c r="F270" i="23" s="1"/>
  <c r="E18" i="23"/>
  <c r="D18" i="23"/>
  <c r="D187" i="23" s="1"/>
  <c r="K17" i="23"/>
  <c r="K102" i="23" s="1"/>
  <c r="J17" i="23"/>
  <c r="I17" i="23"/>
  <c r="H17" i="23"/>
  <c r="H269" i="23" s="1"/>
  <c r="G17" i="23"/>
  <c r="F17" i="23"/>
  <c r="E17" i="23"/>
  <c r="D17" i="23"/>
  <c r="D269" i="23" s="1"/>
  <c r="K16" i="23"/>
  <c r="K268" i="23" s="1"/>
  <c r="J16" i="23"/>
  <c r="I16" i="23"/>
  <c r="I101" i="23" s="1"/>
  <c r="H16" i="23"/>
  <c r="H268" i="23" s="1"/>
  <c r="G16" i="23"/>
  <c r="F16" i="23"/>
  <c r="F268" i="23" s="1"/>
  <c r="E16" i="23"/>
  <c r="E268" i="23" s="1"/>
  <c r="D16" i="23"/>
  <c r="K15" i="23"/>
  <c r="K46" i="23" s="1"/>
  <c r="J15" i="23"/>
  <c r="I15" i="23"/>
  <c r="H15" i="23"/>
  <c r="H46" i="23" s="1"/>
  <c r="G15" i="23"/>
  <c r="F15" i="23"/>
  <c r="F184" i="23" s="1"/>
  <c r="E15" i="23"/>
  <c r="D15" i="23"/>
  <c r="U271" i="22"/>
  <c r="T271" i="22"/>
  <c r="S271" i="22"/>
  <c r="P271" i="22"/>
  <c r="M271" i="22"/>
  <c r="K271" i="22"/>
  <c r="E266" i="22"/>
  <c r="V258" i="22"/>
  <c r="U258" i="22"/>
  <c r="T258" i="22"/>
  <c r="S258" i="22"/>
  <c r="R258" i="22"/>
  <c r="Q258" i="22"/>
  <c r="P258" i="22"/>
  <c r="O258" i="22"/>
  <c r="N258" i="22"/>
  <c r="M258" i="22"/>
  <c r="L258" i="22"/>
  <c r="K258" i="22"/>
  <c r="J258" i="22"/>
  <c r="I258" i="22"/>
  <c r="H258" i="22"/>
  <c r="G258" i="22"/>
  <c r="F258" i="22"/>
  <c r="E258" i="22"/>
  <c r="D258" i="22"/>
  <c r="J253" i="22"/>
  <c r="I253" i="22"/>
  <c r="G250" i="22"/>
  <c r="V235" i="22"/>
  <c r="U235" i="22"/>
  <c r="T235" i="22"/>
  <c r="S235" i="22"/>
  <c r="R235" i="22"/>
  <c r="Q235" i="22"/>
  <c r="P235" i="22"/>
  <c r="O235" i="22"/>
  <c r="N235" i="22"/>
  <c r="M235" i="22"/>
  <c r="L235" i="22"/>
  <c r="K235" i="22"/>
  <c r="J235" i="22"/>
  <c r="I235" i="22"/>
  <c r="H235" i="22"/>
  <c r="G235" i="22"/>
  <c r="F235" i="22"/>
  <c r="E235" i="22"/>
  <c r="D235" i="22"/>
  <c r="V234" i="22"/>
  <c r="U234" i="22"/>
  <c r="T234" i="22"/>
  <c r="S234" i="22"/>
  <c r="R234" i="22"/>
  <c r="Q234" i="22"/>
  <c r="P234" i="22"/>
  <c r="O234" i="22"/>
  <c r="N234" i="22"/>
  <c r="M234" i="22"/>
  <c r="L234" i="22"/>
  <c r="K234" i="22"/>
  <c r="J234" i="22"/>
  <c r="I234" i="22"/>
  <c r="H234" i="22"/>
  <c r="G234" i="22"/>
  <c r="F234" i="22"/>
  <c r="E234" i="22"/>
  <c r="D234" i="22"/>
  <c r="V233" i="22"/>
  <c r="U233" i="22"/>
  <c r="T233" i="22"/>
  <c r="S233" i="22"/>
  <c r="R233" i="22"/>
  <c r="Q233" i="22"/>
  <c r="P233" i="22"/>
  <c r="O233" i="22"/>
  <c r="N233" i="22"/>
  <c r="M233" i="22"/>
  <c r="L233" i="22"/>
  <c r="K233" i="22"/>
  <c r="J233" i="22"/>
  <c r="I233" i="22"/>
  <c r="H233" i="22"/>
  <c r="G233" i="22"/>
  <c r="F233" i="22"/>
  <c r="E233" i="22"/>
  <c r="D233" i="22"/>
  <c r="V232" i="22"/>
  <c r="U232" i="22"/>
  <c r="T232" i="22"/>
  <c r="S232" i="22"/>
  <c r="R232" i="22"/>
  <c r="R271" i="22" s="1"/>
  <c r="Q232" i="22"/>
  <c r="Q271" i="22" s="1"/>
  <c r="P232" i="22"/>
  <c r="O232" i="22"/>
  <c r="O271" i="22" s="1"/>
  <c r="N232" i="22"/>
  <c r="N271" i="22" s="1"/>
  <c r="M232" i="22"/>
  <c r="L232" i="22"/>
  <c r="L271" i="22" s="1"/>
  <c r="K232" i="22"/>
  <c r="J232" i="22"/>
  <c r="J271" i="22" s="1"/>
  <c r="I232" i="22"/>
  <c r="I271" i="22" s="1"/>
  <c r="H232" i="22"/>
  <c r="H271" i="22" s="1"/>
  <c r="G232" i="22"/>
  <c r="G271" i="22" s="1"/>
  <c r="F232" i="22"/>
  <c r="F271" i="22" s="1"/>
  <c r="E232" i="22"/>
  <c r="E271" i="22" s="1"/>
  <c r="D232" i="22"/>
  <c r="D271" i="22" s="1"/>
  <c r="V231" i="22"/>
  <c r="U231" i="22"/>
  <c r="T231" i="22"/>
  <c r="S231" i="22"/>
  <c r="R231" i="22"/>
  <c r="Q231" i="22"/>
  <c r="P231" i="22"/>
  <c r="O231" i="22"/>
  <c r="N231" i="22"/>
  <c r="M231" i="22"/>
  <c r="L231" i="22"/>
  <c r="K231" i="22"/>
  <c r="J231" i="22"/>
  <c r="I231" i="22"/>
  <c r="H231" i="22"/>
  <c r="G231" i="22"/>
  <c r="F231" i="22"/>
  <c r="E231" i="22"/>
  <c r="D231" i="22"/>
  <c r="V230" i="22"/>
  <c r="U230" i="22"/>
  <c r="T230" i="22"/>
  <c r="S230" i="22"/>
  <c r="R230" i="22"/>
  <c r="Q230" i="22"/>
  <c r="P230" i="22"/>
  <c r="O230" i="22"/>
  <c r="N230" i="22"/>
  <c r="M230" i="22"/>
  <c r="L230" i="22"/>
  <c r="K230" i="22"/>
  <c r="J230" i="22"/>
  <c r="I230" i="22"/>
  <c r="H230" i="22"/>
  <c r="G230" i="22"/>
  <c r="F230" i="22"/>
  <c r="E230" i="22"/>
  <c r="D230" i="22"/>
  <c r="V229" i="22"/>
  <c r="U229" i="22"/>
  <c r="T229" i="22"/>
  <c r="S229" i="22"/>
  <c r="R229" i="22"/>
  <c r="Q229" i="22"/>
  <c r="P229" i="22"/>
  <c r="O229" i="22"/>
  <c r="N229" i="22"/>
  <c r="M229" i="22"/>
  <c r="L229" i="22"/>
  <c r="K229" i="22"/>
  <c r="J229" i="22"/>
  <c r="I229" i="22"/>
  <c r="H229" i="22"/>
  <c r="G229" i="22"/>
  <c r="F229" i="22"/>
  <c r="E229" i="22"/>
  <c r="D229" i="22"/>
  <c r="V228" i="22"/>
  <c r="U228" i="22"/>
  <c r="T228" i="22"/>
  <c r="S228" i="22"/>
  <c r="R228" i="22"/>
  <c r="Q228" i="22"/>
  <c r="P228" i="22"/>
  <c r="O228" i="22"/>
  <c r="N228" i="22"/>
  <c r="M228" i="22"/>
  <c r="L228" i="22"/>
  <c r="K228" i="22"/>
  <c r="J228" i="22"/>
  <c r="I228" i="22"/>
  <c r="H228" i="22"/>
  <c r="G228" i="22"/>
  <c r="F228" i="22"/>
  <c r="E228" i="22"/>
  <c r="D228" i="22"/>
  <c r="V227" i="22"/>
  <c r="U227" i="22"/>
  <c r="T227" i="22"/>
  <c r="S227" i="22"/>
  <c r="R227" i="22"/>
  <c r="Q227" i="22"/>
  <c r="P227" i="22"/>
  <c r="O227" i="22"/>
  <c r="N227" i="22"/>
  <c r="M227" i="22"/>
  <c r="L227" i="22"/>
  <c r="K227" i="22"/>
  <c r="J227" i="22"/>
  <c r="I227" i="22"/>
  <c r="H227" i="22"/>
  <c r="G227" i="22"/>
  <c r="F227" i="22"/>
  <c r="E227" i="22"/>
  <c r="D227" i="22"/>
  <c r="V226" i="22"/>
  <c r="U226" i="22"/>
  <c r="T226" i="22"/>
  <c r="S226" i="22"/>
  <c r="R226" i="22"/>
  <c r="Q226" i="22"/>
  <c r="P226" i="22"/>
  <c r="O226" i="22"/>
  <c r="N226" i="22"/>
  <c r="M226" i="22"/>
  <c r="L226" i="22"/>
  <c r="K226" i="22"/>
  <c r="J226" i="22"/>
  <c r="I226" i="22"/>
  <c r="H226" i="22"/>
  <c r="G226" i="22"/>
  <c r="F226" i="22"/>
  <c r="E226" i="22"/>
  <c r="D226" i="22"/>
  <c r="V225" i="22"/>
  <c r="U225" i="22"/>
  <c r="T225" i="22"/>
  <c r="S225" i="22"/>
  <c r="R225" i="22"/>
  <c r="Q225" i="22"/>
  <c r="P225" i="22"/>
  <c r="O225" i="22"/>
  <c r="N225" i="22"/>
  <c r="M225" i="22"/>
  <c r="L225" i="22"/>
  <c r="K225" i="22"/>
  <c r="J225" i="22"/>
  <c r="I225" i="22"/>
  <c r="H225" i="22"/>
  <c r="G225" i="22"/>
  <c r="F225" i="22"/>
  <c r="E225" i="22"/>
  <c r="D225" i="22"/>
  <c r="V224" i="22"/>
  <c r="U224" i="22"/>
  <c r="T224" i="22"/>
  <c r="S224" i="22"/>
  <c r="R224" i="22"/>
  <c r="Q224" i="22"/>
  <c r="P224" i="22"/>
  <c r="O224" i="22"/>
  <c r="N224" i="22"/>
  <c r="M224" i="22"/>
  <c r="L224" i="22"/>
  <c r="K224" i="22"/>
  <c r="J224" i="22"/>
  <c r="I224" i="22"/>
  <c r="H224" i="22"/>
  <c r="G224" i="22"/>
  <c r="F224" i="22"/>
  <c r="E224" i="22"/>
  <c r="D224" i="22"/>
  <c r="V223" i="22"/>
  <c r="U223" i="22"/>
  <c r="T223" i="22"/>
  <c r="S223" i="22"/>
  <c r="R223" i="22"/>
  <c r="Q223" i="22"/>
  <c r="P223" i="22"/>
  <c r="O223" i="22"/>
  <c r="N223" i="22"/>
  <c r="M223" i="22"/>
  <c r="L223" i="22"/>
  <c r="K223" i="22"/>
  <c r="J223" i="22"/>
  <c r="I223" i="22"/>
  <c r="H223" i="22"/>
  <c r="G223" i="22"/>
  <c r="F223" i="22"/>
  <c r="E223" i="22"/>
  <c r="D223" i="22"/>
  <c r="V222" i="22"/>
  <c r="U222" i="22"/>
  <c r="T222" i="22"/>
  <c r="S222" i="22"/>
  <c r="R222" i="22"/>
  <c r="Q222" i="22"/>
  <c r="P222" i="22"/>
  <c r="O222" i="22"/>
  <c r="N222" i="22"/>
  <c r="M222" i="22"/>
  <c r="L222" i="22"/>
  <c r="K222" i="22"/>
  <c r="J222" i="22"/>
  <c r="I222" i="22"/>
  <c r="H222" i="22"/>
  <c r="G222" i="22"/>
  <c r="F222" i="22"/>
  <c r="E222" i="22"/>
  <c r="D222" i="22"/>
  <c r="V221" i="22"/>
  <c r="U221" i="22"/>
  <c r="T221" i="22"/>
  <c r="S221" i="22"/>
  <c r="R221" i="22"/>
  <c r="Q221" i="22"/>
  <c r="P221" i="22"/>
  <c r="O221" i="22"/>
  <c r="N221" i="22"/>
  <c r="M221" i="22"/>
  <c r="L221" i="22"/>
  <c r="K221" i="22"/>
  <c r="J221" i="22"/>
  <c r="I221" i="22"/>
  <c r="H221" i="22"/>
  <c r="G221" i="22"/>
  <c r="F221" i="22"/>
  <c r="E221" i="22"/>
  <c r="D221" i="22"/>
  <c r="V220" i="22"/>
  <c r="U220" i="22"/>
  <c r="T220" i="22"/>
  <c r="S220" i="22"/>
  <c r="R220" i="22"/>
  <c r="Q220" i="22"/>
  <c r="P220" i="22"/>
  <c r="O220" i="22"/>
  <c r="N220" i="22"/>
  <c r="M220" i="22"/>
  <c r="L220" i="22"/>
  <c r="K220" i="22"/>
  <c r="J220" i="22"/>
  <c r="I220" i="22"/>
  <c r="H220" i="22"/>
  <c r="G220" i="22"/>
  <c r="F220" i="22"/>
  <c r="E220" i="22"/>
  <c r="D220" i="22"/>
  <c r="V218" i="22"/>
  <c r="U218" i="22"/>
  <c r="T218" i="22"/>
  <c r="S218" i="22"/>
  <c r="R218" i="22"/>
  <c r="Q218" i="22"/>
  <c r="P218" i="22"/>
  <c r="O218" i="22"/>
  <c r="N218" i="22"/>
  <c r="M218" i="22"/>
  <c r="L218" i="22"/>
  <c r="K218" i="22"/>
  <c r="J218" i="22"/>
  <c r="I218" i="22"/>
  <c r="H218" i="22"/>
  <c r="G218" i="22"/>
  <c r="F218" i="22"/>
  <c r="E218" i="22"/>
  <c r="D218" i="22"/>
  <c r="V217" i="22"/>
  <c r="U217" i="22"/>
  <c r="T217" i="22"/>
  <c r="S217" i="22"/>
  <c r="R217" i="22"/>
  <c r="Q217" i="22"/>
  <c r="Q256" i="22" s="1"/>
  <c r="P217" i="22"/>
  <c r="O217" i="22"/>
  <c r="N217" i="22"/>
  <c r="M217" i="22"/>
  <c r="L217" i="22"/>
  <c r="K217" i="22"/>
  <c r="J217" i="22"/>
  <c r="I217" i="22"/>
  <c r="H217" i="22"/>
  <c r="G217" i="22"/>
  <c r="F217" i="22"/>
  <c r="E217" i="22"/>
  <c r="D217" i="22"/>
  <c r="V216" i="22"/>
  <c r="U216" i="22"/>
  <c r="T216" i="22"/>
  <c r="S216" i="22"/>
  <c r="R216" i="22"/>
  <c r="Q216" i="22"/>
  <c r="P216" i="22"/>
  <c r="O216" i="22"/>
  <c r="N216" i="22"/>
  <c r="M216" i="22"/>
  <c r="L216" i="22"/>
  <c r="K216" i="22"/>
  <c r="J216" i="22"/>
  <c r="I216" i="22"/>
  <c r="H216" i="22"/>
  <c r="G216" i="22"/>
  <c r="F216" i="22"/>
  <c r="E216" i="22"/>
  <c r="D216" i="22"/>
  <c r="V215" i="22"/>
  <c r="U215" i="22"/>
  <c r="T215" i="22"/>
  <c r="S215" i="22"/>
  <c r="R215" i="22"/>
  <c r="Q215" i="22"/>
  <c r="P215" i="22"/>
  <c r="O215" i="22"/>
  <c r="N215" i="22"/>
  <c r="M215" i="22"/>
  <c r="L215" i="22"/>
  <c r="K215" i="22"/>
  <c r="J215" i="22"/>
  <c r="I215" i="22"/>
  <c r="H215" i="22"/>
  <c r="G215" i="22"/>
  <c r="F215" i="22"/>
  <c r="E215" i="22"/>
  <c r="D215" i="22"/>
  <c r="V214" i="22"/>
  <c r="U214" i="22"/>
  <c r="T214" i="22"/>
  <c r="S214" i="22"/>
  <c r="R214" i="22"/>
  <c r="Q214" i="22"/>
  <c r="P214" i="22"/>
  <c r="O214" i="22"/>
  <c r="N214" i="22"/>
  <c r="M214" i="22"/>
  <c r="L214" i="22"/>
  <c r="K214" i="22"/>
  <c r="J214" i="22"/>
  <c r="I214" i="22"/>
  <c r="H214" i="22"/>
  <c r="G214" i="22"/>
  <c r="F214" i="22"/>
  <c r="E214" i="22"/>
  <c r="D214" i="22"/>
  <c r="V213" i="22"/>
  <c r="U213" i="22"/>
  <c r="T213" i="22"/>
  <c r="S213" i="22"/>
  <c r="R213" i="22"/>
  <c r="Q213" i="22"/>
  <c r="P213" i="22"/>
  <c r="O213" i="22"/>
  <c r="N213" i="22"/>
  <c r="M213" i="22"/>
  <c r="L213" i="22"/>
  <c r="K213" i="22"/>
  <c r="J213" i="22"/>
  <c r="I213" i="22"/>
  <c r="H213" i="22"/>
  <c r="G213" i="22"/>
  <c r="F213" i="22"/>
  <c r="E213" i="22"/>
  <c r="D213" i="22"/>
  <c r="V212" i="22"/>
  <c r="U212" i="22"/>
  <c r="T212" i="22"/>
  <c r="S212" i="22"/>
  <c r="R212" i="22"/>
  <c r="Q212" i="22"/>
  <c r="P212" i="22"/>
  <c r="O212" i="22"/>
  <c r="N212" i="22"/>
  <c r="M212" i="22"/>
  <c r="L212" i="22"/>
  <c r="K212" i="22"/>
  <c r="J212" i="22"/>
  <c r="I212" i="22"/>
  <c r="H212" i="22"/>
  <c r="G212" i="22"/>
  <c r="F212" i="22"/>
  <c r="E212" i="22"/>
  <c r="D212" i="22"/>
  <c r="V211" i="22"/>
  <c r="U211" i="22"/>
  <c r="T211" i="22"/>
  <c r="S211" i="22"/>
  <c r="R211" i="22"/>
  <c r="Q211" i="22"/>
  <c r="P211" i="22"/>
  <c r="O211" i="22"/>
  <c r="N211" i="22"/>
  <c r="M211" i="22"/>
  <c r="L211" i="22"/>
  <c r="K211" i="22"/>
  <c r="J211" i="22"/>
  <c r="I211" i="22"/>
  <c r="H211" i="22"/>
  <c r="H250" i="22" s="1"/>
  <c r="G211" i="22"/>
  <c r="F211" i="22"/>
  <c r="F250" i="22" s="1"/>
  <c r="E211" i="22"/>
  <c r="E250" i="22" s="1"/>
  <c r="D211" i="22"/>
  <c r="D250" i="22" s="1"/>
  <c r="V210" i="22"/>
  <c r="V249" i="22" s="1"/>
  <c r="U210" i="22"/>
  <c r="T210" i="22"/>
  <c r="S210" i="22"/>
  <c r="R210" i="22"/>
  <c r="Q210" i="22"/>
  <c r="P210" i="22"/>
  <c r="O210" i="22"/>
  <c r="N210" i="22"/>
  <c r="M210" i="22"/>
  <c r="L210" i="22"/>
  <c r="K210" i="22"/>
  <c r="J210" i="22"/>
  <c r="I210" i="22"/>
  <c r="H210" i="22"/>
  <c r="G210" i="22"/>
  <c r="F210" i="22"/>
  <c r="F249" i="22" s="1"/>
  <c r="E210" i="22"/>
  <c r="D210" i="22"/>
  <c r="V209" i="22"/>
  <c r="U209" i="22"/>
  <c r="T209" i="22"/>
  <c r="S209" i="22"/>
  <c r="R209" i="22"/>
  <c r="Q209" i="22"/>
  <c r="P209" i="22"/>
  <c r="O209" i="22"/>
  <c r="N209" i="22"/>
  <c r="M209" i="22"/>
  <c r="L209" i="22"/>
  <c r="K209" i="22"/>
  <c r="J209" i="22"/>
  <c r="I209" i="22"/>
  <c r="H209" i="22"/>
  <c r="G209" i="22"/>
  <c r="F209" i="22"/>
  <c r="E209" i="22"/>
  <c r="D209" i="22"/>
  <c r="V208" i="22"/>
  <c r="U208" i="22"/>
  <c r="T208" i="22"/>
  <c r="S208" i="22"/>
  <c r="R208" i="22"/>
  <c r="Q208" i="22"/>
  <c r="P208" i="22"/>
  <c r="O208" i="22"/>
  <c r="N208" i="22"/>
  <c r="M208" i="22"/>
  <c r="L208" i="22"/>
  <c r="K208" i="22"/>
  <c r="J208" i="22"/>
  <c r="I208" i="22"/>
  <c r="H208" i="22"/>
  <c r="G208" i="22"/>
  <c r="F208" i="22"/>
  <c r="E208" i="22"/>
  <c r="D208" i="22"/>
  <c r="V207" i="22"/>
  <c r="U207" i="22"/>
  <c r="T207" i="22"/>
  <c r="S207" i="22"/>
  <c r="R207" i="22"/>
  <c r="Q207" i="22"/>
  <c r="P207" i="22"/>
  <c r="O207" i="22"/>
  <c r="N207" i="22"/>
  <c r="M207" i="22"/>
  <c r="L207" i="22"/>
  <c r="K207" i="22"/>
  <c r="J207" i="22"/>
  <c r="I207" i="22"/>
  <c r="H207" i="22"/>
  <c r="G207" i="22"/>
  <c r="F207" i="22"/>
  <c r="E207" i="22"/>
  <c r="D207" i="22"/>
  <c r="R196" i="22"/>
  <c r="E195" i="22"/>
  <c r="U194" i="22"/>
  <c r="T194" i="22"/>
  <c r="S194" i="22"/>
  <c r="R194" i="22"/>
  <c r="Q194" i="22"/>
  <c r="N194" i="22"/>
  <c r="H194" i="22"/>
  <c r="E194" i="22"/>
  <c r="D194" i="22"/>
  <c r="D187" i="22"/>
  <c r="V186" i="22"/>
  <c r="J182" i="22"/>
  <c r="Q178" i="22"/>
  <c r="I176" i="22"/>
  <c r="R173" i="22"/>
  <c r="D173" i="22"/>
  <c r="H171" i="22"/>
  <c r="T159" i="22"/>
  <c r="V158" i="22"/>
  <c r="U158" i="22"/>
  <c r="T158" i="22"/>
  <c r="S158" i="22"/>
  <c r="R158" i="22"/>
  <c r="R197" i="22" s="1"/>
  <c r="Q158" i="22"/>
  <c r="P158" i="22"/>
  <c r="O158" i="22"/>
  <c r="N158" i="22"/>
  <c r="M158" i="22"/>
  <c r="L158" i="22"/>
  <c r="K158" i="22"/>
  <c r="J158" i="22"/>
  <c r="I158" i="22"/>
  <c r="H158" i="22"/>
  <c r="G158" i="22"/>
  <c r="F158" i="22"/>
  <c r="E158" i="22"/>
  <c r="D158" i="22"/>
  <c r="V157" i="22"/>
  <c r="U157" i="22"/>
  <c r="U196" i="22" s="1"/>
  <c r="T157" i="22"/>
  <c r="S157" i="22"/>
  <c r="R157" i="22"/>
  <c r="Q157" i="22"/>
  <c r="P157" i="22"/>
  <c r="O157" i="22"/>
  <c r="N157" i="22"/>
  <c r="M157" i="22"/>
  <c r="L157" i="22"/>
  <c r="K157" i="22"/>
  <c r="J157" i="22"/>
  <c r="I157" i="22"/>
  <c r="H157" i="22"/>
  <c r="G157" i="22"/>
  <c r="F157" i="22"/>
  <c r="E157" i="22"/>
  <c r="E196" i="22" s="1"/>
  <c r="D157" i="22"/>
  <c r="V156" i="22"/>
  <c r="U156" i="22"/>
  <c r="U195" i="22" s="1"/>
  <c r="T156" i="22"/>
  <c r="S156" i="22"/>
  <c r="R156" i="22"/>
  <c r="Q156" i="22"/>
  <c r="P156" i="22"/>
  <c r="O156" i="22"/>
  <c r="N156" i="22"/>
  <c r="M156" i="22"/>
  <c r="L156" i="22"/>
  <c r="K156" i="22"/>
  <c r="J156" i="22"/>
  <c r="I156" i="22"/>
  <c r="H156" i="22"/>
  <c r="H195" i="22" s="1"/>
  <c r="G156" i="22"/>
  <c r="F156" i="22"/>
  <c r="E156" i="22"/>
  <c r="D156" i="22"/>
  <c r="V155" i="22"/>
  <c r="U155" i="22"/>
  <c r="T155" i="22"/>
  <c r="S155" i="22"/>
  <c r="R155" i="22"/>
  <c r="Q155" i="22"/>
  <c r="P155" i="22"/>
  <c r="P194" i="22" s="1"/>
  <c r="O155" i="22"/>
  <c r="O194" i="22" s="1"/>
  <c r="N155" i="22"/>
  <c r="M155" i="22"/>
  <c r="M194" i="22" s="1"/>
  <c r="L155" i="22"/>
  <c r="L194" i="22" s="1"/>
  <c r="K155" i="22"/>
  <c r="K194" i="22" s="1"/>
  <c r="J155" i="22"/>
  <c r="J194" i="22" s="1"/>
  <c r="I155" i="22"/>
  <c r="I194" i="22" s="1"/>
  <c r="H155" i="22"/>
  <c r="G155" i="22"/>
  <c r="G194" i="22" s="1"/>
  <c r="F155" i="22"/>
  <c r="F194" i="22" s="1"/>
  <c r="E155" i="22"/>
  <c r="D155" i="22"/>
  <c r="V154" i="22"/>
  <c r="U154" i="22"/>
  <c r="T154" i="22"/>
  <c r="S154" i="22"/>
  <c r="R154" i="22"/>
  <c r="Q154" i="22"/>
  <c r="P154" i="22"/>
  <c r="O154" i="22"/>
  <c r="N154" i="22"/>
  <c r="N193" i="22" s="1"/>
  <c r="M154" i="22"/>
  <c r="L154" i="22"/>
  <c r="K154" i="22"/>
  <c r="J154" i="22"/>
  <c r="I154" i="22"/>
  <c r="H154" i="22"/>
  <c r="G154" i="22"/>
  <c r="F154" i="22"/>
  <c r="E154" i="22"/>
  <c r="D154" i="22"/>
  <c r="V153" i="22"/>
  <c r="U153" i="22"/>
  <c r="T153" i="22"/>
  <c r="S153" i="22"/>
  <c r="R153" i="22"/>
  <c r="Q153" i="22"/>
  <c r="Q192" i="22" s="1"/>
  <c r="P153" i="22"/>
  <c r="O153" i="22"/>
  <c r="N153" i="22"/>
  <c r="M153" i="22"/>
  <c r="L153" i="22"/>
  <c r="K153" i="22"/>
  <c r="J153" i="22"/>
  <c r="I153" i="22"/>
  <c r="H153" i="22"/>
  <c r="G153" i="22"/>
  <c r="F153" i="22"/>
  <c r="E153" i="22"/>
  <c r="D153" i="22"/>
  <c r="V152" i="22"/>
  <c r="U152" i="22"/>
  <c r="T152" i="22"/>
  <c r="T191" i="22" s="1"/>
  <c r="S152" i="22"/>
  <c r="R152" i="22"/>
  <c r="Q152" i="22"/>
  <c r="P152" i="22"/>
  <c r="O152" i="22"/>
  <c r="N152" i="22"/>
  <c r="M152" i="22"/>
  <c r="L152" i="22"/>
  <c r="K152" i="22"/>
  <c r="J152" i="22"/>
  <c r="I152" i="22"/>
  <c r="H152" i="22"/>
  <c r="G152" i="22"/>
  <c r="F152" i="22"/>
  <c r="E152" i="22"/>
  <c r="D152" i="22"/>
  <c r="D191" i="22" s="1"/>
  <c r="V151" i="22"/>
  <c r="U151" i="22"/>
  <c r="T151" i="22"/>
  <c r="S151" i="22"/>
  <c r="R151" i="22"/>
  <c r="Q151" i="22"/>
  <c r="P151" i="22"/>
  <c r="O151" i="22"/>
  <c r="N151" i="22"/>
  <c r="M151" i="22"/>
  <c r="L151" i="22"/>
  <c r="K151" i="22"/>
  <c r="J151" i="22"/>
  <c r="I151" i="22"/>
  <c r="H151" i="22"/>
  <c r="G151" i="22"/>
  <c r="G190" i="22" s="1"/>
  <c r="F151" i="22"/>
  <c r="E151" i="22"/>
  <c r="D151" i="22"/>
  <c r="V150" i="22"/>
  <c r="U150" i="22"/>
  <c r="T150" i="22"/>
  <c r="S150" i="22"/>
  <c r="R150" i="22"/>
  <c r="Q150" i="22"/>
  <c r="P150" i="22"/>
  <c r="O150" i="22"/>
  <c r="N150" i="22"/>
  <c r="M150" i="22"/>
  <c r="L150" i="22"/>
  <c r="K150" i="22"/>
  <c r="J150" i="22"/>
  <c r="J189" i="22" s="1"/>
  <c r="I150" i="22"/>
  <c r="H150" i="22"/>
  <c r="G150" i="22"/>
  <c r="F150" i="22"/>
  <c r="E150" i="22"/>
  <c r="D150" i="22"/>
  <c r="V149" i="22"/>
  <c r="U149" i="22"/>
  <c r="T149" i="22"/>
  <c r="S149" i="22"/>
  <c r="R149" i="22"/>
  <c r="Q149" i="22"/>
  <c r="P149" i="22"/>
  <c r="O149" i="22"/>
  <c r="N149" i="22"/>
  <c r="M149" i="22"/>
  <c r="M188" i="22" s="1"/>
  <c r="L149" i="22"/>
  <c r="K149" i="22"/>
  <c r="J149" i="22"/>
  <c r="I149" i="22"/>
  <c r="H149" i="22"/>
  <c r="G149" i="22"/>
  <c r="F149" i="22"/>
  <c r="E149" i="22"/>
  <c r="D149" i="22"/>
  <c r="V148" i="22"/>
  <c r="U148" i="22"/>
  <c r="T148" i="22"/>
  <c r="S148" i="22"/>
  <c r="R148" i="22"/>
  <c r="Q148" i="22"/>
  <c r="P148" i="22"/>
  <c r="P187" i="22" s="1"/>
  <c r="O148" i="22"/>
  <c r="N148" i="22"/>
  <c r="M148" i="22"/>
  <c r="L148" i="22"/>
  <c r="K148" i="22"/>
  <c r="J148" i="22"/>
  <c r="I148" i="22"/>
  <c r="H148" i="22"/>
  <c r="G148" i="22"/>
  <c r="F148" i="22"/>
  <c r="E148" i="22"/>
  <c r="D148" i="22"/>
  <c r="V147" i="22"/>
  <c r="U147" i="22"/>
  <c r="T147" i="22"/>
  <c r="S147" i="22"/>
  <c r="S186" i="22" s="1"/>
  <c r="R147" i="22"/>
  <c r="Q147" i="22"/>
  <c r="P147" i="22"/>
  <c r="O147" i="22"/>
  <c r="N147" i="22"/>
  <c r="M147" i="22"/>
  <c r="L147" i="22"/>
  <c r="K147" i="22"/>
  <c r="J147" i="22"/>
  <c r="I147" i="22"/>
  <c r="H147" i="22"/>
  <c r="G147" i="22"/>
  <c r="F147" i="22"/>
  <c r="E147" i="22"/>
  <c r="D147" i="22"/>
  <c r="V146" i="22"/>
  <c r="V185" i="22" s="1"/>
  <c r="U146" i="22"/>
  <c r="T146" i="22"/>
  <c r="S146" i="22"/>
  <c r="R146" i="22"/>
  <c r="Q146" i="22"/>
  <c r="P146" i="22"/>
  <c r="O146" i="22"/>
  <c r="N146" i="22"/>
  <c r="M146" i="22"/>
  <c r="L146" i="22"/>
  <c r="K146" i="22"/>
  <c r="J146" i="22"/>
  <c r="I146" i="22"/>
  <c r="H146" i="22"/>
  <c r="G146" i="22"/>
  <c r="F146" i="22"/>
  <c r="F185" i="22" s="1"/>
  <c r="E146" i="22"/>
  <c r="D146" i="22"/>
  <c r="V145" i="22"/>
  <c r="U145" i="22"/>
  <c r="T145" i="22"/>
  <c r="S145" i="22"/>
  <c r="R145" i="22"/>
  <c r="Q145" i="22"/>
  <c r="P145" i="22"/>
  <c r="O145" i="22"/>
  <c r="N145" i="22"/>
  <c r="M145" i="22"/>
  <c r="L145" i="22"/>
  <c r="K145" i="22"/>
  <c r="J145" i="22"/>
  <c r="I145" i="22"/>
  <c r="I184" i="22" s="1"/>
  <c r="H145" i="22"/>
  <c r="G145" i="22"/>
  <c r="F145" i="22"/>
  <c r="E145" i="22"/>
  <c r="D145" i="22"/>
  <c r="D184" i="22" s="1"/>
  <c r="V144" i="22"/>
  <c r="U144" i="22"/>
  <c r="T144" i="22"/>
  <c r="S144" i="22"/>
  <c r="R144" i="22"/>
  <c r="Q144" i="22"/>
  <c r="P144" i="22"/>
  <c r="O144" i="22"/>
  <c r="N144" i="22"/>
  <c r="M144" i="22"/>
  <c r="L144" i="22"/>
  <c r="L183" i="22" s="1"/>
  <c r="K144" i="22"/>
  <c r="J144" i="22"/>
  <c r="I144" i="22"/>
  <c r="I183" i="22" s="1"/>
  <c r="H144" i="22"/>
  <c r="G144" i="22"/>
  <c r="G183" i="22" s="1"/>
  <c r="F144" i="22"/>
  <c r="E144" i="22"/>
  <c r="D144" i="22"/>
  <c r="V143" i="22"/>
  <c r="U143" i="22"/>
  <c r="T143" i="22"/>
  <c r="S143" i="22"/>
  <c r="R143" i="22"/>
  <c r="Q143" i="22"/>
  <c r="P143" i="22"/>
  <c r="P182" i="22" s="1"/>
  <c r="O143" i="22"/>
  <c r="O182" i="22" s="1"/>
  <c r="N143" i="22"/>
  <c r="M143" i="22"/>
  <c r="L143" i="22"/>
  <c r="K143" i="22"/>
  <c r="J143" i="22"/>
  <c r="I143" i="22"/>
  <c r="H143" i="22"/>
  <c r="G143" i="22"/>
  <c r="F143" i="22"/>
  <c r="E143" i="22"/>
  <c r="D143" i="22"/>
  <c r="V141" i="22"/>
  <c r="U141" i="22"/>
  <c r="T141" i="22"/>
  <c r="S141" i="22"/>
  <c r="S180" i="22" s="1"/>
  <c r="R141" i="22"/>
  <c r="R180" i="22" s="1"/>
  <c r="Q141" i="22"/>
  <c r="P141" i="22"/>
  <c r="O141" i="22"/>
  <c r="O180" i="22" s="1"/>
  <c r="N141" i="22"/>
  <c r="M141" i="22"/>
  <c r="M180" i="22" s="1"/>
  <c r="L141" i="22"/>
  <c r="K141" i="22"/>
  <c r="J141" i="22"/>
  <c r="I141" i="22"/>
  <c r="H141" i="22"/>
  <c r="G141" i="22"/>
  <c r="F141" i="22"/>
  <c r="E141" i="22"/>
  <c r="D141" i="22"/>
  <c r="V140" i="22"/>
  <c r="V179" i="22" s="1"/>
  <c r="U140" i="22"/>
  <c r="U179" i="22" s="1"/>
  <c r="T140" i="22"/>
  <c r="S140" i="22"/>
  <c r="R140" i="22"/>
  <c r="Q140" i="22"/>
  <c r="P140" i="22"/>
  <c r="P179" i="22" s="1"/>
  <c r="O140" i="22"/>
  <c r="N140" i="22"/>
  <c r="M140" i="22"/>
  <c r="L140" i="22"/>
  <c r="K140" i="22"/>
  <c r="J140" i="22"/>
  <c r="I140" i="22"/>
  <c r="H140" i="22"/>
  <c r="G140" i="22"/>
  <c r="F140" i="22"/>
  <c r="F179" i="22" s="1"/>
  <c r="E140" i="22"/>
  <c r="E179" i="22" s="1"/>
  <c r="D140" i="22"/>
  <c r="V139" i="22"/>
  <c r="U139" i="22"/>
  <c r="T139" i="22"/>
  <c r="S139" i="22"/>
  <c r="S178" i="22" s="1"/>
  <c r="R139" i="22"/>
  <c r="Q139" i="22"/>
  <c r="P139" i="22"/>
  <c r="O139" i="22"/>
  <c r="N139" i="22"/>
  <c r="M139" i="22"/>
  <c r="L139" i="22"/>
  <c r="K139" i="22"/>
  <c r="J139" i="22"/>
  <c r="I139" i="22"/>
  <c r="I178" i="22" s="1"/>
  <c r="H139" i="22"/>
  <c r="H178" i="22" s="1"/>
  <c r="G139" i="22"/>
  <c r="F139" i="22"/>
  <c r="E139" i="22"/>
  <c r="D139" i="22"/>
  <c r="V138" i="22"/>
  <c r="V177" i="22" s="1"/>
  <c r="U138" i="22"/>
  <c r="T138" i="22"/>
  <c r="S138" i="22"/>
  <c r="R138" i="22"/>
  <c r="Q138" i="22"/>
  <c r="P138" i="22"/>
  <c r="O138" i="22"/>
  <c r="N138" i="22"/>
  <c r="M138" i="22"/>
  <c r="L138" i="22"/>
  <c r="L177" i="22" s="1"/>
  <c r="K138" i="22"/>
  <c r="K177" i="22" s="1"/>
  <c r="J138" i="22"/>
  <c r="I138" i="22"/>
  <c r="H138" i="22"/>
  <c r="G138" i="22"/>
  <c r="F138" i="22"/>
  <c r="F177" i="22" s="1"/>
  <c r="E138" i="22"/>
  <c r="D138" i="22"/>
  <c r="V137" i="22"/>
  <c r="U137" i="22"/>
  <c r="T137" i="22"/>
  <c r="S137" i="22"/>
  <c r="R137" i="22"/>
  <c r="Q137" i="22"/>
  <c r="P137" i="22"/>
  <c r="O137" i="22"/>
  <c r="O176" i="22" s="1"/>
  <c r="N137" i="22"/>
  <c r="N176" i="22" s="1"/>
  <c r="M137" i="22"/>
  <c r="L137" i="22"/>
  <c r="K137" i="22"/>
  <c r="J137" i="22"/>
  <c r="I137" i="22"/>
  <c r="H137" i="22"/>
  <c r="G137" i="22"/>
  <c r="F137" i="22"/>
  <c r="E137" i="22"/>
  <c r="D137" i="22"/>
  <c r="V136" i="22"/>
  <c r="U136" i="22"/>
  <c r="T136" i="22"/>
  <c r="S136" i="22"/>
  <c r="R136" i="22"/>
  <c r="R175" i="22" s="1"/>
  <c r="Q136" i="22"/>
  <c r="Q175" i="22" s="1"/>
  <c r="P136" i="22"/>
  <c r="O136" i="22"/>
  <c r="N136" i="22"/>
  <c r="M136" i="22"/>
  <c r="L136" i="22"/>
  <c r="L175" i="22" s="1"/>
  <c r="K136" i="22"/>
  <c r="J136" i="22"/>
  <c r="I136" i="22"/>
  <c r="H136" i="22"/>
  <c r="G136" i="22"/>
  <c r="F136" i="22"/>
  <c r="E136" i="22"/>
  <c r="D136" i="22"/>
  <c r="V135" i="22"/>
  <c r="U135" i="22"/>
  <c r="U174" i="22" s="1"/>
  <c r="T135" i="22"/>
  <c r="T174" i="22" s="1"/>
  <c r="S135" i="22"/>
  <c r="R135" i="22"/>
  <c r="Q135" i="22"/>
  <c r="P135" i="22"/>
  <c r="O135" i="22"/>
  <c r="O174" i="22" s="1"/>
  <c r="N135" i="22"/>
  <c r="M135" i="22"/>
  <c r="L135" i="22"/>
  <c r="K135" i="22"/>
  <c r="J135" i="22"/>
  <c r="I135" i="22"/>
  <c r="H135" i="22"/>
  <c r="G135" i="22"/>
  <c r="F135" i="22"/>
  <c r="E135" i="22"/>
  <c r="E174" i="22" s="1"/>
  <c r="D135" i="22"/>
  <c r="D174" i="22" s="1"/>
  <c r="V134" i="22"/>
  <c r="U134" i="22"/>
  <c r="T134" i="22"/>
  <c r="S134" i="22"/>
  <c r="R134" i="22"/>
  <c r="Q134" i="22"/>
  <c r="P134" i="22"/>
  <c r="O134" i="22"/>
  <c r="N134" i="22"/>
  <c r="M134" i="22"/>
  <c r="L134" i="22"/>
  <c r="K134" i="22"/>
  <c r="J134" i="22"/>
  <c r="I134" i="22"/>
  <c r="H134" i="22"/>
  <c r="H173" i="22" s="1"/>
  <c r="G134" i="22"/>
  <c r="G173" i="22" s="1"/>
  <c r="F134" i="22"/>
  <c r="F173" i="22" s="1"/>
  <c r="E134" i="22"/>
  <c r="E173" i="22" s="1"/>
  <c r="D134" i="22"/>
  <c r="V133" i="22"/>
  <c r="U133" i="22"/>
  <c r="U172" i="22" s="1"/>
  <c r="T133" i="22"/>
  <c r="S133" i="22"/>
  <c r="R133" i="22"/>
  <c r="Q133" i="22"/>
  <c r="P133" i="22"/>
  <c r="O133" i="22"/>
  <c r="N133" i="22"/>
  <c r="M133" i="22"/>
  <c r="L133" i="22"/>
  <c r="K133" i="22"/>
  <c r="K172" i="22" s="1"/>
  <c r="J133" i="22"/>
  <c r="I133" i="22"/>
  <c r="H133" i="22"/>
  <c r="G133" i="22"/>
  <c r="F133" i="22"/>
  <c r="E133" i="22"/>
  <c r="E172" i="22" s="1"/>
  <c r="D133" i="22"/>
  <c r="V132" i="22"/>
  <c r="U132" i="22"/>
  <c r="T132" i="22"/>
  <c r="S132" i="22"/>
  <c r="R132" i="22"/>
  <c r="Q132" i="22"/>
  <c r="P132" i="22"/>
  <c r="O132" i="22"/>
  <c r="N132" i="22"/>
  <c r="N171" i="22" s="1"/>
  <c r="M132" i="22"/>
  <c r="M171" i="22" s="1"/>
  <c r="L132" i="22"/>
  <c r="K132" i="22"/>
  <c r="J132" i="22"/>
  <c r="I132" i="22"/>
  <c r="H132" i="22"/>
  <c r="G132" i="22"/>
  <c r="F132" i="22"/>
  <c r="E132" i="22"/>
  <c r="D132" i="22"/>
  <c r="V131" i="22"/>
  <c r="U131" i="22"/>
  <c r="T131" i="22"/>
  <c r="S131" i="22"/>
  <c r="R131" i="22"/>
  <c r="Q131" i="22"/>
  <c r="Q170" i="22" s="1"/>
  <c r="P131" i="22"/>
  <c r="O131" i="22"/>
  <c r="N131" i="22"/>
  <c r="M131" i="22"/>
  <c r="L131" i="22"/>
  <c r="K131" i="22"/>
  <c r="J131" i="22"/>
  <c r="I131" i="22"/>
  <c r="H131" i="22"/>
  <c r="G131" i="22"/>
  <c r="F131" i="22"/>
  <c r="E131" i="22"/>
  <c r="D131" i="22"/>
  <c r="V130" i="22"/>
  <c r="U130" i="22"/>
  <c r="T130" i="22"/>
  <c r="T169" i="22" s="1"/>
  <c r="S130" i="22"/>
  <c r="S159" i="22" s="1"/>
  <c r="R130" i="22"/>
  <c r="Q130" i="22"/>
  <c r="P130" i="22"/>
  <c r="O130" i="22"/>
  <c r="N130" i="22"/>
  <c r="M130" i="22"/>
  <c r="L130" i="22"/>
  <c r="K130" i="22"/>
  <c r="J130" i="22"/>
  <c r="I130" i="22"/>
  <c r="H130" i="22"/>
  <c r="G130" i="22"/>
  <c r="F130" i="22"/>
  <c r="E130" i="22"/>
  <c r="D130" i="22"/>
  <c r="S119" i="22"/>
  <c r="V118" i="22"/>
  <c r="Q118" i="22"/>
  <c r="P118" i="22"/>
  <c r="N118" i="22"/>
  <c r="U116" i="22"/>
  <c r="T116" i="22"/>
  <c r="S116" i="22"/>
  <c r="R116" i="22"/>
  <c r="Q116" i="22"/>
  <c r="P116" i="22"/>
  <c r="O116" i="22"/>
  <c r="N116" i="22"/>
  <c r="M116" i="22"/>
  <c r="E116" i="22"/>
  <c r="D116" i="22"/>
  <c r="H115" i="22"/>
  <c r="G115" i="22"/>
  <c r="J114" i="22"/>
  <c r="I114" i="22"/>
  <c r="H113" i="22"/>
  <c r="G113" i="22"/>
  <c r="F113" i="22"/>
  <c r="V110" i="22"/>
  <c r="D110" i="22"/>
  <c r="U108" i="22"/>
  <c r="E108" i="22"/>
  <c r="S106" i="22"/>
  <c r="R106" i="22"/>
  <c r="U105" i="22"/>
  <c r="D105" i="22"/>
  <c r="V103" i="22"/>
  <c r="U103" i="22"/>
  <c r="T103" i="22"/>
  <c r="S103" i="22"/>
  <c r="R103" i="22"/>
  <c r="Q103" i="22"/>
  <c r="P103" i="22"/>
  <c r="O103" i="22"/>
  <c r="N103" i="22"/>
  <c r="M103" i="22"/>
  <c r="L103" i="22"/>
  <c r="K103" i="22"/>
  <c r="J103" i="22"/>
  <c r="I103" i="22"/>
  <c r="H103" i="22"/>
  <c r="G103" i="22"/>
  <c r="F103" i="22"/>
  <c r="E103" i="22"/>
  <c r="D103" i="22"/>
  <c r="V102" i="22"/>
  <c r="R100" i="22"/>
  <c r="S99" i="22"/>
  <c r="D99" i="22"/>
  <c r="V98" i="22"/>
  <c r="U96" i="22"/>
  <c r="T95" i="22"/>
  <c r="S94" i="22"/>
  <c r="T93" i="22"/>
  <c r="P91" i="22"/>
  <c r="V80" i="22"/>
  <c r="U80" i="22"/>
  <c r="T80" i="22"/>
  <c r="S80" i="22"/>
  <c r="R80" i="22"/>
  <c r="R119" i="22" s="1"/>
  <c r="Q80" i="22"/>
  <c r="P80" i="22"/>
  <c r="O80" i="22"/>
  <c r="O119" i="22" s="1"/>
  <c r="N80" i="22"/>
  <c r="N119" i="22" s="1"/>
  <c r="M80" i="22"/>
  <c r="M119" i="22" s="1"/>
  <c r="L80" i="22"/>
  <c r="K80" i="22"/>
  <c r="J80" i="22"/>
  <c r="J119" i="22" s="1"/>
  <c r="I80" i="22"/>
  <c r="H80" i="22"/>
  <c r="G80" i="22"/>
  <c r="F80" i="22"/>
  <c r="E80" i="22"/>
  <c r="D80" i="22"/>
  <c r="V79" i="22"/>
  <c r="U79" i="22"/>
  <c r="U118" i="22" s="1"/>
  <c r="T79" i="22"/>
  <c r="S79" i="22"/>
  <c r="R79" i="22"/>
  <c r="R118" i="22" s="1"/>
  <c r="Q79" i="22"/>
  <c r="P79" i="22"/>
  <c r="O79" i="22"/>
  <c r="N79" i="22"/>
  <c r="M79" i="22"/>
  <c r="M118" i="22" s="1"/>
  <c r="L79" i="22"/>
  <c r="K79" i="22"/>
  <c r="J79" i="22"/>
  <c r="I79" i="22"/>
  <c r="H79" i="22"/>
  <c r="H118" i="22" s="1"/>
  <c r="G79" i="22"/>
  <c r="G118" i="22" s="1"/>
  <c r="F79" i="22"/>
  <c r="F118" i="22" s="1"/>
  <c r="E79" i="22"/>
  <c r="E118" i="22" s="1"/>
  <c r="D79" i="22"/>
  <c r="V78" i="22"/>
  <c r="U78" i="22"/>
  <c r="U117" i="22" s="1"/>
  <c r="T78" i="22"/>
  <c r="T117" i="22" s="1"/>
  <c r="S78" i="22"/>
  <c r="S117" i="22" s="1"/>
  <c r="R78" i="22"/>
  <c r="Q78" i="22"/>
  <c r="P78" i="22"/>
  <c r="O78" i="22"/>
  <c r="N78" i="22"/>
  <c r="M78" i="22"/>
  <c r="L78" i="22"/>
  <c r="K78" i="22"/>
  <c r="K117" i="22" s="1"/>
  <c r="J78" i="22"/>
  <c r="I78" i="22"/>
  <c r="I117" i="22" s="1"/>
  <c r="H78" i="22"/>
  <c r="H117" i="22" s="1"/>
  <c r="G78" i="22"/>
  <c r="F78" i="22"/>
  <c r="E78" i="22"/>
  <c r="E117" i="22" s="1"/>
  <c r="D78" i="22"/>
  <c r="D117" i="22" s="1"/>
  <c r="V77" i="22"/>
  <c r="V116" i="22" s="1"/>
  <c r="U77" i="22"/>
  <c r="T77" i="22"/>
  <c r="S77" i="22"/>
  <c r="R77" i="22"/>
  <c r="Q77" i="22"/>
  <c r="P77" i="22"/>
  <c r="O77" i="22"/>
  <c r="N77" i="22"/>
  <c r="M77" i="22"/>
  <c r="L77" i="22"/>
  <c r="L116" i="22" s="1"/>
  <c r="K77" i="22"/>
  <c r="K116" i="22" s="1"/>
  <c r="J77" i="22"/>
  <c r="J116" i="22" s="1"/>
  <c r="I77" i="22"/>
  <c r="I116" i="22" s="1"/>
  <c r="H77" i="22"/>
  <c r="H116" i="22" s="1"/>
  <c r="G77" i="22"/>
  <c r="G116" i="22" s="1"/>
  <c r="F77" i="22"/>
  <c r="F116" i="22" s="1"/>
  <c r="E77" i="22"/>
  <c r="D77" i="22"/>
  <c r="V76" i="22"/>
  <c r="V115" i="22" s="1"/>
  <c r="U76" i="22"/>
  <c r="T76" i="22"/>
  <c r="S76" i="22"/>
  <c r="R76" i="22"/>
  <c r="Q76" i="22"/>
  <c r="P76" i="22"/>
  <c r="O76" i="22"/>
  <c r="O115" i="22" s="1"/>
  <c r="N76" i="22"/>
  <c r="N115" i="22" s="1"/>
  <c r="M76" i="22"/>
  <c r="L76" i="22"/>
  <c r="K76" i="22"/>
  <c r="K115" i="22" s="1"/>
  <c r="J76" i="22"/>
  <c r="J115" i="22" s="1"/>
  <c r="I76" i="22"/>
  <c r="I115" i="22" s="1"/>
  <c r="H76" i="22"/>
  <c r="G76" i="22"/>
  <c r="F76" i="22"/>
  <c r="F115" i="22" s="1"/>
  <c r="E76" i="22"/>
  <c r="D76" i="22"/>
  <c r="V75" i="22"/>
  <c r="U75" i="22"/>
  <c r="T75" i="22"/>
  <c r="T114" i="22" s="1"/>
  <c r="S75" i="22"/>
  <c r="S114" i="22" s="1"/>
  <c r="R75" i="22"/>
  <c r="R114" i="22" s="1"/>
  <c r="Q75" i="22"/>
  <c r="Q114" i="22" s="1"/>
  <c r="P75" i="22"/>
  <c r="O75" i="22"/>
  <c r="N75" i="22"/>
  <c r="N114" i="22" s="1"/>
  <c r="M75" i="22"/>
  <c r="M114" i="22" s="1"/>
  <c r="L75" i="22"/>
  <c r="L114" i="22" s="1"/>
  <c r="K75" i="22"/>
  <c r="J75" i="22"/>
  <c r="I75" i="22"/>
  <c r="H75" i="22"/>
  <c r="G75" i="22"/>
  <c r="F75" i="22"/>
  <c r="E75" i="22"/>
  <c r="D75" i="22"/>
  <c r="D114" i="22" s="1"/>
  <c r="V74" i="22"/>
  <c r="U74" i="22"/>
  <c r="U113" i="22" s="1"/>
  <c r="T74" i="22"/>
  <c r="T113" i="22" s="1"/>
  <c r="S74" i="22"/>
  <c r="R74" i="22"/>
  <c r="Q74" i="22"/>
  <c r="Q113" i="22" s="1"/>
  <c r="P74" i="22"/>
  <c r="P113" i="22" s="1"/>
  <c r="O74" i="22"/>
  <c r="O113" i="22" s="1"/>
  <c r="N74" i="22"/>
  <c r="M74" i="22"/>
  <c r="L74" i="22"/>
  <c r="K74" i="22"/>
  <c r="J74" i="22"/>
  <c r="I74" i="22"/>
  <c r="H74" i="22"/>
  <c r="G74" i="22"/>
  <c r="F74" i="22"/>
  <c r="E74" i="22"/>
  <c r="E113" i="22" s="1"/>
  <c r="D74" i="22"/>
  <c r="D113" i="22" s="1"/>
  <c r="V73" i="22"/>
  <c r="U73" i="22"/>
  <c r="T73" i="22"/>
  <c r="T112" i="22" s="1"/>
  <c r="S73" i="22"/>
  <c r="S112" i="22" s="1"/>
  <c r="R73" i="22"/>
  <c r="R112" i="22" s="1"/>
  <c r="Q73" i="22"/>
  <c r="P73" i="22"/>
  <c r="O73" i="22"/>
  <c r="O112" i="22" s="1"/>
  <c r="N73" i="22"/>
  <c r="M73" i="22"/>
  <c r="L73" i="22"/>
  <c r="K73" i="22"/>
  <c r="J73" i="22"/>
  <c r="I73" i="22"/>
  <c r="H73" i="22"/>
  <c r="H112" i="22" s="1"/>
  <c r="G73" i="22"/>
  <c r="G112" i="22" s="1"/>
  <c r="F73" i="22"/>
  <c r="E73" i="22"/>
  <c r="D73" i="22"/>
  <c r="D112" i="22" s="1"/>
  <c r="V72" i="22"/>
  <c r="V111" i="22" s="1"/>
  <c r="U72" i="22"/>
  <c r="U111" i="22" s="1"/>
  <c r="T72" i="22"/>
  <c r="S72" i="22"/>
  <c r="R72" i="22"/>
  <c r="Q72" i="22"/>
  <c r="P72" i="22"/>
  <c r="O72" i="22"/>
  <c r="N72" i="22"/>
  <c r="M72" i="22"/>
  <c r="L72" i="22"/>
  <c r="K72" i="22"/>
  <c r="K111" i="22" s="1"/>
  <c r="J72" i="22"/>
  <c r="J111" i="22" s="1"/>
  <c r="I72" i="22"/>
  <c r="H72" i="22"/>
  <c r="G72" i="22"/>
  <c r="G111" i="22" s="1"/>
  <c r="F72" i="22"/>
  <c r="F111" i="22" s="1"/>
  <c r="E72" i="22"/>
  <c r="E111" i="22" s="1"/>
  <c r="D72" i="22"/>
  <c r="V71" i="22"/>
  <c r="U71" i="22"/>
  <c r="T71" i="22"/>
  <c r="S71" i="22"/>
  <c r="R71" i="22"/>
  <c r="Q71" i="22"/>
  <c r="P71" i="22"/>
  <c r="O71" i="22"/>
  <c r="O110" i="22" s="1"/>
  <c r="N71" i="22"/>
  <c r="N110" i="22" s="1"/>
  <c r="M71" i="22"/>
  <c r="M110" i="22" s="1"/>
  <c r="L71" i="22"/>
  <c r="K71" i="22"/>
  <c r="J71" i="22"/>
  <c r="J110" i="22" s="1"/>
  <c r="I71" i="22"/>
  <c r="I110" i="22" s="1"/>
  <c r="H71" i="22"/>
  <c r="H110" i="22" s="1"/>
  <c r="G71" i="22"/>
  <c r="F71" i="22"/>
  <c r="E71" i="22"/>
  <c r="D71" i="22"/>
  <c r="V70" i="22"/>
  <c r="U70" i="22"/>
  <c r="T70" i="22"/>
  <c r="S70" i="22"/>
  <c r="R70" i="22"/>
  <c r="Q70" i="22"/>
  <c r="Q109" i="22" s="1"/>
  <c r="P70" i="22"/>
  <c r="P109" i="22" s="1"/>
  <c r="O70" i="22"/>
  <c r="N70" i="22"/>
  <c r="M70" i="22"/>
  <c r="M109" i="22" s="1"/>
  <c r="L70" i="22"/>
  <c r="L109" i="22" s="1"/>
  <c r="K70" i="22"/>
  <c r="K109" i="22" s="1"/>
  <c r="J70" i="22"/>
  <c r="I70" i="22"/>
  <c r="H70" i="22"/>
  <c r="G70" i="22"/>
  <c r="F70" i="22"/>
  <c r="E70" i="22"/>
  <c r="D70" i="22"/>
  <c r="V69" i="22"/>
  <c r="U69" i="22"/>
  <c r="T69" i="22"/>
  <c r="T108" i="22" s="1"/>
  <c r="S69" i="22"/>
  <c r="S108" i="22" s="1"/>
  <c r="R69" i="22"/>
  <c r="Q69" i="22"/>
  <c r="P69" i="22"/>
  <c r="P108" i="22" s="1"/>
  <c r="O69" i="22"/>
  <c r="O108" i="22" s="1"/>
  <c r="N69" i="22"/>
  <c r="N108" i="22" s="1"/>
  <c r="M69" i="22"/>
  <c r="L69" i="22"/>
  <c r="K69" i="22"/>
  <c r="K108" i="22" s="1"/>
  <c r="J69" i="22"/>
  <c r="I69" i="22"/>
  <c r="H69" i="22"/>
  <c r="G69" i="22"/>
  <c r="F69" i="22"/>
  <c r="E69" i="22"/>
  <c r="D69" i="22"/>
  <c r="D108" i="22" s="1"/>
  <c r="V68" i="22"/>
  <c r="V107" i="22" s="1"/>
  <c r="U68" i="22"/>
  <c r="T68" i="22"/>
  <c r="S68" i="22"/>
  <c r="S107" i="22" s="1"/>
  <c r="R68" i="22"/>
  <c r="R107" i="22" s="1"/>
  <c r="Q68" i="22"/>
  <c r="Q107" i="22" s="1"/>
  <c r="P68" i="22"/>
  <c r="O68" i="22"/>
  <c r="N68" i="22"/>
  <c r="N107" i="22" s="1"/>
  <c r="M68" i="22"/>
  <c r="L68" i="22"/>
  <c r="K68" i="22"/>
  <c r="J68" i="22"/>
  <c r="I68" i="22"/>
  <c r="H68" i="22"/>
  <c r="G68" i="22"/>
  <c r="G107" i="22" s="1"/>
  <c r="F68" i="22"/>
  <c r="F107" i="22" s="1"/>
  <c r="E68" i="22"/>
  <c r="D68" i="22"/>
  <c r="V67" i="22"/>
  <c r="V106" i="22" s="1"/>
  <c r="U67" i="22"/>
  <c r="U106" i="22" s="1"/>
  <c r="T67" i="22"/>
  <c r="T106" i="22" s="1"/>
  <c r="S67" i="22"/>
  <c r="R67" i="22"/>
  <c r="Q67" i="22"/>
  <c r="Q106" i="22" s="1"/>
  <c r="P67" i="22"/>
  <c r="O67" i="22"/>
  <c r="N67" i="22"/>
  <c r="M67" i="22"/>
  <c r="L67" i="22"/>
  <c r="K67" i="22"/>
  <c r="K106" i="22" s="1"/>
  <c r="J67" i="22"/>
  <c r="J106" i="22" s="1"/>
  <c r="I67" i="22"/>
  <c r="I106" i="22" s="1"/>
  <c r="H67" i="22"/>
  <c r="G67" i="22"/>
  <c r="F67" i="22"/>
  <c r="F106" i="22" s="1"/>
  <c r="E67" i="22"/>
  <c r="E106" i="22" s="1"/>
  <c r="D67" i="22"/>
  <c r="D106" i="22" s="1"/>
  <c r="V66" i="22"/>
  <c r="V105" i="22" s="1"/>
  <c r="U66" i="22"/>
  <c r="T66" i="22"/>
  <c r="S66" i="22"/>
  <c r="S105" i="22" s="1"/>
  <c r="R66" i="22"/>
  <c r="Q66" i="22"/>
  <c r="P66" i="22"/>
  <c r="O66" i="22"/>
  <c r="N66" i="22"/>
  <c r="N105" i="22" s="1"/>
  <c r="M66" i="22"/>
  <c r="M105" i="22" s="1"/>
  <c r="L66" i="22"/>
  <c r="L105" i="22" s="1"/>
  <c r="K66" i="22"/>
  <c r="J66" i="22"/>
  <c r="I66" i="22"/>
  <c r="I105" i="22" s="1"/>
  <c r="H66" i="22"/>
  <c r="H105" i="22" s="1"/>
  <c r="G66" i="22"/>
  <c r="G105" i="22" s="1"/>
  <c r="F66" i="22"/>
  <c r="E66" i="22"/>
  <c r="D66" i="22"/>
  <c r="V65" i="22"/>
  <c r="U65" i="22"/>
  <c r="T65" i="22"/>
  <c r="S65" i="22"/>
  <c r="R65" i="22"/>
  <c r="Q65" i="22"/>
  <c r="Q104" i="22" s="1"/>
  <c r="P65" i="22"/>
  <c r="P104" i="22" s="1"/>
  <c r="O65" i="22"/>
  <c r="O104" i="22" s="1"/>
  <c r="N65" i="22"/>
  <c r="M65" i="22"/>
  <c r="L65" i="22"/>
  <c r="L104" i="22" s="1"/>
  <c r="K65" i="22"/>
  <c r="K104" i="22" s="1"/>
  <c r="J65" i="22"/>
  <c r="J104" i="22" s="1"/>
  <c r="I65" i="22"/>
  <c r="H65" i="22"/>
  <c r="G65" i="22"/>
  <c r="G104" i="22" s="1"/>
  <c r="F65" i="22"/>
  <c r="E65" i="22"/>
  <c r="D65" i="22"/>
  <c r="V63" i="22"/>
  <c r="U63" i="22"/>
  <c r="T63" i="22"/>
  <c r="S63" i="22"/>
  <c r="S102" i="22" s="1"/>
  <c r="R63" i="22"/>
  <c r="R102" i="22" s="1"/>
  <c r="Q63" i="22"/>
  <c r="P63" i="22"/>
  <c r="O63" i="22"/>
  <c r="O102" i="22" s="1"/>
  <c r="N63" i="22"/>
  <c r="N102" i="22" s="1"/>
  <c r="M63" i="22"/>
  <c r="M102" i="22" s="1"/>
  <c r="L63" i="22"/>
  <c r="K63" i="22"/>
  <c r="J63" i="22"/>
  <c r="J102" i="22" s="1"/>
  <c r="I63" i="22"/>
  <c r="H63" i="22"/>
  <c r="G63" i="22"/>
  <c r="F63" i="22"/>
  <c r="E63" i="22"/>
  <c r="D63" i="22"/>
  <c r="V62" i="22"/>
  <c r="V101" i="22" s="1"/>
  <c r="U62" i="22"/>
  <c r="U101" i="22" s="1"/>
  <c r="T62" i="22"/>
  <c r="S62" i="22"/>
  <c r="R62" i="22"/>
  <c r="R101" i="22" s="1"/>
  <c r="Q62" i="22"/>
  <c r="Q101" i="22" s="1"/>
  <c r="P62" i="22"/>
  <c r="P101" i="22" s="1"/>
  <c r="O62" i="22"/>
  <c r="N62" i="22"/>
  <c r="N101" i="22" s="1"/>
  <c r="M62" i="22"/>
  <c r="M101" i="22" s="1"/>
  <c r="L62" i="22"/>
  <c r="K62" i="22"/>
  <c r="J62" i="22"/>
  <c r="I62" i="22"/>
  <c r="H62" i="22"/>
  <c r="G62" i="22"/>
  <c r="F62" i="22"/>
  <c r="F101" i="22" s="1"/>
  <c r="E62" i="22"/>
  <c r="E101" i="22" s="1"/>
  <c r="D62" i="22"/>
  <c r="V61" i="22"/>
  <c r="U61" i="22"/>
  <c r="U100" i="22" s="1"/>
  <c r="T61" i="22"/>
  <c r="T100" i="22" s="1"/>
  <c r="S61" i="22"/>
  <c r="S100" i="22" s="1"/>
  <c r="R61" i="22"/>
  <c r="Q61" i="22"/>
  <c r="Q100" i="22" s="1"/>
  <c r="P61" i="22"/>
  <c r="P100" i="22" s="1"/>
  <c r="O61" i="22"/>
  <c r="N61" i="22"/>
  <c r="M61" i="22"/>
  <c r="L61" i="22"/>
  <c r="K61" i="22"/>
  <c r="J61" i="22"/>
  <c r="I61" i="22"/>
  <c r="I100" i="22" s="1"/>
  <c r="H61" i="22"/>
  <c r="H100" i="22" s="1"/>
  <c r="G61" i="22"/>
  <c r="F61" i="22"/>
  <c r="E61" i="22"/>
  <c r="E100" i="22" s="1"/>
  <c r="D61" i="22"/>
  <c r="D100" i="22" s="1"/>
  <c r="V60" i="22"/>
  <c r="V99" i="22" s="1"/>
  <c r="U60" i="22"/>
  <c r="U99" i="22" s="1"/>
  <c r="T60" i="22"/>
  <c r="S60" i="22"/>
  <c r="R60" i="22"/>
  <c r="Q60" i="22"/>
  <c r="P60" i="22"/>
  <c r="O60" i="22"/>
  <c r="N60" i="22"/>
  <c r="M60" i="22"/>
  <c r="M99" i="22" s="1"/>
  <c r="L60" i="22"/>
  <c r="L99" i="22" s="1"/>
  <c r="K60" i="22"/>
  <c r="K99" i="22" s="1"/>
  <c r="J60" i="22"/>
  <c r="I60" i="22"/>
  <c r="H60" i="22"/>
  <c r="H99" i="22" s="1"/>
  <c r="G60" i="22"/>
  <c r="G99" i="22" s="1"/>
  <c r="F60" i="22"/>
  <c r="F99" i="22" s="1"/>
  <c r="E60" i="22"/>
  <c r="D60" i="22"/>
  <c r="V59" i="22"/>
  <c r="U59" i="22"/>
  <c r="T59" i="22"/>
  <c r="S59" i="22"/>
  <c r="R59" i="22"/>
  <c r="Q59" i="22"/>
  <c r="P59" i="22"/>
  <c r="P98" i="22" s="1"/>
  <c r="O59" i="22"/>
  <c r="O98" i="22" s="1"/>
  <c r="N59" i="22"/>
  <c r="N98" i="22" s="1"/>
  <c r="M59" i="22"/>
  <c r="L59" i="22"/>
  <c r="K59" i="22"/>
  <c r="K98" i="22" s="1"/>
  <c r="J59" i="22"/>
  <c r="J98" i="22" s="1"/>
  <c r="I59" i="22"/>
  <c r="I98" i="22" s="1"/>
  <c r="H59" i="22"/>
  <c r="G59" i="22"/>
  <c r="F59" i="22"/>
  <c r="F98" i="22" s="1"/>
  <c r="E59" i="22"/>
  <c r="E98" i="22" s="1"/>
  <c r="D59" i="22"/>
  <c r="V58" i="22"/>
  <c r="U58" i="22"/>
  <c r="T58" i="22"/>
  <c r="S58" i="22"/>
  <c r="S97" i="22" s="1"/>
  <c r="R58" i="22"/>
  <c r="R97" i="22" s="1"/>
  <c r="Q58" i="22"/>
  <c r="Q97" i="22" s="1"/>
  <c r="P58" i="22"/>
  <c r="O58" i="22"/>
  <c r="N58" i="22"/>
  <c r="N97" i="22" s="1"/>
  <c r="M58" i="22"/>
  <c r="M97" i="22" s="1"/>
  <c r="L58" i="22"/>
  <c r="L97" i="22" s="1"/>
  <c r="K58" i="22"/>
  <c r="J58" i="22"/>
  <c r="J97" i="22" s="1"/>
  <c r="I58" i="22"/>
  <c r="I97" i="22" s="1"/>
  <c r="H58" i="22"/>
  <c r="G58" i="22"/>
  <c r="F58" i="22"/>
  <c r="E58" i="22"/>
  <c r="D58" i="22"/>
  <c r="V57" i="22"/>
  <c r="V96" i="22" s="1"/>
  <c r="U57" i="22"/>
  <c r="T57" i="22"/>
  <c r="T96" i="22" s="1"/>
  <c r="S57" i="22"/>
  <c r="R57" i="22"/>
  <c r="Q57" i="22"/>
  <c r="P57" i="22"/>
  <c r="P96" i="22" s="1"/>
  <c r="O57" i="22"/>
  <c r="O96" i="22" s="1"/>
  <c r="N57" i="22"/>
  <c r="M57" i="22"/>
  <c r="L57" i="22"/>
  <c r="L96" i="22" s="1"/>
  <c r="K57" i="22"/>
  <c r="J57" i="22"/>
  <c r="I57" i="22"/>
  <c r="H57" i="22"/>
  <c r="G57" i="22"/>
  <c r="F57" i="22"/>
  <c r="F96" i="22" s="1"/>
  <c r="E57" i="22"/>
  <c r="E96" i="22" s="1"/>
  <c r="D57" i="22"/>
  <c r="D96" i="22" s="1"/>
  <c r="V56" i="22"/>
  <c r="U56" i="22"/>
  <c r="T56" i="22"/>
  <c r="S56" i="22"/>
  <c r="S95" i="22" s="1"/>
  <c r="R56" i="22"/>
  <c r="R95" i="22" s="1"/>
  <c r="Q56" i="22"/>
  <c r="Q95" i="22" s="1"/>
  <c r="P56" i="22"/>
  <c r="O56" i="22"/>
  <c r="O95" i="22" s="1"/>
  <c r="N56" i="22"/>
  <c r="M56" i="22"/>
  <c r="L56" i="22"/>
  <c r="K56" i="22"/>
  <c r="J56" i="22"/>
  <c r="I56" i="22"/>
  <c r="I95" i="22" s="1"/>
  <c r="H56" i="22"/>
  <c r="H95" i="22" s="1"/>
  <c r="G56" i="22"/>
  <c r="G95" i="22" s="1"/>
  <c r="F56" i="22"/>
  <c r="F95" i="22" s="1"/>
  <c r="E56" i="22"/>
  <c r="D56" i="22"/>
  <c r="D95" i="22" s="1"/>
  <c r="V55" i="22"/>
  <c r="V94" i="22" s="1"/>
  <c r="U55" i="22"/>
  <c r="U94" i="22" s="1"/>
  <c r="T55" i="22"/>
  <c r="S55" i="22"/>
  <c r="R55" i="22"/>
  <c r="R94" i="22" s="1"/>
  <c r="Q55" i="22"/>
  <c r="P55" i="22"/>
  <c r="O55" i="22"/>
  <c r="N55" i="22"/>
  <c r="M55" i="22"/>
  <c r="L55" i="22"/>
  <c r="L94" i="22" s="1"/>
  <c r="K55" i="22"/>
  <c r="K94" i="22" s="1"/>
  <c r="J55" i="22"/>
  <c r="J94" i="22" s="1"/>
  <c r="I55" i="22"/>
  <c r="H55" i="22"/>
  <c r="G55" i="22"/>
  <c r="G94" i="22" s="1"/>
  <c r="F55" i="22"/>
  <c r="F94" i="22" s="1"/>
  <c r="E55" i="22"/>
  <c r="E94" i="22" s="1"/>
  <c r="D55" i="22"/>
  <c r="V54" i="22"/>
  <c r="U54" i="22"/>
  <c r="U93" i="22" s="1"/>
  <c r="T54" i="22"/>
  <c r="S54" i="22"/>
  <c r="R54" i="22"/>
  <c r="Q54" i="22"/>
  <c r="P54" i="22"/>
  <c r="P93" i="22" s="1"/>
  <c r="O54" i="22"/>
  <c r="O93" i="22" s="1"/>
  <c r="N54" i="22"/>
  <c r="N93" i="22" s="1"/>
  <c r="M54" i="22"/>
  <c r="M93" i="22" s="1"/>
  <c r="L54" i="22"/>
  <c r="K54" i="22"/>
  <c r="J54" i="22"/>
  <c r="J93" i="22" s="1"/>
  <c r="I54" i="22"/>
  <c r="I93" i="22" s="1"/>
  <c r="H54" i="22"/>
  <c r="H93" i="22" s="1"/>
  <c r="G54" i="22"/>
  <c r="F54" i="22"/>
  <c r="F93" i="22" s="1"/>
  <c r="E54" i="22"/>
  <c r="E93" i="22" s="1"/>
  <c r="D54" i="22"/>
  <c r="V53" i="22"/>
  <c r="U53" i="22"/>
  <c r="T53" i="22"/>
  <c r="S53" i="22"/>
  <c r="S92" i="22" s="1"/>
  <c r="R53" i="22"/>
  <c r="Q53" i="22"/>
  <c r="Q92" i="22" s="1"/>
  <c r="P53" i="22"/>
  <c r="O53" i="22"/>
  <c r="N53" i="22"/>
  <c r="M53" i="22"/>
  <c r="M92" i="22" s="1"/>
  <c r="L53" i="22"/>
  <c r="K53" i="22"/>
  <c r="K92" i="22" s="1"/>
  <c r="J53" i="22"/>
  <c r="I53" i="22"/>
  <c r="H53" i="22"/>
  <c r="H92" i="22" s="1"/>
  <c r="G53" i="22"/>
  <c r="F53" i="22"/>
  <c r="E53" i="22"/>
  <c r="D53" i="22"/>
  <c r="V52" i="22"/>
  <c r="U52" i="22"/>
  <c r="T52" i="22"/>
  <c r="S52" i="22"/>
  <c r="R52" i="22"/>
  <c r="Q52" i="22"/>
  <c r="P52" i="22"/>
  <c r="O52" i="22"/>
  <c r="N52" i="22"/>
  <c r="M52" i="22"/>
  <c r="M91" i="22" s="1"/>
  <c r="L52" i="22"/>
  <c r="K52" i="22"/>
  <c r="J52" i="22"/>
  <c r="I52" i="22"/>
  <c r="H52" i="22"/>
  <c r="G52" i="22"/>
  <c r="F52" i="22"/>
  <c r="E52" i="22"/>
  <c r="D52" i="22"/>
  <c r="V41" i="22"/>
  <c r="V119" i="22" s="1"/>
  <c r="U41" i="22"/>
  <c r="U197" i="22" s="1"/>
  <c r="T41" i="22"/>
  <c r="T119" i="22" s="1"/>
  <c r="S41" i="22"/>
  <c r="R41" i="22"/>
  <c r="Q41" i="22"/>
  <c r="P41" i="22"/>
  <c r="O41" i="22"/>
  <c r="O197" i="22" s="1"/>
  <c r="N41" i="22"/>
  <c r="M41" i="22"/>
  <c r="M274" i="22" s="1"/>
  <c r="L41" i="22"/>
  <c r="K41" i="22"/>
  <c r="J41" i="22"/>
  <c r="I41" i="22"/>
  <c r="H41" i="22"/>
  <c r="G41" i="22"/>
  <c r="G119" i="22" s="1"/>
  <c r="F41" i="22"/>
  <c r="E41" i="22"/>
  <c r="D41" i="22"/>
  <c r="V40" i="22"/>
  <c r="U40" i="22"/>
  <c r="T40" i="22"/>
  <c r="S40" i="22"/>
  <c r="S196" i="22" s="1"/>
  <c r="R40" i="22"/>
  <c r="Q40" i="22"/>
  <c r="P40" i="22"/>
  <c r="O40" i="22"/>
  <c r="O118" i="22" s="1"/>
  <c r="N40" i="22"/>
  <c r="M40" i="22"/>
  <c r="L40" i="22"/>
  <c r="K40" i="22"/>
  <c r="J40" i="22"/>
  <c r="J118" i="22" s="1"/>
  <c r="I40" i="22"/>
  <c r="H40" i="22"/>
  <c r="H196" i="22" s="1"/>
  <c r="G40" i="22"/>
  <c r="F40" i="22"/>
  <c r="E40" i="22"/>
  <c r="D40" i="22"/>
  <c r="V39" i="22"/>
  <c r="U39" i="22"/>
  <c r="T39" i="22"/>
  <c r="S39" i="22"/>
  <c r="S272" i="22" s="1"/>
  <c r="R39" i="22"/>
  <c r="Q39" i="22"/>
  <c r="P39" i="22"/>
  <c r="O39" i="22"/>
  <c r="O195" i="22" s="1"/>
  <c r="N39" i="22"/>
  <c r="M39" i="22"/>
  <c r="M117" i="22" s="1"/>
  <c r="L39" i="22"/>
  <c r="K39" i="22"/>
  <c r="K195" i="22" s="1"/>
  <c r="J39" i="22"/>
  <c r="J117" i="22" s="1"/>
  <c r="I39" i="22"/>
  <c r="H39" i="22"/>
  <c r="G39" i="22"/>
  <c r="F39" i="22"/>
  <c r="F195" i="22" s="1"/>
  <c r="E39" i="22"/>
  <c r="D39" i="22"/>
  <c r="V38" i="22"/>
  <c r="V271" i="22" s="1"/>
  <c r="U38" i="22"/>
  <c r="T38" i="22"/>
  <c r="S38" i="22"/>
  <c r="R38" i="22"/>
  <c r="Q38" i="22"/>
  <c r="P38" i="22"/>
  <c r="O38" i="22"/>
  <c r="N38" i="22"/>
  <c r="M38" i="22"/>
  <c r="L38" i="22"/>
  <c r="K38" i="22"/>
  <c r="J38" i="22"/>
  <c r="I38" i="22"/>
  <c r="H38" i="22"/>
  <c r="G38" i="22"/>
  <c r="F38" i="22"/>
  <c r="E38" i="22"/>
  <c r="D38" i="22"/>
  <c r="V37" i="22"/>
  <c r="U37" i="22"/>
  <c r="T37" i="22"/>
  <c r="S37" i="22"/>
  <c r="S115" i="22" s="1"/>
  <c r="R37" i="22"/>
  <c r="R115" i="22" s="1"/>
  <c r="Q37" i="22"/>
  <c r="Q115" i="22" s="1"/>
  <c r="P37" i="22"/>
  <c r="P115" i="22" s="1"/>
  <c r="O37" i="22"/>
  <c r="N37" i="22"/>
  <c r="M37" i="22"/>
  <c r="L37" i="22"/>
  <c r="L193" i="22" s="1"/>
  <c r="K37" i="22"/>
  <c r="K193" i="22" s="1"/>
  <c r="J37" i="22"/>
  <c r="I37" i="22"/>
  <c r="I270" i="22" s="1"/>
  <c r="H37" i="22"/>
  <c r="H270" i="22" s="1"/>
  <c r="G37" i="22"/>
  <c r="F37" i="22"/>
  <c r="E37" i="22"/>
  <c r="D37" i="22"/>
  <c r="V36" i="22"/>
  <c r="V114" i="22" s="1"/>
  <c r="U36" i="22"/>
  <c r="T36" i="22"/>
  <c r="T192" i="22" s="1"/>
  <c r="S36" i="22"/>
  <c r="R36" i="22"/>
  <c r="Q36" i="22"/>
  <c r="P36" i="22"/>
  <c r="O36" i="22"/>
  <c r="N36" i="22"/>
  <c r="N192" i="22" s="1"/>
  <c r="M36" i="22"/>
  <c r="L36" i="22"/>
  <c r="L269" i="22" s="1"/>
  <c r="K36" i="22"/>
  <c r="J36" i="22"/>
  <c r="I36" i="22"/>
  <c r="H36" i="22"/>
  <c r="H192" i="22" s="1"/>
  <c r="G36" i="22"/>
  <c r="F36" i="22"/>
  <c r="F114" i="22" s="1"/>
  <c r="E36" i="22"/>
  <c r="E192" i="22" s="1"/>
  <c r="D36" i="22"/>
  <c r="D192" i="22" s="1"/>
  <c r="V35" i="22"/>
  <c r="V113" i="22" s="1"/>
  <c r="U35" i="22"/>
  <c r="U268" i="22" s="1"/>
  <c r="T35" i="22"/>
  <c r="T268" i="22" s="1"/>
  <c r="S35" i="22"/>
  <c r="R35" i="22"/>
  <c r="R191" i="22" s="1"/>
  <c r="Q35" i="22"/>
  <c r="Q191" i="22" s="1"/>
  <c r="P35" i="22"/>
  <c r="O35" i="22"/>
  <c r="O268" i="22" s="1"/>
  <c r="N35" i="22"/>
  <c r="N113" i="22" s="1"/>
  <c r="M35" i="22"/>
  <c r="L35" i="22"/>
  <c r="K35" i="22"/>
  <c r="J35" i="22"/>
  <c r="I35" i="22"/>
  <c r="I113" i="22" s="1"/>
  <c r="H35" i="22"/>
  <c r="G35" i="22"/>
  <c r="G191" i="22" s="1"/>
  <c r="F35" i="22"/>
  <c r="E35" i="22"/>
  <c r="D35" i="22"/>
  <c r="V34" i="22"/>
  <c r="U34" i="22"/>
  <c r="T34" i="22"/>
  <c r="T190" i="22" s="1"/>
  <c r="S34" i="22"/>
  <c r="R34" i="22"/>
  <c r="R267" i="22" s="1"/>
  <c r="Q34" i="22"/>
  <c r="P34" i="22"/>
  <c r="O34" i="22"/>
  <c r="N34" i="22"/>
  <c r="M34" i="22"/>
  <c r="L34" i="22"/>
  <c r="L112" i="22" s="1"/>
  <c r="K34" i="22"/>
  <c r="K112" i="22" s="1"/>
  <c r="J34" i="22"/>
  <c r="J112" i="22" s="1"/>
  <c r="I34" i="22"/>
  <c r="I267" i="22" s="1"/>
  <c r="H34" i="22"/>
  <c r="G34" i="22"/>
  <c r="F34" i="22"/>
  <c r="E34" i="22"/>
  <c r="D34" i="22"/>
  <c r="D190" i="22" s="1"/>
  <c r="V33" i="22"/>
  <c r="U33" i="22"/>
  <c r="T33" i="22"/>
  <c r="S33" i="22"/>
  <c r="R33" i="22"/>
  <c r="Q33" i="22"/>
  <c r="P33" i="22"/>
  <c r="P189" i="22" s="1"/>
  <c r="O33" i="22"/>
  <c r="N33" i="22"/>
  <c r="N111" i="22" s="1"/>
  <c r="M33" i="22"/>
  <c r="L33" i="22"/>
  <c r="L111" i="22" s="1"/>
  <c r="K33" i="22"/>
  <c r="J33" i="22"/>
  <c r="I33" i="22"/>
  <c r="H33" i="22"/>
  <c r="G33" i="22"/>
  <c r="G189" i="22" s="1"/>
  <c r="F33" i="22"/>
  <c r="E33" i="22"/>
  <c r="D33" i="22"/>
  <c r="V32" i="22"/>
  <c r="V188" i="22" s="1"/>
  <c r="U32" i="22"/>
  <c r="U188" i="22" s="1"/>
  <c r="T32" i="22"/>
  <c r="S32" i="22"/>
  <c r="R32" i="22"/>
  <c r="R110" i="22" s="1"/>
  <c r="Q32" i="22"/>
  <c r="Q188" i="22" s="1"/>
  <c r="P32" i="22"/>
  <c r="P188" i="22" s="1"/>
  <c r="O32" i="22"/>
  <c r="N32" i="22"/>
  <c r="M32" i="22"/>
  <c r="L32" i="22"/>
  <c r="K32" i="22"/>
  <c r="K188" i="22" s="1"/>
  <c r="J32" i="22"/>
  <c r="J188" i="22" s="1"/>
  <c r="I32" i="22"/>
  <c r="H32" i="22"/>
  <c r="H265" i="22" s="1"/>
  <c r="G32" i="22"/>
  <c r="G265" i="22" s="1"/>
  <c r="F32" i="22"/>
  <c r="F110" i="22" s="1"/>
  <c r="E32" i="22"/>
  <c r="E110" i="22" s="1"/>
  <c r="D32" i="22"/>
  <c r="D188" i="22" s="1"/>
  <c r="V31" i="22"/>
  <c r="V187" i="22" s="1"/>
  <c r="U31" i="22"/>
  <c r="T31" i="22"/>
  <c r="S31" i="22"/>
  <c r="R31" i="22"/>
  <c r="Q31" i="22"/>
  <c r="P31" i="22"/>
  <c r="P264" i="22" s="1"/>
  <c r="O31" i="22"/>
  <c r="N31" i="22"/>
  <c r="M31" i="22"/>
  <c r="M187" i="22" s="1"/>
  <c r="L31" i="22"/>
  <c r="K31" i="22"/>
  <c r="J31" i="22"/>
  <c r="J187" i="22" s="1"/>
  <c r="I31" i="22"/>
  <c r="H31" i="22"/>
  <c r="G31" i="22"/>
  <c r="F31" i="22"/>
  <c r="E31" i="22"/>
  <c r="E109" i="22" s="1"/>
  <c r="D31" i="22"/>
  <c r="D109" i="22" s="1"/>
  <c r="V30" i="22"/>
  <c r="V108" i="22" s="1"/>
  <c r="U30" i="22"/>
  <c r="T30" i="22"/>
  <c r="S30" i="22"/>
  <c r="R30" i="22"/>
  <c r="Q30" i="22"/>
  <c r="Q186" i="22" s="1"/>
  <c r="P30" i="22"/>
  <c r="P186" i="22" s="1"/>
  <c r="O30" i="22"/>
  <c r="N30" i="22"/>
  <c r="N263" i="22" s="1"/>
  <c r="M30" i="22"/>
  <c r="M263" i="22" s="1"/>
  <c r="L30" i="22"/>
  <c r="K30" i="22"/>
  <c r="J30" i="22"/>
  <c r="I30" i="22"/>
  <c r="H30" i="22"/>
  <c r="H108" i="22" s="1"/>
  <c r="G30" i="22"/>
  <c r="G108" i="22" s="1"/>
  <c r="F30" i="22"/>
  <c r="F108" i="22" s="1"/>
  <c r="E30" i="22"/>
  <c r="D30" i="22"/>
  <c r="V29" i="22"/>
  <c r="U29" i="22"/>
  <c r="T29" i="22"/>
  <c r="T107" i="22" s="1"/>
  <c r="S29" i="22"/>
  <c r="S185" i="22" s="1"/>
  <c r="R29" i="22"/>
  <c r="Q29" i="22"/>
  <c r="Q262" i="22" s="1"/>
  <c r="P29" i="22"/>
  <c r="O29" i="22"/>
  <c r="N29" i="22"/>
  <c r="M29" i="22"/>
  <c r="M185" i="22" s="1"/>
  <c r="L29" i="22"/>
  <c r="L185" i="22" s="1"/>
  <c r="K29" i="22"/>
  <c r="K107" i="22" s="1"/>
  <c r="J29" i="22"/>
  <c r="J107" i="22" s="1"/>
  <c r="I29" i="22"/>
  <c r="I185" i="22" s="1"/>
  <c r="H29" i="22"/>
  <c r="H107" i="22" s="1"/>
  <c r="G29" i="22"/>
  <c r="G262" i="22" s="1"/>
  <c r="F29" i="22"/>
  <c r="F262" i="22" s="1"/>
  <c r="E29" i="22"/>
  <c r="D29" i="22"/>
  <c r="V28" i="22"/>
  <c r="V184" i="22" s="1"/>
  <c r="U28" i="22"/>
  <c r="T28" i="22"/>
  <c r="T261" i="22" s="1"/>
  <c r="S28" i="22"/>
  <c r="R28" i="22"/>
  <c r="R184" i="22" s="1"/>
  <c r="Q28" i="22"/>
  <c r="Q184" i="22" s="1"/>
  <c r="P28" i="22"/>
  <c r="P184" i="22" s="1"/>
  <c r="O28" i="22"/>
  <c r="N28" i="22"/>
  <c r="N106" i="22" s="1"/>
  <c r="M28" i="22"/>
  <c r="L28" i="22"/>
  <c r="K28" i="22"/>
  <c r="J28" i="22"/>
  <c r="I28" i="22"/>
  <c r="H28" i="22"/>
  <c r="G28" i="22"/>
  <c r="F28" i="22"/>
  <c r="F184" i="22" s="1"/>
  <c r="E28" i="22"/>
  <c r="D28" i="22"/>
  <c r="D261" i="22" s="1"/>
  <c r="V27" i="22"/>
  <c r="U27" i="22"/>
  <c r="T27" i="22"/>
  <c r="S27" i="22"/>
  <c r="S183" i="22" s="1"/>
  <c r="R27" i="22"/>
  <c r="Q27" i="22"/>
  <c r="P27" i="22"/>
  <c r="O27" i="22"/>
  <c r="N27" i="22"/>
  <c r="M27" i="22"/>
  <c r="L27" i="22"/>
  <c r="K27" i="22"/>
  <c r="J27" i="22"/>
  <c r="I27" i="22"/>
  <c r="H27" i="22"/>
  <c r="G27" i="22"/>
  <c r="G260" i="22" s="1"/>
  <c r="F27" i="22"/>
  <c r="F260" i="22" s="1"/>
  <c r="E27" i="22"/>
  <c r="D27" i="22"/>
  <c r="V26" i="22"/>
  <c r="V182" i="22" s="1"/>
  <c r="U26" i="22"/>
  <c r="T26" i="22"/>
  <c r="T104" i="22" s="1"/>
  <c r="S26" i="22"/>
  <c r="S104" i="22" s="1"/>
  <c r="R26" i="22"/>
  <c r="Q26" i="22"/>
  <c r="Q259" i="22" s="1"/>
  <c r="P26" i="22"/>
  <c r="P259" i="22" s="1"/>
  <c r="O26" i="22"/>
  <c r="N26" i="22"/>
  <c r="M26" i="22"/>
  <c r="L26" i="22"/>
  <c r="L182" i="22" s="1"/>
  <c r="K26" i="22"/>
  <c r="J26" i="22"/>
  <c r="I26" i="22"/>
  <c r="I182" i="22" s="1"/>
  <c r="H26" i="22"/>
  <c r="G26" i="22"/>
  <c r="G182" i="22" s="1"/>
  <c r="F26" i="22"/>
  <c r="F182" i="22" s="1"/>
  <c r="E26" i="22"/>
  <c r="D26" i="22"/>
  <c r="D104" i="22" s="1"/>
  <c r="V24" i="22"/>
  <c r="U24" i="22"/>
  <c r="T24" i="22"/>
  <c r="T257" i="22" s="1"/>
  <c r="S24" i="22"/>
  <c r="R24" i="22"/>
  <c r="R257" i="22" s="1"/>
  <c r="Q24" i="22"/>
  <c r="P24" i="22"/>
  <c r="O24" i="22"/>
  <c r="O257" i="22" s="1"/>
  <c r="N24" i="22"/>
  <c r="M24" i="22"/>
  <c r="L24" i="22"/>
  <c r="L180" i="22" s="1"/>
  <c r="K24" i="22"/>
  <c r="J24" i="22"/>
  <c r="I24" i="22"/>
  <c r="I180" i="22" s="1"/>
  <c r="H24" i="22"/>
  <c r="G24" i="22"/>
  <c r="G102" i="22" s="1"/>
  <c r="F24" i="22"/>
  <c r="F102" i="22" s="1"/>
  <c r="E24" i="22"/>
  <c r="E180" i="22" s="1"/>
  <c r="D24" i="22"/>
  <c r="V23" i="22"/>
  <c r="U23" i="22"/>
  <c r="T23" i="22"/>
  <c r="T101" i="22" s="1"/>
  <c r="S23" i="22"/>
  <c r="R23" i="22"/>
  <c r="R179" i="22" s="1"/>
  <c r="Q23" i="22"/>
  <c r="P23" i="22"/>
  <c r="P256" i="22" s="1"/>
  <c r="O23" i="22"/>
  <c r="O256" i="22" s="1"/>
  <c r="N23" i="22"/>
  <c r="M23" i="22"/>
  <c r="M179" i="22" s="1"/>
  <c r="L23" i="22"/>
  <c r="L179" i="22" s="1"/>
  <c r="K23" i="22"/>
  <c r="J23" i="22"/>
  <c r="J101" i="22" s="1"/>
  <c r="I23" i="22"/>
  <c r="I101" i="22" s="1"/>
  <c r="H23" i="22"/>
  <c r="G23" i="22"/>
  <c r="F23" i="22"/>
  <c r="E23" i="22"/>
  <c r="D23" i="22"/>
  <c r="D101" i="22" s="1"/>
  <c r="V22" i="22"/>
  <c r="V100" i="22" s="1"/>
  <c r="U22" i="22"/>
  <c r="U178" i="22" s="1"/>
  <c r="T22" i="22"/>
  <c r="S22" i="22"/>
  <c r="S255" i="22" s="1"/>
  <c r="R22" i="22"/>
  <c r="R255" i="22" s="1"/>
  <c r="Q22" i="22"/>
  <c r="Q255" i="22" s="1"/>
  <c r="P22" i="22"/>
  <c r="O22" i="22"/>
  <c r="O178" i="22" s="1"/>
  <c r="N22" i="22"/>
  <c r="N178" i="22" s="1"/>
  <c r="M22" i="22"/>
  <c r="M255" i="22" s="1"/>
  <c r="L22" i="22"/>
  <c r="K22" i="22"/>
  <c r="K255" i="22" s="1"/>
  <c r="J22" i="22"/>
  <c r="I22" i="22"/>
  <c r="H22" i="22"/>
  <c r="G22" i="22"/>
  <c r="F22" i="22"/>
  <c r="E22" i="22"/>
  <c r="D22" i="22"/>
  <c r="V21" i="22"/>
  <c r="V254" i="22" s="1"/>
  <c r="U21" i="22"/>
  <c r="T21" i="22"/>
  <c r="S21" i="22"/>
  <c r="R21" i="22"/>
  <c r="R177" i="22" s="1"/>
  <c r="Q21" i="22"/>
  <c r="Q177" i="22" s="1"/>
  <c r="P21" i="22"/>
  <c r="O21" i="22"/>
  <c r="O99" i="22" s="1"/>
  <c r="N21" i="22"/>
  <c r="N177" i="22" s="1"/>
  <c r="M21" i="22"/>
  <c r="M254" i="22" s="1"/>
  <c r="L21" i="22"/>
  <c r="K21" i="22"/>
  <c r="K254" i="22" s="1"/>
  <c r="J21" i="22"/>
  <c r="I21" i="22"/>
  <c r="H21" i="22"/>
  <c r="H254" i="22" s="1"/>
  <c r="G21" i="22"/>
  <c r="F21" i="22"/>
  <c r="E21" i="22"/>
  <c r="E177" i="22" s="1"/>
  <c r="D21" i="22"/>
  <c r="D177" i="22" s="1"/>
  <c r="V20" i="22"/>
  <c r="U20" i="22"/>
  <c r="U176" i="22" s="1"/>
  <c r="T20" i="22"/>
  <c r="S20" i="22"/>
  <c r="S98" i="22" s="1"/>
  <c r="R20" i="22"/>
  <c r="R98" i="22" s="1"/>
  <c r="Q20" i="22"/>
  <c r="P20" i="22"/>
  <c r="O20" i="22"/>
  <c r="N20" i="22"/>
  <c r="M20" i="22"/>
  <c r="L20" i="22"/>
  <c r="K20" i="22"/>
  <c r="K176" i="22" s="1"/>
  <c r="J20" i="22"/>
  <c r="I20" i="22"/>
  <c r="H20" i="22"/>
  <c r="H253" i="22" s="1"/>
  <c r="G20" i="22"/>
  <c r="F20" i="22"/>
  <c r="F176" i="22" s="1"/>
  <c r="E20" i="22"/>
  <c r="E176" i="22" s="1"/>
  <c r="D20" i="22"/>
  <c r="D176" i="22" s="1"/>
  <c r="V19" i="22"/>
  <c r="V97" i="22" s="1"/>
  <c r="U19" i="22"/>
  <c r="U97" i="22" s="1"/>
  <c r="T19" i="22"/>
  <c r="S19" i="22"/>
  <c r="R19" i="22"/>
  <c r="Q19" i="22"/>
  <c r="P19" i="22"/>
  <c r="O19" i="22"/>
  <c r="N19" i="22"/>
  <c r="N175" i="22" s="1"/>
  <c r="M19" i="22"/>
  <c r="L19" i="22"/>
  <c r="L252" i="22" s="1"/>
  <c r="K19" i="22"/>
  <c r="J19" i="22"/>
  <c r="I19" i="22"/>
  <c r="H19" i="22"/>
  <c r="G19" i="22"/>
  <c r="G175" i="22" s="1"/>
  <c r="F19" i="22"/>
  <c r="F97" i="22" s="1"/>
  <c r="E19" i="22"/>
  <c r="D19" i="22"/>
  <c r="V18" i="22"/>
  <c r="U18" i="22"/>
  <c r="T18" i="22"/>
  <c r="S18" i="22"/>
  <c r="S96" i="22" s="1"/>
  <c r="R18" i="22"/>
  <c r="R96" i="22" s="1"/>
  <c r="Q18" i="22"/>
  <c r="P18" i="22"/>
  <c r="O18" i="22"/>
  <c r="N18" i="22"/>
  <c r="N251" i="22" s="1"/>
  <c r="M18" i="22"/>
  <c r="L18" i="22"/>
  <c r="K18" i="22"/>
  <c r="K174" i="22" s="1"/>
  <c r="J18" i="22"/>
  <c r="J174" i="22" s="1"/>
  <c r="I18" i="22"/>
  <c r="H18" i="22"/>
  <c r="G18" i="22"/>
  <c r="G251" i="22" s="1"/>
  <c r="F18" i="22"/>
  <c r="E18" i="22"/>
  <c r="D18" i="22"/>
  <c r="D251" i="22" s="1"/>
  <c r="V17" i="22"/>
  <c r="U17" i="22"/>
  <c r="U95" i="22" s="1"/>
  <c r="T17" i="22"/>
  <c r="T173" i="22" s="1"/>
  <c r="S17" i="22"/>
  <c r="R17" i="22"/>
  <c r="Q17" i="22"/>
  <c r="Q250" i="22" s="1"/>
  <c r="P17" i="22"/>
  <c r="O17" i="22"/>
  <c r="N17" i="22"/>
  <c r="N173" i="22" s="1"/>
  <c r="M17" i="22"/>
  <c r="M173" i="22" s="1"/>
  <c r="L17" i="22"/>
  <c r="L95" i="22" s="1"/>
  <c r="K17" i="22"/>
  <c r="J17" i="22"/>
  <c r="I17" i="22"/>
  <c r="H17" i="22"/>
  <c r="G17" i="22"/>
  <c r="F17" i="22"/>
  <c r="E17" i="22"/>
  <c r="D17" i="22"/>
  <c r="V16" i="22"/>
  <c r="U16" i="22"/>
  <c r="T16" i="22"/>
  <c r="T172" i="22" s="1"/>
  <c r="S16" i="22"/>
  <c r="S172" i="22" s="1"/>
  <c r="R16" i="22"/>
  <c r="R172" i="22" s="1"/>
  <c r="Q16" i="22"/>
  <c r="P16" i="22"/>
  <c r="O16" i="22"/>
  <c r="N16" i="22"/>
  <c r="M16" i="22"/>
  <c r="L16" i="22"/>
  <c r="K16" i="22"/>
  <c r="J16" i="22"/>
  <c r="I16" i="22"/>
  <c r="I94" i="22" s="1"/>
  <c r="H16" i="22"/>
  <c r="G16" i="22"/>
  <c r="G172" i="22" s="1"/>
  <c r="F16" i="22"/>
  <c r="E16" i="22"/>
  <c r="E249" i="22" s="1"/>
  <c r="D16" i="22"/>
  <c r="D249" i="22" s="1"/>
  <c r="V15" i="22"/>
  <c r="U15" i="22"/>
  <c r="U171" i="22" s="1"/>
  <c r="T15" i="22"/>
  <c r="T171" i="22" s="1"/>
  <c r="S15" i="22"/>
  <c r="S171" i="22" s="1"/>
  <c r="R15" i="22"/>
  <c r="R93" i="22" s="1"/>
  <c r="Q15" i="22"/>
  <c r="Q93" i="22" s="1"/>
  <c r="P15" i="22"/>
  <c r="O15" i="22"/>
  <c r="N15" i="22"/>
  <c r="M15" i="22"/>
  <c r="L15" i="22"/>
  <c r="K15" i="22"/>
  <c r="K171" i="22" s="1"/>
  <c r="J15" i="22"/>
  <c r="J171" i="22" s="1"/>
  <c r="I15" i="22"/>
  <c r="H15" i="22"/>
  <c r="G15" i="22"/>
  <c r="F15" i="22"/>
  <c r="E15" i="22"/>
  <c r="E171" i="22" s="1"/>
  <c r="D15" i="22"/>
  <c r="D171" i="22" s="1"/>
  <c r="V14" i="22"/>
  <c r="U14" i="22"/>
  <c r="T14" i="22"/>
  <c r="T92" i="22" s="1"/>
  <c r="S14" i="22"/>
  <c r="R14" i="22"/>
  <c r="Q14" i="22"/>
  <c r="P14" i="22"/>
  <c r="O14" i="22"/>
  <c r="O92" i="22" s="1"/>
  <c r="N14" i="22"/>
  <c r="N92" i="22" s="1"/>
  <c r="M14" i="22"/>
  <c r="M170" i="22" s="1"/>
  <c r="L14" i="22"/>
  <c r="K14" i="22"/>
  <c r="K247" i="22" s="1"/>
  <c r="J14" i="22"/>
  <c r="I14" i="22"/>
  <c r="I92" i="22" s="1"/>
  <c r="H14" i="22"/>
  <c r="H247" i="22" s="1"/>
  <c r="G14" i="22"/>
  <c r="F14" i="22"/>
  <c r="F170" i="22" s="1"/>
  <c r="E14" i="22"/>
  <c r="D14" i="22"/>
  <c r="D92" i="22" s="1"/>
  <c r="V13" i="22"/>
  <c r="U13" i="22"/>
  <c r="T13" i="22"/>
  <c r="S13" i="22"/>
  <c r="S42" i="22" s="1"/>
  <c r="R13" i="22"/>
  <c r="Q13" i="22"/>
  <c r="P13" i="22"/>
  <c r="O13" i="22"/>
  <c r="N13" i="22"/>
  <c r="N246" i="22" s="1"/>
  <c r="M13" i="22"/>
  <c r="M246" i="22" s="1"/>
  <c r="L13" i="22"/>
  <c r="K13" i="22"/>
  <c r="J13" i="22"/>
  <c r="I13" i="22"/>
  <c r="H13" i="22"/>
  <c r="G13" i="22"/>
  <c r="F13" i="22"/>
  <c r="E13" i="22"/>
  <c r="D13" i="22"/>
  <c r="C299" i="21"/>
  <c r="K298" i="21"/>
  <c r="J298" i="21"/>
  <c r="J297" i="21"/>
  <c r="I297" i="21"/>
  <c r="H297" i="21"/>
  <c r="G297" i="21"/>
  <c r="I296" i="21"/>
  <c r="I295" i="21"/>
  <c r="J294" i="21"/>
  <c r="I294" i="21"/>
  <c r="H293" i="21"/>
  <c r="G293" i="21"/>
  <c r="E293" i="21"/>
  <c r="D293" i="21"/>
  <c r="F291" i="21"/>
  <c r="K290" i="21"/>
  <c r="F290" i="21"/>
  <c r="E290" i="21"/>
  <c r="I289" i="21"/>
  <c r="E289" i="21"/>
  <c r="D289" i="21"/>
  <c r="E288" i="21"/>
  <c r="K286" i="21"/>
  <c r="J286" i="21"/>
  <c r="I286" i="21"/>
  <c r="E286" i="21"/>
  <c r="K285" i="21"/>
  <c r="K283" i="21"/>
  <c r="J283" i="21"/>
  <c r="K282" i="21"/>
  <c r="J282" i="21"/>
  <c r="I282" i="21"/>
  <c r="G282" i="21"/>
  <c r="F282" i="21"/>
  <c r="K281" i="21"/>
  <c r="J279" i="21"/>
  <c r="H279" i="21"/>
  <c r="E279" i="21"/>
  <c r="D279" i="21"/>
  <c r="I278" i="21"/>
  <c r="K276" i="21"/>
  <c r="F275" i="21"/>
  <c r="J274" i="21"/>
  <c r="F274" i="21"/>
  <c r="E274" i="21"/>
  <c r="I272" i="21"/>
  <c r="F271" i="21"/>
  <c r="E271" i="21"/>
  <c r="D271" i="21"/>
  <c r="H269" i="21"/>
  <c r="E269" i="21"/>
  <c r="D269" i="21"/>
  <c r="K268" i="21"/>
  <c r="C257" i="21"/>
  <c r="J256" i="21"/>
  <c r="K255" i="21"/>
  <c r="K297" i="21" s="1"/>
  <c r="J255" i="21"/>
  <c r="I255" i="21"/>
  <c r="H255" i="21"/>
  <c r="G255" i="21"/>
  <c r="F255" i="21"/>
  <c r="F297" i="21" s="1"/>
  <c r="E255" i="21"/>
  <c r="E297" i="21" s="1"/>
  <c r="D255" i="21"/>
  <c r="D297" i="21" s="1"/>
  <c r="K254" i="21"/>
  <c r="K296" i="21" s="1"/>
  <c r="J254" i="21"/>
  <c r="J296" i="21" s="1"/>
  <c r="I254" i="21"/>
  <c r="H254" i="21"/>
  <c r="H296" i="21" s="1"/>
  <c r="G254" i="21"/>
  <c r="F254" i="21"/>
  <c r="E254" i="21"/>
  <c r="D254" i="21"/>
  <c r="K253" i="21"/>
  <c r="K295" i="21" s="1"/>
  <c r="J253" i="21"/>
  <c r="J295" i="21" s="1"/>
  <c r="I253" i="21"/>
  <c r="H253" i="21"/>
  <c r="G253" i="21"/>
  <c r="F253" i="21"/>
  <c r="F295" i="21" s="1"/>
  <c r="E253" i="21"/>
  <c r="D253" i="21"/>
  <c r="K252" i="21"/>
  <c r="J252" i="21"/>
  <c r="I252" i="21"/>
  <c r="H252" i="21"/>
  <c r="H294" i="21" s="1"/>
  <c r="G252" i="21"/>
  <c r="F252" i="21"/>
  <c r="E252" i="21"/>
  <c r="D252" i="21"/>
  <c r="K251" i="21"/>
  <c r="K293" i="21" s="1"/>
  <c r="J251" i="21"/>
  <c r="J293" i="21" s="1"/>
  <c r="I251" i="21"/>
  <c r="I293" i="21" s="1"/>
  <c r="H251" i="21"/>
  <c r="G251" i="21"/>
  <c r="F251" i="21"/>
  <c r="F293" i="21" s="1"/>
  <c r="E251" i="21"/>
  <c r="D251" i="21"/>
  <c r="K250" i="21"/>
  <c r="J250" i="21"/>
  <c r="J292" i="21" s="1"/>
  <c r="I250" i="21"/>
  <c r="I292" i="21" s="1"/>
  <c r="H250" i="21"/>
  <c r="H292" i="21" s="1"/>
  <c r="G250" i="21"/>
  <c r="F250" i="21"/>
  <c r="E250" i="21"/>
  <c r="D250" i="21"/>
  <c r="K249" i="21"/>
  <c r="K291" i="21" s="1"/>
  <c r="J249" i="21"/>
  <c r="J291" i="21" s="1"/>
  <c r="I249" i="21"/>
  <c r="I291" i="21" s="1"/>
  <c r="H249" i="21"/>
  <c r="H291" i="21" s="1"/>
  <c r="G249" i="21"/>
  <c r="F249" i="21"/>
  <c r="E249" i="21"/>
  <c r="D249" i="21"/>
  <c r="K248" i="21"/>
  <c r="J248" i="21"/>
  <c r="J290" i="21" s="1"/>
  <c r="I248" i="21"/>
  <c r="I290" i="21" s="1"/>
  <c r="H248" i="21"/>
  <c r="H290" i="21" s="1"/>
  <c r="G248" i="21"/>
  <c r="F248" i="21"/>
  <c r="E248" i="21"/>
  <c r="D248" i="21"/>
  <c r="K247" i="21"/>
  <c r="K289" i="21" s="1"/>
  <c r="J247" i="21"/>
  <c r="J289" i="21" s="1"/>
  <c r="I247" i="21"/>
  <c r="H247" i="21"/>
  <c r="H289" i="21" s="1"/>
  <c r="G247" i="21"/>
  <c r="G289" i="21" s="1"/>
  <c r="F247" i="21"/>
  <c r="F289" i="21" s="1"/>
  <c r="E247" i="21"/>
  <c r="D247" i="21"/>
  <c r="K246" i="21"/>
  <c r="K288" i="21" s="1"/>
  <c r="J246" i="21"/>
  <c r="J288" i="21" s="1"/>
  <c r="I246" i="21"/>
  <c r="I288" i="21" s="1"/>
  <c r="H246" i="21"/>
  <c r="H288" i="21" s="1"/>
  <c r="G246" i="21"/>
  <c r="G288" i="21" s="1"/>
  <c r="F246" i="21"/>
  <c r="E246" i="21"/>
  <c r="D246" i="21"/>
  <c r="K245" i="21"/>
  <c r="K287" i="21" s="1"/>
  <c r="J245" i="21"/>
  <c r="J287" i="21" s="1"/>
  <c r="I245" i="21"/>
  <c r="I287" i="21" s="1"/>
  <c r="H245" i="21"/>
  <c r="G245" i="21"/>
  <c r="F245" i="21"/>
  <c r="E245" i="21"/>
  <c r="D245" i="21"/>
  <c r="K244" i="21"/>
  <c r="J244" i="21"/>
  <c r="I244" i="21"/>
  <c r="H244" i="21"/>
  <c r="H286" i="21" s="1"/>
  <c r="G244" i="21"/>
  <c r="F244" i="21"/>
  <c r="E244" i="21"/>
  <c r="D244" i="21"/>
  <c r="D286" i="21" s="1"/>
  <c r="K243" i="21"/>
  <c r="J243" i="21"/>
  <c r="J285" i="21" s="1"/>
  <c r="I243" i="21"/>
  <c r="I285" i="21" s="1"/>
  <c r="H243" i="21"/>
  <c r="G243" i="21"/>
  <c r="F243" i="21"/>
  <c r="E243" i="21"/>
  <c r="D243" i="21"/>
  <c r="K242" i="21"/>
  <c r="K284" i="21" s="1"/>
  <c r="J242" i="21"/>
  <c r="J284" i="21" s="1"/>
  <c r="I242" i="21"/>
  <c r="I284" i="21" s="1"/>
  <c r="H242" i="21"/>
  <c r="H284" i="21" s="1"/>
  <c r="G242" i="21"/>
  <c r="F242" i="21"/>
  <c r="E242" i="21"/>
  <c r="D242" i="21"/>
  <c r="K241" i="21"/>
  <c r="J241" i="21"/>
  <c r="I241" i="21"/>
  <c r="I283" i="21" s="1"/>
  <c r="H241" i="21"/>
  <c r="H283" i="21" s="1"/>
  <c r="G241" i="21"/>
  <c r="F241" i="21"/>
  <c r="F283" i="21" s="1"/>
  <c r="E241" i="21"/>
  <c r="D241" i="21"/>
  <c r="K240" i="21"/>
  <c r="J240" i="21"/>
  <c r="I240" i="21"/>
  <c r="H240" i="21"/>
  <c r="H282" i="21" s="1"/>
  <c r="G240" i="21"/>
  <c r="F240" i="21"/>
  <c r="E240" i="21"/>
  <c r="E282" i="21" s="1"/>
  <c r="D240" i="21"/>
  <c r="D282" i="21" s="1"/>
  <c r="K239" i="21"/>
  <c r="J239" i="21"/>
  <c r="J281" i="21" s="1"/>
  <c r="I239" i="21"/>
  <c r="H239" i="21"/>
  <c r="G239" i="21"/>
  <c r="F239" i="21"/>
  <c r="E239" i="21"/>
  <c r="D239" i="21"/>
  <c r="K238" i="21"/>
  <c r="K280" i="21" s="1"/>
  <c r="J238" i="21"/>
  <c r="J280" i="21" s="1"/>
  <c r="I238" i="21"/>
  <c r="I280" i="21" s="1"/>
  <c r="H238" i="21"/>
  <c r="H280" i="21" s="1"/>
  <c r="G238" i="21"/>
  <c r="F238" i="21"/>
  <c r="E238" i="21"/>
  <c r="D238" i="21"/>
  <c r="K237" i="21"/>
  <c r="K279" i="21" s="1"/>
  <c r="J237" i="21"/>
  <c r="I237" i="21"/>
  <c r="I279" i="21" s="1"/>
  <c r="H237" i="21"/>
  <c r="G237" i="21"/>
  <c r="G279" i="21" s="1"/>
  <c r="F237" i="21"/>
  <c r="F279" i="21" s="1"/>
  <c r="E237" i="21"/>
  <c r="D237" i="21"/>
  <c r="K236" i="21"/>
  <c r="J236" i="21"/>
  <c r="J278" i="21" s="1"/>
  <c r="I236" i="21"/>
  <c r="H236" i="21"/>
  <c r="H278" i="21" s="1"/>
  <c r="G236" i="21"/>
  <c r="F236" i="21"/>
  <c r="E236" i="21"/>
  <c r="D236" i="21"/>
  <c r="D278" i="21" s="1"/>
  <c r="K235" i="21"/>
  <c r="K277" i="21" s="1"/>
  <c r="J235" i="21"/>
  <c r="J277" i="21" s="1"/>
  <c r="I235" i="21"/>
  <c r="I277" i="21" s="1"/>
  <c r="H235" i="21"/>
  <c r="G235" i="21"/>
  <c r="F235" i="21"/>
  <c r="E235" i="21"/>
  <c r="D235" i="21"/>
  <c r="K234" i="21"/>
  <c r="J234" i="21"/>
  <c r="J276" i="21" s="1"/>
  <c r="I234" i="21"/>
  <c r="I276" i="21" s="1"/>
  <c r="H234" i="21"/>
  <c r="H276" i="21" s="1"/>
  <c r="G234" i="21"/>
  <c r="F234" i="21"/>
  <c r="E234" i="21"/>
  <c r="D234" i="21"/>
  <c r="D276" i="21" s="1"/>
  <c r="K233" i="21"/>
  <c r="K275" i="21" s="1"/>
  <c r="J233" i="21"/>
  <c r="J275" i="21" s="1"/>
  <c r="I233" i="21"/>
  <c r="I275" i="21" s="1"/>
  <c r="H233" i="21"/>
  <c r="G233" i="21"/>
  <c r="F233" i="21"/>
  <c r="E233" i="21"/>
  <c r="D233" i="21"/>
  <c r="K232" i="21"/>
  <c r="K274" i="21" s="1"/>
  <c r="J232" i="21"/>
  <c r="I232" i="21"/>
  <c r="I274" i="21" s="1"/>
  <c r="H232" i="21"/>
  <c r="H274" i="21" s="1"/>
  <c r="G232" i="21"/>
  <c r="G274" i="21" s="1"/>
  <c r="F232" i="21"/>
  <c r="E232" i="21"/>
  <c r="D232" i="21"/>
  <c r="D274" i="21" s="1"/>
  <c r="K231" i="21"/>
  <c r="K273" i="21" s="1"/>
  <c r="J231" i="21"/>
  <c r="J273" i="21" s="1"/>
  <c r="I231" i="21"/>
  <c r="I273" i="21" s="1"/>
  <c r="H231" i="21"/>
  <c r="H273" i="21" s="1"/>
  <c r="G231" i="21"/>
  <c r="F231" i="21"/>
  <c r="E231" i="21"/>
  <c r="D231" i="21"/>
  <c r="K230" i="21"/>
  <c r="K272" i="21" s="1"/>
  <c r="J230" i="21"/>
  <c r="J272" i="21" s="1"/>
  <c r="I230" i="21"/>
  <c r="H230" i="21"/>
  <c r="H272" i="21" s="1"/>
  <c r="G230" i="21"/>
  <c r="F230" i="21"/>
  <c r="E230" i="21"/>
  <c r="D230" i="21"/>
  <c r="D272" i="21" s="1"/>
  <c r="K229" i="21"/>
  <c r="K271" i="21" s="1"/>
  <c r="J229" i="21"/>
  <c r="J271" i="21" s="1"/>
  <c r="I229" i="21"/>
  <c r="I271" i="21" s="1"/>
  <c r="H229" i="21"/>
  <c r="H271" i="21" s="1"/>
  <c r="G229" i="21"/>
  <c r="G271" i="21" s="1"/>
  <c r="F229" i="21"/>
  <c r="E229" i="21"/>
  <c r="D229" i="21"/>
  <c r="K228" i="21"/>
  <c r="K270" i="21" s="1"/>
  <c r="J228" i="21"/>
  <c r="J270" i="21" s="1"/>
  <c r="I228" i="21"/>
  <c r="I270" i="21" s="1"/>
  <c r="H228" i="21"/>
  <c r="H270" i="21" s="1"/>
  <c r="G228" i="21"/>
  <c r="F228" i="21"/>
  <c r="E228" i="21"/>
  <c r="D228" i="21"/>
  <c r="D270" i="21" s="1"/>
  <c r="K227" i="21"/>
  <c r="K269" i="21" s="1"/>
  <c r="J227" i="21"/>
  <c r="J269" i="21" s="1"/>
  <c r="I227" i="21"/>
  <c r="I269" i="21" s="1"/>
  <c r="H227" i="21"/>
  <c r="G227" i="21"/>
  <c r="G269" i="21" s="1"/>
  <c r="F227" i="21"/>
  <c r="F269" i="21" s="1"/>
  <c r="E227" i="21"/>
  <c r="D227" i="21"/>
  <c r="K226" i="21"/>
  <c r="J226" i="21"/>
  <c r="J268" i="21" s="1"/>
  <c r="I226" i="21"/>
  <c r="I268" i="21" s="1"/>
  <c r="H226" i="21"/>
  <c r="H268" i="21" s="1"/>
  <c r="G226" i="21"/>
  <c r="G256" i="21" s="1"/>
  <c r="F226" i="21"/>
  <c r="E226" i="21"/>
  <c r="D226" i="21"/>
  <c r="K225" i="21"/>
  <c r="K256" i="21" s="1"/>
  <c r="J225" i="21"/>
  <c r="J267" i="21" s="1"/>
  <c r="I225" i="21"/>
  <c r="H225" i="21"/>
  <c r="G225" i="21"/>
  <c r="F225" i="21"/>
  <c r="E225" i="21"/>
  <c r="D225" i="21"/>
  <c r="C216" i="21"/>
  <c r="H214" i="21"/>
  <c r="G214" i="21"/>
  <c r="D214" i="21"/>
  <c r="J213" i="21"/>
  <c r="J212" i="21"/>
  <c r="J211" i="21"/>
  <c r="D211" i="21"/>
  <c r="H210" i="21"/>
  <c r="G210" i="21"/>
  <c r="J209" i="21"/>
  <c r="I209" i="21"/>
  <c r="H209" i="21"/>
  <c r="D208" i="21"/>
  <c r="J207" i="21"/>
  <c r="J206" i="21"/>
  <c r="H206" i="21"/>
  <c r="G206" i="21"/>
  <c r="J205" i="21"/>
  <c r="H205" i="21"/>
  <c r="K204" i="21"/>
  <c r="J203" i="21"/>
  <c r="I203" i="21"/>
  <c r="H203" i="21"/>
  <c r="K202" i="21"/>
  <c r="G202" i="21"/>
  <c r="J201" i="21"/>
  <c r="K200" i="21"/>
  <c r="J200" i="21"/>
  <c r="J199" i="21"/>
  <c r="I199" i="21"/>
  <c r="H199" i="21"/>
  <c r="J197" i="21"/>
  <c r="I197" i="21"/>
  <c r="H197" i="21"/>
  <c r="J196" i="21"/>
  <c r="H196" i="21"/>
  <c r="G196" i="21"/>
  <c r="J195" i="21"/>
  <c r="K194" i="21"/>
  <c r="J194" i="21"/>
  <c r="J193" i="21"/>
  <c r="I193" i="21"/>
  <c r="K190" i="21"/>
  <c r="J190" i="21"/>
  <c r="K188" i="21"/>
  <c r="H188" i="21"/>
  <c r="G188" i="21"/>
  <c r="K187" i="21"/>
  <c r="J187" i="21"/>
  <c r="H187" i="21"/>
  <c r="H186" i="21"/>
  <c r="G186" i="21"/>
  <c r="H185" i="21"/>
  <c r="D185" i="21"/>
  <c r="K184" i="21"/>
  <c r="C174" i="21"/>
  <c r="K172" i="21"/>
  <c r="K214" i="21" s="1"/>
  <c r="J172" i="21"/>
  <c r="J214" i="21" s="1"/>
  <c r="I172" i="21"/>
  <c r="I214" i="21" s="1"/>
  <c r="H172" i="21"/>
  <c r="G172" i="21"/>
  <c r="F172" i="21"/>
  <c r="F214" i="21" s="1"/>
  <c r="E172" i="21"/>
  <c r="E214" i="21" s="1"/>
  <c r="D172" i="21"/>
  <c r="K171" i="21"/>
  <c r="K213" i="21" s="1"/>
  <c r="J171" i="21"/>
  <c r="I171" i="21"/>
  <c r="I213" i="21" s="1"/>
  <c r="H171" i="21"/>
  <c r="H213" i="21" s="1"/>
  <c r="G171" i="21"/>
  <c r="F171" i="21"/>
  <c r="E171" i="21"/>
  <c r="E213" i="21" s="1"/>
  <c r="D171" i="21"/>
  <c r="D213" i="21" s="1"/>
  <c r="K170" i="21"/>
  <c r="K212" i="21" s="1"/>
  <c r="J170" i="21"/>
  <c r="I170" i="21"/>
  <c r="H170" i="21"/>
  <c r="G170" i="21"/>
  <c r="F170" i="21"/>
  <c r="E170" i="21"/>
  <c r="D170" i="21"/>
  <c r="D212" i="21" s="1"/>
  <c r="K169" i="21"/>
  <c r="K211" i="21" s="1"/>
  <c r="J169" i="21"/>
  <c r="I169" i="21"/>
  <c r="I211" i="21" s="1"/>
  <c r="H169" i="21"/>
  <c r="H211" i="21" s="1"/>
  <c r="G169" i="21"/>
  <c r="F169" i="21"/>
  <c r="E169" i="21"/>
  <c r="E211" i="21" s="1"/>
  <c r="D169" i="21"/>
  <c r="K168" i="21"/>
  <c r="K210" i="21" s="1"/>
  <c r="J168" i="21"/>
  <c r="J210" i="21" s="1"/>
  <c r="I168" i="21"/>
  <c r="I210" i="21" s="1"/>
  <c r="H168" i="21"/>
  <c r="G168" i="21"/>
  <c r="F168" i="21"/>
  <c r="F210" i="21" s="1"/>
  <c r="E168" i="21"/>
  <c r="E210" i="21" s="1"/>
  <c r="D168" i="21"/>
  <c r="D210" i="21" s="1"/>
  <c r="K167" i="21"/>
  <c r="K209" i="21" s="1"/>
  <c r="J167" i="21"/>
  <c r="I167" i="21"/>
  <c r="H167" i="21"/>
  <c r="G167" i="21"/>
  <c r="F167" i="21"/>
  <c r="E167" i="21"/>
  <c r="E209" i="21" s="1"/>
  <c r="D167" i="21"/>
  <c r="D209" i="21" s="1"/>
  <c r="K166" i="21"/>
  <c r="K208" i="21" s="1"/>
  <c r="J166" i="21"/>
  <c r="J208" i="21" s="1"/>
  <c r="I166" i="21"/>
  <c r="H166" i="21"/>
  <c r="G166" i="21"/>
  <c r="F166" i="21"/>
  <c r="E166" i="21"/>
  <c r="D166" i="21"/>
  <c r="K165" i="21"/>
  <c r="K207" i="21" s="1"/>
  <c r="J165" i="21"/>
  <c r="I165" i="21"/>
  <c r="I207" i="21" s="1"/>
  <c r="H165" i="21"/>
  <c r="H207" i="21" s="1"/>
  <c r="G165" i="21"/>
  <c r="F165" i="21"/>
  <c r="E165" i="21"/>
  <c r="E207" i="21" s="1"/>
  <c r="D165" i="21"/>
  <c r="D207" i="21" s="1"/>
  <c r="K164" i="21"/>
  <c r="K206" i="21" s="1"/>
  <c r="J164" i="21"/>
  <c r="I164" i="21"/>
  <c r="I206" i="21" s="1"/>
  <c r="H164" i="21"/>
  <c r="G164" i="21"/>
  <c r="F164" i="21"/>
  <c r="F206" i="21" s="1"/>
  <c r="E164" i="21"/>
  <c r="E206" i="21" s="1"/>
  <c r="D164" i="21"/>
  <c r="D206" i="21" s="1"/>
  <c r="K163" i="21"/>
  <c r="K205" i="21" s="1"/>
  <c r="J163" i="21"/>
  <c r="I163" i="21"/>
  <c r="I205" i="21" s="1"/>
  <c r="H163" i="21"/>
  <c r="G163" i="21"/>
  <c r="G205" i="21" s="1"/>
  <c r="F163" i="21"/>
  <c r="E163" i="21"/>
  <c r="E205" i="21" s="1"/>
  <c r="D163" i="21"/>
  <c r="D205" i="21" s="1"/>
  <c r="K162" i="21"/>
  <c r="J162" i="21"/>
  <c r="J204" i="21" s="1"/>
  <c r="I162" i="21"/>
  <c r="H162" i="21"/>
  <c r="G162" i="21"/>
  <c r="F162" i="21"/>
  <c r="E162" i="21"/>
  <c r="D162" i="21"/>
  <c r="D204" i="21" s="1"/>
  <c r="K161" i="21"/>
  <c r="K203" i="21" s="1"/>
  <c r="J161" i="21"/>
  <c r="I161" i="21"/>
  <c r="H161" i="21"/>
  <c r="G161" i="21"/>
  <c r="F161" i="21"/>
  <c r="E161" i="21"/>
  <c r="E203" i="21" s="1"/>
  <c r="D161" i="21"/>
  <c r="D203" i="21" s="1"/>
  <c r="K160" i="21"/>
  <c r="J160" i="21"/>
  <c r="J202" i="21" s="1"/>
  <c r="I160" i="21"/>
  <c r="H160" i="21"/>
  <c r="G160" i="21"/>
  <c r="F160" i="21"/>
  <c r="E160" i="21"/>
  <c r="D160" i="21"/>
  <c r="D202" i="21" s="1"/>
  <c r="K159" i="21"/>
  <c r="K201" i="21" s="1"/>
  <c r="J159" i="21"/>
  <c r="I159" i="21"/>
  <c r="I201" i="21" s="1"/>
  <c r="H159" i="21"/>
  <c r="H201" i="21" s="1"/>
  <c r="G159" i="21"/>
  <c r="F159" i="21"/>
  <c r="E159" i="21"/>
  <c r="E201" i="21" s="1"/>
  <c r="D159" i="21"/>
  <c r="D201" i="21" s="1"/>
  <c r="K158" i="21"/>
  <c r="J158" i="21"/>
  <c r="I158" i="21"/>
  <c r="H158" i="21"/>
  <c r="G158" i="21"/>
  <c r="F158" i="21"/>
  <c r="E158" i="21"/>
  <c r="D158" i="21"/>
  <c r="D200" i="21" s="1"/>
  <c r="K157" i="21"/>
  <c r="K199" i="21" s="1"/>
  <c r="J157" i="21"/>
  <c r="I157" i="21"/>
  <c r="H157" i="21"/>
  <c r="G157" i="21"/>
  <c r="G199" i="21" s="1"/>
  <c r="F157" i="21"/>
  <c r="F199" i="21" s="1"/>
  <c r="E157" i="21"/>
  <c r="E199" i="21" s="1"/>
  <c r="D157" i="21"/>
  <c r="D199" i="21" s="1"/>
  <c r="K156" i="21"/>
  <c r="K198" i="21" s="1"/>
  <c r="J156" i="21"/>
  <c r="J198" i="21" s="1"/>
  <c r="I156" i="21"/>
  <c r="H156" i="21"/>
  <c r="G156" i="21"/>
  <c r="F156" i="21"/>
  <c r="E156" i="21"/>
  <c r="D156" i="21"/>
  <c r="D198" i="21" s="1"/>
  <c r="K155" i="21"/>
  <c r="K197" i="21" s="1"/>
  <c r="J155" i="21"/>
  <c r="I155" i="21"/>
  <c r="H155" i="21"/>
  <c r="G155" i="21"/>
  <c r="F155" i="21"/>
  <c r="E155" i="21"/>
  <c r="E197" i="21" s="1"/>
  <c r="D155" i="21"/>
  <c r="D197" i="21" s="1"/>
  <c r="K154" i="21"/>
  <c r="K196" i="21" s="1"/>
  <c r="J154" i="21"/>
  <c r="I154" i="21"/>
  <c r="H154" i="21"/>
  <c r="G154" i="21"/>
  <c r="F154" i="21"/>
  <c r="F196" i="21" s="1"/>
  <c r="E154" i="21"/>
  <c r="E196" i="21" s="1"/>
  <c r="D154" i="21"/>
  <c r="D196" i="21" s="1"/>
  <c r="K153" i="21"/>
  <c r="K195" i="21" s="1"/>
  <c r="J153" i="21"/>
  <c r="I153" i="21"/>
  <c r="I195" i="21" s="1"/>
  <c r="H153" i="21"/>
  <c r="H195" i="21" s="1"/>
  <c r="G153" i="21"/>
  <c r="F153" i="21"/>
  <c r="E153" i="21"/>
  <c r="E195" i="21" s="1"/>
  <c r="D153" i="21"/>
  <c r="D195" i="21" s="1"/>
  <c r="K152" i="21"/>
  <c r="J152" i="21"/>
  <c r="I152" i="21"/>
  <c r="H152" i="21"/>
  <c r="G152" i="21"/>
  <c r="F152" i="21"/>
  <c r="E152" i="21"/>
  <c r="D152" i="21"/>
  <c r="D194" i="21" s="1"/>
  <c r="K151" i="21"/>
  <c r="K193" i="21" s="1"/>
  <c r="J151" i="21"/>
  <c r="I151" i="21"/>
  <c r="H151" i="21"/>
  <c r="H193" i="21" s="1"/>
  <c r="G151" i="21"/>
  <c r="F151" i="21"/>
  <c r="E151" i="21"/>
  <c r="E193" i="21" s="1"/>
  <c r="D151" i="21"/>
  <c r="D193" i="21" s="1"/>
  <c r="K150" i="21"/>
  <c r="K192" i="21" s="1"/>
  <c r="J150" i="21"/>
  <c r="J192" i="21" s="1"/>
  <c r="I150" i="21"/>
  <c r="H150" i="21"/>
  <c r="G150" i="21"/>
  <c r="F150" i="21"/>
  <c r="E150" i="21"/>
  <c r="D150" i="21"/>
  <c r="D192" i="21" s="1"/>
  <c r="K149" i="21"/>
  <c r="K191" i="21" s="1"/>
  <c r="J149" i="21"/>
  <c r="J191" i="21" s="1"/>
  <c r="I149" i="21"/>
  <c r="I191" i="21" s="1"/>
  <c r="H149" i="21"/>
  <c r="H191" i="21" s="1"/>
  <c r="G149" i="21"/>
  <c r="G191" i="21" s="1"/>
  <c r="F149" i="21"/>
  <c r="F191" i="21" s="1"/>
  <c r="E149" i="21"/>
  <c r="E191" i="21" s="1"/>
  <c r="D149" i="21"/>
  <c r="D191" i="21" s="1"/>
  <c r="K148" i="21"/>
  <c r="J148" i="21"/>
  <c r="I148" i="21"/>
  <c r="H148" i="21"/>
  <c r="G148" i="21"/>
  <c r="F148" i="21"/>
  <c r="E148" i="21"/>
  <c r="D148" i="21"/>
  <c r="D190" i="21" s="1"/>
  <c r="K147" i="21"/>
  <c r="K189" i="21" s="1"/>
  <c r="J147" i="21"/>
  <c r="J189" i="21" s="1"/>
  <c r="I147" i="21"/>
  <c r="I189" i="21" s="1"/>
  <c r="H147" i="21"/>
  <c r="H189" i="21" s="1"/>
  <c r="G147" i="21"/>
  <c r="F147" i="21"/>
  <c r="E147" i="21"/>
  <c r="E189" i="21" s="1"/>
  <c r="D147" i="21"/>
  <c r="D189" i="21" s="1"/>
  <c r="K146" i="21"/>
  <c r="J146" i="21"/>
  <c r="J188" i="21" s="1"/>
  <c r="I146" i="21"/>
  <c r="I188" i="21" s="1"/>
  <c r="H146" i="21"/>
  <c r="G146" i="21"/>
  <c r="F146" i="21"/>
  <c r="F188" i="21" s="1"/>
  <c r="E146" i="21"/>
  <c r="E188" i="21" s="1"/>
  <c r="D146" i="21"/>
  <c r="D188" i="21" s="1"/>
  <c r="K145" i="21"/>
  <c r="J145" i="21"/>
  <c r="I145" i="21"/>
  <c r="I187" i="21" s="1"/>
  <c r="H145" i="21"/>
  <c r="G145" i="21"/>
  <c r="F145" i="21"/>
  <c r="E145" i="21"/>
  <c r="E187" i="21" s="1"/>
  <c r="D145" i="21"/>
  <c r="D187" i="21" s="1"/>
  <c r="K144" i="21"/>
  <c r="K186" i="21" s="1"/>
  <c r="J144" i="21"/>
  <c r="J186" i="21" s="1"/>
  <c r="I144" i="21"/>
  <c r="I186" i="21" s="1"/>
  <c r="H144" i="21"/>
  <c r="G144" i="21"/>
  <c r="F144" i="21"/>
  <c r="F186" i="21" s="1"/>
  <c r="E144" i="21"/>
  <c r="E186" i="21" s="1"/>
  <c r="D144" i="21"/>
  <c r="D186" i="21" s="1"/>
  <c r="K143" i="21"/>
  <c r="K185" i="21" s="1"/>
  <c r="J143" i="21"/>
  <c r="J185" i="21" s="1"/>
  <c r="I143" i="21"/>
  <c r="I185" i="21" s="1"/>
  <c r="H143" i="21"/>
  <c r="H173" i="21" s="1"/>
  <c r="G143" i="21"/>
  <c r="F143" i="21"/>
  <c r="E143" i="21"/>
  <c r="E185" i="21" s="1"/>
  <c r="D143" i="21"/>
  <c r="D173" i="21" s="1"/>
  <c r="K142" i="21"/>
  <c r="K173" i="21" s="1"/>
  <c r="J142" i="21"/>
  <c r="I142" i="21"/>
  <c r="H142" i="21"/>
  <c r="G142" i="21"/>
  <c r="G173" i="21" s="1"/>
  <c r="F142" i="21"/>
  <c r="E142" i="21"/>
  <c r="D142" i="21"/>
  <c r="D184" i="21" s="1"/>
  <c r="C132" i="21"/>
  <c r="K130" i="21"/>
  <c r="G130" i="21"/>
  <c r="J129" i="21"/>
  <c r="I129" i="21"/>
  <c r="K128" i="21"/>
  <c r="F128" i="21"/>
  <c r="E128" i="21"/>
  <c r="J127" i="21"/>
  <c r="I127" i="21"/>
  <c r="K126" i="21"/>
  <c r="G126" i="21"/>
  <c r="F126" i="21"/>
  <c r="D126" i="21"/>
  <c r="J125" i="21"/>
  <c r="I125" i="21"/>
  <c r="E124" i="21"/>
  <c r="D124" i="21"/>
  <c r="J123" i="21"/>
  <c r="I123" i="21"/>
  <c r="D123" i="21"/>
  <c r="K122" i="21"/>
  <c r="G122" i="21"/>
  <c r="J121" i="21"/>
  <c r="I121" i="21"/>
  <c r="E121" i="21"/>
  <c r="K120" i="21"/>
  <c r="F120" i="21"/>
  <c r="E120" i="21"/>
  <c r="J119" i="21"/>
  <c r="I119" i="21"/>
  <c r="K118" i="21"/>
  <c r="F118" i="21"/>
  <c r="J117" i="21"/>
  <c r="I117" i="21"/>
  <c r="E116" i="21"/>
  <c r="D116" i="21"/>
  <c r="J115" i="21"/>
  <c r="I115" i="21"/>
  <c r="F115" i="21"/>
  <c r="D115" i="21"/>
  <c r="K114" i="21"/>
  <c r="J113" i="21"/>
  <c r="I113" i="21"/>
  <c r="K112" i="21"/>
  <c r="F112" i="21"/>
  <c r="E112" i="21"/>
  <c r="D112" i="21"/>
  <c r="J111" i="21"/>
  <c r="I111" i="21"/>
  <c r="K110" i="21"/>
  <c r="F110" i="21"/>
  <c r="J109" i="21"/>
  <c r="I109" i="21"/>
  <c r="E108" i="21"/>
  <c r="D108" i="21"/>
  <c r="J107" i="21"/>
  <c r="I107" i="21"/>
  <c r="F107" i="21"/>
  <c r="D107" i="21"/>
  <c r="K106" i="21"/>
  <c r="J105" i="21"/>
  <c r="I105" i="21"/>
  <c r="K104" i="21"/>
  <c r="F104" i="21"/>
  <c r="E104" i="21"/>
  <c r="D104" i="21"/>
  <c r="J103" i="21"/>
  <c r="I103" i="21"/>
  <c r="K102" i="21"/>
  <c r="G102" i="21"/>
  <c r="F102" i="21"/>
  <c r="D102" i="21"/>
  <c r="J101" i="21"/>
  <c r="I101" i="21"/>
  <c r="E100" i="21"/>
  <c r="D100" i="21"/>
  <c r="C90" i="21"/>
  <c r="K88" i="21"/>
  <c r="J88" i="21"/>
  <c r="J130" i="21" s="1"/>
  <c r="I88" i="21"/>
  <c r="I130" i="21" s="1"/>
  <c r="H88" i="21"/>
  <c r="H130" i="21" s="1"/>
  <c r="G88" i="21"/>
  <c r="F88" i="21"/>
  <c r="F130" i="21" s="1"/>
  <c r="E88" i="21"/>
  <c r="E130" i="21" s="1"/>
  <c r="D88" i="21"/>
  <c r="D130" i="21" s="1"/>
  <c r="K87" i="21"/>
  <c r="K129" i="21" s="1"/>
  <c r="J87" i="21"/>
  <c r="I87" i="21"/>
  <c r="H87" i="21"/>
  <c r="H129" i="21" s="1"/>
  <c r="G87" i="21"/>
  <c r="F87" i="21"/>
  <c r="E87" i="21"/>
  <c r="D87" i="21"/>
  <c r="K86" i="21"/>
  <c r="J86" i="21"/>
  <c r="J128" i="21" s="1"/>
  <c r="I86" i="21"/>
  <c r="I128" i="21" s="1"/>
  <c r="H86" i="21"/>
  <c r="G86" i="21"/>
  <c r="G128" i="21" s="1"/>
  <c r="F86" i="21"/>
  <c r="E86" i="21"/>
  <c r="D86" i="21"/>
  <c r="K85" i="21"/>
  <c r="K127" i="21" s="1"/>
  <c r="J85" i="21"/>
  <c r="I85" i="21"/>
  <c r="H85" i="21"/>
  <c r="H127" i="21" s="1"/>
  <c r="G85" i="21"/>
  <c r="F85" i="21"/>
  <c r="E85" i="21"/>
  <c r="E127" i="21" s="1"/>
  <c r="D85" i="21"/>
  <c r="D127" i="21" s="1"/>
  <c r="K84" i="21"/>
  <c r="J84" i="21"/>
  <c r="J126" i="21" s="1"/>
  <c r="I84" i="21"/>
  <c r="I126" i="21" s="1"/>
  <c r="H84" i="21"/>
  <c r="H126" i="21" s="1"/>
  <c r="G84" i="21"/>
  <c r="F84" i="21"/>
  <c r="E84" i="21"/>
  <c r="E126" i="21" s="1"/>
  <c r="D84" i="21"/>
  <c r="K83" i="21"/>
  <c r="K125" i="21" s="1"/>
  <c r="J83" i="21"/>
  <c r="I83" i="21"/>
  <c r="H83" i="21"/>
  <c r="H125" i="21" s="1"/>
  <c r="G83" i="21"/>
  <c r="F83" i="21"/>
  <c r="E83" i="21"/>
  <c r="D83" i="21"/>
  <c r="K82" i="21"/>
  <c r="K124" i="21" s="1"/>
  <c r="J82" i="21"/>
  <c r="J124" i="21" s="1"/>
  <c r="I82" i="21"/>
  <c r="I124" i="21" s="1"/>
  <c r="H82" i="21"/>
  <c r="G82" i="21"/>
  <c r="G124" i="21" s="1"/>
  <c r="F82" i="21"/>
  <c r="F124" i="21" s="1"/>
  <c r="E82" i="21"/>
  <c r="D82" i="21"/>
  <c r="K81" i="21"/>
  <c r="K123" i="21" s="1"/>
  <c r="J81" i="21"/>
  <c r="I81" i="21"/>
  <c r="H81" i="21"/>
  <c r="H123" i="21" s="1"/>
  <c r="G81" i="21"/>
  <c r="F81" i="21"/>
  <c r="E81" i="21"/>
  <c r="D81" i="21"/>
  <c r="K80" i="21"/>
  <c r="J80" i="21"/>
  <c r="J122" i="21" s="1"/>
  <c r="I80" i="21"/>
  <c r="I122" i="21" s="1"/>
  <c r="H80" i="21"/>
  <c r="H122" i="21" s="1"/>
  <c r="G80" i="21"/>
  <c r="F80" i="21"/>
  <c r="F122" i="21" s="1"/>
  <c r="E80" i="21"/>
  <c r="E122" i="21" s="1"/>
  <c r="D80" i="21"/>
  <c r="D122" i="21" s="1"/>
  <c r="K79" i="21"/>
  <c r="K121" i="21" s="1"/>
  <c r="J79" i="21"/>
  <c r="I79" i="21"/>
  <c r="H79" i="21"/>
  <c r="H121" i="21" s="1"/>
  <c r="G79" i="21"/>
  <c r="G121" i="21" s="1"/>
  <c r="F79" i="21"/>
  <c r="E79" i="21"/>
  <c r="D79" i="21"/>
  <c r="K78" i="21"/>
  <c r="J78" i="21"/>
  <c r="J120" i="21" s="1"/>
  <c r="I78" i="21"/>
  <c r="I120" i="21" s="1"/>
  <c r="H78" i="21"/>
  <c r="G78" i="21"/>
  <c r="G120" i="21" s="1"/>
  <c r="F78" i="21"/>
  <c r="E78" i="21"/>
  <c r="D78" i="21"/>
  <c r="K77" i="21"/>
  <c r="K119" i="21" s="1"/>
  <c r="J77" i="21"/>
  <c r="I77" i="21"/>
  <c r="H77" i="21"/>
  <c r="H119" i="21" s="1"/>
  <c r="G77" i="21"/>
  <c r="F77" i="21"/>
  <c r="E77" i="21"/>
  <c r="E119" i="21" s="1"/>
  <c r="D77" i="21"/>
  <c r="D119" i="21" s="1"/>
  <c r="K76" i="21"/>
  <c r="J76" i="21"/>
  <c r="J118" i="21" s="1"/>
  <c r="I76" i="21"/>
  <c r="I118" i="21" s="1"/>
  <c r="H76" i="21"/>
  <c r="G76" i="21"/>
  <c r="F76" i="21"/>
  <c r="E76" i="21"/>
  <c r="E118" i="21" s="1"/>
  <c r="D76" i="21"/>
  <c r="K75" i="21"/>
  <c r="K117" i="21" s="1"/>
  <c r="J75" i="21"/>
  <c r="I75" i="21"/>
  <c r="H75" i="21"/>
  <c r="H117" i="21" s="1"/>
  <c r="G75" i="21"/>
  <c r="F75" i="21"/>
  <c r="E75" i="21"/>
  <c r="D75" i="21"/>
  <c r="K74" i="21"/>
  <c r="K116" i="21" s="1"/>
  <c r="J74" i="21"/>
  <c r="J116" i="21" s="1"/>
  <c r="I74" i="21"/>
  <c r="I116" i="21" s="1"/>
  <c r="H74" i="21"/>
  <c r="G74" i="21"/>
  <c r="G116" i="21" s="1"/>
  <c r="F74" i="21"/>
  <c r="F116" i="21" s="1"/>
  <c r="E74" i="21"/>
  <c r="D74" i="21"/>
  <c r="K73" i="21"/>
  <c r="K115" i="21" s="1"/>
  <c r="J73" i="21"/>
  <c r="I73" i="21"/>
  <c r="H73" i="21"/>
  <c r="H115" i="21" s="1"/>
  <c r="G73" i="21"/>
  <c r="G115" i="21" s="1"/>
  <c r="F73" i="21"/>
  <c r="E73" i="21"/>
  <c r="E115" i="21" s="1"/>
  <c r="D73" i="21"/>
  <c r="K72" i="21"/>
  <c r="J72" i="21"/>
  <c r="J114" i="21" s="1"/>
  <c r="I72" i="21"/>
  <c r="I114" i="21" s="1"/>
  <c r="H72" i="21"/>
  <c r="G72" i="21"/>
  <c r="F72" i="21"/>
  <c r="F114" i="21" s="1"/>
  <c r="E72" i="21"/>
  <c r="E114" i="21" s="1"/>
  <c r="D72" i="21"/>
  <c r="D114" i="21" s="1"/>
  <c r="K71" i="21"/>
  <c r="K113" i="21" s="1"/>
  <c r="J71" i="21"/>
  <c r="I71" i="21"/>
  <c r="H71" i="21"/>
  <c r="H113" i="21" s="1"/>
  <c r="G71" i="21"/>
  <c r="F71" i="21"/>
  <c r="E71" i="21"/>
  <c r="D71" i="21"/>
  <c r="K70" i="21"/>
  <c r="J70" i="21"/>
  <c r="J112" i="21" s="1"/>
  <c r="I70" i="21"/>
  <c r="I112" i="21" s="1"/>
  <c r="H70" i="21"/>
  <c r="H112" i="21" s="1"/>
  <c r="G70" i="21"/>
  <c r="G112" i="21" s="1"/>
  <c r="F70" i="21"/>
  <c r="E70" i="21"/>
  <c r="D70" i="21"/>
  <c r="K69" i="21"/>
  <c r="K111" i="21" s="1"/>
  <c r="J69" i="21"/>
  <c r="I69" i="21"/>
  <c r="H69" i="21"/>
  <c r="H111" i="21" s="1"/>
  <c r="G69" i="21"/>
  <c r="F69" i="21"/>
  <c r="E69" i="21"/>
  <c r="E111" i="21" s="1"/>
  <c r="D69" i="21"/>
  <c r="D111" i="21" s="1"/>
  <c r="K68" i="21"/>
  <c r="J68" i="21"/>
  <c r="J110" i="21" s="1"/>
  <c r="I68" i="21"/>
  <c r="I110" i="21" s="1"/>
  <c r="H68" i="21"/>
  <c r="G68" i="21"/>
  <c r="F68" i="21"/>
  <c r="E68" i="21"/>
  <c r="E110" i="21" s="1"/>
  <c r="D68" i="21"/>
  <c r="K67" i="21"/>
  <c r="K109" i="21" s="1"/>
  <c r="J67" i="21"/>
  <c r="I67" i="21"/>
  <c r="H67" i="21"/>
  <c r="H109" i="21" s="1"/>
  <c r="G67" i="21"/>
  <c r="F67" i="21"/>
  <c r="E67" i="21"/>
  <c r="D67" i="21"/>
  <c r="K66" i="21"/>
  <c r="K108" i="21" s="1"/>
  <c r="J66" i="21"/>
  <c r="J108" i="21" s="1"/>
  <c r="I66" i="21"/>
  <c r="I108" i="21" s="1"/>
  <c r="H66" i="21"/>
  <c r="G66" i="21"/>
  <c r="G108" i="21" s="1"/>
  <c r="F66" i="21"/>
  <c r="F108" i="21" s="1"/>
  <c r="E66" i="21"/>
  <c r="D66" i="21"/>
  <c r="K65" i="21"/>
  <c r="K107" i="21" s="1"/>
  <c r="J65" i="21"/>
  <c r="I65" i="21"/>
  <c r="H65" i="21"/>
  <c r="H107" i="21" s="1"/>
  <c r="G65" i="21"/>
  <c r="G107" i="21" s="1"/>
  <c r="F65" i="21"/>
  <c r="E65" i="21"/>
  <c r="E107" i="21" s="1"/>
  <c r="D65" i="21"/>
  <c r="K64" i="21"/>
  <c r="J64" i="21"/>
  <c r="J106" i="21" s="1"/>
  <c r="I64" i="21"/>
  <c r="I106" i="21" s="1"/>
  <c r="H64" i="21"/>
  <c r="G64" i="21"/>
  <c r="F64" i="21"/>
  <c r="F106" i="21" s="1"/>
  <c r="E64" i="21"/>
  <c r="E106" i="21" s="1"/>
  <c r="D64" i="21"/>
  <c r="D106" i="21" s="1"/>
  <c r="K63" i="21"/>
  <c r="K105" i="21" s="1"/>
  <c r="J63" i="21"/>
  <c r="I63" i="21"/>
  <c r="H63" i="21"/>
  <c r="H105" i="21" s="1"/>
  <c r="G63" i="21"/>
  <c r="F63" i="21"/>
  <c r="E63" i="21"/>
  <c r="D63" i="21"/>
  <c r="K62" i="21"/>
  <c r="J62" i="21"/>
  <c r="J104" i="21" s="1"/>
  <c r="I62" i="21"/>
  <c r="I104" i="21" s="1"/>
  <c r="H62" i="21"/>
  <c r="H104" i="21" s="1"/>
  <c r="G62" i="21"/>
  <c r="G104" i="21" s="1"/>
  <c r="F62" i="21"/>
  <c r="E62" i="21"/>
  <c r="D62" i="21"/>
  <c r="K61" i="21"/>
  <c r="K103" i="21" s="1"/>
  <c r="J61" i="21"/>
  <c r="I61" i="21"/>
  <c r="H61" i="21"/>
  <c r="H103" i="21" s="1"/>
  <c r="G61" i="21"/>
  <c r="F61" i="21"/>
  <c r="E61" i="21"/>
  <c r="E103" i="21" s="1"/>
  <c r="D61" i="21"/>
  <c r="D103" i="21" s="1"/>
  <c r="K60" i="21"/>
  <c r="J60" i="21"/>
  <c r="J102" i="21" s="1"/>
  <c r="I60" i="21"/>
  <c r="I102" i="21" s="1"/>
  <c r="H60" i="21"/>
  <c r="H102" i="21" s="1"/>
  <c r="G60" i="21"/>
  <c r="F60" i="21"/>
  <c r="E60" i="21"/>
  <c r="E102" i="21" s="1"/>
  <c r="D60" i="21"/>
  <c r="K59" i="21"/>
  <c r="J59" i="21"/>
  <c r="I59" i="21"/>
  <c r="H59" i="21"/>
  <c r="H101" i="21" s="1"/>
  <c r="G59" i="21"/>
  <c r="F59" i="21"/>
  <c r="E59" i="21"/>
  <c r="D59" i="21"/>
  <c r="K58" i="21"/>
  <c r="K100" i="21" s="1"/>
  <c r="J58" i="21"/>
  <c r="I58" i="21"/>
  <c r="I100" i="21" s="1"/>
  <c r="H58" i="21"/>
  <c r="G58" i="21"/>
  <c r="G89" i="21" s="1"/>
  <c r="F58" i="21"/>
  <c r="F89" i="21" s="1"/>
  <c r="E58" i="21"/>
  <c r="E89" i="21" s="1"/>
  <c r="D58" i="21"/>
  <c r="D89" i="21" s="1"/>
  <c r="C47" i="21"/>
  <c r="K46" i="21"/>
  <c r="K45" i="21"/>
  <c r="J45" i="21"/>
  <c r="I45" i="21"/>
  <c r="H45" i="21"/>
  <c r="G45" i="21"/>
  <c r="F45" i="21"/>
  <c r="E45" i="21"/>
  <c r="D45" i="21"/>
  <c r="K44" i="21"/>
  <c r="J44" i="21"/>
  <c r="I44" i="21"/>
  <c r="H44" i="21"/>
  <c r="G44" i="21"/>
  <c r="F44" i="21"/>
  <c r="F296" i="21" s="1"/>
  <c r="E44" i="21"/>
  <c r="E296" i="21" s="1"/>
  <c r="D44" i="21"/>
  <c r="D129" i="21" s="1"/>
  <c r="K43" i="21"/>
  <c r="J43" i="21"/>
  <c r="I43" i="21"/>
  <c r="H43" i="21"/>
  <c r="G43" i="21"/>
  <c r="F43" i="21"/>
  <c r="E43" i="21"/>
  <c r="E295" i="21" s="1"/>
  <c r="D43" i="21"/>
  <c r="D128" i="21" s="1"/>
  <c r="K42" i="21"/>
  <c r="J42" i="21"/>
  <c r="I42" i="21"/>
  <c r="H42" i="21"/>
  <c r="G42" i="21"/>
  <c r="G294" i="21" s="1"/>
  <c r="F42" i="21"/>
  <c r="F294" i="21" s="1"/>
  <c r="E42" i="21"/>
  <c r="E294" i="21" s="1"/>
  <c r="D42" i="21"/>
  <c r="K41" i="21"/>
  <c r="J41" i="21"/>
  <c r="I41" i="21"/>
  <c r="H41" i="21"/>
  <c r="G41" i="21"/>
  <c r="F41" i="21"/>
  <c r="E41" i="21"/>
  <c r="D41" i="21"/>
  <c r="K40" i="21"/>
  <c r="J40" i="21"/>
  <c r="I40" i="21"/>
  <c r="H40" i="21"/>
  <c r="G40" i="21"/>
  <c r="F40" i="21"/>
  <c r="E40" i="21"/>
  <c r="E292" i="21" s="1"/>
  <c r="D40" i="21"/>
  <c r="D125" i="21" s="1"/>
  <c r="K39" i="21"/>
  <c r="J39" i="21"/>
  <c r="I39" i="21"/>
  <c r="H39" i="21"/>
  <c r="H208" i="21" s="1"/>
  <c r="G39" i="21"/>
  <c r="G291" i="21" s="1"/>
  <c r="F39" i="21"/>
  <c r="E39" i="21"/>
  <c r="E291" i="21" s="1"/>
  <c r="D39" i="21"/>
  <c r="D291" i="21" s="1"/>
  <c r="K38" i="21"/>
  <c r="J38" i="21"/>
  <c r="I38" i="21"/>
  <c r="H38" i="21"/>
  <c r="G38" i="21"/>
  <c r="F38" i="21"/>
  <c r="F123" i="21" s="1"/>
  <c r="E38" i="21"/>
  <c r="E123" i="21" s="1"/>
  <c r="D38" i="21"/>
  <c r="K37" i="21"/>
  <c r="J37" i="21"/>
  <c r="I37" i="21"/>
  <c r="H37" i="21"/>
  <c r="G37" i="21"/>
  <c r="F37" i="21"/>
  <c r="E37" i="21"/>
  <c r="D37" i="21"/>
  <c r="K36" i="21"/>
  <c r="J36" i="21"/>
  <c r="I36" i="21"/>
  <c r="H36" i="21"/>
  <c r="G36" i="21"/>
  <c r="F36" i="21"/>
  <c r="E36" i="21"/>
  <c r="D36" i="21"/>
  <c r="D288" i="21" s="1"/>
  <c r="K35" i="21"/>
  <c r="J35" i="21"/>
  <c r="I35" i="21"/>
  <c r="H35" i="21"/>
  <c r="G35" i="21"/>
  <c r="G204" i="21" s="1"/>
  <c r="F35" i="21"/>
  <c r="E35" i="21"/>
  <c r="E287" i="21" s="1"/>
  <c r="D35" i="21"/>
  <c r="D287" i="21" s="1"/>
  <c r="K34" i="21"/>
  <c r="J34" i="21"/>
  <c r="I34" i="21"/>
  <c r="H34" i="21"/>
  <c r="G34" i="21"/>
  <c r="F34" i="21"/>
  <c r="F119" i="21" s="1"/>
  <c r="E34" i="21"/>
  <c r="D34" i="21"/>
  <c r="K33" i="21"/>
  <c r="J33" i="21"/>
  <c r="I33" i="21"/>
  <c r="H33" i="21"/>
  <c r="H285" i="21" s="1"/>
  <c r="G33" i="21"/>
  <c r="F33" i="21"/>
  <c r="E33" i="21"/>
  <c r="E285" i="21" s="1"/>
  <c r="D33" i="21"/>
  <c r="D285" i="21" s="1"/>
  <c r="K32" i="21"/>
  <c r="J32" i="21"/>
  <c r="I32" i="21"/>
  <c r="H32" i="21"/>
  <c r="G32" i="21"/>
  <c r="F32" i="21"/>
  <c r="F117" i="21" s="1"/>
  <c r="E32" i="21"/>
  <c r="E117" i="21" s="1"/>
  <c r="D32" i="21"/>
  <c r="D117" i="21" s="1"/>
  <c r="K31" i="21"/>
  <c r="J31" i="21"/>
  <c r="I31" i="21"/>
  <c r="H31" i="21"/>
  <c r="H200" i="21" s="1"/>
  <c r="G31" i="21"/>
  <c r="G200" i="21" s="1"/>
  <c r="F31" i="21"/>
  <c r="E31" i="21"/>
  <c r="D31" i="21"/>
  <c r="K30" i="21"/>
  <c r="J30" i="21"/>
  <c r="I30" i="21"/>
  <c r="H30" i="21"/>
  <c r="G30" i="21"/>
  <c r="F30" i="21"/>
  <c r="E30" i="21"/>
  <c r="D30" i="21"/>
  <c r="K29" i="21"/>
  <c r="J29" i="21"/>
  <c r="I29" i="21"/>
  <c r="I281" i="21" s="1"/>
  <c r="H29" i="21"/>
  <c r="G29" i="21"/>
  <c r="F29" i="21"/>
  <c r="E29" i="21"/>
  <c r="E281" i="21" s="1"/>
  <c r="D29" i="21"/>
  <c r="K28" i="21"/>
  <c r="J28" i="21"/>
  <c r="I28" i="21"/>
  <c r="H28" i="21"/>
  <c r="G28" i="21"/>
  <c r="F28" i="21"/>
  <c r="E28" i="21"/>
  <c r="E280" i="21" s="1"/>
  <c r="D28" i="21"/>
  <c r="D113" i="21" s="1"/>
  <c r="K27" i="21"/>
  <c r="J27" i="21"/>
  <c r="I27" i="21"/>
  <c r="H27" i="21"/>
  <c r="G27" i="21"/>
  <c r="F27" i="21"/>
  <c r="E27" i="21"/>
  <c r="D27" i="21"/>
  <c r="K26" i="21"/>
  <c r="J26" i="21"/>
  <c r="I26" i="21"/>
  <c r="H26" i="21"/>
  <c r="G26" i="21"/>
  <c r="F26" i="21"/>
  <c r="E26" i="21"/>
  <c r="E278" i="21" s="1"/>
  <c r="D26" i="21"/>
  <c r="K25" i="21"/>
  <c r="J25" i="21"/>
  <c r="I25" i="21"/>
  <c r="H25" i="21"/>
  <c r="G25" i="21"/>
  <c r="F25" i="21"/>
  <c r="E25" i="21"/>
  <c r="E277" i="21" s="1"/>
  <c r="D25" i="21"/>
  <c r="D277" i="21" s="1"/>
  <c r="K24" i="21"/>
  <c r="J24" i="21"/>
  <c r="I24" i="21"/>
  <c r="H24" i="21"/>
  <c r="G24" i="21"/>
  <c r="F24" i="21"/>
  <c r="E24" i="21"/>
  <c r="E276" i="21" s="1"/>
  <c r="D24" i="21"/>
  <c r="D109" i="21" s="1"/>
  <c r="K23" i="21"/>
  <c r="J23" i="21"/>
  <c r="I23" i="21"/>
  <c r="H23" i="21"/>
  <c r="G23" i="21"/>
  <c r="G192" i="21" s="1"/>
  <c r="F23" i="21"/>
  <c r="E23" i="21"/>
  <c r="E275" i="21" s="1"/>
  <c r="D23" i="21"/>
  <c r="D275" i="21" s="1"/>
  <c r="K22" i="21"/>
  <c r="J22" i="21"/>
  <c r="I22" i="21"/>
  <c r="H22" i="21"/>
  <c r="G22" i="21"/>
  <c r="F22" i="21"/>
  <c r="E22" i="21"/>
  <c r="D22" i="21"/>
  <c r="K21" i="21"/>
  <c r="J21" i="21"/>
  <c r="I21" i="21"/>
  <c r="H21" i="21"/>
  <c r="H190" i="21" s="1"/>
  <c r="G21" i="21"/>
  <c r="F21" i="21"/>
  <c r="F273" i="21" s="1"/>
  <c r="E21" i="21"/>
  <c r="E273" i="21" s="1"/>
  <c r="D21" i="21"/>
  <c r="D273" i="21" s="1"/>
  <c r="K20" i="21"/>
  <c r="J20" i="21"/>
  <c r="I20" i="21"/>
  <c r="H20" i="21"/>
  <c r="G20" i="21"/>
  <c r="F20" i="21"/>
  <c r="E20" i="21"/>
  <c r="E105" i="21" s="1"/>
  <c r="D20" i="21"/>
  <c r="D105" i="21" s="1"/>
  <c r="K19" i="21"/>
  <c r="J19" i="21"/>
  <c r="I19" i="21"/>
  <c r="H19" i="21"/>
  <c r="G19" i="21"/>
  <c r="F19" i="21"/>
  <c r="E19" i="21"/>
  <c r="D19" i="21"/>
  <c r="K18" i="21"/>
  <c r="J18" i="21"/>
  <c r="I18" i="21"/>
  <c r="H18" i="21"/>
  <c r="G18" i="21"/>
  <c r="F18" i="21"/>
  <c r="F103" i="21" s="1"/>
  <c r="E18" i="21"/>
  <c r="E270" i="21" s="1"/>
  <c r="D18" i="21"/>
  <c r="K17" i="21"/>
  <c r="J17" i="21"/>
  <c r="I17" i="21"/>
  <c r="H17" i="21"/>
  <c r="G17" i="21"/>
  <c r="F17" i="21"/>
  <c r="E17" i="21"/>
  <c r="D17" i="21"/>
  <c r="K16" i="21"/>
  <c r="J16" i="21"/>
  <c r="I16" i="21"/>
  <c r="H16" i="21"/>
  <c r="G16" i="21"/>
  <c r="F16" i="21"/>
  <c r="E16" i="21"/>
  <c r="E101" i="21" s="1"/>
  <c r="D16" i="21"/>
  <c r="D101" i="21" s="1"/>
  <c r="K15" i="21"/>
  <c r="J15" i="21"/>
  <c r="J46" i="21" s="1"/>
  <c r="I15" i="21"/>
  <c r="I46" i="21" s="1"/>
  <c r="H15" i="21"/>
  <c r="G15" i="21"/>
  <c r="F15" i="21"/>
  <c r="E15" i="21"/>
  <c r="E46" i="21" s="1"/>
  <c r="D15" i="21"/>
  <c r="D46" i="21" s="1"/>
  <c r="U275" i="20"/>
  <c r="T275" i="20"/>
  <c r="R275" i="20"/>
  <c r="M275" i="20"/>
  <c r="L275" i="20"/>
  <c r="I274" i="20"/>
  <c r="I273" i="20"/>
  <c r="U272" i="20"/>
  <c r="S272" i="20"/>
  <c r="R272" i="20"/>
  <c r="N272" i="20"/>
  <c r="M272" i="20"/>
  <c r="E272" i="20"/>
  <c r="D272" i="20"/>
  <c r="U269" i="20"/>
  <c r="G269" i="20"/>
  <c r="Q268" i="20"/>
  <c r="P268" i="20"/>
  <c r="O268" i="20"/>
  <c r="N268" i="20"/>
  <c r="I268" i="20"/>
  <c r="H268" i="20"/>
  <c r="G268" i="20"/>
  <c r="D268" i="20"/>
  <c r="T267" i="20"/>
  <c r="Q267" i="20"/>
  <c r="N267" i="20"/>
  <c r="L267" i="20"/>
  <c r="J267" i="20"/>
  <c r="D267" i="20"/>
  <c r="D265" i="20"/>
  <c r="U264" i="20"/>
  <c r="V262" i="20"/>
  <c r="S262" i="20"/>
  <c r="L262" i="20"/>
  <c r="L261" i="20"/>
  <c r="V259" i="20"/>
  <c r="U259" i="20"/>
  <c r="T259" i="20"/>
  <c r="S259" i="20"/>
  <c r="R259" i="20"/>
  <c r="Q259" i="20"/>
  <c r="P259" i="20"/>
  <c r="O259" i="20"/>
  <c r="N259" i="20"/>
  <c r="M259" i="20"/>
  <c r="L259" i="20"/>
  <c r="K259" i="20"/>
  <c r="J259" i="20"/>
  <c r="I259" i="20"/>
  <c r="H259" i="20"/>
  <c r="G259" i="20"/>
  <c r="F259" i="20"/>
  <c r="E259" i="20"/>
  <c r="D259" i="20"/>
  <c r="U258" i="20"/>
  <c r="E258" i="20"/>
  <c r="U257" i="20"/>
  <c r="K256" i="20"/>
  <c r="V254" i="20"/>
  <c r="U254" i="20"/>
  <c r="T254" i="20"/>
  <c r="Q254" i="20"/>
  <c r="T253" i="20"/>
  <c r="D253" i="20"/>
  <c r="H252" i="20"/>
  <c r="G252" i="20"/>
  <c r="U251" i="20"/>
  <c r="S251" i="20"/>
  <c r="R251" i="20"/>
  <c r="Q251" i="20"/>
  <c r="O251" i="20"/>
  <c r="E251" i="20"/>
  <c r="U249" i="20"/>
  <c r="R249" i="20"/>
  <c r="M249" i="20"/>
  <c r="F248" i="20"/>
  <c r="F247" i="20"/>
  <c r="V236" i="20"/>
  <c r="V275" i="20" s="1"/>
  <c r="U236" i="20"/>
  <c r="T236" i="20"/>
  <c r="S236" i="20"/>
  <c r="S275" i="20" s="1"/>
  <c r="R236" i="20"/>
  <c r="Q236" i="20"/>
  <c r="Q275" i="20" s="1"/>
  <c r="P236" i="20"/>
  <c r="P275" i="20" s="1"/>
  <c r="O236" i="20"/>
  <c r="O275" i="20" s="1"/>
  <c r="N236" i="20"/>
  <c r="N275" i="20" s="1"/>
  <c r="M236" i="20"/>
  <c r="L236" i="20"/>
  <c r="K236" i="20"/>
  <c r="J236" i="20"/>
  <c r="I236" i="20"/>
  <c r="H236" i="20"/>
  <c r="H275" i="20" s="1"/>
  <c r="G236" i="20"/>
  <c r="F236" i="20"/>
  <c r="F275" i="20" s="1"/>
  <c r="E236" i="20"/>
  <c r="E275" i="20" s="1"/>
  <c r="D236" i="20"/>
  <c r="V235" i="20"/>
  <c r="V274" i="20" s="1"/>
  <c r="U235" i="20"/>
  <c r="T235" i="20"/>
  <c r="S235" i="20"/>
  <c r="R235" i="20"/>
  <c r="Q235" i="20"/>
  <c r="Q274" i="20" s="1"/>
  <c r="P235" i="20"/>
  <c r="O235" i="20"/>
  <c r="N235" i="20"/>
  <c r="M235" i="20"/>
  <c r="L235" i="20"/>
  <c r="K235" i="20"/>
  <c r="K274" i="20" s="1"/>
  <c r="J235" i="20"/>
  <c r="I235" i="20"/>
  <c r="H235" i="20"/>
  <c r="H274" i="20" s="1"/>
  <c r="G235" i="20"/>
  <c r="F235" i="20"/>
  <c r="E235" i="20"/>
  <c r="D235" i="20"/>
  <c r="V234" i="20"/>
  <c r="U234" i="20"/>
  <c r="T234" i="20"/>
  <c r="T273" i="20" s="1"/>
  <c r="S234" i="20"/>
  <c r="R234" i="20"/>
  <c r="Q234" i="20"/>
  <c r="P234" i="20"/>
  <c r="O234" i="20"/>
  <c r="N234" i="20"/>
  <c r="N273" i="20" s="1"/>
  <c r="M234" i="20"/>
  <c r="L234" i="20"/>
  <c r="L273" i="20" s="1"/>
  <c r="K234" i="20"/>
  <c r="K273" i="20" s="1"/>
  <c r="J234" i="20"/>
  <c r="I234" i="20"/>
  <c r="H234" i="20"/>
  <c r="G234" i="20"/>
  <c r="F234" i="20"/>
  <c r="E234" i="20"/>
  <c r="D234" i="20"/>
  <c r="D273" i="20" s="1"/>
  <c r="V233" i="20"/>
  <c r="V272" i="20" s="1"/>
  <c r="U233" i="20"/>
  <c r="T233" i="20"/>
  <c r="T272" i="20" s="1"/>
  <c r="S233" i="20"/>
  <c r="R233" i="20"/>
  <c r="Q233" i="20"/>
  <c r="Q272" i="20" s="1"/>
  <c r="P233" i="20"/>
  <c r="P272" i="20" s="1"/>
  <c r="O233" i="20"/>
  <c r="O272" i="20" s="1"/>
  <c r="N233" i="20"/>
  <c r="M233" i="20"/>
  <c r="L233" i="20"/>
  <c r="L272" i="20" s="1"/>
  <c r="K233" i="20"/>
  <c r="K272" i="20" s="1"/>
  <c r="J233" i="20"/>
  <c r="J272" i="20" s="1"/>
  <c r="I233" i="20"/>
  <c r="I272" i="20" s="1"/>
  <c r="H233" i="20"/>
  <c r="H272" i="20" s="1"/>
  <c r="G233" i="20"/>
  <c r="G272" i="20" s="1"/>
  <c r="F233" i="20"/>
  <c r="F272" i="20" s="1"/>
  <c r="E233" i="20"/>
  <c r="D233" i="20"/>
  <c r="V232" i="20"/>
  <c r="U232" i="20"/>
  <c r="T232" i="20"/>
  <c r="T271" i="20" s="1"/>
  <c r="S232" i="20"/>
  <c r="R232" i="20"/>
  <c r="R271" i="20" s="1"/>
  <c r="Q232" i="20"/>
  <c r="Q271" i="20" s="1"/>
  <c r="P232" i="20"/>
  <c r="O232" i="20"/>
  <c r="O271" i="20" s="1"/>
  <c r="N232" i="20"/>
  <c r="M232" i="20"/>
  <c r="L232" i="20"/>
  <c r="K232" i="20"/>
  <c r="J232" i="20"/>
  <c r="J271" i="20" s="1"/>
  <c r="I232" i="20"/>
  <c r="H232" i="20"/>
  <c r="G232" i="20"/>
  <c r="F232" i="20"/>
  <c r="E232" i="20"/>
  <c r="D232" i="20"/>
  <c r="D271" i="20" s="1"/>
  <c r="V231" i="20"/>
  <c r="U231" i="20"/>
  <c r="U270" i="20" s="1"/>
  <c r="T231" i="20"/>
  <c r="T270" i="20" s="1"/>
  <c r="S231" i="20"/>
  <c r="R231" i="20"/>
  <c r="Q231" i="20"/>
  <c r="P231" i="20"/>
  <c r="O231" i="20"/>
  <c r="N231" i="20"/>
  <c r="M231" i="20"/>
  <c r="M270" i="20" s="1"/>
  <c r="L231" i="20"/>
  <c r="K231" i="20"/>
  <c r="J231" i="20"/>
  <c r="I231" i="20"/>
  <c r="H231" i="20"/>
  <c r="G231" i="20"/>
  <c r="G270" i="20" s="1"/>
  <c r="F231" i="20"/>
  <c r="E231" i="20"/>
  <c r="E270" i="20" s="1"/>
  <c r="D231" i="20"/>
  <c r="D270" i="20" s="1"/>
  <c r="V230" i="20"/>
  <c r="U230" i="20"/>
  <c r="T230" i="20"/>
  <c r="S230" i="20"/>
  <c r="R230" i="20"/>
  <c r="Q230" i="20"/>
  <c r="P230" i="20"/>
  <c r="P269" i="20" s="1"/>
  <c r="O230" i="20"/>
  <c r="N230" i="20"/>
  <c r="M230" i="20"/>
  <c r="L230" i="20"/>
  <c r="K230" i="20"/>
  <c r="J230" i="20"/>
  <c r="J269" i="20" s="1"/>
  <c r="I230" i="20"/>
  <c r="H230" i="20"/>
  <c r="H269" i="20" s="1"/>
  <c r="G230" i="20"/>
  <c r="F230" i="20"/>
  <c r="E230" i="20"/>
  <c r="D230" i="20"/>
  <c r="D269" i="20" s="1"/>
  <c r="V229" i="20"/>
  <c r="V268" i="20" s="1"/>
  <c r="U229" i="20"/>
  <c r="U268" i="20" s="1"/>
  <c r="T229" i="20"/>
  <c r="T268" i="20" s="1"/>
  <c r="S229" i="20"/>
  <c r="S268" i="20" s="1"/>
  <c r="R229" i="20"/>
  <c r="R268" i="20" s="1"/>
  <c r="Q229" i="20"/>
  <c r="P229" i="20"/>
  <c r="O229" i="20"/>
  <c r="N229" i="20"/>
  <c r="M229" i="20"/>
  <c r="M268" i="20" s="1"/>
  <c r="L229" i="20"/>
  <c r="L268" i="20" s="1"/>
  <c r="K229" i="20"/>
  <c r="K268" i="20" s="1"/>
  <c r="J229" i="20"/>
  <c r="J268" i="20" s="1"/>
  <c r="I229" i="20"/>
  <c r="H229" i="20"/>
  <c r="G229" i="20"/>
  <c r="F229" i="20"/>
  <c r="F268" i="20" s="1"/>
  <c r="E229" i="20"/>
  <c r="E268" i="20" s="1"/>
  <c r="D229" i="20"/>
  <c r="V228" i="20"/>
  <c r="V267" i="20" s="1"/>
  <c r="U228" i="20"/>
  <c r="U267" i="20" s="1"/>
  <c r="T228" i="20"/>
  <c r="S228" i="20"/>
  <c r="S267" i="20" s="1"/>
  <c r="R228" i="20"/>
  <c r="R267" i="20" s="1"/>
  <c r="Q228" i="20"/>
  <c r="P228" i="20"/>
  <c r="P267" i="20" s="1"/>
  <c r="O228" i="20"/>
  <c r="O267" i="20" s="1"/>
  <c r="N228" i="20"/>
  <c r="M228" i="20"/>
  <c r="M267" i="20" s="1"/>
  <c r="L228" i="20"/>
  <c r="K228" i="20"/>
  <c r="K267" i="20" s="1"/>
  <c r="J228" i="20"/>
  <c r="I228" i="20"/>
  <c r="I267" i="20" s="1"/>
  <c r="H228" i="20"/>
  <c r="H267" i="20" s="1"/>
  <c r="G228" i="20"/>
  <c r="G267" i="20" s="1"/>
  <c r="F228" i="20"/>
  <c r="F267" i="20" s="1"/>
  <c r="E228" i="20"/>
  <c r="E267" i="20" s="1"/>
  <c r="D228" i="20"/>
  <c r="V227" i="20"/>
  <c r="U227" i="20"/>
  <c r="T227" i="20"/>
  <c r="S227" i="20"/>
  <c r="S266" i="20" s="1"/>
  <c r="R227" i="20"/>
  <c r="Q227" i="20"/>
  <c r="Q266" i="20" s="1"/>
  <c r="P227" i="20"/>
  <c r="P266" i="20" s="1"/>
  <c r="O227" i="20"/>
  <c r="N227" i="20"/>
  <c r="N266" i="20" s="1"/>
  <c r="M227" i="20"/>
  <c r="L227" i="20"/>
  <c r="K227" i="20"/>
  <c r="J227" i="20"/>
  <c r="I227" i="20"/>
  <c r="I266" i="20" s="1"/>
  <c r="H227" i="20"/>
  <c r="G227" i="20"/>
  <c r="F227" i="20"/>
  <c r="E227" i="20"/>
  <c r="D227" i="20"/>
  <c r="V226" i="20"/>
  <c r="V265" i="20" s="1"/>
  <c r="U226" i="20"/>
  <c r="T226" i="20"/>
  <c r="T265" i="20" s="1"/>
  <c r="S226" i="20"/>
  <c r="S265" i="20" s="1"/>
  <c r="R226" i="20"/>
  <c r="Q226" i="20"/>
  <c r="P226" i="20"/>
  <c r="P265" i="20" s="1"/>
  <c r="O226" i="20"/>
  <c r="N226" i="20"/>
  <c r="M226" i="20"/>
  <c r="L226" i="20"/>
  <c r="L265" i="20" s="1"/>
  <c r="K226" i="20"/>
  <c r="J226" i="20"/>
  <c r="I226" i="20"/>
  <c r="H226" i="20"/>
  <c r="G226" i="20"/>
  <c r="F226" i="20"/>
  <c r="F265" i="20" s="1"/>
  <c r="E226" i="20"/>
  <c r="D226" i="20"/>
  <c r="V225" i="20"/>
  <c r="V264" i="20" s="1"/>
  <c r="U225" i="20"/>
  <c r="T225" i="20"/>
  <c r="S225" i="20"/>
  <c r="S264" i="20" s="1"/>
  <c r="R225" i="20"/>
  <c r="Q225" i="20"/>
  <c r="P225" i="20"/>
  <c r="O225" i="20"/>
  <c r="O264" i="20" s="1"/>
  <c r="N225" i="20"/>
  <c r="M225" i="20"/>
  <c r="L225" i="20"/>
  <c r="K225" i="20"/>
  <c r="J225" i="20"/>
  <c r="I225" i="20"/>
  <c r="I264" i="20" s="1"/>
  <c r="H225" i="20"/>
  <c r="G225" i="20"/>
  <c r="G264" i="20" s="1"/>
  <c r="F225" i="20"/>
  <c r="F264" i="20" s="1"/>
  <c r="E225" i="20"/>
  <c r="D225" i="20"/>
  <c r="D264" i="20" s="1"/>
  <c r="V224" i="20"/>
  <c r="U224" i="20"/>
  <c r="T224" i="20"/>
  <c r="S224" i="20"/>
  <c r="R224" i="20"/>
  <c r="R263" i="20" s="1"/>
  <c r="Q224" i="20"/>
  <c r="P224" i="20"/>
  <c r="O224" i="20"/>
  <c r="N224" i="20"/>
  <c r="M224" i="20"/>
  <c r="L224" i="20"/>
  <c r="L263" i="20" s="1"/>
  <c r="K224" i="20"/>
  <c r="J224" i="20"/>
  <c r="J263" i="20" s="1"/>
  <c r="I224" i="20"/>
  <c r="I263" i="20" s="1"/>
  <c r="H224" i="20"/>
  <c r="G224" i="20"/>
  <c r="F224" i="20"/>
  <c r="F263" i="20" s="1"/>
  <c r="E224" i="20"/>
  <c r="D224" i="20"/>
  <c r="V223" i="20"/>
  <c r="U223" i="20"/>
  <c r="U262" i="20" s="1"/>
  <c r="T223" i="20"/>
  <c r="T262" i="20" s="1"/>
  <c r="S223" i="20"/>
  <c r="R223" i="20"/>
  <c r="Q223" i="20"/>
  <c r="P223" i="20"/>
  <c r="O223" i="20"/>
  <c r="O262" i="20" s="1"/>
  <c r="N223" i="20"/>
  <c r="M223" i="20"/>
  <c r="M262" i="20" s="1"/>
  <c r="L223" i="20"/>
  <c r="K223" i="20"/>
  <c r="J223" i="20"/>
  <c r="I223" i="20"/>
  <c r="H223" i="20"/>
  <c r="G223" i="20"/>
  <c r="F223" i="20"/>
  <c r="E223" i="20"/>
  <c r="E262" i="20" s="1"/>
  <c r="D223" i="20"/>
  <c r="V222" i="20"/>
  <c r="U222" i="20"/>
  <c r="T222" i="20"/>
  <c r="S222" i="20"/>
  <c r="R222" i="20"/>
  <c r="R261" i="20" s="1"/>
  <c r="Q222" i="20"/>
  <c r="P222" i="20"/>
  <c r="P261" i="20" s="1"/>
  <c r="O222" i="20"/>
  <c r="O261" i="20" s="1"/>
  <c r="N222" i="20"/>
  <c r="M222" i="20"/>
  <c r="L222" i="20"/>
  <c r="K222" i="20"/>
  <c r="J222" i="20"/>
  <c r="I222" i="20"/>
  <c r="H222" i="20"/>
  <c r="H261" i="20" s="1"/>
  <c r="G222" i="20"/>
  <c r="F222" i="20"/>
  <c r="E222" i="20"/>
  <c r="D222" i="20"/>
  <c r="V221" i="20"/>
  <c r="U221" i="20"/>
  <c r="U260" i="20" s="1"/>
  <c r="T221" i="20"/>
  <c r="S221" i="20"/>
  <c r="S260" i="20" s="1"/>
  <c r="R221" i="20"/>
  <c r="R260" i="20" s="1"/>
  <c r="Q221" i="20"/>
  <c r="P221" i="20"/>
  <c r="O221" i="20"/>
  <c r="O260" i="20" s="1"/>
  <c r="N221" i="20"/>
  <c r="M221" i="20"/>
  <c r="L221" i="20"/>
  <c r="K221" i="20"/>
  <c r="K260" i="20" s="1"/>
  <c r="J221" i="20"/>
  <c r="I221" i="20"/>
  <c r="H221" i="20"/>
  <c r="G221" i="20"/>
  <c r="F221" i="20"/>
  <c r="E221" i="20"/>
  <c r="E260" i="20" s="1"/>
  <c r="D221" i="20"/>
  <c r="R220" i="20"/>
  <c r="V219" i="20"/>
  <c r="V258" i="20" s="1"/>
  <c r="U219" i="20"/>
  <c r="T219" i="20"/>
  <c r="S219" i="20"/>
  <c r="R219" i="20"/>
  <c r="R258" i="20" s="1"/>
  <c r="Q219" i="20"/>
  <c r="P219" i="20"/>
  <c r="O219" i="20"/>
  <c r="O258" i="20" s="1"/>
  <c r="N219" i="20"/>
  <c r="M219" i="20"/>
  <c r="L219" i="20"/>
  <c r="K219" i="20"/>
  <c r="J219" i="20"/>
  <c r="I219" i="20"/>
  <c r="H219" i="20"/>
  <c r="H258" i="20" s="1"/>
  <c r="G219" i="20"/>
  <c r="F219" i="20"/>
  <c r="F258" i="20" s="1"/>
  <c r="E219" i="20"/>
  <c r="D219" i="20"/>
  <c r="V218" i="20"/>
  <c r="U218" i="20"/>
  <c r="T218" i="20"/>
  <c r="S218" i="20"/>
  <c r="R218" i="20"/>
  <c r="R257" i="20" s="1"/>
  <c r="Q218" i="20"/>
  <c r="P218" i="20"/>
  <c r="O218" i="20"/>
  <c r="N218" i="20"/>
  <c r="M218" i="20"/>
  <c r="L218" i="20"/>
  <c r="K218" i="20"/>
  <c r="K257" i="20" s="1"/>
  <c r="J218" i="20"/>
  <c r="I218" i="20"/>
  <c r="I257" i="20" s="1"/>
  <c r="H218" i="20"/>
  <c r="H257" i="20" s="1"/>
  <c r="G218" i="20"/>
  <c r="F218" i="20"/>
  <c r="E218" i="20"/>
  <c r="E257" i="20" s="1"/>
  <c r="D218" i="20"/>
  <c r="V217" i="20"/>
  <c r="U217" i="20"/>
  <c r="U256" i="20" s="1"/>
  <c r="T217" i="20"/>
  <c r="S217" i="20"/>
  <c r="R217" i="20"/>
  <c r="Q217" i="20"/>
  <c r="P217" i="20"/>
  <c r="O217" i="20"/>
  <c r="N217" i="20"/>
  <c r="N256" i="20" s="1"/>
  <c r="M217" i="20"/>
  <c r="L217" i="20"/>
  <c r="L256" i="20" s="1"/>
  <c r="K217" i="20"/>
  <c r="J217" i="20"/>
  <c r="I217" i="20"/>
  <c r="H217" i="20"/>
  <c r="H256" i="20" s="1"/>
  <c r="G217" i="20"/>
  <c r="F217" i="20"/>
  <c r="E217" i="20"/>
  <c r="E256" i="20" s="1"/>
  <c r="D217" i="20"/>
  <c r="V216" i="20"/>
  <c r="U216" i="20"/>
  <c r="T216" i="20"/>
  <c r="S216" i="20"/>
  <c r="R216" i="20"/>
  <c r="Q216" i="20"/>
  <c r="Q255" i="20" s="1"/>
  <c r="P216" i="20"/>
  <c r="O216" i="20"/>
  <c r="O255" i="20" s="1"/>
  <c r="N216" i="20"/>
  <c r="N255" i="20" s="1"/>
  <c r="M216" i="20"/>
  <c r="L216" i="20"/>
  <c r="K216" i="20"/>
  <c r="K255" i="20" s="1"/>
  <c r="J216" i="20"/>
  <c r="I216" i="20"/>
  <c r="H216" i="20"/>
  <c r="H255" i="20" s="1"/>
  <c r="G216" i="20"/>
  <c r="F216" i="20"/>
  <c r="E216" i="20"/>
  <c r="D216" i="20"/>
  <c r="V215" i="20"/>
  <c r="U215" i="20"/>
  <c r="T215" i="20"/>
  <c r="S215" i="20"/>
  <c r="S254" i="20" s="1"/>
  <c r="R215" i="20"/>
  <c r="R254" i="20" s="1"/>
  <c r="Q215" i="20"/>
  <c r="P215" i="20"/>
  <c r="P254" i="20" s="1"/>
  <c r="O215" i="20"/>
  <c r="N215" i="20"/>
  <c r="N254" i="20" s="1"/>
  <c r="M215" i="20"/>
  <c r="L215" i="20"/>
  <c r="K215" i="20"/>
  <c r="K254" i="20" s="1"/>
  <c r="J215" i="20"/>
  <c r="J254" i="20" s="1"/>
  <c r="I215" i="20"/>
  <c r="H215" i="20"/>
  <c r="G215" i="20"/>
  <c r="F215" i="20"/>
  <c r="E215" i="20"/>
  <c r="D215" i="20"/>
  <c r="D254" i="20" s="1"/>
  <c r="V214" i="20"/>
  <c r="U214" i="20"/>
  <c r="U253" i="20" s="1"/>
  <c r="T214" i="20"/>
  <c r="S214" i="20"/>
  <c r="R214" i="20"/>
  <c r="Q214" i="20"/>
  <c r="Q253" i="20" s="1"/>
  <c r="P214" i="20"/>
  <c r="P253" i="20" s="1"/>
  <c r="O214" i="20"/>
  <c r="N214" i="20"/>
  <c r="N253" i="20" s="1"/>
  <c r="M214" i="20"/>
  <c r="L214" i="20"/>
  <c r="K214" i="20"/>
  <c r="J214" i="20"/>
  <c r="I214" i="20"/>
  <c r="H214" i="20"/>
  <c r="G214" i="20"/>
  <c r="G253" i="20" s="1"/>
  <c r="F214" i="20"/>
  <c r="E214" i="20"/>
  <c r="E253" i="20" s="1"/>
  <c r="D214" i="20"/>
  <c r="V213" i="20"/>
  <c r="U213" i="20"/>
  <c r="T213" i="20"/>
  <c r="T252" i="20" s="1"/>
  <c r="S213" i="20"/>
  <c r="S252" i="20" s="1"/>
  <c r="R213" i="20"/>
  <c r="Q213" i="20"/>
  <c r="Q252" i="20" s="1"/>
  <c r="P213" i="20"/>
  <c r="P252" i="20" s="1"/>
  <c r="O213" i="20"/>
  <c r="N213" i="20"/>
  <c r="M213" i="20"/>
  <c r="L213" i="20"/>
  <c r="K213" i="20"/>
  <c r="J213" i="20"/>
  <c r="J252" i="20" s="1"/>
  <c r="I213" i="20"/>
  <c r="H213" i="20"/>
  <c r="G213" i="20"/>
  <c r="F213" i="20"/>
  <c r="E213" i="20"/>
  <c r="D213" i="20"/>
  <c r="D252" i="20" s="1"/>
  <c r="V212" i="20"/>
  <c r="V251" i="20" s="1"/>
  <c r="U212" i="20"/>
  <c r="T212" i="20"/>
  <c r="T251" i="20" s="1"/>
  <c r="S212" i="20"/>
  <c r="R212" i="20"/>
  <c r="Q212" i="20"/>
  <c r="P212" i="20"/>
  <c r="P251" i="20" s="1"/>
  <c r="O212" i="20"/>
  <c r="N212" i="20"/>
  <c r="N251" i="20" s="1"/>
  <c r="M212" i="20"/>
  <c r="M251" i="20" s="1"/>
  <c r="L212" i="20"/>
  <c r="L251" i="20" s="1"/>
  <c r="K212" i="20"/>
  <c r="J212" i="20"/>
  <c r="J251" i="20" s="1"/>
  <c r="I212" i="20"/>
  <c r="I251" i="20" s="1"/>
  <c r="H212" i="20"/>
  <c r="H251" i="20" s="1"/>
  <c r="G212" i="20"/>
  <c r="G251" i="20" s="1"/>
  <c r="F212" i="20"/>
  <c r="F251" i="20" s="1"/>
  <c r="E212" i="20"/>
  <c r="D212" i="20"/>
  <c r="D251" i="20" s="1"/>
  <c r="V211" i="20"/>
  <c r="U211" i="20"/>
  <c r="T211" i="20"/>
  <c r="S211" i="20"/>
  <c r="R211" i="20"/>
  <c r="Q211" i="20"/>
  <c r="P211" i="20"/>
  <c r="P250" i="20" s="1"/>
  <c r="O211" i="20"/>
  <c r="N211" i="20"/>
  <c r="N250" i="20" s="1"/>
  <c r="M211" i="20"/>
  <c r="M250" i="20" s="1"/>
  <c r="L211" i="20"/>
  <c r="K211" i="20"/>
  <c r="J211" i="20"/>
  <c r="J250" i="20" s="1"/>
  <c r="I211" i="20"/>
  <c r="H211" i="20"/>
  <c r="G211" i="20"/>
  <c r="G250" i="20" s="1"/>
  <c r="F211" i="20"/>
  <c r="F250" i="20" s="1"/>
  <c r="E211" i="20"/>
  <c r="D211" i="20"/>
  <c r="V210" i="20"/>
  <c r="V249" i="20" s="1"/>
  <c r="U210" i="20"/>
  <c r="T210" i="20"/>
  <c r="T249" i="20" s="1"/>
  <c r="S210" i="20"/>
  <c r="S249" i="20" s="1"/>
  <c r="R210" i="20"/>
  <c r="Q210" i="20"/>
  <c r="Q249" i="20" s="1"/>
  <c r="P210" i="20"/>
  <c r="P249" i="20" s="1"/>
  <c r="O210" i="20"/>
  <c r="O249" i="20" s="1"/>
  <c r="N210" i="20"/>
  <c r="N249" i="20" s="1"/>
  <c r="M210" i="20"/>
  <c r="L210" i="20"/>
  <c r="K210" i="20"/>
  <c r="J210" i="20"/>
  <c r="J249" i="20" s="1"/>
  <c r="I210" i="20"/>
  <c r="H210" i="20"/>
  <c r="G210" i="20"/>
  <c r="F210" i="20"/>
  <c r="E210" i="20"/>
  <c r="D210" i="20"/>
  <c r="V209" i="20"/>
  <c r="V248" i="20" s="1"/>
  <c r="U209" i="20"/>
  <c r="T209" i="20"/>
  <c r="S209" i="20"/>
  <c r="S248" i="20" s="1"/>
  <c r="R209" i="20"/>
  <c r="Q209" i="20"/>
  <c r="P209" i="20"/>
  <c r="P248" i="20" s="1"/>
  <c r="O209" i="20"/>
  <c r="O248" i="20" s="1"/>
  <c r="N209" i="20"/>
  <c r="N248" i="20" s="1"/>
  <c r="M209" i="20"/>
  <c r="L209" i="20"/>
  <c r="L248" i="20" s="1"/>
  <c r="K209" i="20"/>
  <c r="K248" i="20" s="1"/>
  <c r="J209" i="20"/>
  <c r="J248" i="20" s="1"/>
  <c r="I209" i="20"/>
  <c r="I248" i="20" s="1"/>
  <c r="H209" i="20"/>
  <c r="H248" i="20" s="1"/>
  <c r="G209" i="20"/>
  <c r="G248" i="20" s="1"/>
  <c r="F209" i="20"/>
  <c r="E209" i="20"/>
  <c r="E248" i="20" s="1"/>
  <c r="D209" i="20"/>
  <c r="V208" i="20"/>
  <c r="U208" i="20"/>
  <c r="T208" i="20"/>
  <c r="S208" i="20"/>
  <c r="R208" i="20"/>
  <c r="Q208" i="20"/>
  <c r="P208" i="20"/>
  <c r="O208" i="20"/>
  <c r="N208" i="20"/>
  <c r="M208" i="20"/>
  <c r="L208" i="20"/>
  <c r="K208" i="20"/>
  <c r="J208" i="20"/>
  <c r="I208" i="20"/>
  <c r="H208" i="20"/>
  <c r="G208" i="20"/>
  <c r="F208" i="20"/>
  <c r="E208" i="20"/>
  <c r="D208" i="20"/>
  <c r="N198" i="20"/>
  <c r="M198" i="20"/>
  <c r="L198" i="20"/>
  <c r="H198" i="20"/>
  <c r="F198" i="20"/>
  <c r="V195" i="20"/>
  <c r="U195" i="20"/>
  <c r="T195" i="20"/>
  <c r="Q195" i="20"/>
  <c r="N195" i="20"/>
  <c r="I195" i="20"/>
  <c r="G195" i="20"/>
  <c r="F195" i="20"/>
  <c r="E195" i="20"/>
  <c r="D195" i="20"/>
  <c r="D194" i="20"/>
  <c r="T193" i="20"/>
  <c r="J192" i="20"/>
  <c r="S191" i="20"/>
  <c r="R191" i="20"/>
  <c r="Q191" i="20"/>
  <c r="P191" i="20"/>
  <c r="M191" i="20"/>
  <c r="K191" i="20"/>
  <c r="E191" i="20"/>
  <c r="D191" i="20"/>
  <c r="V190" i="20"/>
  <c r="U190" i="20"/>
  <c r="T190" i="20"/>
  <c r="S190" i="20"/>
  <c r="F190" i="20"/>
  <c r="E190" i="20"/>
  <c r="D190" i="20"/>
  <c r="S189" i="20"/>
  <c r="I188" i="20"/>
  <c r="F188" i="20"/>
  <c r="R186" i="20"/>
  <c r="U185" i="20"/>
  <c r="T185" i="20"/>
  <c r="S185" i="20"/>
  <c r="M185" i="20"/>
  <c r="U183" i="20"/>
  <c r="V182" i="20"/>
  <c r="U182" i="20"/>
  <c r="T182" i="20"/>
  <c r="S182" i="20"/>
  <c r="Q182" i="20"/>
  <c r="P182" i="20"/>
  <c r="O182" i="20"/>
  <c r="N182" i="20"/>
  <c r="M182" i="20"/>
  <c r="L182" i="20"/>
  <c r="K182" i="20"/>
  <c r="J182" i="20"/>
  <c r="I182" i="20"/>
  <c r="H182" i="20"/>
  <c r="G182" i="20"/>
  <c r="F182" i="20"/>
  <c r="E182" i="20"/>
  <c r="D182" i="20"/>
  <c r="P181" i="20"/>
  <c r="N181" i="20"/>
  <c r="K180" i="20"/>
  <c r="E180" i="20"/>
  <c r="Q178" i="20"/>
  <c r="G176" i="20"/>
  <c r="S175" i="20"/>
  <c r="T174" i="20"/>
  <c r="S174" i="20"/>
  <c r="R174" i="20"/>
  <c r="Q174" i="20"/>
  <c r="P174" i="20"/>
  <c r="D174" i="20"/>
  <c r="M171" i="20"/>
  <c r="L171" i="20"/>
  <c r="K171" i="20"/>
  <c r="J171" i="20"/>
  <c r="I171" i="20"/>
  <c r="G171" i="20"/>
  <c r="F171" i="20"/>
  <c r="S170" i="20"/>
  <c r="V159" i="20"/>
  <c r="V198" i="20" s="1"/>
  <c r="U159" i="20"/>
  <c r="U198" i="20" s="1"/>
  <c r="T159" i="20"/>
  <c r="T198" i="20" s="1"/>
  <c r="S159" i="20"/>
  <c r="S198" i="20" s="1"/>
  <c r="R159" i="20"/>
  <c r="R198" i="20" s="1"/>
  <c r="Q159" i="20"/>
  <c r="Q198" i="20" s="1"/>
  <c r="P159" i="20"/>
  <c r="P198" i="20" s="1"/>
  <c r="O159" i="20"/>
  <c r="O198" i="20" s="1"/>
  <c r="N159" i="20"/>
  <c r="M159" i="20"/>
  <c r="L159" i="20"/>
  <c r="K159" i="20"/>
  <c r="J159" i="20"/>
  <c r="I159" i="20"/>
  <c r="H159" i="20"/>
  <c r="G159" i="20"/>
  <c r="F159" i="20"/>
  <c r="E159" i="20"/>
  <c r="E198" i="20" s="1"/>
  <c r="D159" i="20"/>
  <c r="D198" i="20" s="1"/>
  <c r="V158" i="20"/>
  <c r="V197" i="20" s="1"/>
  <c r="U158" i="20"/>
  <c r="U197" i="20" s="1"/>
  <c r="T158" i="20"/>
  <c r="S158" i="20"/>
  <c r="R158" i="20"/>
  <c r="Q158" i="20"/>
  <c r="P158" i="20"/>
  <c r="O158" i="20"/>
  <c r="N158" i="20"/>
  <c r="M158" i="20"/>
  <c r="L158" i="20"/>
  <c r="K158" i="20"/>
  <c r="K197" i="20" s="1"/>
  <c r="J158" i="20"/>
  <c r="I158" i="20"/>
  <c r="I197" i="20" s="1"/>
  <c r="H158" i="20"/>
  <c r="H197" i="20" s="1"/>
  <c r="G158" i="20"/>
  <c r="G197" i="20" s="1"/>
  <c r="F158" i="20"/>
  <c r="F197" i="20" s="1"/>
  <c r="E158" i="20"/>
  <c r="E197" i="20" s="1"/>
  <c r="D158" i="20"/>
  <c r="V157" i="20"/>
  <c r="U157" i="20"/>
  <c r="T157" i="20"/>
  <c r="S157" i="20"/>
  <c r="R157" i="20"/>
  <c r="Q157" i="20"/>
  <c r="P157" i="20"/>
  <c r="O157" i="20"/>
  <c r="N157" i="20"/>
  <c r="N196" i="20" s="1"/>
  <c r="M157" i="20"/>
  <c r="L157" i="20"/>
  <c r="L196" i="20" s="1"/>
  <c r="K157" i="20"/>
  <c r="K196" i="20" s="1"/>
  <c r="J157" i="20"/>
  <c r="J196" i="20" s="1"/>
  <c r="I157" i="20"/>
  <c r="I196" i="20" s="1"/>
  <c r="H157" i="20"/>
  <c r="H196" i="20" s="1"/>
  <c r="G157" i="20"/>
  <c r="F157" i="20"/>
  <c r="E157" i="20"/>
  <c r="D157" i="20"/>
  <c r="V156" i="20"/>
  <c r="U156" i="20"/>
  <c r="T156" i="20"/>
  <c r="S156" i="20"/>
  <c r="S195" i="20" s="1"/>
  <c r="R156" i="20"/>
  <c r="R195" i="20" s="1"/>
  <c r="Q156" i="20"/>
  <c r="P156" i="20"/>
  <c r="P195" i="20" s="1"/>
  <c r="O156" i="20"/>
  <c r="O195" i="20" s="1"/>
  <c r="N156" i="20"/>
  <c r="M156" i="20"/>
  <c r="M195" i="20" s="1"/>
  <c r="L156" i="20"/>
  <c r="L195" i="20" s="1"/>
  <c r="K156" i="20"/>
  <c r="K195" i="20" s="1"/>
  <c r="J156" i="20"/>
  <c r="J195" i="20" s="1"/>
  <c r="I156" i="20"/>
  <c r="H156" i="20"/>
  <c r="H195" i="20" s="1"/>
  <c r="G156" i="20"/>
  <c r="F156" i="20"/>
  <c r="E156" i="20"/>
  <c r="D156" i="20"/>
  <c r="V155" i="20"/>
  <c r="U155" i="20"/>
  <c r="T155" i="20"/>
  <c r="T194" i="20" s="1"/>
  <c r="S155" i="20"/>
  <c r="R155" i="20"/>
  <c r="R194" i="20" s="1"/>
  <c r="Q155" i="20"/>
  <c r="Q194" i="20" s="1"/>
  <c r="P155" i="20"/>
  <c r="P194" i="20" s="1"/>
  <c r="O155" i="20"/>
  <c r="O194" i="20" s="1"/>
  <c r="N155" i="20"/>
  <c r="N194" i="20" s="1"/>
  <c r="M155" i="20"/>
  <c r="L155" i="20"/>
  <c r="K155" i="20"/>
  <c r="J155" i="20"/>
  <c r="I155" i="20"/>
  <c r="H155" i="20"/>
  <c r="G155" i="20"/>
  <c r="F155" i="20"/>
  <c r="E155" i="20"/>
  <c r="D155" i="20"/>
  <c r="V154" i="20"/>
  <c r="U154" i="20"/>
  <c r="U193" i="20" s="1"/>
  <c r="T154" i="20"/>
  <c r="S154" i="20"/>
  <c r="S193" i="20" s="1"/>
  <c r="R154" i="20"/>
  <c r="R193" i="20" s="1"/>
  <c r="Q154" i="20"/>
  <c r="Q193" i="20" s="1"/>
  <c r="P154" i="20"/>
  <c r="O154" i="20"/>
  <c r="N154" i="20"/>
  <c r="M154" i="20"/>
  <c r="L154" i="20"/>
  <c r="K154" i="20"/>
  <c r="J154" i="20"/>
  <c r="I154" i="20"/>
  <c r="H154" i="20"/>
  <c r="G154" i="20"/>
  <c r="G193" i="20" s="1"/>
  <c r="F154" i="20"/>
  <c r="E154" i="20"/>
  <c r="E193" i="20" s="1"/>
  <c r="D154" i="20"/>
  <c r="D193" i="20" s="1"/>
  <c r="V153" i="20"/>
  <c r="V192" i="20" s="1"/>
  <c r="U153" i="20"/>
  <c r="U192" i="20" s="1"/>
  <c r="T153" i="20"/>
  <c r="T192" i="20" s="1"/>
  <c r="S153" i="20"/>
  <c r="R153" i="20"/>
  <c r="Q153" i="20"/>
  <c r="P153" i="20"/>
  <c r="O153" i="20"/>
  <c r="N153" i="20"/>
  <c r="M153" i="20"/>
  <c r="L153" i="20"/>
  <c r="K153" i="20"/>
  <c r="J153" i="20"/>
  <c r="I153" i="20"/>
  <c r="H153" i="20"/>
  <c r="H192" i="20" s="1"/>
  <c r="G153" i="20"/>
  <c r="G192" i="20" s="1"/>
  <c r="F153" i="20"/>
  <c r="F192" i="20" s="1"/>
  <c r="E153" i="20"/>
  <c r="E192" i="20" s="1"/>
  <c r="D153" i="20"/>
  <c r="D192" i="20" s="1"/>
  <c r="V152" i="20"/>
  <c r="V191" i="20" s="1"/>
  <c r="U152" i="20"/>
  <c r="U191" i="20" s="1"/>
  <c r="T152" i="20"/>
  <c r="T191" i="20" s="1"/>
  <c r="S152" i="20"/>
  <c r="R152" i="20"/>
  <c r="Q152" i="20"/>
  <c r="P152" i="20"/>
  <c r="O152" i="20"/>
  <c r="O191" i="20" s="1"/>
  <c r="N152" i="20"/>
  <c r="N191" i="20" s="1"/>
  <c r="M152" i="20"/>
  <c r="L152" i="20"/>
  <c r="L191" i="20" s="1"/>
  <c r="K152" i="20"/>
  <c r="J152" i="20"/>
  <c r="J191" i="20" s="1"/>
  <c r="I152" i="20"/>
  <c r="I191" i="20" s="1"/>
  <c r="H152" i="20"/>
  <c r="H191" i="20" s="1"/>
  <c r="G152" i="20"/>
  <c r="G191" i="20" s="1"/>
  <c r="F152" i="20"/>
  <c r="F191" i="20" s="1"/>
  <c r="E152" i="20"/>
  <c r="D152" i="20"/>
  <c r="V151" i="20"/>
  <c r="U151" i="20"/>
  <c r="T151" i="20"/>
  <c r="S151" i="20"/>
  <c r="R151" i="20"/>
  <c r="R190" i="20" s="1"/>
  <c r="Q151" i="20"/>
  <c r="Q190" i="20" s="1"/>
  <c r="P151" i="20"/>
  <c r="P190" i="20" s="1"/>
  <c r="O151" i="20"/>
  <c r="O190" i="20" s="1"/>
  <c r="N151" i="20"/>
  <c r="N190" i="20" s="1"/>
  <c r="M151" i="20"/>
  <c r="M190" i="20" s="1"/>
  <c r="L151" i="20"/>
  <c r="L190" i="20" s="1"/>
  <c r="K151" i="20"/>
  <c r="K190" i="20" s="1"/>
  <c r="J151" i="20"/>
  <c r="J190" i="20" s="1"/>
  <c r="I151" i="20"/>
  <c r="I190" i="20" s="1"/>
  <c r="H151" i="20"/>
  <c r="H190" i="20" s="1"/>
  <c r="G151" i="20"/>
  <c r="G190" i="20" s="1"/>
  <c r="F151" i="20"/>
  <c r="E151" i="20"/>
  <c r="D151" i="20"/>
  <c r="V150" i="20"/>
  <c r="U150" i="20"/>
  <c r="T150" i="20"/>
  <c r="S150" i="20"/>
  <c r="R150" i="20"/>
  <c r="Q150" i="20"/>
  <c r="Q189" i="20" s="1"/>
  <c r="P150" i="20"/>
  <c r="P189" i="20" s="1"/>
  <c r="O150" i="20"/>
  <c r="O189" i="20" s="1"/>
  <c r="N150" i="20"/>
  <c r="N189" i="20" s="1"/>
  <c r="M150" i="20"/>
  <c r="M189" i="20" s="1"/>
  <c r="L150" i="20"/>
  <c r="K150" i="20"/>
  <c r="J150" i="20"/>
  <c r="I150" i="20"/>
  <c r="H150" i="20"/>
  <c r="G150" i="20"/>
  <c r="F150" i="20"/>
  <c r="E150" i="20"/>
  <c r="D150" i="20"/>
  <c r="V149" i="20"/>
  <c r="V188" i="20" s="1"/>
  <c r="U149" i="20"/>
  <c r="T149" i="20"/>
  <c r="T188" i="20" s="1"/>
  <c r="S149" i="20"/>
  <c r="S188" i="20" s="1"/>
  <c r="R149" i="20"/>
  <c r="R188" i="20" s="1"/>
  <c r="Q149" i="20"/>
  <c r="Q188" i="20" s="1"/>
  <c r="P149" i="20"/>
  <c r="P188" i="20" s="1"/>
  <c r="O149" i="20"/>
  <c r="N149" i="20"/>
  <c r="M149" i="20"/>
  <c r="L149" i="20"/>
  <c r="K149" i="20"/>
  <c r="J149" i="20"/>
  <c r="I149" i="20"/>
  <c r="H149" i="20"/>
  <c r="G149" i="20"/>
  <c r="F149" i="20"/>
  <c r="E149" i="20"/>
  <c r="D149" i="20"/>
  <c r="D188" i="20" s="1"/>
  <c r="V148" i="20"/>
  <c r="V187" i="20" s="1"/>
  <c r="U148" i="20"/>
  <c r="U187" i="20" s="1"/>
  <c r="T148" i="20"/>
  <c r="T187" i="20" s="1"/>
  <c r="S148" i="20"/>
  <c r="S187" i="20" s="1"/>
  <c r="R148" i="20"/>
  <c r="Q148" i="20"/>
  <c r="P148" i="20"/>
  <c r="O148" i="20"/>
  <c r="N148" i="20"/>
  <c r="M148" i="20"/>
  <c r="L148" i="20"/>
  <c r="K148" i="20"/>
  <c r="J148" i="20"/>
  <c r="I148" i="20"/>
  <c r="I187" i="20" s="1"/>
  <c r="H148" i="20"/>
  <c r="G148" i="20"/>
  <c r="G187" i="20" s="1"/>
  <c r="F148" i="20"/>
  <c r="F187" i="20" s="1"/>
  <c r="E148" i="20"/>
  <c r="E187" i="20" s="1"/>
  <c r="D148" i="20"/>
  <c r="D187" i="20" s="1"/>
  <c r="V147" i="20"/>
  <c r="V186" i="20" s="1"/>
  <c r="U147" i="20"/>
  <c r="T147" i="20"/>
  <c r="S147" i="20"/>
  <c r="R147" i="20"/>
  <c r="Q147" i="20"/>
  <c r="P147" i="20"/>
  <c r="O147" i="20"/>
  <c r="N147" i="20"/>
  <c r="M147" i="20"/>
  <c r="L147" i="20"/>
  <c r="L186" i="20" s="1"/>
  <c r="K147" i="20"/>
  <c r="J147" i="20"/>
  <c r="J186" i="20" s="1"/>
  <c r="I147" i="20"/>
  <c r="I186" i="20" s="1"/>
  <c r="H147" i="20"/>
  <c r="H186" i="20" s="1"/>
  <c r="G147" i="20"/>
  <c r="G186" i="20" s="1"/>
  <c r="F147" i="20"/>
  <c r="F186" i="20" s="1"/>
  <c r="E147" i="20"/>
  <c r="D147" i="20"/>
  <c r="V146" i="20"/>
  <c r="V185" i="20" s="1"/>
  <c r="U146" i="20"/>
  <c r="T146" i="20"/>
  <c r="S146" i="20"/>
  <c r="R146" i="20"/>
  <c r="Q146" i="20"/>
  <c r="P146" i="20"/>
  <c r="O146" i="20"/>
  <c r="O185" i="20" s="1"/>
  <c r="N146" i="20"/>
  <c r="M146" i="20"/>
  <c r="L146" i="20"/>
  <c r="L185" i="20" s="1"/>
  <c r="K146" i="20"/>
  <c r="K185" i="20" s="1"/>
  <c r="J146" i="20"/>
  <c r="J185" i="20" s="1"/>
  <c r="I146" i="20"/>
  <c r="I185" i="20" s="1"/>
  <c r="H146" i="20"/>
  <c r="G146" i="20"/>
  <c r="F146" i="20"/>
  <c r="E146" i="20"/>
  <c r="D146" i="20"/>
  <c r="V145" i="20"/>
  <c r="U145" i="20"/>
  <c r="T145" i="20"/>
  <c r="S145" i="20"/>
  <c r="R145" i="20"/>
  <c r="R184" i="20" s="1"/>
  <c r="Q145" i="20"/>
  <c r="P145" i="20"/>
  <c r="P184" i="20" s="1"/>
  <c r="O145" i="20"/>
  <c r="O184" i="20" s="1"/>
  <c r="N145" i="20"/>
  <c r="N184" i="20" s="1"/>
  <c r="M145" i="20"/>
  <c r="M184" i="20" s="1"/>
  <c r="L145" i="20"/>
  <c r="L184" i="20" s="1"/>
  <c r="K145" i="20"/>
  <c r="J145" i="20"/>
  <c r="I145" i="20"/>
  <c r="H145" i="20"/>
  <c r="G145" i="20"/>
  <c r="F145" i="20"/>
  <c r="E145" i="20"/>
  <c r="D145" i="20"/>
  <c r="V144" i="20"/>
  <c r="U144" i="20"/>
  <c r="T144" i="20"/>
  <c r="S144" i="20"/>
  <c r="S183" i="20" s="1"/>
  <c r="R144" i="20"/>
  <c r="R183" i="20" s="1"/>
  <c r="Q144" i="20"/>
  <c r="Q183" i="20" s="1"/>
  <c r="P144" i="20"/>
  <c r="P183" i="20" s="1"/>
  <c r="O144" i="20"/>
  <c r="O183" i="20" s="1"/>
  <c r="N144" i="20"/>
  <c r="M144" i="20"/>
  <c r="L144" i="20"/>
  <c r="K144" i="20"/>
  <c r="J144" i="20"/>
  <c r="I144" i="20"/>
  <c r="H144" i="20"/>
  <c r="G144" i="20"/>
  <c r="F144" i="20"/>
  <c r="E144" i="20"/>
  <c r="E183" i="20" s="1"/>
  <c r="D144" i="20"/>
  <c r="R143" i="20"/>
  <c r="R182" i="20" s="1"/>
  <c r="V142" i="20"/>
  <c r="V181" i="20" s="1"/>
  <c r="U142" i="20"/>
  <c r="U181" i="20" s="1"/>
  <c r="T142" i="20"/>
  <c r="S142" i="20"/>
  <c r="S181" i="20" s="1"/>
  <c r="R142" i="20"/>
  <c r="R181" i="20" s="1"/>
  <c r="Q142" i="20"/>
  <c r="P142" i="20"/>
  <c r="O142" i="20"/>
  <c r="N142" i="20"/>
  <c r="M142" i="20"/>
  <c r="L142" i="20"/>
  <c r="K142" i="20"/>
  <c r="J142" i="20"/>
  <c r="I142" i="20"/>
  <c r="H142" i="20"/>
  <c r="H181" i="20" s="1"/>
  <c r="G142" i="20"/>
  <c r="F142" i="20"/>
  <c r="F181" i="20" s="1"/>
  <c r="E142" i="20"/>
  <c r="E181" i="20" s="1"/>
  <c r="D142" i="20"/>
  <c r="V141" i="20"/>
  <c r="V180" i="20" s="1"/>
  <c r="U141" i="20"/>
  <c r="U180" i="20" s="1"/>
  <c r="T141" i="20"/>
  <c r="S141" i="20"/>
  <c r="R141" i="20"/>
  <c r="Q141" i="20"/>
  <c r="P141" i="20"/>
  <c r="O141" i="20"/>
  <c r="N141" i="20"/>
  <c r="M141" i="20"/>
  <c r="L141" i="20"/>
  <c r="K141" i="20"/>
  <c r="J141" i="20"/>
  <c r="I141" i="20"/>
  <c r="I180" i="20" s="1"/>
  <c r="H141" i="20"/>
  <c r="H180" i="20" s="1"/>
  <c r="G141" i="20"/>
  <c r="F141" i="20"/>
  <c r="F180" i="20" s="1"/>
  <c r="E141" i="20"/>
  <c r="D141" i="20"/>
  <c r="V140" i="20"/>
  <c r="U140" i="20"/>
  <c r="T140" i="20"/>
  <c r="S140" i="20"/>
  <c r="R140" i="20"/>
  <c r="Q140" i="20"/>
  <c r="P140" i="20"/>
  <c r="O140" i="20"/>
  <c r="N140" i="20"/>
  <c r="N179" i="20" s="1"/>
  <c r="M140" i="20"/>
  <c r="L140" i="20"/>
  <c r="L179" i="20" s="1"/>
  <c r="K140" i="20"/>
  <c r="K179" i="20" s="1"/>
  <c r="J140" i="20"/>
  <c r="I140" i="20"/>
  <c r="I179" i="20" s="1"/>
  <c r="H140" i="20"/>
  <c r="H179" i="20" s="1"/>
  <c r="G140" i="20"/>
  <c r="F140" i="20"/>
  <c r="E140" i="20"/>
  <c r="D140" i="20"/>
  <c r="V139" i="20"/>
  <c r="U139" i="20"/>
  <c r="T139" i="20"/>
  <c r="S139" i="20"/>
  <c r="R139" i="20"/>
  <c r="Q139" i="20"/>
  <c r="P139" i="20"/>
  <c r="O139" i="20"/>
  <c r="O178" i="20" s="1"/>
  <c r="N139" i="20"/>
  <c r="N178" i="20" s="1"/>
  <c r="M139" i="20"/>
  <c r="L139" i="20"/>
  <c r="L178" i="20" s="1"/>
  <c r="K139" i="20"/>
  <c r="K178" i="20" s="1"/>
  <c r="J139" i="20"/>
  <c r="I139" i="20"/>
  <c r="H139" i="20"/>
  <c r="G139" i="20"/>
  <c r="F139" i="20"/>
  <c r="E139" i="20"/>
  <c r="D139" i="20"/>
  <c r="V138" i="20"/>
  <c r="V177" i="20" s="1"/>
  <c r="U138" i="20"/>
  <c r="U177" i="20" s="1"/>
  <c r="T138" i="20"/>
  <c r="T177" i="20" s="1"/>
  <c r="S138" i="20"/>
  <c r="S177" i="20" s="1"/>
  <c r="R138" i="20"/>
  <c r="R177" i="20" s="1"/>
  <c r="Q138" i="20"/>
  <c r="Q177" i="20" s="1"/>
  <c r="P138" i="20"/>
  <c r="P177" i="20" s="1"/>
  <c r="O138" i="20"/>
  <c r="O177" i="20" s="1"/>
  <c r="N138" i="20"/>
  <c r="N177" i="20" s="1"/>
  <c r="M138" i="20"/>
  <c r="L138" i="20"/>
  <c r="L177" i="20" s="1"/>
  <c r="K138" i="20"/>
  <c r="J138" i="20"/>
  <c r="I138" i="20"/>
  <c r="H138" i="20"/>
  <c r="G138" i="20"/>
  <c r="F138" i="20"/>
  <c r="E138" i="20"/>
  <c r="D138" i="20"/>
  <c r="D177" i="20" s="1"/>
  <c r="V137" i="20"/>
  <c r="U137" i="20"/>
  <c r="U176" i="20" s="1"/>
  <c r="T137" i="20"/>
  <c r="T176" i="20" s="1"/>
  <c r="S137" i="20"/>
  <c r="R137" i="20"/>
  <c r="R176" i="20" s="1"/>
  <c r="Q137" i="20"/>
  <c r="Q176" i="20" s="1"/>
  <c r="P137" i="20"/>
  <c r="O137" i="20"/>
  <c r="N137" i="20"/>
  <c r="M137" i="20"/>
  <c r="L137" i="20"/>
  <c r="K137" i="20"/>
  <c r="J137" i="20"/>
  <c r="I137" i="20"/>
  <c r="H137" i="20"/>
  <c r="G137" i="20"/>
  <c r="F137" i="20"/>
  <c r="E137" i="20"/>
  <c r="E176" i="20" s="1"/>
  <c r="D137" i="20"/>
  <c r="D176" i="20" s="1"/>
  <c r="V136" i="20"/>
  <c r="V175" i="20" s="1"/>
  <c r="U136" i="20"/>
  <c r="U175" i="20" s="1"/>
  <c r="T136" i="20"/>
  <c r="T175" i="20" s="1"/>
  <c r="S136" i="20"/>
  <c r="R136" i="20"/>
  <c r="Q136" i="20"/>
  <c r="P136" i="20"/>
  <c r="O136" i="20"/>
  <c r="N136" i="20"/>
  <c r="M136" i="20"/>
  <c r="L136" i="20"/>
  <c r="K136" i="20"/>
  <c r="J136" i="20"/>
  <c r="J175" i="20" s="1"/>
  <c r="I136" i="20"/>
  <c r="H136" i="20"/>
  <c r="H175" i="20" s="1"/>
  <c r="G136" i="20"/>
  <c r="G175" i="20" s="1"/>
  <c r="F136" i="20"/>
  <c r="F175" i="20" s="1"/>
  <c r="E136" i="20"/>
  <c r="E175" i="20" s="1"/>
  <c r="D136" i="20"/>
  <c r="D175" i="20" s="1"/>
  <c r="V135" i="20"/>
  <c r="V174" i="20" s="1"/>
  <c r="U135" i="20"/>
  <c r="U174" i="20" s="1"/>
  <c r="T135" i="20"/>
  <c r="S135" i="20"/>
  <c r="R135" i="20"/>
  <c r="Q135" i="20"/>
  <c r="P135" i="20"/>
  <c r="O135" i="20"/>
  <c r="O174" i="20" s="1"/>
  <c r="N135" i="20"/>
  <c r="N174" i="20" s="1"/>
  <c r="M135" i="20"/>
  <c r="M174" i="20" s="1"/>
  <c r="L135" i="20"/>
  <c r="L174" i="20" s="1"/>
  <c r="K135" i="20"/>
  <c r="K174" i="20" s="1"/>
  <c r="J135" i="20"/>
  <c r="J174" i="20" s="1"/>
  <c r="I135" i="20"/>
  <c r="I174" i="20" s="1"/>
  <c r="H135" i="20"/>
  <c r="H174" i="20" s="1"/>
  <c r="G135" i="20"/>
  <c r="G174" i="20" s="1"/>
  <c r="F135" i="20"/>
  <c r="F174" i="20" s="1"/>
  <c r="E135" i="20"/>
  <c r="E174" i="20" s="1"/>
  <c r="D135" i="20"/>
  <c r="V134" i="20"/>
  <c r="U134" i="20"/>
  <c r="T134" i="20"/>
  <c r="S134" i="20"/>
  <c r="R134" i="20"/>
  <c r="Q134" i="20"/>
  <c r="P134" i="20"/>
  <c r="P173" i="20" s="1"/>
  <c r="O134" i="20"/>
  <c r="N134" i="20"/>
  <c r="N173" i="20" s="1"/>
  <c r="M134" i="20"/>
  <c r="M173" i="20" s="1"/>
  <c r="L134" i="20"/>
  <c r="L173" i="20" s="1"/>
  <c r="K134" i="20"/>
  <c r="K173" i="20" s="1"/>
  <c r="J134" i="20"/>
  <c r="J173" i="20" s="1"/>
  <c r="I134" i="20"/>
  <c r="H134" i="20"/>
  <c r="H173" i="20" s="1"/>
  <c r="G134" i="20"/>
  <c r="F134" i="20"/>
  <c r="E134" i="20"/>
  <c r="D134" i="20"/>
  <c r="V133" i="20"/>
  <c r="V172" i="20" s="1"/>
  <c r="U133" i="20"/>
  <c r="U172" i="20" s="1"/>
  <c r="T133" i="20"/>
  <c r="T172" i="20" s="1"/>
  <c r="S133" i="20"/>
  <c r="S172" i="20" s="1"/>
  <c r="R133" i="20"/>
  <c r="R172" i="20" s="1"/>
  <c r="Q133" i="20"/>
  <c r="Q172" i="20" s="1"/>
  <c r="P133" i="20"/>
  <c r="P172" i="20" s="1"/>
  <c r="O133" i="20"/>
  <c r="O172" i="20" s="1"/>
  <c r="N133" i="20"/>
  <c r="N172" i="20" s="1"/>
  <c r="M133" i="20"/>
  <c r="L133" i="20"/>
  <c r="K133" i="20"/>
  <c r="J133" i="20"/>
  <c r="I133" i="20"/>
  <c r="H133" i="20"/>
  <c r="G133" i="20"/>
  <c r="F133" i="20"/>
  <c r="E133" i="20"/>
  <c r="D133" i="20"/>
  <c r="V132" i="20"/>
  <c r="V171" i="20" s="1"/>
  <c r="U132" i="20"/>
  <c r="T132" i="20"/>
  <c r="T171" i="20" s="1"/>
  <c r="S132" i="20"/>
  <c r="S171" i="20" s="1"/>
  <c r="R132" i="20"/>
  <c r="R171" i="20" s="1"/>
  <c r="Q132" i="20"/>
  <c r="Q171" i="20" s="1"/>
  <c r="P132" i="20"/>
  <c r="P171" i="20" s="1"/>
  <c r="O132" i="20"/>
  <c r="N132" i="20"/>
  <c r="M132" i="20"/>
  <c r="L132" i="20"/>
  <c r="K132" i="20"/>
  <c r="J132" i="20"/>
  <c r="I132" i="20"/>
  <c r="H132" i="20"/>
  <c r="H171" i="20" s="1"/>
  <c r="G132" i="20"/>
  <c r="F132" i="20"/>
  <c r="E132" i="20"/>
  <c r="E171" i="20" s="1"/>
  <c r="D132" i="20"/>
  <c r="D171" i="20" s="1"/>
  <c r="V131" i="20"/>
  <c r="V170" i="20" s="1"/>
  <c r="U131" i="20"/>
  <c r="T131" i="20"/>
  <c r="T170" i="20" s="1"/>
  <c r="S131" i="20"/>
  <c r="S160" i="20" s="1"/>
  <c r="R131" i="20"/>
  <c r="Q131" i="20"/>
  <c r="P131" i="20"/>
  <c r="O131" i="20"/>
  <c r="N131" i="20"/>
  <c r="M131" i="20"/>
  <c r="L131" i="20"/>
  <c r="L160" i="20" s="1"/>
  <c r="K131" i="20"/>
  <c r="J131" i="20"/>
  <c r="I131" i="20"/>
  <c r="I170" i="20" s="1"/>
  <c r="H131" i="20"/>
  <c r="G131" i="20"/>
  <c r="F131" i="20"/>
  <c r="F170" i="20" s="1"/>
  <c r="E131" i="20"/>
  <c r="D131" i="20"/>
  <c r="R120" i="20"/>
  <c r="Q120" i="20"/>
  <c r="P120" i="20"/>
  <c r="O120" i="20"/>
  <c r="N120" i="20"/>
  <c r="M120" i="20"/>
  <c r="U119" i="20"/>
  <c r="R119" i="20"/>
  <c r="T118" i="20"/>
  <c r="M118" i="20"/>
  <c r="H118" i="20"/>
  <c r="V117" i="20"/>
  <c r="K117" i="20"/>
  <c r="J117" i="20"/>
  <c r="I117" i="20"/>
  <c r="H117" i="20"/>
  <c r="G117" i="20"/>
  <c r="F117" i="20"/>
  <c r="U116" i="20"/>
  <c r="N116" i="20"/>
  <c r="K116" i="20"/>
  <c r="J116" i="20"/>
  <c r="Q115" i="20"/>
  <c r="T114" i="20"/>
  <c r="P114" i="20"/>
  <c r="U113" i="20"/>
  <c r="T113" i="20"/>
  <c r="S113" i="20"/>
  <c r="R113" i="20"/>
  <c r="G113" i="20"/>
  <c r="F113" i="20"/>
  <c r="E113" i="20"/>
  <c r="D113" i="20"/>
  <c r="V112" i="20"/>
  <c r="U112" i="20"/>
  <c r="Q112" i="20"/>
  <c r="O112" i="20"/>
  <c r="J112" i="20"/>
  <c r="I112" i="20"/>
  <c r="H112" i="20"/>
  <c r="G112" i="20"/>
  <c r="F112" i="20"/>
  <c r="E112" i="20"/>
  <c r="F111" i="20"/>
  <c r="V110" i="20"/>
  <c r="U110" i="20"/>
  <c r="P110" i="20"/>
  <c r="S109" i="20"/>
  <c r="Q109" i="20"/>
  <c r="P109" i="20"/>
  <c r="V108" i="20"/>
  <c r="U108" i="20"/>
  <c r="R108" i="20"/>
  <c r="U107" i="20"/>
  <c r="T107" i="20"/>
  <c r="I107" i="20"/>
  <c r="H107" i="20"/>
  <c r="F107" i="20"/>
  <c r="E107" i="20"/>
  <c r="L106" i="20"/>
  <c r="I106" i="20"/>
  <c r="E105" i="20"/>
  <c r="D105" i="20"/>
  <c r="V104" i="20"/>
  <c r="U104" i="20"/>
  <c r="T104" i="20"/>
  <c r="S104" i="20"/>
  <c r="Q104" i="20"/>
  <c r="P104" i="20"/>
  <c r="O104" i="20"/>
  <c r="N104" i="20"/>
  <c r="M104" i="20"/>
  <c r="L104" i="20"/>
  <c r="K104" i="20"/>
  <c r="J104" i="20"/>
  <c r="I104" i="20"/>
  <c r="H104" i="20"/>
  <c r="G104" i="20"/>
  <c r="F104" i="20"/>
  <c r="E104" i="20"/>
  <c r="D104" i="20"/>
  <c r="N103" i="20"/>
  <c r="H103" i="20"/>
  <c r="V102" i="20"/>
  <c r="U102" i="20"/>
  <c r="T102" i="20"/>
  <c r="K102" i="20"/>
  <c r="G102" i="20"/>
  <c r="F102" i="20"/>
  <c r="E102" i="20"/>
  <c r="I101" i="20"/>
  <c r="H101" i="20"/>
  <c r="U100" i="20"/>
  <c r="Q100" i="20"/>
  <c r="O99" i="20"/>
  <c r="N99" i="20"/>
  <c r="D99" i="20"/>
  <c r="R98" i="20"/>
  <c r="Q98" i="20"/>
  <c r="U97" i="20"/>
  <c r="T97" i="20"/>
  <c r="J97" i="20"/>
  <c r="G97" i="20"/>
  <c r="V96" i="20"/>
  <c r="T96" i="20"/>
  <c r="S96" i="20"/>
  <c r="M96" i="20"/>
  <c r="H96" i="20"/>
  <c r="G96" i="20"/>
  <c r="F96" i="20"/>
  <c r="E96" i="20"/>
  <c r="D96" i="20"/>
  <c r="K95" i="20"/>
  <c r="J95" i="20"/>
  <c r="O94" i="20"/>
  <c r="N94" i="20"/>
  <c r="M94" i="20"/>
  <c r="L94" i="20"/>
  <c r="K94" i="20"/>
  <c r="O93" i="20"/>
  <c r="N93" i="20"/>
  <c r="M93" i="20"/>
  <c r="L93" i="20"/>
  <c r="V92" i="20"/>
  <c r="U92" i="20"/>
  <c r="D92" i="20"/>
  <c r="V81" i="20"/>
  <c r="V120" i="20" s="1"/>
  <c r="U81" i="20"/>
  <c r="U120" i="20" s="1"/>
  <c r="T81" i="20"/>
  <c r="T120" i="20" s="1"/>
  <c r="S81" i="20"/>
  <c r="S120" i="20" s="1"/>
  <c r="R81" i="20"/>
  <c r="Q81" i="20"/>
  <c r="P81" i="20"/>
  <c r="O81" i="20"/>
  <c r="N81" i="20"/>
  <c r="M81" i="20"/>
  <c r="L81" i="20"/>
  <c r="L120" i="20" s="1"/>
  <c r="K81" i="20"/>
  <c r="J81" i="20"/>
  <c r="I81" i="20"/>
  <c r="H81" i="20"/>
  <c r="H120" i="20" s="1"/>
  <c r="G81" i="20"/>
  <c r="F81" i="20"/>
  <c r="F120" i="20" s="1"/>
  <c r="E81" i="20"/>
  <c r="E120" i="20" s="1"/>
  <c r="D81" i="20"/>
  <c r="D120" i="20" s="1"/>
  <c r="V80" i="20"/>
  <c r="V119" i="20" s="1"/>
  <c r="U80" i="20"/>
  <c r="T80" i="20"/>
  <c r="S80" i="20"/>
  <c r="R80" i="20"/>
  <c r="Q80" i="20"/>
  <c r="P80" i="20"/>
  <c r="O80" i="20"/>
  <c r="N80" i="20"/>
  <c r="N119" i="20" s="1"/>
  <c r="M80" i="20"/>
  <c r="L80" i="20"/>
  <c r="K80" i="20"/>
  <c r="K119" i="20" s="1"/>
  <c r="J80" i="20"/>
  <c r="I80" i="20"/>
  <c r="I119" i="20" s="1"/>
  <c r="H80" i="20"/>
  <c r="H119" i="20" s="1"/>
  <c r="G80" i="20"/>
  <c r="G119" i="20" s="1"/>
  <c r="F80" i="20"/>
  <c r="F119" i="20" s="1"/>
  <c r="E80" i="20"/>
  <c r="D80" i="20"/>
  <c r="V79" i="20"/>
  <c r="U79" i="20"/>
  <c r="T79" i="20"/>
  <c r="S79" i="20"/>
  <c r="R79" i="20"/>
  <c r="Q79" i="20"/>
  <c r="P79" i="20"/>
  <c r="P118" i="20" s="1"/>
  <c r="O79" i="20"/>
  <c r="N79" i="20"/>
  <c r="N118" i="20" s="1"/>
  <c r="M79" i="20"/>
  <c r="L79" i="20"/>
  <c r="L118" i="20" s="1"/>
  <c r="K79" i="20"/>
  <c r="K118" i="20" s="1"/>
  <c r="J79" i="20"/>
  <c r="J118" i="20" s="1"/>
  <c r="I79" i="20"/>
  <c r="I118" i="20" s="1"/>
  <c r="H79" i="20"/>
  <c r="G79" i="20"/>
  <c r="F79" i="20"/>
  <c r="E79" i="20"/>
  <c r="D79" i="20"/>
  <c r="V78" i="20"/>
  <c r="U78" i="20"/>
  <c r="U117" i="20" s="1"/>
  <c r="T78" i="20"/>
  <c r="T117" i="20" s="1"/>
  <c r="S78" i="20"/>
  <c r="S117" i="20" s="1"/>
  <c r="R78" i="20"/>
  <c r="R117" i="20" s="1"/>
  <c r="Q78" i="20"/>
  <c r="Q117" i="20" s="1"/>
  <c r="P78" i="20"/>
  <c r="P117" i="20" s="1"/>
  <c r="O78" i="20"/>
  <c r="O117" i="20" s="1"/>
  <c r="N78" i="20"/>
  <c r="N117" i="20" s="1"/>
  <c r="M78" i="20"/>
  <c r="M117" i="20" s="1"/>
  <c r="L78" i="20"/>
  <c r="L117" i="20" s="1"/>
  <c r="K78" i="20"/>
  <c r="J78" i="20"/>
  <c r="I78" i="20"/>
  <c r="H78" i="20"/>
  <c r="G78" i="20"/>
  <c r="F78" i="20"/>
  <c r="E78" i="20"/>
  <c r="E117" i="20" s="1"/>
  <c r="D78" i="20"/>
  <c r="D117" i="20" s="1"/>
  <c r="V77" i="20"/>
  <c r="V116" i="20" s="1"/>
  <c r="U77" i="20"/>
  <c r="T77" i="20"/>
  <c r="T116" i="20" s="1"/>
  <c r="S77" i="20"/>
  <c r="R77" i="20"/>
  <c r="R116" i="20" s="1"/>
  <c r="Q77" i="20"/>
  <c r="Q116" i="20" s="1"/>
  <c r="P77" i="20"/>
  <c r="P116" i="20" s="1"/>
  <c r="O77" i="20"/>
  <c r="O116" i="20" s="1"/>
  <c r="N77" i="20"/>
  <c r="M77" i="20"/>
  <c r="L77" i="20"/>
  <c r="K77" i="20"/>
  <c r="J77" i="20"/>
  <c r="I77" i="20"/>
  <c r="H77" i="20"/>
  <c r="H116" i="20" s="1"/>
  <c r="G77" i="20"/>
  <c r="F77" i="20"/>
  <c r="F116" i="20" s="1"/>
  <c r="E77" i="20"/>
  <c r="D77" i="20"/>
  <c r="D116" i="20" s="1"/>
  <c r="V76" i="20"/>
  <c r="V115" i="20" s="1"/>
  <c r="U76" i="20"/>
  <c r="U115" i="20" s="1"/>
  <c r="T76" i="20"/>
  <c r="T115" i="20" s="1"/>
  <c r="S76" i="20"/>
  <c r="S115" i="20" s="1"/>
  <c r="R76" i="20"/>
  <c r="R115" i="20" s="1"/>
  <c r="Q76" i="20"/>
  <c r="P76" i="20"/>
  <c r="O76" i="20"/>
  <c r="N76" i="20"/>
  <c r="M76" i="20"/>
  <c r="L76" i="20"/>
  <c r="K76" i="20"/>
  <c r="K115" i="20" s="1"/>
  <c r="J76" i="20"/>
  <c r="I76" i="20"/>
  <c r="I115" i="20" s="1"/>
  <c r="H76" i="20"/>
  <c r="G76" i="20"/>
  <c r="G115" i="20" s="1"/>
  <c r="F76" i="20"/>
  <c r="E76" i="20"/>
  <c r="E115" i="20" s="1"/>
  <c r="D76" i="20"/>
  <c r="D115" i="20" s="1"/>
  <c r="V75" i="20"/>
  <c r="V114" i="20" s="1"/>
  <c r="U75" i="20"/>
  <c r="U114" i="20" s="1"/>
  <c r="T75" i="20"/>
  <c r="S75" i="20"/>
  <c r="R75" i="20"/>
  <c r="Q75" i="20"/>
  <c r="P75" i="20"/>
  <c r="O75" i="20"/>
  <c r="N75" i="20"/>
  <c r="N114" i="20" s="1"/>
  <c r="M75" i="20"/>
  <c r="L75" i="20"/>
  <c r="L114" i="20" s="1"/>
  <c r="K75" i="20"/>
  <c r="J75" i="20"/>
  <c r="J114" i="20" s="1"/>
  <c r="I75" i="20"/>
  <c r="H75" i="20"/>
  <c r="H114" i="20" s="1"/>
  <c r="G75" i="20"/>
  <c r="G114" i="20" s="1"/>
  <c r="F75" i="20"/>
  <c r="F114" i="20" s="1"/>
  <c r="E75" i="20"/>
  <c r="E114" i="20" s="1"/>
  <c r="D75" i="20"/>
  <c r="V74" i="20"/>
  <c r="V113" i="20" s="1"/>
  <c r="U74" i="20"/>
  <c r="T74" i="20"/>
  <c r="S74" i="20"/>
  <c r="R74" i="20"/>
  <c r="Q74" i="20"/>
  <c r="Q113" i="20" s="1"/>
  <c r="P74" i="20"/>
  <c r="P113" i="20" s="1"/>
  <c r="O74" i="20"/>
  <c r="O113" i="20" s="1"/>
  <c r="N74" i="20"/>
  <c r="N113" i="20" s="1"/>
  <c r="M74" i="20"/>
  <c r="M113" i="20" s="1"/>
  <c r="L74" i="20"/>
  <c r="L113" i="20" s="1"/>
  <c r="K74" i="20"/>
  <c r="K113" i="20" s="1"/>
  <c r="J74" i="20"/>
  <c r="J113" i="20" s="1"/>
  <c r="I74" i="20"/>
  <c r="I113" i="20" s="1"/>
  <c r="H74" i="20"/>
  <c r="H113" i="20" s="1"/>
  <c r="G74" i="20"/>
  <c r="F74" i="20"/>
  <c r="E74" i="20"/>
  <c r="D74" i="20"/>
  <c r="V73" i="20"/>
  <c r="U73" i="20"/>
  <c r="T73" i="20"/>
  <c r="T112" i="20" s="1"/>
  <c r="S73" i="20"/>
  <c r="S112" i="20" s="1"/>
  <c r="R73" i="20"/>
  <c r="R112" i="20" s="1"/>
  <c r="Q73" i="20"/>
  <c r="P73" i="20"/>
  <c r="P112" i="20" s="1"/>
  <c r="O73" i="20"/>
  <c r="N73" i="20"/>
  <c r="N112" i="20" s="1"/>
  <c r="M73" i="20"/>
  <c r="M112" i="20" s="1"/>
  <c r="L73" i="20"/>
  <c r="L112" i="20" s="1"/>
  <c r="K73" i="20"/>
  <c r="K112" i="20" s="1"/>
  <c r="J73" i="20"/>
  <c r="I73" i="20"/>
  <c r="H73" i="20"/>
  <c r="G73" i="20"/>
  <c r="F73" i="20"/>
  <c r="E73" i="20"/>
  <c r="D73" i="20"/>
  <c r="D112" i="20" s="1"/>
  <c r="V72" i="20"/>
  <c r="V111" i="20" s="1"/>
  <c r="U72" i="20"/>
  <c r="U111" i="20" s="1"/>
  <c r="T72" i="20"/>
  <c r="S72" i="20"/>
  <c r="S111" i="20" s="1"/>
  <c r="R72" i="20"/>
  <c r="Q72" i="20"/>
  <c r="Q111" i="20" s="1"/>
  <c r="P72" i="20"/>
  <c r="P111" i="20" s="1"/>
  <c r="O72" i="20"/>
  <c r="O111" i="20" s="1"/>
  <c r="N72" i="20"/>
  <c r="N111" i="20" s="1"/>
  <c r="M72" i="20"/>
  <c r="L72" i="20"/>
  <c r="K72" i="20"/>
  <c r="J72" i="20"/>
  <c r="I72" i="20"/>
  <c r="H72" i="20"/>
  <c r="G72" i="20"/>
  <c r="G111" i="20" s="1"/>
  <c r="F72" i="20"/>
  <c r="E72" i="20"/>
  <c r="E111" i="20" s="1"/>
  <c r="D72" i="20"/>
  <c r="V71" i="20"/>
  <c r="U71" i="20"/>
  <c r="T71" i="20"/>
  <c r="T110" i="20" s="1"/>
  <c r="S71" i="20"/>
  <c r="S110" i="20" s="1"/>
  <c r="R71" i="20"/>
  <c r="R110" i="20" s="1"/>
  <c r="Q71" i="20"/>
  <c r="Q110" i="20" s="1"/>
  <c r="P71" i="20"/>
  <c r="O71" i="20"/>
  <c r="N71" i="20"/>
  <c r="M71" i="20"/>
  <c r="L71" i="20"/>
  <c r="K71" i="20"/>
  <c r="J71" i="20"/>
  <c r="J110" i="20" s="1"/>
  <c r="I71" i="20"/>
  <c r="I110" i="20" s="1"/>
  <c r="H71" i="20"/>
  <c r="H110" i="20" s="1"/>
  <c r="G71" i="20"/>
  <c r="F71" i="20"/>
  <c r="F110" i="20" s="1"/>
  <c r="E71" i="20"/>
  <c r="D71" i="20"/>
  <c r="D110" i="20" s="1"/>
  <c r="V70" i="20"/>
  <c r="V109" i="20" s="1"/>
  <c r="U70" i="20"/>
  <c r="U109" i="20" s="1"/>
  <c r="T70" i="20"/>
  <c r="T109" i="20" s="1"/>
  <c r="S70" i="20"/>
  <c r="R70" i="20"/>
  <c r="Q70" i="20"/>
  <c r="P70" i="20"/>
  <c r="O70" i="20"/>
  <c r="N70" i="20"/>
  <c r="M70" i="20"/>
  <c r="M109" i="20" s="1"/>
  <c r="L70" i="20"/>
  <c r="K70" i="20"/>
  <c r="K109" i="20" s="1"/>
  <c r="J70" i="20"/>
  <c r="I70" i="20"/>
  <c r="I109" i="20" s="1"/>
  <c r="H70" i="20"/>
  <c r="G70" i="20"/>
  <c r="G109" i="20" s="1"/>
  <c r="F70" i="20"/>
  <c r="F109" i="20" s="1"/>
  <c r="E70" i="20"/>
  <c r="E109" i="20" s="1"/>
  <c r="D70" i="20"/>
  <c r="D109" i="20" s="1"/>
  <c r="V69" i="20"/>
  <c r="U69" i="20"/>
  <c r="T69" i="20"/>
  <c r="S69" i="20"/>
  <c r="R69" i="20"/>
  <c r="Q69" i="20"/>
  <c r="P69" i="20"/>
  <c r="P108" i="20" s="1"/>
  <c r="O69" i="20"/>
  <c r="O108" i="20" s="1"/>
  <c r="N69" i="20"/>
  <c r="N108" i="20" s="1"/>
  <c r="M69" i="20"/>
  <c r="L69" i="20"/>
  <c r="L108" i="20" s="1"/>
  <c r="K69" i="20"/>
  <c r="J69" i="20"/>
  <c r="J108" i="20" s="1"/>
  <c r="I69" i="20"/>
  <c r="I108" i="20" s="1"/>
  <c r="H69" i="20"/>
  <c r="H108" i="20" s="1"/>
  <c r="G69" i="20"/>
  <c r="G108" i="20" s="1"/>
  <c r="F69" i="20"/>
  <c r="F108" i="20" s="1"/>
  <c r="E69" i="20"/>
  <c r="D69" i="20"/>
  <c r="V68" i="20"/>
  <c r="V107" i="20" s="1"/>
  <c r="U68" i="20"/>
  <c r="T68" i="20"/>
  <c r="S68" i="20"/>
  <c r="S107" i="20" s="1"/>
  <c r="R68" i="20"/>
  <c r="Q68" i="20"/>
  <c r="Q107" i="20" s="1"/>
  <c r="P68" i="20"/>
  <c r="O68" i="20"/>
  <c r="O107" i="20" s="1"/>
  <c r="N68" i="20"/>
  <c r="N107" i="20" s="1"/>
  <c r="M68" i="20"/>
  <c r="M107" i="20" s="1"/>
  <c r="L68" i="20"/>
  <c r="L107" i="20" s="1"/>
  <c r="K68" i="20"/>
  <c r="K107" i="20" s="1"/>
  <c r="J68" i="20"/>
  <c r="J107" i="20" s="1"/>
  <c r="I68" i="20"/>
  <c r="H68" i="20"/>
  <c r="G68" i="20"/>
  <c r="F68" i="20"/>
  <c r="E68" i="20"/>
  <c r="D68" i="20"/>
  <c r="V67" i="20"/>
  <c r="V106" i="20" s="1"/>
  <c r="U67" i="20"/>
  <c r="T67" i="20"/>
  <c r="T106" i="20" s="1"/>
  <c r="S67" i="20"/>
  <c r="R67" i="20"/>
  <c r="R106" i="20" s="1"/>
  <c r="Q67" i="20"/>
  <c r="Q106" i="20" s="1"/>
  <c r="P67" i="20"/>
  <c r="P106" i="20" s="1"/>
  <c r="O67" i="20"/>
  <c r="O106" i="20" s="1"/>
  <c r="N67" i="20"/>
  <c r="N106" i="20" s="1"/>
  <c r="M67" i="20"/>
  <c r="M106" i="20" s="1"/>
  <c r="L67" i="20"/>
  <c r="K67" i="20"/>
  <c r="J67" i="20"/>
  <c r="I67" i="20"/>
  <c r="H67" i="20"/>
  <c r="G67" i="20"/>
  <c r="F67" i="20"/>
  <c r="F106" i="20" s="1"/>
  <c r="E67" i="20"/>
  <c r="E106" i="20" s="1"/>
  <c r="D67" i="20"/>
  <c r="D106" i="20" s="1"/>
  <c r="V66" i="20"/>
  <c r="U66" i="20"/>
  <c r="U105" i="20" s="1"/>
  <c r="T66" i="20"/>
  <c r="S66" i="20"/>
  <c r="S105" i="20" s="1"/>
  <c r="R66" i="20"/>
  <c r="R105" i="20" s="1"/>
  <c r="Q66" i="20"/>
  <c r="Q105" i="20" s="1"/>
  <c r="P66" i="20"/>
  <c r="P105" i="20" s="1"/>
  <c r="O66" i="20"/>
  <c r="N66" i="20"/>
  <c r="M66" i="20"/>
  <c r="L66" i="20"/>
  <c r="K66" i="20"/>
  <c r="J66" i="20"/>
  <c r="I66" i="20"/>
  <c r="I105" i="20" s="1"/>
  <c r="H66" i="20"/>
  <c r="G66" i="20"/>
  <c r="G105" i="20" s="1"/>
  <c r="F66" i="20"/>
  <c r="E66" i="20"/>
  <c r="D66" i="20"/>
  <c r="R65" i="20"/>
  <c r="R104" i="20" s="1"/>
  <c r="V64" i="20"/>
  <c r="V103" i="20" s="1"/>
  <c r="U64" i="20"/>
  <c r="U103" i="20" s="1"/>
  <c r="T64" i="20"/>
  <c r="T103" i="20" s="1"/>
  <c r="S64" i="20"/>
  <c r="R64" i="20"/>
  <c r="R103" i="20" s="1"/>
  <c r="Q64" i="20"/>
  <c r="P64" i="20"/>
  <c r="O64" i="20"/>
  <c r="N64" i="20"/>
  <c r="M64" i="20"/>
  <c r="M103" i="20" s="1"/>
  <c r="L64" i="20"/>
  <c r="K64" i="20"/>
  <c r="K103" i="20" s="1"/>
  <c r="J64" i="20"/>
  <c r="I64" i="20"/>
  <c r="H64" i="20"/>
  <c r="G64" i="20"/>
  <c r="F64" i="20"/>
  <c r="F103" i="20" s="1"/>
  <c r="E64" i="20"/>
  <c r="E103" i="20" s="1"/>
  <c r="D64" i="20"/>
  <c r="D103" i="20" s="1"/>
  <c r="V63" i="20"/>
  <c r="U63" i="20"/>
  <c r="T63" i="20"/>
  <c r="S63" i="20"/>
  <c r="R63" i="20"/>
  <c r="Q63" i="20"/>
  <c r="P63" i="20"/>
  <c r="P102" i="20" s="1"/>
  <c r="O63" i="20"/>
  <c r="N63" i="20"/>
  <c r="N102" i="20" s="1"/>
  <c r="M63" i="20"/>
  <c r="L63" i="20"/>
  <c r="K63" i="20"/>
  <c r="J63" i="20"/>
  <c r="I63" i="20"/>
  <c r="I102" i="20" s="1"/>
  <c r="H63" i="20"/>
  <c r="H102" i="20" s="1"/>
  <c r="G63" i="20"/>
  <c r="F63" i="20"/>
  <c r="E63" i="20"/>
  <c r="D63" i="20"/>
  <c r="V62" i="20"/>
  <c r="U62" i="20"/>
  <c r="T62" i="20"/>
  <c r="S62" i="20"/>
  <c r="S101" i="20" s="1"/>
  <c r="R62" i="20"/>
  <c r="Q62" i="20"/>
  <c r="Q101" i="20" s="1"/>
  <c r="P62" i="20"/>
  <c r="O62" i="20"/>
  <c r="N62" i="20"/>
  <c r="N101" i="20" s="1"/>
  <c r="M62" i="20"/>
  <c r="L62" i="20"/>
  <c r="L101" i="20" s="1"/>
  <c r="K62" i="20"/>
  <c r="K101" i="20" s="1"/>
  <c r="J62" i="20"/>
  <c r="J101" i="20" s="1"/>
  <c r="I62" i="20"/>
  <c r="H62" i="20"/>
  <c r="G62" i="20"/>
  <c r="F62" i="20"/>
  <c r="E62" i="20"/>
  <c r="D62" i="20"/>
  <c r="V61" i="20"/>
  <c r="V100" i="20" s="1"/>
  <c r="U61" i="20"/>
  <c r="T61" i="20"/>
  <c r="T100" i="20" s="1"/>
  <c r="S61" i="20"/>
  <c r="R61" i="20"/>
  <c r="Q61" i="20"/>
  <c r="P61" i="20"/>
  <c r="O61" i="20"/>
  <c r="O100" i="20" s="1"/>
  <c r="N61" i="20"/>
  <c r="N100" i="20" s="1"/>
  <c r="M61" i="20"/>
  <c r="M100" i="20" s="1"/>
  <c r="L61" i="20"/>
  <c r="K61" i="20"/>
  <c r="K100" i="20" s="1"/>
  <c r="J61" i="20"/>
  <c r="I61" i="20"/>
  <c r="H61" i="20"/>
  <c r="G61" i="20"/>
  <c r="F61" i="20"/>
  <c r="F100" i="20" s="1"/>
  <c r="E61" i="20"/>
  <c r="D61" i="20"/>
  <c r="D100" i="20" s="1"/>
  <c r="V60" i="20"/>
  <c r="V99" i="20" s="1"/>
  <c r="U60" i="20"/>
  <c r="U99" i="20" s="1"/>
  <c r="T60" i="20"/>
  <c r="T99" i="20" s="1"/>
  <c r="S60" i="20"/>
  <c r="S99" i="20" s="1"/>
  <c r="R60" i="20"/>
  <c r="R99" i="20" s="1"/>
  <c r="Q60" i="20"/>
  <c r="Q99" i="20" s="1"/>
  <c r="P60" i="20"/>
  <c r="P99" i="20" s="1"/>
  <c r="O60" i="20"/>
  <c r="N60" i="20"/>
  <c r="M60" i="20"/>
  <c r="L60" i="20"/>
  <c r="K60" i="20"/>
  <c r="J60" i="20"/>
  <c r="I60" i="20"/>
  <c r="I99" i="20" s="1"/>
  <c r="H60" i="20"/>
  <c r="G60" i="20"/>
  <c r="F60" i="20"/>
  <c r="E60" i="20"/>
  <c r="D60" i="20"/>
  <c r="V59" i="20"/>
  <c r="U59" i="20"/>
  <c r="U98" i="20" s="1"/>
  <c r="T59" i="20"/>
  <c r="T98" i="20" s="1"/>
  <c r="S59" i="20"/>
  <c r="S98" i="20" s="1"/>
  <c r="R59" i="20"/>
  <c r="Q59" i="20"/>
  <c r="P59" i="20"/>
  <c r="O59" i="20"/>
  <c r="N59" i="20"/>
  <c r="M59" i="20"/>
  <c r="L59" i="20"/>
  <c r="L98" i="20" s="1"/>
  <c r="K59" i="20"/>
  <c r="J59" i="20"/>
  <c r="J98" i="20" s="1"/>
  <c r="I59" i="20"/>
  <c r="H59" i="20"/>
  <c r="G59" i="20"/>
  <c r="G98" i="20" s="1"/>
  <c r="F59" i="20"/>
  <c r="E59" i="20"/>
  <c r="E98" i="20" s="1"/>
  <c r="D59" i="20"/>
  <c r="D98" i="20" s="1"/>
  <c r="V58" i="20"/>
  <c r="V97" i="20" s="1"/>
  <c r="U58" i="20"/>
  <c r="T58" i="20"/>
  <c r="S58" i="20"/>
  <c r="R58" i="20"/>
  <c r="Q58" i="20"/>
  <c r="P58" i="20"/>
  <c r="O58" i="20"/>
  <c r="O97" i="20" s="1"/>
  <c r="N58" i="20"/>
  <c r="M58" i="20"/>
  <c r="M97" i="20" s="1"/>
  <c r="L58" i="20"/>
  <c r="K58" i="20"/>
  <c r="J58" i="20"/>
  <c r="I58" i="20"/>
  <c r="H58" i="20"/>
  <c r="H97" i="20" s="1"/>
  <c r="G58" i="20"/>
  <c r="F58" i="20"/>
  <c r="F97" i="20" s="1"/>
  <c r="E58" i="20"/>
  <c r="D58" i="20"/>
  <c r="D97" i="20" s="1"/>
  <c r="V57" i="20"/>
  <c r="U57" i="20"/>
  <c r="U96" i="20" s="1"/>
  <c r="T57" i="20"/>
  <c r="S57" i="20"/>
  <c r="R57" i="20"/>
  <c r="R96" i="20" s="1"/>
  <c r="Q57" i="20"/>
  <c r="Q96" i="20" s="1"/>
  <c r="P57" i="20"/>
  <c r="P96" i="20" s="1"/>
  <c r="O57" i="20"/>
  <c r="O96" i="20" s="1"/>
  <c r="N57" i="20"/>
  <c r="N96" i="20" s="1"/>
  <c r="M57" i="20"/>
  <c r="L57" i="20"/>
  <c r="L96" i="20" s="1"/>
  <c r="K57" i="20"/>
  <c r="K96" i="20" s="1"/>
  <c r="J57" i="20"/>
  <c r="J96" i="20" s="1"/>
  <c r="I57" i="20"/>
  <c r="I96" i="20" s="1"/>
  <c r="H57" i="20"/>
  <c r="G57" i="20"/>
  <c r="F57" i="20"/>
  <c r="E57" i="20"/>
  <c r="D57" i="20"/>
  <c r="V56" i="20"/>
  <c r="U56" i="20"/>
  <c r="U95" i="20" s="1"/>
  <c r="T56" i="20"/>
  <c r="S56" i="20"/>
  <c r="S95" i="20" s="1"/>
  <c r="R56" i="20"/>
  <c r="Q56" i="20"/>
  <c r="P56" i="20"/>
  <c r="P95" i="20" s="1"/>
  <c r="O56" i="20"/>
  <c r="N56" i="20"/>
  <c r="N95" i="20" s="1"/>
  <c r="M56" i="20"/>
  <c r="M95" i="20" s="1"/>
  <c r="L56" i="20"/>
  <c r="L95" i="20" s="1"/>
  <c r="K56" i="20"/>
  <c r="J56" i="20"/>
  <c r="I56" i="20"/>
  <c r="H56" i="20"/>
  <c r="G56" i="20"/>
  <c r="F56" i="20"/>
  <c r="E56" i="20"/>
  <c r="E95" i="20" s="1"/>
  <c r="D56" i="20"/>
  <c r="V55" i="20"/>
  <c r="V94" i="20" s="1"/>
  <c r="U55" i="20"/>
  <c r="U94" i="20" s="1"/>
  <c r="T55" i="20"/>
  <c r="T94" i="20" s="1"/>
  <c r="S55" i="20"/>
  <c r="S94" i="20" s="1"/>
  <c r="R55" i="20"/>
  <c r="R94" i="20" s="1"/>
  <c r="Q55" i="20"/>
  <c r="P55" i="20"/>
  <c r="P94" i="20" s="1"/>
  <c r="O55" i="20"/>
  <c r="N55" i="20"/>
  <c r="M55" i="20"/>
  <c r="L55" i="20"/>
  <c r="K55" i="20"/>
  <c r="J55" i="20"/>
  <c r="I55" i="20"/>
  <c r="H55" i="20"/>
  <c r="H94" i="20" s="1"/>
  <c r="G55" i="20"/>
  <c r="F55" i="20"/>
  <c r="E55" i="20"/>
  <c r="D55" i="20"/>
  <c r="V54" i="20"/>
  <c r="V93" i="20" s="1"/>
  <c r="U54" i="20"/>
  <c r="U93" i="20" s="1"/>
  <c r="T54" i="20"/>
  <c r="T93" i="20" s="1"/>
  <c r="S54" i="20"/>
  <c r="S93" i="20" s="1"/>
  <c r="R54" i="20"/>
  <c r="Q54" i="20"/>
  <c r="P54" i="20"/>
  <c r="O54" i="20"/>
  <c r="N54" i="20"/>
  <c r="M54" i="20"/>
  <c r="L54" i="20"/>
  <c r="K54" i="20"/>
  <c r="K93" i="20" s="1"/>
  <c r="J54" i="20"/>
  <c r="J93" i="20" s="1"/>
  <c r="I54" i="20"/>
  <c r="I82" i="20" s="1"/>
  <c r="H54" i="20"/>
  <c r="H93" i="20" s="1"/>
  <c r="G54" i="20"/>
  <c r="G93" i="20" s="1"/>
  <c r="F54" i="20"/>
  <c r="F93" i="20" s="1"/>
  <c r="E54" i="20"/>
  <c r="E93" i="20" s="1"/>
  <c r="D54" i="20"/>
  <c r="D93" i="20" s="1"/>
  <c r="V53" i="20"/>
  <c r="U53" i="20"/>
  <c r="T53" i="20"/>
  <c r="T92" i="20" s="1"/>
  <c r="S53" i="20"/>
  <c r="R53" i="20"/>
  <c r="Q53" i="20"/>
  <c r="P53" i="20"/>
  <c r="O53" i="20"/>
  <c r="N53" i="20"/>
  <c r="M53" i="20"/>
  <c r="L53" i="20"/>
  <c r="L92" i="20" s="1"/>
  <c r="K53" i="20"/>
  <c r="J53" i="20"/>
  <c r="I53" i="20"/>
  <c r="I92" i="20" s="1"/>
  <c r="H53" i="20"/>
  <c r="H92" i="20" s="1"/>
  <c r="G53" i="20"/>
  <c r="G92" i="20" s="1"/>
  <c r="F53" i="20"/>
  <c r="F92" i="20" s="1"/>
  <c r="E53" i="20"/>
  <c r="D53" i="20"/>
  <c r="H42" i="20"/>
  <c r="G42" i="20"/>
  <c r="V41" i="20"/>
  <c r="U41" i="20"/>
  <c r="T41" i="20"/>
  <c r="S41" i="20"/>
  <c r="R41" i="20"/>
  <c r="Q41" i="20"/>
  <c r="P41" i="20"/>
  <c r="O41" i="20"/>
  <c r="N41" i="20"/>
  <c r="M41" i="20"/>
  <c r="L41" i="20"/>
  <c r="K41" i="20"/>
  <c r="K275" i="20" s="1"/>
  <c r="J41" i="20"/>
  <c r="J275" i="20" s="1"/>
  <c r="I41" i="20"/>
  <c r="H41" i="20"/>
  <c r="G41" i="20"/>
  <c r="G120" i="20" s="1"/>
  <c r="F41" i="20"/>
  <c r="E41" i="20"/>
  <c r="D41" i="20"/>
  <c r="D275" i="20" s="1"/>
  <c r="V40" i="20"/>
  <c r="U40" i="20"/>
  <c r="U274" i="20" s="1"/>
  <c r="T40" i="20"/>
  <c r="T119" i="20" s="1"/>
  <c r="S40" i="20"/>
  <c r="S119" i="20" s="1"/>
  <c r="R40" i="20"/>
  <c r="R274" i="20" s="1"/>
  <c r="Q40" i="20"/>
  <c r="Q197" i="20" s="1"/>
  <c r="P40" i="20"/>
  <c r="O40" i="20"/>
  <c r="N40" i="20"/>
  <c r="N197" i="20" s="1"/>
  <c r="M40" i="20"/>
  <c r="L40" i="20"/>
  <c r="L274" i="20" s="1"/>
  <c r="K40" i="20"/>
  <c r="J40" i="20"/>
  <c r="I40" i="20"/>
  <c r="H40" i="20"/>
  <c r="G40" i="20"/>
  <c r="G274" i="20" s="1"/>
  <c r="F40" i="20"/>
  <c r="E40" i="20"/>
  <c r="E274" i="20" s="1"/>
  <c r="D40" i="20"/>
  <c r="V39" i="20"/>
  <c r="V118" i="20" s="1"/>
  <c r="U39" i="20"/>
  <c r="U118" i="20" s="1"/>
  <c r="T39" i="20"/>
  <c r="T196" i="20" s="1"/>
  <c r="S39" i="20"/>
  <c r="R39" i="20"/>
  <c r="Q39" i="20"/>
  <c r="P39" i="20"/>
  <c r="P273" i="20" s="1"/>
  <c r="O39" i="20"/>
  <c r="O196" i="20" s="1"/>
  <c r="N39" i="20"/>
  <c r="M39" i="20"/>
  <c r="L39" i="20"/>
  <c r="K39" i="20"/>
  <c r="J39" i="20"/>
  <c r="I39" i="20"/>
  <c r="H39" i="20"/>
  <c r="H273" i="20" s="1"/>
  <c r="G39" i="20"/>
  <c r="G118" i="20" s="1"/>
  <c r="F39" i="20"/>
  <c r="F118" i="20" s="1"/>
  <c r="E39" i="20"/>
  <c r="E273" i="20" s="1"/>
  <c r="D39" i="20"/>
  <c r="V38" i="20"/>
  <c r="U38" i="20"/>
  <c r="T38" i="20"/>
  <c r="S38" i="20"/>
  <c r="R38" i="20"/>
  <c r="Q38" i="20"/>
  <c r="P38" i="20"/>
  <c r="O38" i="20"/>
  <c r="N38" i="20"/>
  <c r="M38" i="20"/>
  <c r="L38" i="20"/>
  <c r="K38" i="20"/>
  <c r="J38" i="20"/>
  <c r="I38" i="20"/>
  <c r="H38" i="20"/>
  <c r="G38" i="20"/>
  <c r="F38" i="20"/>
  <c r="E38" i="20"/>
  <c r="D38" i="20"/>
  <c r="V37" i="20"/>
  <c r="V271" i="20" s="1"/>
  <c r="U37" i="20"/>
  <c r="U271" i="20" s="1"/>
  <c r="T37" i="20"/>
  <c r="S37" i="20"/>
  <c r="R37" i="20"/>
  <c r="Q37" i="20"/>
  <c r="P37" i="20"/>
  <c r="P271" i="20" s="1"/>
  <c r="O37" i="20"/>
  <c r="N37" i="20"/>
  <c r="N271" i="20" s="1"/>
  <c r="M37" i="20"/>
  <c r="L37" i="20"/>
  <c r="L116" i="20" s="1"/>
  <c r="K37" i="20"/>
  <c r="K271" i="20" s="1"/>
  <c r="J37" i="20"/>
  <c r="J194" i="20" s="1"/>
  <c r="I37" i="20"/>
  <c r="H37" i="20"/>
  <c r="G37" i="20"/>
  <c r="G194" i="20" s="1"/>
  <c r="F37" i="20"/>
  <c r="E37" i="20"/>
  <c r="D37" i="20"/>
  <c r="V36" i="20"/>
  <c r="U36" i="20"/>
  <c r="T36" i="20"/>
  <c r="S36" i="20"/>
  <c r="S270" i="20" s="1"/>
  <c r="R36" i="20"/>
  <c r="Q36" i="20"/>
  <c r="Q270" i="20" s="1"/>
  <c r="P36" i="20"/>
  <c r="P115" i="20" s="1"/>
  <c r="O36" i="20"/>
  <c r="O115" i="20" s="1"/>
  <c r="N36" i="20"/>
  <c r="M36" i="20"/>
  <c r="L36" i="20"/>
  <c r="K36" i="20"/>
  <c r="J36" i="20"/>
  <c r="I36" i="20"/>
  <c r="I270" i="20" s="1"/>
  <c r="H36" i="20"/>
  <c r="G36" i="20"/>
  <c r="F36" i="20"/>
  <c r="E36" i="20"/>
  <c r="D36" i="20"/>
  <c r="V35" i="20"/>
  <c r="U35" i="20"/>
  <c r="T35" i="20"/>
  <c r="T269" i="20" s="1"/>
  <c r="S35" i="20"/>
  <c r="S114" i="20" s="1"/>
  <c r="R35" i="20"/>
  <c r="R114" i="20" s="1"/>
  <c r="Q35" i="20"/>
  <c r="Q269" i="20" s="1"/>
  <c r="P35" i="20"/>
  <c r="P192" i="20" s="1"/>
  <c r="O35" i="20"/>
  <c r="O192" i="20" s="1"/>
  <c r="N35" i="20"/>
  <c r="M35" i="20"/>
  <c r="M192" i="20" s="1"/>
  <c r="L35" i="20"/>
  <c r="L269" i="20" s="1"/>
  <c r="K35" i="20"/>
  <c r="K269" i="20" s="1"/>
  <c r="J35" i="20"/>
  <c r="I35" i="20"/>
  <c r="H35" i="20"/>
  <c r="G35" i="20"/>
  <c r="F35" i="20"/>
  <c r="F269" i="20" s="1"/>
  <c r="E35" i="20"/>
  <c r="D35" i="20"/>
  <c r="D114" i="20" s="1"/>
  <c r="V34" i="20"/>
  <c r="U34" i="20"/>
  <c r="T34" i="20"/>
  <c r="S34" i="20"/>
  <c r="R34" i="20"/>
  <c r="Q34" i="20"/>
  <c r="P34" i="20"/>
  <c r="O34" i="20"/>
  <c r="N34" i="20"/>
  <c r="M34" i="20"/>
  <c r="L34" i="20"/>
  <c r="K34" i="20"/>
  <c r="J34" i="20"/>
  <c r="I34" i="20"/>
  <c r="H34" i="20"/>
  <c r="G34" i="20"/>
  <c r="F34" i="20"/>
  <c r="E34" i="20"/>
  <c r="D34" i="20"/>
  <c r="V33" i="20"/>
  <c r="U33" i="20"/>
  <c r="T33" i="20"/>
  <c r="S33" i="20"/>
  <c r="R33" i="20"/>
  <c r="Q33" i="20"/>
  <c r="P33" i="20"/>
  <c r="O33" i="20"/>
  <c r="N33" i="20"/>
  <c r="M33" i="20"/>
  <c r="L33" i="20"/>
  <c r="K33" i="20"/>
  <c r="J33" i="20"/>
  <c r="I33" i="20"/>
  <c r="H33" i="20"/>
  <c r="G33" i="20"/>
  <c r="F33" i="20"/>
  <c r="E33" i="20"/>
  <c r="D33" i="20"/>
  <c r="V32" i="20"/>
  <c r="U32" i="20"/>
  <c r="U266" i="20" s="1"/>
  <c r="T32" i="20"/>
  <c r="T189" i="20" s="1"/>
  <c r="S32" i="20"/>
  <c r="R32" i="20"/>
  <c r="Q32" i="20"/>
  <c r="P32" i="20"/>
  <c r="O32" i="20"/>
  <c r="O266" i="20" s="1"/>
  <c r="N32" i="20"/>
  <c r="M32" i="20"/>
  <c r="M266" i="20" s="1"/>
  <c r="L32" i="20"/>
  <c r="L111" i="20" s="1"/>
  <c r="K32" i="20"/>
  <c r="K111" i="20" s="1"/>
  <c r="J32" i="20"/>
  <c r="I32" i="20"/>
  <c r="I189" i="20" s="1"/>
  <c r="H32" i="20"/>
  <c r="G32" i="20"/>
  <c r="F32" i="20"/>
  <c r="E32" i="20"/>
  <c r="E266" i="20" s="1"/>
  <c r="D32" i="20"/>
  <c r="D266" i="20" s="1"/>
  <c r="V31" i="20"/>
  <c r="U31" i="20"/>
  <c r="U265" i="20" s="1"/>
  <c r="T31" i="20"/>
  <c r="S31" i="20"/>
  <c r="R31" i="20"/>
  <c r="Q31" i="20"/>
  <c r="P31" i="20"/>
  <c r="O31" i="20"/>
  <c r="N31" i="20"/>
  <c r="N110" i="20" s="1"/>
  <c r="M31" i="20"/>
  <c r="L31" i="20"/>
  <c r="K31" i="20"/>
  <c r="J31" i="20"/>
  <c r="I31" i="20"/>
  <c r="I265" i="20" s="1"/>
  <c r="H31" i="20"/>
  <c r="H265" i="20" s="1"/>
  <c r="G31" i="20"/>
  <c r="G265" i="20" s="1"/>
  <c r="F31" i="20"/>
  <c r="E31" i="20"/>
  <c r="E265" i="20" s="1"/>
  <c r="D31" i="20"/>
  <c r="V30" i="20"/>
  <c r="U30" i="20"/>
  <c r="T30" i="20"/>
  <c r="S30" i="20"/>
  <c r="R30" i="20"/>
  <c r="R109" i="20" s="1"/>
  <c r="Q30" i="20"/>
  <c r="P30" i="20"/>
  <c r="O30" i="20"/>
  <c r="O187" i="20" s="1"/>
  <c r="N30" i="20"/>
  <c r="M30" i="20"/>
  <c r="L30" i="20"/>
  <c r="K30" i="20"/>
  <c r="K264" i="20" s="1"/>
  <c r="J30" i="20"/>
  <c r="J264" i="20" s="1"/>
  <c r="I30" i="20"/>
  <c r="H30" i="20"/>
  <c r="G30" i="20"/>
  <c r="F30" i="20"/>
  <c r="E30" i="20"/>
  <c r="E264" i="20" s="1"/>
  <c r="D30" i="20"/>
  <c r="V29" i="20"/>
  <c r="V263" i="20" s="1"/>
  <c r="U29" i="20"/>
  <c r="T29" i="20"/>
  <c r="T108" i="20" s="1"/>
  <c r="S29" i="20"/>
  <c r="S263" i="20" s="1"/>
  <c r="R29" i="20"/>
  <c r="Q29" i="20"/>
  <c r="P29" i="20"/>
  <c r="O29" i="20"/>
  <c r="O186" i="20" s="1"/>
  <c r="N29" i="20"/>
  <c r="M29" i="20"/>
  <c r="M263" i="20" s="1"/>
  <c r="L29" i="20"/>
  <c r="K29" i="20"/>
  <c r="K263" i="20" s="1"/>
  <c r="J29" i="20"/>
  <c r="I29" i="20"/>
  <c r="H29" i="20"/>
  <c r="G29" i="20"/>
  <c r="F29" i="20"/>
  <c r="E29" i="20"/>
  <c r="D29" i="20"/>
  <c r="D108" i="20" s="1"/>
  <c r="V28" i="20"/>
  <c r="U28" i="20"/>
  <c r="T28" i="20"/>
  <c r="S28" i="20"/>
  <c r="R28" i="20"/>
  <c r="Q28" i="20"/>
  <c r="P28" i="20"/>
  <c r="P262" i="20" s="1"/>
  <c r="O28" i="20"/>
  <c r="N28" i="20"/>
  <c r="M28" i="20"/>
  <c r="L28" i="20"/>
  <c r="K28" i="20"/>
  <c r="K262" i="20" s="1"/>
  <c r="J28" i="20"/>
  <c r="I28" i="20"/>
  <c r="I262" i="20" s="1"/>
  <c r="H28" i="20"/>
  <c r="G28" i="20"/>
  <c r="G107" i="20" s="1"/>
  <c r="F28" i="20"/>
  <c r="F185" i="20" s="1"/>
  <c r="E28" i="20"/>
  <c r="E185" i="20" s="1"/>
  <c r="D28" i="20"/>
  <c r="V27" i="20"/>
  <c r="U27" i="20"/>
  <c r="U184" i="20" s="1"/>
  <c r="T27" i="20"/>
  <c r="T261" i="20" s="1"/>
  <c r="S27" i="20"/>
  <c r="S261" i="20" s="1"/>
  <c r="R27" i="20"/>
  <c r="Q27" i="20"/>
  <c r="P27" i="20"/>
  <c r="O27" i="20"/>
  <c r="N27" i="20"/>
  <c r="M27" i="20"/>
  <c r="L27" i="20"/>
  <c r="K27" i="20"/>
  <c r="K106" i="20" s="1"/>
  <c r="J27" i="20"/>
  <c r="J106" i="20" s="1"/>
  <c r="I27" i="20"/>
  <c r="I261" i="20" s="1"/>
  <c r="H27" i="20"/>
  <c r="H184" i="20" s="1"/>
  <c r="G27" i="20"/>
  <c r="F27" i="20"/>
  <c r="E27" i="20"/>
  <c r="D27" i="20"/>
  <c r="D261" i="20" s="1"/>
  <c r="V26" i="20"/>
  <c r="U26" i="20"/>
  <c r="T26" i="20"/>
  <c r="T260" i="20" s="1"/>
  <c r="S26" i="20"/>
  <c r="R26" i="20"/>
  <c r="Q26" i="20"/>
  <c r="Q260" i="20" s="1"/>
  <c r="P26" i="20"/>
  <c r="O26" i="20"/>
  <c r="O105" i="20" s="1"/>
  <c r="N26" i="20"/>
  <c r="M26" i="20"/>
  <c r="M105" i="20" s="1"/>
  <c r="L26" i="20"/>
  <c r="K26" i="20"/>
  <c r="K183" i="20" s="1"/>
  <c r="J26" i="20"/>
  <c r="J183" i="20" s="1"/>
  <c r="I26" i="20"/>
  <c r="H26" i="20"/>
  <c r="G26" i="20"/>
  <c r="G260" i="20" s="1"/>
  <c r="F26" i="20"/>
  <c r="F260" i="20" s="1"/>
  <c r="E26" i="20"/>
  <c r="D26" i="20"/>
  <c r="V24" i="20"/>
  <c r="U24" i="20"/>
  <c r="T24" i="20"/>
  <c r="S24" i="20"/>
  <c r="S103" i="20" s="1"/>
  <c r="R24" i="20"/>
  <c r="Q24" i="20"/>
  <c r="Q103" i="20" s="1"/>
  <c r="P24" i="20"/>
  <c r="P103" i="20" s="1"/>
  <c r="O24" i="20"/>
  <c r="N24" i="20"/>
  <c r="M24" i="20"/>
  <c r="L24" i="20"/>
  <c r="K24" i="20"/>
  <c r="K181" i="20" s="1"/>
  <c r="J24" i="20"/>
  <c r="J258" i="20" s="1"/>
  <c r="I24" i="20"/>
  <c r="H24" i="20"/>
  <c r="G24" i="20"/>
  <c r="F24" i="20"/>
  <c r="E24" i="20"/>
  <c r="D24" i="20"/>
  <c r="V23" i="20"/>
  <c r="U23" i="20"/>
  <c r="T23" i="20"/>
  <c r="S23" i="20"/>
  <c r="S257" i="20" s="1"/>
  <c r="R23" i="20"/>
  <c r="Q23" i="20"/>
  <c r="P23" i="20"/>
  <c r="O23" i="20"/>
  <c r="O180" i="20" s="1"/>
  <c r="N23" i="20"/>
  <c r="N180" i="20" s="1"/>
  <c r="M23" i="20"/>
  <c r="L23" i="20"/>
  <c r="L257" i="20" s="1"/>
  <c r="K23" i="20"/>
  <c r="J23" i="20"/>
  <c r="I23" i="20"/>
  <c r="H23" i="20"/>
  <c r="G23" i="20"/>
  <c r="F23" i="20"/>
  <c r="E23" i="20"/>
  <c r="D23" i="20"/>
  <c r="D180" i="20" s="1"/>
  <c r="V22" i="20"/>
  <c r="V256" i="20" s="1"/>
  <c r="U22" i="20"/>
  <c r="U101" i="20" s="1"/>
  <c r="T22" i="20"/>
  <c r="T179" i="20" s="1"/>
  <c r="S22" i="20"/>
  <c r="R22" i="20"/>
  <c r="Q22" i="20"/>
  <c r="Q179" i="20" s="1"/>
  <c r="P22" i="20"/>
  <c r="O22" i="20"/>
  <c r="N22" i="20"/>
  <c r="M22" i="20"/>
  <c r="L22" i="20"/>
  <c r="K22" i="20"/>
  <c r="J22" i="20"/>
  <c r="I22" i="20"/>
  <c r="H22" i="20"/>
  <c r="G22" i="20"/>
  <c r="G101" i="20" s="1"/>
  <c r="F22" i="20"/>
  <c r="F101" i="20" s="1"/>
  <c r="E22" i="20"/>
  <c r="D22" i="20"/>
  <c r="D179" i="20" s="1"/>
  <c r="V21" i="20"/>
  <c r="U21" i="20"/>
  <c r="T21" i="20"/>
  <c r="T178" i="20" s="1"/>
  <c r="S21" i="20"/>
  <c r="R21" i="20"/>
  <c r="Q21" i="20"/>
  <c r="P21" i="20"/>
  <c r="O21" i="20"/>
  <c r="N21" i="20"/>
  <c r="M21" i="20"/>
  <c r="L21" i="20"/>
  <c r="L100" i="20" s="1"/>
  <c r="K21" i="20"/>
  <c r="J21" i="20"/>
  <c r="I21" i="20"/>
  <c r="I255" i="20" s="1"/>
  <c r="H21" i="20"/>
  <c r="G21" i="20"/>
  <c r="G178" i="20" s="1"/>
  <c r="F21" i="20"/>
  <c r="E21" i="20"/>
  <c r="D21" i="20"/>
  <c r="D178" i="20" s="1"/>
  <c r="V20" i="20"/>
  <c r="U20" i="20"/>
  <c r="T20" i="20"/>
  <c r="S20" i="20"/>
  <c r="R20" i="20"/>
  <c r="Q20" i="20"/>
  <c r="P20" i="20"/>
  <c r="O20" i="20"/>
  <c r="N20" i="20"/>
  <c r="M20" i="20"/>
  <c r="M99" i="20" s="1"/>
  <c r="L20" i="20"/>
  <c r="K20" i="20"/>
  <c r="K99" i="20" s="1"/>
  <c r="J20" i="20"/>
  <c r="I20" i="20"/>
  <c r="H20" i="20"/>
  <c r="G20" i="20"/>
  <c r="F20" i="20"/>
  <c r="F254" i="20" s="1"/>
  <c r="E20" i="20"/>
  <c r="D20" i="20"/>
  <c r="V19" i="20"/>
  <c r="U19" i="20"/>
  <c r="T19" i="20"/>
  <c r="S19" i="20"/>
  <c r="R19" i="20"/>
  <c r="Q19" i="20"/>
  <c r="P19" i="20"/>
  <c r="P98" i="20" s="1"/>
  <c r="O19" i="20"/>
  <c r="O253" i="20" s="1"/>
  <c r="N19" i="20"/>
  <c r="M19" i="20"/>
  <c r="M176" i="20" s="1"/>
  <c r="L19" i="20"/>
  <c r="L176" i="20" s="1"/>
  <c r="K19" i="20"/>
  <c r="K176" i="20" s="1"/>
  <c r="J19" i="20"/>
  <c r="J176" i="20" s="1"/>
  <c r="I19" i="20"/>
  <c r="I253" i="20" s="1"/>
  <c r="H19" i="20"/>
  <c r="H253" i="20" s="1"/>
  <c r="G19" i="20"/>
  <c r="F19" i="20"/>
  <c r="E19" i="20"/>
  <c r="D19" i="20"/>
  <c r="V18" i="20"/>
  <c r="U18" i="20"/>
  <c r="T18" i="20"/>
  <c r="S18" i="20"/>
  <c r="S97" i="20" s="1"/>
  <c r="R18" i="20"/>
  <c r="R252" i="20" s="1"/>
  <c r="Q18" i="20"/>
  <c r="P18" i="20"/>
  <c r="P175" i="20" s="1"/>
  <c r="O18" i="20"/>
  <c r="N18" i="20"/>
  <c r="N175" i="20" s="1"/>
  <c r="M18" i="20"/>
  <c r="L18" i="20"/>
  <c r="L252" i="20" s="1"/>
  <c r="K18" i="20"/>
  <c r="J18" i="20"/>
  <c r="I18" i="20"/>
  <c r="H18" i="20"/>
  <c r="G18" i="20"/>
  <c r="F18" i="20"/>
  <c r="E18" i="20"/>
  <c r="E97" i="20" s="1"/>
  <c r="D18" i="20"/>
  <c r="V17" i="20"/>
  <c r="U17" i="20"/>
  <c r="T17" i="20"/>
  <c r="S17" i="20"/>
  <c r="R17" i="20"/>
  <c r="Q17" i="20"/>
  <c r="P17" i="20"/>
  <c r="O17" i="20"/>
  <c r="N17" i="20"/>
  <c r="M17" i="20"/>
  <c r="L17" i="20"/>
  <c r="K17" i="20"/>
  <c r="J17" i="20"/>
  <c r="I17" i="20"/>
  <c r="H17" i="20"/>
  <c r="G17" i="20"/>
  <c r="F17" i="20"/>
  <c r="E17" i="20"/>
  <c r="D17" i="20"/>
  <c r="V16" i="20"/>
  <c r="U16" i="20"/>
  <c r="T16" i="20"/>
  <c r="S16" i="20"/>
  <c r="S173" i="20" s="1"/>
  <c r="R16" i="20"/>
  <c r="R250" i="20" s="1"/>
  <c r="Q16" i="20"/>
  <c r="P16" i="20"/>
  <c r="O16" i="20"/>
  <c r="N16" i="20"/>
  <c r="M16" i="20"/>
  <c r="L16" i="20"/>
  <c r="K16" i="20"/>
  <c r="J16" i="20"/>
  <c r="I16" i="20"/>
  <c r="I95" i="20" s="1"/>
  <c r="H16" i="20"/>
  <c r="H95" i="20" s="1"/>
  <c r="G16" i="20"/>
  <c r="F16" i="20"/>
  <c r="F173" i="20" s="1"/>
  <c r="E16" i="20"/>
  <c r="D16" i="20"/>
  <c r="V15" i="20"/>
  <c r="U15" i="20"/>
  <c r="T15" i="20"/>
  <c r="S15" i="20"/>
  <c r="R15" i="20"/>
  <c r="Q15" i="20"/>
  <c r="P15" i="20"/>
  <c r="O15" i="20"/>
  <c r="N15" i="20"/>
  <c r="M15" i="20"/>
  <c r="L15" i="20"/>
  <c r="K15" i="20"/>
  <c r="J15" i="20"/>
  <c r="I15" i="20"/>
  <c r="I94" i="20" s="1"/>
  <c r="H15" i="20"/>
  <c r="H172" i="20" s="1"/>
  <c r="G15" i="20"/>
  <c r="F15" i="20"/>
  <c r="F172" i="20" s="1"/>
  <c r="E15" i="20"/>
  <c r="E249" i="20" s="1"/>
  <c r="D15" i="20"/>
  <c r="V14" i="20"/>
  <c r="U14" i="20"/>
  <c r="T14" i="20"/>
  <c r="S14" i="20"/>
  <c r="R14" i="20"/>
  <c r="Q14" i="20"/>
  <c r="Q93" i="20" s="1"/>
  <c r="P14" i="20"/>
  <c r="O14" i="20"/>
  <c r="N14" i="20"/>
  <c r="M14" i="20"/>
  <c r="L14" i="20"/>
  <c r="K14" i="20"/>
  <c r="J14" i="20"/>
  <c r="I14" i="20"/>
  <c r="H14" i="20"/>
  <c r="G14" i="20"/>
  <c r="F14" i="20"/>
  <c r="E14" i="20"/>
  <c r="D14" i="20"/>
  <c r="V13" i="20"/>
  <c r="V247" i="20" s="1"/>
  <c r="U13" i="20"/>
  <c r="T13" i="20"/>
  <c r="S13" i="20"/>
  <c r="R13" i="20"/>
  <c r="Q13" i="20"/>
  <c r="P13" i="20"/>
  <c r="O13" i="20"/>
  <c r="N13" i="20"/>
  <c r="M13" i="20"/>
  <c r="L13" i="20"/>
  <c r="L170" i="20" s="1"/>
  <c r="K13" i="20"/>
  <c r="K247" i="20" s="1"/>
  <c r="J13" i="20"/>
  <c r="J42" i="20" s="1"/>
  <c r="I13" i="20"/>
  <c r="H13" i="20"/>
  <c r="G13" i="20"/>
  <c r="F13" i="20"/>
  <c r="E13" i="20"/>
  <c r="D13" i="20"/>
  <c r="C297" i="19"/>
  <c r="K295" i="19"/>
  <c r="D293" i="19"/>
  <c r="D292" i="19"/>
  <c r="K291" i="19"/>
  <c r="D291" i="19"/>
  <c r="J290" i="19"/>
  <c r="D289" i="19"/>
  <c r="J288" i="19"/>
  <c r="D287" i="19"/>
  <c r="J286" i="19"/>
  <c r="D286" i="19"/>
  <c r="K285" i="19"/>
  <c r="D284" i="19"/>
  <c r="J282" i="19"/>
  <c r="E282" i="19"/>
  <c r="D282" i="19"/>
  <c r="I281" i="19"/>
  <c r="F281" i="19"/>
  <c r="J280" i="19"/>
  <c r="J278" i="19"/>
  <c r="F278" i="19"/>
  <c r="E277" i="19"/>
  <c r="D277" i="19"/>
  <c r="J276" i="19"/>
  <c r="D275" i="19"/>
  <c r="J274" i="19"/>
  <c r="J272" i="19"/>
  <c r="I272" i="19"/>
  <c r="G272" i="19"/>
  <c r="F272" i="19"/>
  <c r="J270" i="19"/>
  <c r="E270" i="19"/>
  <c r="J269" i="19"/>
  <c r="E269" i="19"/>
  <c r="J268" i="19"/>
  <c r="E267" i="19"/>
  <c r="D267" i="19"/>
  <c r="J266" i="19"/>
  <c r="C255" i="19"/>
  <c r="K253" i="19"/>
  <c r="J253" i="19"/>
  <c r="I253" i="19"/>
  <c r="H253" i="19"/>
  <c r="G253" i="19"/>
  <c r="F253" i="19"/>
  <c r="E253" i="19"/>
  <c r="D253" i="19"/>
  <c r="D295" i="19" s="1"/>
  <c r="K252" i="19"/>
  <c r="J252" i="19"/>
  <c r="J294" i="19" s="1"/>
  <c r="I252" i="19"/>
  <c r="H252" i="19"/>
  <c r="G252" i="19"/>
  <c r="G294" i="19" s="1"/>
  <c r="F252" i="19"/>
  <c r="F294" i="19" s="1"/>
  <c r="E252" i="19"/>
  <c r="E294" i="19" s="1"/>
  <c r="D252" i="19"/>
  <c r="D294" i="19" s="1"/>
  <c r="K251" i="19"/>
  <c r="K293" i="19" s="1"/>
  <c r="J251" i="19"/>
  <c r="I251" i="19"/>
  <c r="H251" i="19"/>
  <c r="G251" i="19"/>
  <c r="F251" i="19"/>
  <c r="E251" i="19"/>
  <c r="D251" i="19"/>
  <c r="K250" i="19"/>
  <c r="J250" i="19"/>
  <c r="J292" i="19" s="1"/>
  <c r="I250" i="19"/>
  <c r="H250" i="19"/>
  <c r="G250" i="19"/>
  <c r="G292" i="19" s="1"/>
  <c r="F250" i="19"/>
  <c r="F292" i="19" s="1"/>
  <c r="E250" i="19"/>
  <c r="D250" i="19"/>
  <c r="K249" i="19"/>
  <c r="J249" i="19"/>
  <c r="I249" i="19"/>
  <c r="H249" i="19"/>
  <c r="G249" i="19"/>
  <c r="F249" i="19"/>
  <c r="E249" i="19"/>
  <c r="D249" i="19"/>
  <c r="K248" i="19"/>
  <c r="J248" i="19"/>
  <c r="I248" i="19"/>
  <c r="H248" i="19"/>
  <c r="G248" i="19"/>
  <c r="G290" i="19" s="1"/>
  <c r="F248" i="19"/>
  <c r="F290" i="19" s="1"/>
  <c r="E248" i="19"/>
  <c r="D248" i="19"/>
  <c r="K247" i="19"/>
  <c r="K289" i="19" s="1"/>
  <c r="J247" i="19"/>
  <c r="I247" i="19"/>
  <c r="H247" i="19"/>
  <c r="G247" i="19"/>
  <c r="F247" i="19"/>
  <c r="E247" i="19"/>
  <c r="D247" i="19"/>
  <c r="K246" i="19"/>
  <c r="K288" i="19" s="1"/>
  <c r="J246" i="19"/>
  <c r="I246" i="19"/>
  <c r="H246" i="19"/>
  <c r="G246" i="19"/>
  <c r="G288" i="19" s="1"/>
  <c r="F246" i="19"/>
  <c r="F288" i="19" s="1"/>
  <c r="E246" i="19"/>
  <c r="E288" i="19" s="1"/>
  <c r="D246" i="19"/>
  <c r="K245" i="19"/>
  <c r="K287" i="19" s="1"/>
  <c r="J245" i="19"/>
  <c r="I245" i="19"/>
  <c r="H245" i="19"/>
  <c r="G245" i="19"/>
  <c r="F245" i="19"/>
  <c r="E245" i="19"/>
  <c r="D245" i="19"/>
  <c r="K244" i="19"/>
  <c r="J244" i="19"/>
  <c r="I244" i="19"/>
  <c r="H244" i="19"/>
  <c r="G244" i="19"/>
  <c r="G286" i="19" s="1"/>
  <c r="F244" i="19"/>
  <c r="F286" i="19" s="1"/>
  <c r="E244" i="19"/>
  <c r="E286" i="19" s="1"/>
  <c r="D244" i="19"/>
  <c r="K243" i="19"/>
  <c r="J243" i="19"/>
  <c r="I243" i="19"/>
  <c r="H243" i="19"/>
  <c r="G243" i="19"/>
  <c r="F243" i="19"/>
  <c r="E243" i="19"/>
  <c r="D243" i="19"/>
  <c r="K242" i="19"/>
  <c r="J242" i="19"/>
  <c r="J284" i="19" s="1"/>
  <c r="I242" i="19"/>
  <c r="H242" i="19"/>
  <c r="G242" i="19"/>
  <c r="G284" i="19" s="1"/>
  <c r="F242" i="19"/>
  <c r="F284" i="19" s="1"/>
  <c r="E242" i="19"/>
  <c r="E284" i="19" s="1"/>
  <c r="D242" i="19"/>
  <c r="K241" i="19"/>
  <c r="K283" i="19" s="1"/>
  <c r="J241" i="19"/>
  <c r="I241" i="19"/>
  <c r="H241" i="19"/>
  <c r="G241" i="19"/>
  <c r="F241" i="19"/>
  <c r="E241" i="19"/>
  <c r="D241" i="19"/>
  <c r="K240" i="19"/>
  <c r="J240" i="19"/>
  <c r="I240" i="19"/>
  <c r="H240" i="19"/>
  <c r="G240" i="19"/>
  <c r="G282" i="19" s="1"/>
  <c r="F240" i="19"/>
  <c r="F282" i="19" s="1"/>
  <c r="E240" i="19"/>
  <c r="D240" i="19"/>
  <c r="K239" i="19"/>
  <c r="K281" i="19" s="1"/>
  <c r="J239" i="19"/>
  <c r="I239" i="19"/>
  <c r="H239" i="19"/>
  <c r="G239" i="19"/>
  <c r="F239" i="19"/>
  <c r="E239" i="19"/>
  <c r="D239" i="19"/>
  <c r="K238" i="19"/>
  <c r="J238" i="19"/>
  <c r="I238" i="19"/>
  <c r="H238" i="19"/>
  <c r="G238" i="19"/>
  <c r="G280" i="19" s="1"/>
  <c r="F238" i="19"/>
  <c r="F280" i="19" s="1"/>
  <c r="E238" i="19"/>
  <c r="D238" i="19"/>
  <c r="K237" i="19"/>
  <c r="K279" i="19" s="1"/>
  <c r="J237" i="19"/>
  <c r="I237" i="19"/>
  <c r="H237" i="19"/>
  <c r="G237" i="19"/>
  <c r="F237" i="19"/>
  <c r="E237" i="19"/>
  <c r="D237" i="19"/>
  <c r="K236" i="19"/>
  <c r="J236" i="19"/>
  <c r="I236" i="19"/>
  <c r="H236" i="19"/>
  <c r="G236" i="19"/>
  <c r="G278" i="19" s="1"/>
  <c r="F236" i="19"/>
  <c r="E236" i="19"/>
  <c r="D236" i="19"/>
  <c r="K235" i="19"/>
  <c r="K277" i="19" s="1"/>
  <c r="J235" i="19"/>
  <c r="I235" i="19"/>
  <c r="H235" i="19"/>
  <c r="G235" i="19"/>
  <c r="G277" i="19" s="1"/>
  <c r="F235" i="19"/>
  <c r="F277" i="19" s="1"/>
  <c r="E235" i="19"/>
  <c r="D235" i="19"/>
  <c r="K234" i="19"/>
  <c r="J234" i="19"/>
  <c r="I234" i="19"/>
  <c r="H234" i="19"/>
  <c r="G234" i="19"/>
  <c r="G276" i="19" s="1"/>
  <c r="F234" i="19"/>
  <c r="F276" i="19" s="1"/>
  <c r="E234" i="19"/>
  <c r="E276" i="19" s="1"/>
  <c r="D234" i="19"/>
  <c r="K233" i="19"/>
  <c r="K275" i="19" s="1"/>
  <c r="J233" i="19"/>
  <c r="I233" i="19"/>
  <c r="H233" i="19"/>
  <c r="G233" i="19"/>
  <c r="G275" i="19" s="1"/>
  <c r="F233" i="19"/>
  <c r="E233" i="19"/>
  <c r="D233" i="19"/>
  <c r="K232" i="19"/>
  <c r="K274" i="19" s="1"/>
  <c r="J232" i="19"/>
  <c r="I232" i="19"/>
  <c r="H232" i="19"/>
  <c r="G232" i="19"/>
  <c r="G274" i="19" s="1"/>
  <c r="F232" i="19"/>
  <c r="F274" i="19" s="1"/>
  <c r="E232" i="19"/>
  <c r="E274" i="19" s="1"/>
  <c r="D232" i="19"/>
  <c r="K231" i="19"/>
  <c r="K273" i="19" s="1"/>
  <c r="J231" i="19"/>
  <c r="I231" i="19"/>
  <c r="H231" i="19"/>
  <c r="G231" i="19"/>
  <c r="F231" i="19"/>
  <c r="E231" i="19"/>
  <c r="D231" i="19"/>
  <c r="K230" i="19"/>
  <c r="J230" i="19"/>
  <c r="I230" i="19"/>
  <c r="H230" i="19"/>
  <c r="G230" i="19"/>
  <c r="F230" i="19"/>
  <c r="E230" i="19"/>
  <c r="E272" i="19" s="1"/>
  <c r="D230" i="19"/>
  <c r="K229" i="19"/>
  <c r="K271" i="19" s="1"/>
  <c r="J229" i="19"/>
  <c r="I229" i="19"/>
  <c r="H229" i="19"/>
  <c r="G229" i="19"/>
  <c r="F229" i="19"/>
  <c r="E229" i="19"/>
  <c r="D229" i="19"/>
  <c r="K228" i="19"/>
  <c r="J228" i="19"/>
  <c r="I228" i="19"/>
  <c r="H228" i="19"/>
  <c r="G228" i="19"/>
  <c r="G270" i="19" s="1"/>
  <c r="F228" i="19"/>
  <c r="F270" i="19" s="1"/>
  <c r="E228" i="19"/>
  <c r="D228" i="19"/>
  <c r="K227" i="19"/>
  <c r="K269" i="19" s="1"/>
  <c r="J227" i="19"/>
  <c r="I227" i="19"/>
  <c r="H227" i="19"/>
  <c r="G227" i="19"/>
  <c r="F227" i="19"/>
  <c r="F269" i="19" s="1"/>
  <c r="E227" i="19"/>
  <c r="D227" i="19"/>
  <c r="K226" i="19"/>
  <c r="J226" i="19"/>
  <c r="I226" i="19"/>
  <c r="H226" i="19"/>
  <c r="G226" i="19"/>
  <c r="G268" i="19" s="1"/>
  <c r="F226" i="19"/>
  <c r="F268" i="19" s="1"/>
  <c r="E226" i="19"/>
  <c r="D226" i="19"/>
  <c r="K225" i="19"/>
  <c r="K267" i="19" s="1"/>
  <c r="J225" i="19"/>
  <c r="J267" i="19" s="1"/>
  <c r="I225" i="19"/>
  <c r="H225" i="19"/>
  <c r="G225" i="19"/>
  <c r="F225" i="19"/>
  <c r="E225" i="19"/>
  <c r="D225" i="19"/>
  <c r="K224" i="19"/>
  <c r="J224" i="19"/>
  <c r="I224" i="19"/>
  <c r="H224" i="19"/>
  <c r="G224" i="19"/>
  <c r="G266" i="19" s="1"/>
  <c r="F224" i="19"/>
  <c r="F266" i="19" s="1"/>
  <c r="E224" i="19"/>
  <c r="E254" i="19" s="1"/>
  <c r="D224" i="19"/>
  <c r="K223" i="19"/>
  <c r="J223" i="19"/>
  <c r="J254" i="19" s="1"/>
  <c r="I223" i="19"/>
  <c r="H223" i="19"/>
  <c r="G223" i="19"/>
  <c r="F223" i="19"/>
  <c r="E223" i="19"/>
  <c r="D223" i="19"/>
  <c r="C214" i="19"/>
  <c r="J212" i="19"/>
  <c r="D212" i="19"/>
  <c r="G211" i="19"/>
  <c r="F211" i="19"/>
  <c r="D211" i="19"/>
  <c r="K210" i="19"/>
  <c r="G209" i="19"/>
  <c r="F209" i="19"/>
  <c r="D209" i="19"/>
  <c r="G207" i="19"/>
  <c r="D207" i="19"/>
  <c r="K206" i="19"/>
  <c r="J206" i="19"/>
  <c r="I206" i="19"/>
  <c r="D206" i="19"/>
  <c r="G205" i="19"/>
  <c r="F205" i="19"/>
  <c r="J204" i="19"/>
  <c r="G203" i="19"/>
  <c r="F203" i="19"/>
  <c r="K202" i="19"/>
  <c r="D202" i="19"/>
  <c r="H201" i="19"/>
  <c r="G201" i="19"/>
  <c r="D201" i="19"/>
  <c r="K200" i="19"/>
  <c r="G199" i="19"/>
  <c r="F199" i="19"/>
  <c r="D199" i="19"/>
  <c r="D198" i="19"/>
  <c r="G197" i="19"/>
  <c r="F197" i="19"/>
  <c r="D197" i="19"/>
  <c r="K196" i="19"/>
  <c r="G195" i="19"/>
  <c r="F195" i="19"/>
  <c r="D195" i="19"/>
  <c r="K194" i="19"/>
  <c r="G194" i="19"/>
  <c r="G193" i="19"/>
  <c r="F193" i="19"/>
  <c r="D193" i="19"/>
  <c r="G192" i="19"/>
  <c r="D192" i="19"/>
  <c r="G191" i="19"/>
  <c r="F191" i="19"/>
  <c r="D191" i="19"/>
  <c r="K190" i="19"/>
  <c r="D190" i="19"/>
  <c r="G189" i="19"/>
  <c r="F189" i="19"/>
  <c r="D189" i="19"/>
  <c r="J188" i="19"/>
  <c r="G187" i="19"/>
  <c r="F187" i="19"/>
  <c r="D187" i="19"/>
  <c r="K186" i="19"/>
  <c r="G185" i="19"/>
  <c r="D185" i="19"/>
  <c r="K184" i="19"/>
  <c r="G183" i="19"/>
  <c r="D183" i="19"/>
  <c r="H182" i="19"/>
  <c r="E182" i="19"/>
  <c r="D182" i="19"/>
  <c r="C172" i="19"/>
  <c r="F171" i="19"/>
  <c r="K170" i="19"/>
  <c r="J170" i="19"/>
  <c r="I170" i="19"/>
  <c r="H170" i="19"/>
  <c r="G170" i="19"/>
  <c r="F170" i="19"/>
  <c r="E170" i="19"/>
  <c r="E212" i="19" s="1"/>
  <c r="D170" i="19"/>
  <c r="K169" i="19"/>
  <c r="J169" i="19"/>
  <c r="J211" i="19" s="1"/>
  <c r="I169" i="19"/>
  <c r="H169" i="19"/>
  <c r="G169" i="19"/>
  <c r="F169" i="19"/>
  <c r="E169" i="19"/>
  <c r="E211" i="19" s="1"/>
  <c r="D169" i="19"/>
  <c r="K168" i="19"/>
  <c r="J168" i="19"/>
  <c r="I168" i="19"/>
  <c r="H168" i="19"/>
  <c r="G168" i="19"/>
  <c r="F168" i="19"/>
  <c r="E168" i="19"/>
  <c r="E210" i="19" s="1"/>
  <c r="D168" i="19"/>
  <c r="D210" i="19" s="1"/>
  <c r="K167" i="19"/>
  <c r="J167" i="19"/>
  <c r="J209" i="19" s="1"/>
  <c r="I167" i="19"/>
  <c r="H167" i="19"/>
  <c r="G167" i="19"/>
  <c r="F167" i="19"/>
  <c r="E167" i="19"/>
  <c r="E209" i="19" s="1"/>
  <c r="D167" i="19"/>
  <c r="K166" i="19"/>
  <c r="J166" i="19"/>
  <c r="I166" i="19"/>
  <c r="H166" i="19"/>
  <c r="G166" i="19"/>
  <c r="F166" i="19"/>
  <c r="E166" i="19"/>
  <c r="E208" i="19" s="1"/>
  <c r="D166" i="19"/>
  <c r="D208" i="19" s="1"/>
  <c r="K165" i="19"/>
  <c r="J165" i="19"/>
  <c r="J207" i="19" s="1"/>
  <c r="I165" i="19"/>
  <c r="H165" i="19"/>
  <c r="G165" i="19"/>
  <c r="F165" i="19"/>
  <c r="F207" i="19" s="1"/>
  <c r="E165" i="19"/>
  <c r="E207" i="19" s="1"/>
  <c r="D165" i="19"/>
  <c r="K164" i="19"/>
  <c r="J164" i="19"/>
  <c r="I164" i="19"/>
  <c r="H164" i="19"/>
  <c r="G164" i="19"/>
  <c r="F164" i="19"/>
  <c r="E164" i="19"/>
  <c r="E206" i="19" s="1"/>
  <c r="D164" i="19"/>
  <c r="K163" i="19"/>
  <c r="J163" i="19"/>
  <c r="J205" i="19" s="1"/>
  <c r="I163" i="19"/>
  <c r="H163" i="19"/>
  <c r="G163" i="19"/>
  <c r="F163" i="19"/>
  <c r="E163" i="19"/>
  <c r="E205" i="19" s="1"/>
  <c r="D163" i="19"/>
  <c r="K162" i="19"/>
  <c r="J162" i="19"/>
  <c r="I162" i="19"/>
  <c r="H162" i="19"/>
  <c r="G162" i="19"/>
  <c r="F162" i="19"/>
  <c r="E162" i="19"/>
  <c r="E204" i="19" s="1"/>
  <c r="D162" i="19"/>
  <c r="D204" i="19" s="1"/>
  <c r="K161" i="19"/>
  <c r="J161" i="19"/>
  <c r="J203" i="19" s="1"/>
  <c r="I161" i="19"/>
  <c r="H161" i="19"/>
  <c r="G161" i="19"/>
  <c r="F161" i="19"/>
  <c r="E161" i="19"/>
  <c r="E203" i="19" s="1"/>
  <c r="D161" i="19"/>
  <c r="K160" i="19"/>
  <c r="J160" i="19"/>
  <c r="J202" i="19" s="1"/>
  <c r="I160" i="19"/>
  <c r="H160" i="19"/>
  <c r="G160" i="19"/>
  <c r="F160" i="19"/>
  <c r="E160" i="19"/>
  <c r="E202" i="19" s="1"/>
  <c r="D160" i="19"/>
  <c r="K159" i="19"/>
  <c r="J159" i="19"/>
  <c r="J201" i="19" s="1"/>
  <c r="I159" i="19"/>
  <c r="H159" i="19"/>
  <c r="G159" i="19"/>
  <c r="F159" i="19"/>
  <c r="F201" i="19" s="1"/>
  <c r="E159" i="19"/>
  <c r="E201" i="19" s="1"/>
  <c r="D159" i="19"/>
  <c r="K158" i="19"/>
  <c r="J158" i="19"/>
  <c r="J200" i="19" s="1"/>
  <c r="I158" i="19"/>
  <c r="H158" i="19"/>
  <c r="G158" i="19"/>
  <c r="F158" i="19"/>
  <c r="E158" i="19"/>
  <c r="E200" i="19" s="1"/>
  <c r="D158" i="19"/>
  <c r="D200" i="19" s="1"/>
  <c r="K157" i="19"/>
  <c r="J157" i="19"/>
  <c r="J199" i="19" s="1"/>
  <c r="I157" i="19"/>
  <c r="H157" i="19"/>
  <c r="G157" i="19"/>
  <c r="F157" i="19"/>
  <c r="E157" i="19"/>
  <c r="E199" i="19" s="1"/>
  <c r="D157" i="19"/>
  <c r="K156" i="19"/>
  <c r="J156" i="19"/>
  <c r="J198" i="19" s="1"/>
  <c r="I156" i="19"/>
  <c r="H156" i="19"/>
  <c r="G156" i="19"/>
  <c r="F156" i="19"/>
  <c r="E156" i="19"/>
  <c r="E198" i="19" s="1"/>
  <c r="D156" i="19"/>
  <c r="K155" i="19"/>
  <c r="J155" i="19"/>
  <c r="J197" i="19" s="1"/>
  <c r="I155" i="19"/>
  <c r="H155" i="19"/>
  <c r="G155" i="19"/>
  <c r="F155" i="19"/>
  <c r="E155" i="19"/>
  <c r="E197" i="19" s="1"/>
  <c r="D155" i="19"/>
  <c r="K154" i="19"/>
  <c r="J154" i="19"/>
  <c r="J196" i="19" s="1"/>
  <c r="I154" i="19"/>
  <c r="H154" i="19"/>
  <c r="G154" i="19"/>
  <c r="F154" i="19"/>
  <c r="E154" i="19"/>
  <c r="E196" i="19" s="1"/>
  <c r="D154" i="19"/>
  <c r="D196" i="19" s="1"/>
  <c r="K153" i="19"/>
  <c r="K195" i="19" s="1"/>
  <c r="J153" i="19"/>
  <c r="J195" i="19" s="1"/>
  <c r="I153" i="19"/>
  <c r="H153" i="19"/>
  <c r="G153" i="19"/>
  <c r="F153" i="19"/>
  <c r="E153" i="19"/>
  <c r="E195" i="19" s="1"/>
  <c r="D153" i="19"/>
  <c r="K152" i="19"/>
  <c r="J152" i="19"/>
  <c r="J194" i="19" s="1"/>
  <c r="I152" i="19"/>
  <c r="H152" i="19"/>
  <c r="G152" i="19"/>
  <c r="F152" i="19"/>
  <c r="F194" i="19" s="1"/>
  <c r="E152" i="19"/>
  <c r="E194" i="19" s="1"/>
  <c r="D152" i="19"/>
  <c r="D194" i="19" s="1"/>
  <c r="K151" i="19"/>
  <c r="K193" i="19" s="1"/>
  <c r="J151" i="19"/>
  <c r="J193" i="19" s="1"/>
  <c r="I151" i="19"/>
  <c r="H151" i="19"/>
  <c r="G151" i="19"/>
  <c r="F151" i="19"/>
  <c r="E151" i="19"/>
  <c r="E193" i="19" s="1"/>
  <c r="D151" i="19"/>
  <c r="K150" i="19"/>
  <c r="J150" i="19"/>
  <c r="J192" i="19" s="1"/>
  <c r="I150" i="19"/>
  <c r="H150" i="19"/>
  <c r="G150" i="19"/>
  <c r="F150" i="19"/>
  <c r="E150" i="19"/>
  <c r="E192" i="19" s="1"/>
  <c r="D150" i="19"/>
  <c r="K149" i="19"/>
  <c r="K191" i="19" s="1"/>
  <c r="J149" i="19"/>
  <c r="J191" i="19" s="1"/>
  <c r="I149" i="19"/>
  <c r="I191" i="19" s="1"/>
  <c r="H149" i="19"/>
  <c r="G149" i="19"/>
  <c r="F149" i="19"/>
  <c r="E149" i="19"/>
  <c r="E191" i="19" s="1"/>
  <c r="D149" i="19"/>
  <c r="K148" i="19"/>
  <c r="J148" i="19"/>
  <c r="J190" i="19" s="1"/>
  <c r="I148" i="19"/>
  <c r="I190" i="19" s="1"/>
  <c r="H148" i="19"/>
  <c r="G148" i="19"/>
  <c r="F148" i="19"/>
  <c r="E148" i="19"/>
  <c r="E190" i="19" s="1"/>
  <c r="D148" i="19"/>
  <c r="K147" i="19"/>
  <c r="K189" i="19" s="1"/>
  <c r="J147" i="19"/>
  <c r="J189" i="19" s="1"/>
  <c r="I147" i="19"/>
  <c r="H147" i="19"/>
  <c r="G147" i="19"/>
  <c r="F147" i="19"/>
  <c r="E147" i="19"/>
  <c r="E189" i="19" s="1"/>
  <c r="D147" i="19"/>
  <c r="K146" i="19"/>
  <c r="J146" i="19"/>
  <c r="I146" i="19"/>
  <c r="H146" i="19"/>
  <c r="G146" i="19"/>
  <c r="F146" i="19"/>
  <c r="E146" i="19"/>
  <c r="E188" i="19" s="1"/>
  <c r="D146" i="19"/>
  <c r="D188" i="19" s="1"/>
  <c r="K145" i="19"/>
  <c r="K187" i="19" s="1"/>
  <c r="J145" i="19"/>
  <c r="J187" i="19" s="1"/>
  <c r="I145" i="19"/>
  <c r="H145" i="19"/>
  <c r="G145" i="19"/>
  <c r="F145" i="19"/>
  <c r="E145" i="19"/>
  <c r="E187" i="19" s="1"/>
  <c r="D145" i="19"/>
  <c r="K144" i="19"/>
  <c r="J144" i="19"/>
  <c r="J186" i="19" s="1"/>
  <c r="I144" i="19"/>
  <c r="H144" i="19"/>
  <c r="G144" i="19"/>
  <c r="F144" i="19"/>
  <c r="E144" i="19"/>
  <c r="E186" i="19" s="1"/>
  <c r="D144" i="19"/>
  <c r="D186" i="19" s="1"/>
  <c r="K143" i="19"/>
  <c r="K185" i="19" s="1"/>
  <c r="J143" i="19"/>
  <c r="J185" i="19" s="1"/>
  <c r="I143" i="19"/>
  <c r="H143" i="19"/>
  <c r="G143" i="19"/>
  <c r="F143" i="19"/>
  <c r="F185" i="19" s="1"/>
  <c r="E143" i="19"/>
  <c r="E185" i="19" s="1"/>
  <c r="D143" i="19"/>
  <c r="K142" i="19"/>
  <c r="J142" i="19"/>
  <c r="J184" i="19" s="1"/>
  <c r="I142" i="19"/>
  <c r="I184" i="19" s="1"/>
  <c r="H142" i="19"/>
  <c r="G142" i="19"/>
  <c r="F142" i="19"/>
  <c r="E142" i="19"/>
  <c r="E184" i="19" s="1"/>
  <c r="D142" i="19"/>
  <c r="D184" i="19" s="1"/>
  <c r="K141" i="19"/>
  <c r="J141" i="19"/>
  <c r="J183" i="19" s="1"/>
  <c r="I141" i="19"/>
  <c r="H141" i="19"/>
  <c r="G141" i="19"/>
  <c r="F141" i="19"/>
  <c r="F183" i="19" s="1"/>
  <c r="E141" i="19"/>
  <c r="E183" i="19" s="1"/>
  <c r="D141" i="19"/>
  <c r="K140" i="19"/>
  <c r="J140" i="19"/>
  <c r="I140" i="19"/>
  <c r="I171" i="19" s="1"/>
  <c r="H140" i="19"/>
  <c r="H171" i="19" s="1"/>
  <c r="G140" i="19"/>
  <c r="G171" i="19" s="1"/>
  <c r="F140" i="19"/>
  <c r="E140" i="19"/>
  <c r="E171" i="19" s="1"/>
  <c r="D140" i="19"/>
  <c r="D171" i="19" s="1"/>
  <c r="C130" i="19"/>
  <c r="G128" i="19"/>
  <c r="F127" i="19"/>
  <c r="E126" i="19"/>
  <c r="G125" i="19"/>
  <c r="F125" i="19"/>
  <c r="K124" i="19"/>
  <c r="I124" i="19"/>
  <c r="E124" i="19"/>
  <c r="J123" i="19"/>
  <c r="F122" i="19"/>
  <c r="G121" i="19"/>
  <c r="F121" i="19"/>
  <c r="K120" i="19"/>
  <c r="E120" i="19"/>
  <c r="F119" i="19"/>
  <c r="K118" i="19"/>
  <c r="G117" i="19"/>
  <c r="F117" i="19"/>
  <c r="F116" i="19"/>
  <c r="E116" i="19"/>
  <c r="G115" i="19"/>
  <c r="F115" i="19"/>
  <c r="F114" i="19"/>
  <c r="E114" i="19"/>
  <c r="J113" i="19"/>
  <c r="F113" i="19"/>
  <c r="K112" i="19"/>
  <c r="G111" i="19"/>
  <c r="F111" i="19"/>
  <c r="G110" i="19"/>
  <c r="F110" i="19"/>
  <c r="E110" i="19"/>
  <c r="D110" i="19"/>
  <c r="G109" i="19"/>
  <c r="F109" i="19"/>
  <c r="E108" i="19"/>
  <c r="F106" i="19"/>
  <c r="I105" i="19"/>
  <c r="G105" i="19"/>
  <c r="K104" i="19"/>
  <c r="G104" i="19"/>
  <c r="E104" i="19"/>
  <c r="G103" i="19"/>
  <c r="F103" i="19"/>
  <c r="G101" i="19"/>
  <c r="H100" i="19"/>
  <c r="G100" i="19"/>
  <c r="E100" i="19"/>
  <c r="I99" i="19"/>
  <c r="G99" i="19"/>
  <c r="F99" i="19"/>
  <c r="K98" i="19"/>
  <c r="E98" i="19"/>
  <c r="C88" i="19"/>
  <c r="H87" i="19"/>
  <c r="K86" i="19"/>
  <c r="K128" i="19" s="1"/>
  <c r="J86" i="19"/>
  <c r="J128" i="19" s="1"/>
  <c r="I86" i="19"/>
  <c r="H86" i="19"/>
  <c r="H128" i="19" s="1"/>
  <c r="G86" i="19"/>
  <c r="F86" i="19"/>
  <c r="E86" i="19"/>
  <c r="D86" i="19"/>
  <c r="D128" i="19" s="1"/>
  <c r="K85" i="19"/>
  <c r="J85" i="19"/>
  <c r="J127" i="19" s="1"/>
  <c r="I85" i="19"/>
  <c r="I127" i="19" s="1"/>
  <c r="H85" i="19"/>
  <c r="G85" i="19"/>
  <c r="G127" i="19" s="1"/>
  <c r="F85" i="19"/>
  <c r="E85" i="19"/>
  <c r="E127" i="19" s="1"/>
  <c r="D85" i="19"/>
  <c r="D127" i="19" s="1"/>
  <c r="K84" i="19"/>
  <c r="K126" i="19" s="1"/>
  <c r="J84" i="19"/>
  <c r="J126" i="19" s="1"/>
  <c r="I84" i="19"/>
  <c r="H84" i="19"/>
  <c r="H126" i="19" s="1"/>
  <c r="G84" i="19"/>
  <c r="F84" i="19"/>
  <c r="E84" i="19"/>
  <c r="D84" i="19"/>
  <c r="D126" i="19" s="1"/>
  <c r="K83" i="19"/>
  <c r="J83" i="19"/>
  <c r="J125" i="19" s="1"/>
  <c r="I83" i="19"/>
  <c r="I125" i="19" s="1"/>
  <c r="H83" i="19"/>
  <c r="G83" i="19"/>
  <c r="F83" i="19"/>
  <c r="E83" i="19"/>
  <c r="E125" i="19" s="1"/>
  <c r="D83" i="19"/>
  <c r="D125" i="19" s="1"/>
  <c r="K82" i="19"/>
  <c r="J82" i="19"/>
  <c r="J124" i="19" s="1"/>
  <c r="I82" i="19"/>
  <c r="H82" i="19"/>
  <c r="G82" i="19"/>
  <c r="G124" i="19" s="1"/>
  <c r="F82" i="19"/>
  <c r="E82" i="19"/>
  <c r="D82" i="19"/>
  <c r="D124" i="19" s="1"/>
  <c r="K81" i="19"/>
  <c r="J81" i="19"/>
  <c r="I81" i="19"/>
  <c r="I123" i="19" s="1"/>
  <c r="H81" i="19"/>
  <c r="G81" i="19"/>
  <c r="G123" i="19" s="1"/>
  <c r="F81" i="19"/>
  <c r="F123" i="19" s="1"/>
  <c r="E81" i="19"/>
  <c r="E123" i="19" s="1"/>
  <c r="D81" i="19"/>
  <c r="D123" i="19" s="1"/>
  <c r="K80" i="19"/>
  <c r="K122" i="19" s="1"/>
  <c r="J80" i="19"/>
  <c r="J122" i="19" s="1"/>
  <c r="I80" i="19"/>
  <c r="H80" i="19"/>
  <c r="G80" i="19"/>
  <c r="G122" i="19" s="1"/>
  <c r="F80" i="19"/>
  <c r="E80" i="19"/>
  <c r="D80" i="19"/>
  <c r="D122" i="19" s="1"/>
  <c r="K79" i="19"/>
  <c r="J79" i="19"/>
  <c r="J121" i="19" s="1"/>
  <c r="I79" i="19"/>
  <c r="I121" i="19" s="1"/>
  <c r="H79" i="19"/>
  <c r="G79" i="19"/>
  <c r="F79" i="19"/>
  <c r="E79" i="19"/>
  <c r="E121" i="19" s="1"/>
  <c r="D79" i="19"/>
  <c r="D121" i="19" s="1"/>
  <c r="K78" i="19"/>
  <c r="J78" i="19"/>
  <c r="J120" i="19" s="1"/>
  <c r="I78" i="19"/>
  <c r="H78" i="19"/>
  <c r="G78" i="19"/>
  <c r="F78" i="19"/>
  <c r="E78" i="19"/>
  <c r="D78" i="19"/>
  <c r="D120" i="19" s="1"/>
  <c r="K77" i="19"/>
  <c r="J77" i="19"/>
  <c r="J119" i="19" s="1"/>
  <c r="I77" i="19"/>
  <c r="I119" i="19" s="1"/>
  <c r="H77" i="19"/>
  <c r="G77" i="19"/>
  <c r="G119" i="19" s="1"/>
  <c r="F77" i="19"/>
  <c r="E77" i="19"/>
  <c r="E119" i="19" s="1"/>
  <c r="D77" i="19"/>
  <c r="D119" i="19" s="1"/>
  <c r="K76" i="19"/>
  <c r="J76" i="19"/>
  <c r="J118" i="19" s="1"/>
  <c r="I76" i="19"/>
  <c r="H76" i="19"/>
  <c r="G76" i="19"/>
  <c r="G118" i="19" s="1"/>
  <c r="F76" i="19"/>
  <c r="E76" i="19"/>
  <c r="D76" i="19"/>
  <c r="D118" i="19" s="1"/>
  <c r="K75" i="19"/>
  <c r="J75" i="19"/>
  <c r="J117" i="19" s="1"/>
  <c r="I75" i="19"/>
  <c r="I117" i="19" s="1"/>
  <c r="H75" i="19"/>
  <c r="G75" i="19"/>
  <c r="F75" i="19"/>
  <c r="E75" i="19"/>
  <c r="E117" i="19" s="1"/>
  <c r="D75" i="19"/>
  <c r="D117" i="19" s="1"/>
  <c r="K74" i="19"/>
  <c r="K116" i="19" s="1"/>
  <c r="J74" i="19"/>
  <c r="J116" i="19" s="1"/>
  <c r="I74" i="19"/>
  <c r="H74" i="19"/>
  <c r="H116" i="19" s="1"/>
  <c r="G74" i="19"/>
  <c r="F74" i="19"/>
  <c r="E74" i="19"/>
  <c r="D74" i="19"/>
  <c r="D116" i="19" s="1"/>
  <c r="K73" i="19"/>
  <c r="J73" i="19"/>
  <c r="J115" i="19" s="1"/>
  <c r="I73" i="19"/>
  <c r="I115" i="19" s="1"/>
  <c r="H73" i="19"/>
  <c r="G73" i="19"/>
  <c r="F73" i="19"/>
  <c r="E73" i="19"/>
  <c r="E115" i="19" s="1"/>
  <c r="D73" i="19"/>
  <c r="D115" i="19" s="1"/>
  <c r="K72" i="19"/>
  <c r="K114" i="19" s="1"/>
  <c r="J72" i="19"/>
  <c r="J114" i="19" s="1"/>
  <c r="I72" i="19"/>
  <c r="H72" i="19"/>
  <c r="G72" i="19"/>
  <c r="G114" i="19" s="1"/>
  <c r="F72" i="19"/>
  <c r="E72" i="19"/>
  <c r="D72" i="19"/>
  <c r="D114" i="19" s="1"/>
  <c r="K71" i="19"/>
  <c r="K113" i="19" s="1"/>
  <c r="J71" i="19"/>
  <c r="I71" i="19"/>
  <c r="I113" i="19" s="1"/>
  <c r="H71" i="19"/>
  <c r="G71" i="19"/>
  <c r="G113" i="19" s="1"/>
  <c r="F71" i="19"/>
  <c r="E71" i="19"/>
  <c r="E113" i="19" s="1"/>
  <c r="D71" i="19"/>
  <c r="D113" i="19" s="1"/>
  <c r="K70" i="19"/>
  <c r="J70" i="19"/>
  <c r="J112" i="19" s="1"/>
  <c r="I70" i="19"/>
  <c r="H70" i="19"/>
  <c r="G70" i="19"/>
  <c r="F70" i="19"/>
  <c r="E70" i="19"/>
  <c r="D70" i="19"/>
  <c r="D112" i="19" s="1"/>
  <c r="K69" i="19"/>
  <c r="K111" i="19" s="1"/>
  <c r="J69" i="19"/>
  <c r="J111" i="19" s="1"/>
  <c r="I69" i="19"/>
  <c r="I111" i="19" s="1"/>
  <c r="H69" i="19"/>
  <c r="G69" i="19"/>
  <c r="F69" i="19"/>
  <c r="E69" i="19"/>
  <c r="E111" i="19" s="1"/>
  <c r="D69" i="19"/>
  <c r="D111" i="19" s="1"/>
  <c r="K68" i="19"/>
  <c r="K110" i="19" s="1"/>
  <c r="J68" i="19"/>
  <c r="J110" i="19" s="1"/>
  <c r="I68" i="19"/>
  <c r="H68" i="19"/>
  <c r="H110" i="19" s="1"/>
  <c r="G68" i="19"/>
  <c r="F68" i="19"/>
  <c r="E68" i="19"/>
  <c r="D68" i="19"/>
  <c r="K67" i="19"/>
  <c r="J67" i="19"/>
  <c r="J109" i="19" s="1"/>
  <c r="I67" i="19"/>
  <c r="I109" i="19" s="1"/>
  <c r="H67" i="19"/>
  <c r="G67" i="19"/>
  <c r="F67" i="19"/>
  <c r="E67" i="19"/>
  <c r="E109" i="19" s="1"/>
  <c r="D67" i="19"/>
  <c r="D109" i="19" s="1"/>
  <c r="K66" i="19"/>
  <c r="K108" i="19" s="1"/>
  <c r="J66" i="19"/>
  <c r="J108" i="19" s="1"/>
  <c r="I66" i="19"/>
  <c r="H66" i="19"/>
  <c r="G66" i="19"/>
  <c r="G108" i="19" s="1"/>
  <c r="F66" i="19"/>
  <c r="E66" i="19"/>
  <c r="D66" i="19"/>
  <c r="D108" i="19" s="1"/>
  <c r="K65" i="19"/>
  <c r="K107" i="19" s="1"/>
  <c r="J65" i="19"/>
  <c r="J107" i="19" s="1"/>
  <c r="I65" i="19"/>
  <c r="I107" i="19" s="1"/>
  <c r="H65" i="19"/>
  <c r="G65" i="19"/>
  <c r="G107" i="19" s="1"/>
  <c r="F65" i="19"/>
  <c r="F107" i="19" s="1"/>
  <c r="E65" i="19"/>
  <c r="E107" i="19" s="1"/>
  <c r="D65" i="19"/>
  <c r="D107" i="19" s="1"/>
  <c r="K64" i="19"/>
  <c r="K106" i="19" s="1"/>
  <c r="J64" i="19"/>
  <c r="J106" i="19" s="1"/>
  <c r="I64" i="19"/>
  <c r="H64" i="19"/>
  <c r="G64" i="19"/>
  <c r="F64" i="19"/>
  <c r="E64" i="19"/>
  <c r="D64" i="19"/>
  <c r="D106" i="19" s="1"/>
  <c r="K63" i="19"/>
  <c r="J63" i="19"/>
  <c r="J105" i="19" s="1"/>
  <c r="I63" i="19"/>
  <c r="H63" i="19"/>
  <c r="G63" i="19"/>
  <c r="F63" i="19"/>
  <c r="F105" i="19" s="1"/>
  <c r="E63" i="19"/>
  <c r="E105" i="19" s="1"/>
  <c r="D63" i="19"/>
  <c r="D105" i="19" s="1"/>
  <c r="K62" i="19"/>
  <c r="J62" i="19"/>
  <c r="J104" i="19" s="1"/>
  <c r="I62" i="19"/>
  <c r="H62" i="19"/>
  <c r="G62" i="19"/>
  <c r="F62" i="19"/>
  <c r="E62" i="19"/>
  <c r="D62" i="19"/>
  <c r="D104" i="19" s="1"/>
  <c r="K61" i="19"/>
  <c r="K103" i="19" s="1"/>
  <c r="J61" i="19"/>
  <c r="J103" i="19" s="1"/>
  <c r="I61" i="19"/>
  <c r="I103" i="19" s="1"/>
  <c r="H61" i="19"/>
  <c r="G61" i="19"/>
  <c r="F61" i="19"/>
  <c r="E61" i="19"/>
  <c r="E103" i="19" s="1"/>
  <c r="D61" i="19"/>
  <c r="D103" i="19" s="1"/>
  <c r="K60" i="19"/>
  <c r="K102" i="19" s="1"/>
  <c r="J60" i="19"/>
  <c r="J102" i="19" s="1"/>
  <c r="I60" i="19"/>
  <c r="H60" i="19"/>
  <c r="H102" i="19" s="1"/>
  <c r="G60" i="19"/>
  <c r="G102" i="19" s="1"/>
  <c r="F60" i="19"/>
  <c r="E60" i="19"/>
  <c r="D60" i="19"/>
  <c r="D102" i="19" s="1"/>
  <c r="K59" i="19"/>
  <c r="K101" i="19" s="1"/>
  <c r="J59" i="19"/>
  <c r="J101" i="19" s="1"/>
  <c r="I59" i="19"/>
  <c r="I101" i="19" s="1"/>
  <c r="H59" i="19"/>
  <c r="G59" i="19"/>
  <c r="F59" i="19"/>
  <c r="F101" i="19" s="1"/>
  <c r="E59" i="19"/>
  <c r="E101" i="19" s="1"/>
  <c r="D59" i="19"/>
  <c r="D101" i="19" s="1"/>
  <c r="K58" i="19"/>
  <c r="K100" i="19" s="1"/>
  <c r="J58" i="19"/>
  <c r="J100" i="19" s="1"/>
  <c r="I58" i="19"/>
  <c r="H58" i="19"/>
  <c r="G58" i="19"/>
  <c r="F58" i="19"/>
  <c r="E58" i="19"/>
  <c r="D58" i="19"/>
  <c r="D100" i="19" s="1"/>
  <c r="K57" i="19"/>
  <c r="J57" i="19"/>
  <c r="J99" i="19" s="1"/>
  <c r="I57" i="19"/>
  <c r="I87" i="19" s="1"/>
  <c r="H57" i="19"/>
  <c r="G57" i="19"/>
  <c r="F57" i="19"/>
  <c r="F87" i="19" s="1"/>
  <c r="E57" i="19"/>
  <c r="D57" i="19"/>
  <c r="D99" i="19" s="1"/>
  <c r="K56" i="19"/>
  <c r="K87" i="19" s="1"/>
  <c r="J56" i="19"/>
  <c r="J98" i="19" s="1"/>
  <c r="I56" i="19"/>
  <c r="H56" i="19"/>
  <c r="G56" i="19"/>
  <c r="G87" i="19" s="1"/>
  <c r="F56" i="19"/>
  <c r="E56" i="19"/>
  <c r="D56" i="19"/>
  <c r="D98" i="19" s="1"/>
  <c r="C46" i="19"/>
  <c r="K45" i="19"/>
  <c r="K44" i="19"/>
  <c r="K212" i="19" s="1"/>
  <c r="J44" i="19"/>
  <c r="I44" i="19"/>
  <c r="H44" i="19"/>
  <c r="G44" i="19"/>
  <c r="F44" i="19"/>
  <c r="F128" i="19" s="1"/>
  <c r="E44" i="19"/>
  <c r="E128" i="19" s="1"/>
  <c r="D44" i="19"/>
  <c r="K43" i="19"/>
  <c r="K127" i="19" s="1"/>
  <c r="J43" i="19"/>
  <c r="I43" i="19"/>
  <c r="H43" i="19"/>
  <c r="H211" i="19" s="1"/>
  <c r="G43" i="19"/>
  <c r="F43" i="19"/>
  <c r="E43" i="19"/>
  <c r="D43" i="19"/>
  <c r="K42" i="19"/>
  <c r="J42" i="19"/>
  <c r="I42" i="19"/>
  <c r="H42" i="19"/>
  <c r="G42" i="19"/>
  <c r="G210" i="19" s="1"/>
  <c r="F42" i="19"/>
  <c r="F126" i="19" s="1"/>
  <c r="E42" i="19"/>
  <c r="E293" i="19" s="1"/>
  <c r="D42" i="19"/>
  <c r="K41" i="19"/>
  <c r="K292" i="19" s="1"/>
  <c r="J41" i="19"/>
  <c r="I41" i="19"/>
  <c r="I292" i="19" s="1"/>
  <c r="H41" i="19"/>
  <c r="H209" i="19" s="1"/>
  <c r="G41" i="19"/>
  <c r="F41" i="19"/>
  <c r="E41" i="19"/>
  <c r="E292" i="19" s="1"/>
  <c r="D41" i="19"/>
  <c r="K40" i="19"/>
  <c r="K208" i="19" s="1"/>
  <c r="J40" i="19"/>
  <c r="I40" i="19"/>
  <c r="I291" i="19" s="1"/>
  <c r="H40" i="19"/>
  <c r="H208" i="19" s="1"/>
  <c r="G40" i="19"/>
  <c r="G208" i="19" s="1"/>
  <c r="F40" i="19"/>
  <c r="F124" i="19" s="1"/>
  <c r="E40" i="19"/>
  <c r="E291" i="19" s="1"/>
  <c r="D40" i="19"/>
  <c r="K39" i="19"/>
  <c r="J39" i="19"/>
  <c r="I39" i="19"/>
  <c r="I290" i="19" s="1"/>
  <c r="H39" i="19"/>
  <c r="H290" i="19" s="1"/>
  <c r="G39" i="19"/>
  <c r="F39" i="19"/>
  <c r="E39" i="19"/>
  <c r="D39" i="19"/>
  <c r="K38" i="19"/>
  <c r="J38" i="19"/>
  <c r="I38" i="19"/>
  <c r="H38" i="19"/>
  <c r="H122" i="19" s="1"/>
  <c r="G38" i="19"/>
  <c r="F38" i="19"/>
  <c r="E38" i="19"/>
  <c r="E122" i="19" s="1"/>
  <c r="D38" i="19"/>
  <c r="K37" i="19"/>
  <c r="J37" i="19"/>
  <c r="I37" i="19"/>
  <c r="I288" i="19" s="1"/>
  <c r="H37" i="19"/>
  <c r="H205" i="19" s="1"/>
  <c r="G37" i="19"/>
  <c r="F37" i="19"/>
  <c r="E37" i="19"/>
  <c r="D37" i="19"/>
  <c r="D205" i="19" s="1"/>
  <c r="K36" i="19"/>
  <c r="K204" i="19" s="1"/>
  <c r="J36" i="19"/>
  <c r="I36" i="19"/>
  <c r="I120" i="19" s="1"/>
  <c r="H36" i="19"/>
  <c r="H204" i="19" s="1"/>
  <c r="G36" i="19"/>
  <c r="G204" i="19" s="1"/>
  <c r="F36" i="19"/>
  <c r="F120" i="19" s="1"/>
  <c r="E36" i="19"/>
  <c r="E287" i="19" s="1"/>
  <c r="D36" i="19"/>
  <c r="K35" i="19"/>
  <c r="K119" i="19" s="1"/>
  <c r="J35" i="19"/>
  <c r="I35" i="19"/>
  <c r="I286" i="19" s="1"/>
  <c r="H35" i="19"/>
  <c r="H286" i="19" s="1"/>
  <c r="G35" i="19"/>
  <c r="F35" i="19"/>
  <c r="E35" i="19"/>
  <c r="D35" i="19"/>
  <c r="D203" i="19" s="1"/>
  <c r="K34" i="19"/>
  <c r="J34" i="19"/>
  <c r="I34" i="19"/>
  <c r="I285" i="19" s="1"/>
  <c r="H34" i="19"/>
  <c r="H118" i="19" s="1"/>
  <c r="G34" i="19"/>
  <c r="G202" i="19" s="1"/>
  <c r="F34" i="19"/>
  <c r="F118" i="19" s="1"/>
  <c r="E34" i="19"/>
  <c r="E285" i="19" s="1"/>
  <c r="D34" i="19"/>
  <c r="D285" i="19" s="1"/>
  <c r="K33" i="19"/>
  <c r="J33" i="19"/>
  <c r="I33" i="19"/>
  <c r="I284" i="19" s="1"/>
  <c r="H33" i="19"/>
  <c r="H284" i="19" s="1"/>
  <c r="G33" i="19"/>
  <c r="F33" i="19"/>
  <c r="E33" i="19"/>
  <c r="D33" i="19"/>
  <c r="K32" i="19"/>
  <c r="J32" i="19"/>
  <c r="I32" i="19"/>
  <c r="I283" i="19" s="1"/>
  <c r="H32" i="19"/>
  <c r="H200" i="19" s="1"/>
  <c r="G32" i="19"/>
  <c r="F32" i="19"/>
  <c r="E32" i="19"/>
  <c r="E283" i="19" s="1"/>
  <c r="D32" i="19"/>
  <c r="D283" i="19" s="1"/>
  <c r="K31" i="19"/>
  <c r="J31" i="19"/>
  <c r="I31" i="19"/>
  <c r="I282" i="19" s="1"/>
  <c r="H31" i="19"/>
  <c r="H199" i="19" s="1"/>
  <c r="G31" i="19"/>
  <c r="F31" i="19"/>
  <c r="E31" i="19"/>
  <c r="D31" i="19"/>
  <c r="K30" i="19"/>
  <c r="K198" i="19" s="1"/>
  <c r="J30" i="19"/>
  <c r="I30" i="19"/>
  <c r="I114" i="19" s="1"/>
  <c r="H30" i="19"/>
  <c r="H198" i="19" s="1"/>
  <c r="G30" i="19"/>
  <c r="G198" i="19" s="1"/>
  <c r="F30" i="19"/>
  <c r="E30" i="19"/>
  <c r="E281" i="19" s="1"/>
  <c r="D30" i="19"/>
  <c r="D281" i="19" s="1"/>
  <c r="K29" i="19"/>
  <c r="J29" i="19"/>
  <c r="I29" i="19"/>
  <c r="I280" i="19" s="1"/>
  <c r="H29" i="19"/>
  <c r="G29" i="19"/>
  <c r="F29" i="19"/>
  <c r="E29" i="19"/>
  <c r="D29" i="19"/>
  <c r="K28" i="19"/>
  <c r="J28" i="19"/>
  <c r="I28" i="19"/>
  <c r="I112" i="19" s="1"/>
  <c r="H28" i="19"/>
  <c r="G28" i="19"/>
  <c r="G196" i="19" s="1"/>
  <c r="F28" i="19"/>
  <c r="F112" i="19" s="1"/>
  <c r="E28" i="19"/>
  <c r="E279" i="19" s="1"/>
  <c r="D28" i="19"/>
  <c r="D279" i="19" s="1"/>
  <c r="K27" i="19"/>
  <c r="J27" i="19"/>
  <c r="I27" i="19"/>
  <c r="I278" i="19" s="1"/>
  <c r="H27" i="19"/>
  <c r="H278" i="19" s="1"/>
  <c r="G27" i="19"/>
  <c r="F27" i="19"/>
  <c r="E27" i="19"/>
  <c r="D27" i="19"/>
  <c r="K26" i="19"/>
  <c r="J26" i="19"/>
  <c r="I26" i="19"/>
  <c r="I110" i="19" s="1"/>
  <c r="H26" i="19"/>
  <c r="H194" i="19" s="1"/>
  <c r="G26" i="19"/>
  <c r="F26" i="19"/>
  <c r="E26" i="19"/>
  <c r="D26" i="19"/>
  <c r="K25" i="19"/>
  <c r="J25" i="19"/>
  <c r="I25" i="19"/>
  <c r="I276" i="19" s="1"/>
  <c r="H25" i="19"/>
  <c r="H276" i="19" s="1"/>
  <c r="G25" i="19"/>
  <c r="F25" i="19"/>
  <c r="E25" i="19"/>
  <c r="D25" i="19"/>
  <c r="K24" i="19"/>
  <c r="K192" i="19" s="1"/>
  <c r="J24" i="19"/>
  <c r="I24" i="19"/>
  <c r="I108" i="19" s="1"/>
  <c r="H24" i="19"/>
  <c r="H192" i="19" s="1"/>
  <c r="G24" i="19"/>
  <c r="F24" i="19"/>
  <c r="F108" i="19" s="1"/>
  <c r="E24" i="19"/>
  <c r="E275" i="19" s="1"/>
  <c r="D24" i="19"/>
  <c r="K23" i="19"/>
  <c r="J23" i="19"/>
  <c r="I23" i="19"/>
  <c r="I274" i="19" s="1"/>
  <c r="H23" i="19"/>
  <c r="G23" i="19"/>
  <c r="F23" i="19"/>
  <c r="E23" i="19"/>
  <c r="D23" i="19"/>
  <c r="K22" i="19"/>
  <c r="J22" i="19"/>
  <c r="I22" i="19"/>
  <c r="I106" i="19" s="1"/>
  <c r="H22" i="19"/>
  <c r="G22" i="19"/>
  <c r="G106" i="19" s="1"/>
  <c r="F22" i="19"/>
  <c r="E22" i="19"/>
  <c r="E106" i="19" s="1"/>
  <c r="D22" i="19"/>
  <c r="D273" i="19" s="1"/>
  <c r="K21" i="19"/>
  <c r="J21" i="19"/>
  <c r="I21" i="19"/>
  <c r="I189" i="19" s="1"/>
  <c r="H21" i="19"/>
  <c r="G21" i="19"/>
  <c r="F21" i="19"/>
  <c r="E21" i="19"/>
  <c r="D21" i="19"/>
  <c r="K20" i="19"/>
  <c r="K188" i="19" s="1"/>
  <c r="J20" i="19"/>
  <c r="I20" i="19"/>
  <c r="I104" i="19" s="1"/>
  <c r="H20" i="19"/>
  <c r="H188" i="19" s="1"/>
  <c r="G20" i="19"/>
  <c r="F20" i="19"/>
  <c r="F104" i="19" s="1"/>
  <c r="E20" i="19"/>
  <c r="E271" i="19" s="1"/>
  <c r="D20" i="19"/>
  <c r="D271" i="19" s="1"/>
  <c r="K19" i="19"/>
  <c r="J19" i="19"/>
  <c r="I19" i="19"/>
  <c r="I270" i="19" s="1"/>
  <c r="H19" i="19"/>
  <c r="G19" i="19"/>
  <c r="F19" i="19"/>
  <c r="E19" i="19"/>
  <c r="D19" i="19"/>
  <c r="K18" i="19"/>
  <c r="J18" i="19"/>
  <c r="I18" i="19"/>
  <c r="I102" i="19" s="1"/>
  <c r="H18" i="19"/>
  <c r="G18" i="19"/>
  <c r="G186" i="19" s="1"/>
  <c r="F18" i="19"/>
  <c r="F102" i="19" s="1"/>
  <c r="E18" i="19"/>
  <c r="E102" i="19" s="1"/>
  <c r="D18" i="19"/>
  <c r="D269" i="19" s="1"/>
  <c r="K17" i="19"/>
  <c r="J17" i="19"/>
  <c r="I17" i="19"/>
  <c r="I268" i="19" s="1"/>
  <c r="H17" i="19"/>
  <c r="H268" i="19" s="1"/>
  <c r="G17" i="19"/>
  <c r="F17" i="19"/>
  <c r="E17" i="19"/>
  <c r="E268" i="19" s="1"/>
  <c r="D17" i="19"/>
  <c r="K16" i="19"/>
  <c r="J16" i="19"/>
  <c r="I16" i="19"/>
  <c r="I100" i="19" s="1"/>
  <c r="H16" i="19"/>
  <c r="H184" i="19" s="1"/>
  <c r="G16" i="19"/>
  <c r="F16" i="19"/>
  <c r="F100" i="19" s="1"/>
  <c r="E16" i="19"/>
  <c r="D16" i="19"/>
  <c r="K15" i="19"/>
  <c r="J15" i="19"/>
  <c r="I15" i="19"/>
  <c r="I183" i="19" s="1"/>
  <c r="H15" i="19"/>
  <c r="H183" i="19" s="1"/>
  <c r="G15" i="19"/>
  <c r="F15" i="19"/>
  <c r="E15" i="19"/>
  <c r="E266" i="19" s="1"/>
  <c r="D15" i="19"/>
  <c r="K14" i="19"/>
  <c r="K182" i="19" s="1"/>
  <c r="J14" i="19"/>
  <c r="I14" i="19"/>
  <c r="I182" i="19" s="1"/>
  <c r="H14" i="19"/>
  <c r="H45" i="19" s="1"/>
  <c r="G14" i="19"/>
  <c r="F14" i="19"/>
  <c r="F45" i="19" s="1"/>
  <c r="F213" i="19" s="1"/>
  <c r="E14" i="19"/>
  <c r="E265" i="19" s="1"/>
  <c r="D14" i="19"/>
  <c r="D45" i="19" s="1"/>
  <c r="R272" i="18"/>
  <c r="P272" i="18"/>
  <c r="O272" i="18"/>
  <c r="K272" i="18"/>
  <c r="J272" i="18"/>
  <c r="G272" i="18"/>
  <c r="F272" i="18"/>
  <c r="H266" i="18"/>
  <c r="R264" i="18"/>
  <c r="M263" i="18"/>
  <c r="D262" i="18"/>
  <c r="J258" i="18"/>
  <c r="I258" i="18"/>
  <c r="F254" i="18"/>
  <c r="R252" i="18"/>
  <c r="V236" i="18"/>
  <c r="U236" i="18"/>
  <c r="T236" i="18"/>
  <c r="S236" i="18"/>
  <c r="R236" i="18"/>
  <c r="Q236" i="18"/>
  <c r="P236" i="18"/>
  <c r="P275" i="18" s="1"/>
  <c r="O236" i="18"/>
  <c r="N236" i="18"/>
  <c r="M236" i="18"/>
  <c r="L236" i="18"/>
  <c r="K236" i="18"/>
  <c r="J236" i="18"/>
  <c r="J275" i="18" s="1"/>
  <c r="I236" i="18"/>
  <c r="H236" i="18"/>
  <c r="G236" i="18"/>
  <c r="F236" i="18"/>
  <c r="E236" i="18"/>
  <c r="D236" i="18"/>
  <c r="V235" i="18"/>
  <c r="U235" i="18"/>
  <c r="T235" i="18"/>
  <c r="S235" i="18"/>
  <c r="S274" i="18" s="1"/>
  <c r="R235" i="18"/>
  <c r="Q235" i="18"/>
  <c r="P235" i="18"/>
  <c r="O235" i="18"/>
  <c r="N235" i="18"/>
  <c r="M235" i="18"/>
  <c r="L235" i="18"/>
  <c r="K235" i="18"/>
  <c r="J235" i="18"/>
  <c r="I235" i="18"/>
  <c r="H235" i="18"/>
  <c r="G235" i="18"/>
  <c r="F235" i="18"/>
  <c r="E235" i="18"/>
  <c r="D235" i="18"/>
  <c r="V234" i="18"/>
  <c r="V273" i="18" s="1"/>
  <c r="U234" i="18"/>
  <c r="T234" i="18"/>
  <c r="S234" i="18"/>
  <c r="R234" i="18"/>
  <c r="Q234" i="18"/>
  <c r="P234" i="18"/>
  <c r="P273" i="18" s="1"/>
  <c r="O234" i="18"/>
  <c r="N234" i="18"/>
  <c r="M234" i="18"/>
  <c r="L234" i="18"/>
  <c r="K234" i="18"/>
  <c r="J234" i="18"/>
  <c r="I234" i="18"/>
  <c r="H234" i="18"/>
  <c r="G234" i="18"/>
  <c r="F234" i="18"/>
  <c r="E234" i="18"/>
  <c r="D234" i="18"/>
  <c r="V233" i="18"/>
  <c r="U233" i="18"/>
  <c r="T233" i="18"/>
  <c r="T272" i="18" s="1"/>
  <c r="S233" i="18"/>
  <c r="S272" i="18" s="1"/>
  <c r="R233" i="18"/>
  <c r="Q233" i="18"/>
  <c r="Q272" i="18" s="1"/>
  <c r="P233" i="18"/>
  <c r="O233" i="18"/>
  <c r="N233" i="18"/>
  <c r="N272" i="18" s="1"/>
  <c r="M233" i="18"/>
  <c r="M272" i="18" s="1"/>
  <c r="L233" i="18"/>
  <c r="L272" i="18" s="1"/>
  <c r="K233" i="18"/>
  <c r="J233" i="18"/>
  <c r="I233" i="18"/>
  <c r="I272" i="18" s="1"/>
  <c r="H233" i="18"/>
  <c r="H272" i="18" s="1"/>
  <c r="G233" i="18"/>
  <c r="F233" i="18"/>
  <c r="E233" i="18"/>
  <c r="E272" i="18" s="1"/>
  <c r="D233" i="18"/>
  <c r="D272" i="18" s="1"/>
  <c r="V232" i="18"/>
  <c r="U232" i="18"/>
  <c r="U271" i="18" s="1"/>
  <c r="T232" i="18"/>
  <c r="S232" i="18"/>
  <c r="R232" i="18"/>
  <c r="Q232" i="18"/>
  <c r="P232" i="18"/>
  <c r="O232" i="18"/>
  <c r="N232" i="18"/>
  <c r="M232" i="18"/>
  <c r="L232" i="18"/>
  <c r="K232" i="18"/>
  <c r="J232" i="18"/>
  <c r="I232" i="18"/>
  <c r="H232" i="18"/>
  <c r="G232" i="18"/>
  <c r="F232" i="18"/>
  <c r="F271" i="18" s="1"/>
  <c r="E232" i="18"/>
  <c r="E271" i="18" s="1"/>
  <c r="D232" i="18"/>
  <c r="V231" i="18"/>
  <c r="U231" i="18"/>
  <c r="T231" i="18"/>
  <c r="S231" i="18"/>
  <c r="R231" i="18"/>
  <c r="Q231" i="18"/>
  <c r="P231" i="18"/>
  <c r="O231" i="18"/>
  <c r="O270" i="18" s="1"/>
  <c r="N231" i="18"/>
  <c r="M231" i="18"/>
  <c r="L231" i="18"/>
  <c r="K231" i="18"/>
  <c r="J231" i="18"/>
  <c r="I231" i="18"/>
  <c r="H231" i="18"/>
  <c r="G231" i="18"/>
  <c r="F231" i="18"/>
  <c r="E231" i="18"/>
  <c r="D231" i="18"/>
  <c r="V230" i="18"/>
  <c r="U230" i="18"/>
  <c r="T230" i="18"/>
  <c r="S230" i="18"/>
  <c r="R230" i="18"/>
  <c r="R269" i="18" s="1"/>
  <c r="Q230" i="18"/>
  <c r="P230" i="18"/>
  <c r="O230" i="18"/>
  <c r="N230" i="18"/>
  <c r="M230" i="18"/>
  <c r="L230" i="18"/>
  <c r="K230" i="18"/>
  <c r="K269" i="18" s="1"/>
  <c r="J230" i="18"/>
  <c r="I230" i="18"/>
  <c r="H230" i="18"/>
  <c r="G230" i="18"/>
  <c r="F230" i="18"/>
  <c r="E230" i="18"/>
  <c r="D230" i="18"/>
  <c r="V229" i="18"/>
  <c r="U229" i="18"/>
  <c r="T229" i="18"/>
  <c r="S229" i="18"/>
  <c r="R229" i="18"/>
  <c r="Q229" i="18"/>
  <c r="P229" i="18"/>
  <c r="O229" i="18"/>
  <c r="O268" i="18" s="1"/>
  <c r="N229" i="18"/>
  <c r="M229" i="18"/>
  <c r="L229" i="18"/>
  <c r="K229" i="18"/>
  <c r="J229" i="18"/>
  <c r="I229" i="18"/>
  <c r="H229" i="18"/>
  <c r="G229" i="18"/>
  <c r="F229" i="18"/>
  <c r="E229" i="18"/>
  <c r="D229" i="18"/>
  <c r="V228" i="18"/>
  <c r="U228" i="18"/>
  <c r="T228" i="18"/>
  <c r="S228" i="18"/>
  <c r="R228" i="18"/>
  <c r="R267" i="18" s="1"/>
  <c r="Q228" i="18"/>
  <c r="P228" i="18"/>
  <c r="O228" i="18"/>
  <c r="N228" i="18"/>
  <c r="N267" i="18" s="1"/>
  <c r="M228" i="18"/>
  <c r="L228" i="18"/>
  <c r="K228" i="18"/>
  <c r="J228" i="18"/>
  <c r="I228" i="18"/>
  <c r="H228" i="18"/>
  <c r="H267" i="18" s="1"/>
  <c r="G228" i="18"/>
  <c r="F228" i="18"/>
  <c r="E228" i="18"/>
  <c r="D228" i="18"/>
  <c r="V227" i="18"/>
  <c r="U227" i="18"/>
  <c r="U266" i="18" s="1"/>
  <c r="T227" i="18"/>
  <c r="S227" i="18"/>
  <c r="R227" i="18"/>
  <c r="Q227" i="18"/>
  <c r="P227" i="18"/>
  <c r="O227" i="18"/>
  <c r="N227" i="18"/>
  <c r="M227" i="18"/>
  <c r="L227" i="18"/>
  <c r="K227" i="18"/>
  <c r="K266" i="18" s="1"/>
  <c r="J227" i="18"/>
  <c r="I227" i="18"/>
  <c r="H227" i="18"/>
  <c r="G227" i="18"/>
  <c r="F227" i="18"/>
  <c r="E227" i="18"/>
  <c r="D227" i="18"/>
  <c r="D266" i="18" s="1"/>
  <c r="V226" i="18"/>
  <c r="U226" i="18"/>
  <c r="T226" i="18"/>
  <c r="S226" i="18"/>
  <c r="R226" i="18"/>
  <c r="Q226" i="18"/>
  <c r="P226" i="18"/>
  <c r="O226" i="18"/>
  <c r="N226" i="18"/>
  <c r="M226" i="18"/>
  <c r="L226" i="18"/>
  <c r="K226" i="18"/>
  <c r="J226" i="18"/>
  <c r="I226" i="18"/>
  <c r="H226" i="18"/>
  <c r="H265" i="18" s="1"/>
  <c r="G226" i="18"/>
  <c r="G265" i="18" s="1"/>
  <c r="F226" i="18"/>
  <c r="E226" i="18"/>
  <c r="D226" i="18"/>
  <c r="V225" i="18"/>
  <c r="U225" i="18"/>
  <c r="T225" i="18"/>
  <c r="S225" i="18"/>
  <c r="R225" i="18"/>
  <c r="Q225" i="18"/>
  <c r="P225" i="18"/>
  <c r="O225" i="18"/>
  <c r="N225" i="18"/>
  <c r="M225" i="18"/>
  <c r="L225" i="18"/>
  <c r="K225" i="18"/>
  <c r="K264" i="18" s="1"/>
  <c r="J225" i="18"/>
  <c r="J264" i="18" s="1"/>
  <c r="I225" i="18"/>
  <c r="H225" i="18"/>
  <c r="G225" i="18"/>
  <c r="F225" i="18"/>
  <c r="E225" i="18"/>
  <c r="D225" i="18"/>
  <c r="V224" i="18"/>
  <c r="U224" i="18"/>
  <c r="T224" i="18"/>
  <c r="T263" i="18" s="1"/>
  <c r="S224" i="18"/>
  <c r="R224" i="18"/>
  <c r="Q224" i="18"/>
  <c r="P224" i="18"/>
  <c r="O224" i="18"/>
  <c r="N224" i="18"/>
  <c r="M224" i="18"/>
  <c r="L224" i="18"/>
  <c r="K224" i="18"/>
  <c r="J224" i="18"/>
  <c r="I224" i="18"/>
  <c r="H224" i="18"/>
  <c r="G224" i="18"/>
  <c r="F224" i="18"/>
  <c r="E224" i="18"/>
  <c r="D224" i="18"/>
  <c r="D263" i="18" s="1"/>
  <c r="V223" i="18"/>
  <c r="U223" i="18"/>
  <c r="T223" i="18"/>
  <c r="S223" i="18"/>
  <c r="R223" i="18"/>
  <c r="Q223" i="18"/>
  <c r="Q262" i="18" s="1"/>
  <c r="P223" i="18"/>
  <c r="P262" i="18" s="1"/>
  <c r="O223" i="18"/>
  <c r="N223" i="18"/>
  <c r="M223" i="18"/>
  <c r="L223" i="18"/>
  <c r="K223" i="18"/>
  <c r="J223" i="18"/>
  <c r="I223" i="18"/>
  <c r="H223" i="18"/>
  <c r="G223" i="18"/>
  <c r="G262" i="18" s="1"/>
  <c r="F223" i="18"/>
  <c r="E223" i="18"/>
  <c r="D223" i="18"/>
  <c r="V222" i="18"/>
  <c r="U222" i="18"/>
  <c r="T222" i="18"/>
  <c r="T261" i="18" s="1"/>
  <c r="S222" i="18"/>
  <c r="R222" i="18"/>
  <c r="Q222" i="18"/>
  <c r="P222" i="18"/>
  <c r="O222" i="18"/>
  <c r="N222" i="18"/>
  <c r="M222" i="18"/>
  <c r="L222" i="18"/>
  <c r="K222" i="18"/>
  <c r="J222" i="18"/>
  <c r="J261" i="18" s="1"/>
  <c r="I222" i="18"/>
  <c r="H222" i="18"/>
  <c r="G222" i="18"/>
  <c r="F222" i="18"/>
  <c r="E222" i="18"/>
  <c r="D222" i="18"/>
  <c r="D261" i="18" s="1"/>
  <c r="V221" i="18"/>
  <c r="U221" i="18"/>
  <c r="T221" i="18"/>
  <c r="S221" i="18"/>
  <c r="R221" i="18"/>
  <c r="Q221" i="18"/>
  <c r="P221" i="18"/>
  <c r="O221" i="18"/>
  <c r="N221" i="18"/>
  <c r="M221" i="18"/>
  <c r="M260" i="18" s="1"/>
  <c r="L221" i="18"/>
  <c r="K221" i="18"/>
  <c r="J221" i="18"/>
  <c r="I221" i="18"/>
  <c r="H221" i="18"/>
  <c r="G221" i="18"/>
  <c r="G260" i="18" s="1"/>
  <c r="F221" i="18"/>
  <c r="E221" i="18"/>
  <c r="D221" i="18"/>
  <c r="R220" i="18"/>
  <c r="V219" i="18"/>
  <c r="U219" i="18"/>
  <c r="T219" i="18"/>
  <c r="S219" i="18"/>
  <c r="R219" i="18"/>
  <c r="Q219" i="18"/>
  <c r="Q258" i="18" s="1"/>
  <c r="P219" i="18"/>
  <c r="O219" i="18"/>
  <c r="N219" i="18"/>
  <c r="M219" i="18"/>
  <c r="L219" i="18"/>
  <c r="K219" i="18"/>
  <c r="J219" i="18"/>
  <c r="I219" i="18"/>
  <c r="H219" i="18"/>
  <c r="G219" i="18"/>
  <c r="F219" i="18"/>
  <c r="E219" i="18"/>
  <c r="D219" i="18"/>
  <c r="V218" i="18"/>
  <c r="U218" i="18"/>
  <c r="T218" i="18"/>
  <c r="T257" i="18" s="1"/>
  <c r="S218" i="18"/>
  <c r="R218" i="18"/>
  <c r="Q218" i="18"/>
  <c r="P218" i="18"/>
  <c r="P257" i="18" s="1"/>
  <c r="O218" i="18"/>
  <c r="N218" i="18"/>
  <c r="M218" i="18"/>
  <c r="M257" i="18" s="1"/>
  <c r="L218" i="18"/>
  <c r="L257" i="18" s="1"/>
  <c r="K218" i="18"/>
  <c r="J218" i="18"/>
  <c r="I218" i="18"/>
  <c r="H218" i="18"/>
  <c r="G218" i="18"/>
  <c r="F218" i="18"/>
  <c r="E218" i="18"/>
  <c r="D218" i="18"/>
  <c r="D257" i="18" s="1"/>
  <c r="V217" i="18"/>
  <c r="U217" i="18"/>
  <c r="T217" i="18"/>
  <c r="S217" i="18"/>
  <c r="R217" i="18"/>
  <c r="Q217" i="18"/>
  <c r="P217" i="18"/>
  <c r="O217" i="18"/>
  <c r="O256" i="18" s="1"/>
  <c r="N217" i="18"/>
  <c r="M217" i="18"/>
  <c r="L217" i="18"/>
  <c r="K217" i="18"/>
  <c r="J217" i="18"/>
  <c r="I217" i="18"/>
  <c r="H217" i="18"/>
  <c r="G217" i="18"/>
  <c r="G256" i="18" s="1"/>
  <c r="F217" i="18"/>
  <c r="E217" i="18"/>
  <c r="D217" i="18"/>
  <c r="V216" i="18"/>
  <c r="U216" i="18"/>
  <c r="T216" i="18"/>
  <c r="S216" i="18"/>
  <c r="R216" i="18"/>
  <c r="R255" i="18" s="1"/>
  <c r="Q216" i="18"/>
  <c r="P216" i="18"/>
  <c r="O216" i="18"/>
  <c r="N216" i="18"/>
  <c r="M216" i="18"/>
  <c r="L216" i="18"/>
  <c r="K216" i="18"/>
  <c r="J216" i="18"/>
  <c r="J255" i="18" s="1"/>
  <c r="I216" i="18"/>
  <c r="H216" i="18"/>
  <c r="G216" i="18"/>
  <c r="F216" i="18"/>
  <c r="F255" i="18" s="1"/>
  <c r="E216" i="18"/>
  <c r="D216" i="18"/>
  <c r="V215" i="18"/>
  <c r="U215" i="18"/>
  <c r="U254" i="18" s="1"/>
  <c r="T215" i="18"/>
  <c r="S215" i="18"/>
  <c r="R215" i="18"/>
  <c r="Q215" i="18"/>
  <c r="P215" i="18"/>
  <c r="O215" i="18"/>
  <c r="N215" i="18"/>
  <c r="M215" i="18"/>
  <c r="M254" i="18" s="1"/>
  <c r="L215" i="18"/>
  <c r="K215" i="18"/>
  <c r="J215" i="18"/>
  <c r="I215" i="18"/>
  <c r="I254" i="18" s="1"/>
  <c r="H215" i="18"/>
  <c r="G215" i="18"/>
  <c r="F215" i="18"/>
  <c r="E215" i="18"/>
  <c r="E254" i="18" s="1"/>
  <c r="D215" i="18"/>
  <c r="V214" i="18"/>
  <c r="U214" i="18"/>
  <c r="T214" i="18"/>
  <c r="S214" i="18"/>
  <c r="R214" i="18"/>
  <c r="Q214" i="18"/>
  <c r="P214" i="18"/>
  <c r="O214" i="18"/>
  <c r="N214" i="18"/>
  <c r="M214" i="18"/>
  <c r="L214" i="18"/>
  <c r="L253" i="18" s="1"/>
  <c r="K214" i="18"/>
  <c r="J214" i="18"/>
  <c r="I214" i="18"/>
  <c r="H214" i="18"/>
  <c r="H253" i="18" s="1"/>
  <c r="G214" i="18"/>
  <c r="F214" i="18"/>
  <c r="E214" i="18"/>
  <c r="D214" i="18"/>
  <c r="V213" i="18"/>
  <c r="U213" i="18"/>
  <c r="T213" i="18"/>
  <c r="S213" i="18"/>
  <c r="R213" i="18"/>
  <c r="Q213" i="18"/>
  <c r="P213" i="18"/>
  <c r="O213" i="18"/>
  <c r="N213" i="18"/>
  <c r="M213" i="18"/>
  <c r="L213" i="18"/>
  <c r="L252" i="18" s="1"/>
  <c r="K213" i="18"/>
  <c r="K252" i="18" s="1"/>
  <c r="J213" i="18"/>
  <c r="I213" i="18"/>
  <c r="H213" i="18"/>
  <c r="G213" i="18"/>
  <c r="F213" i="18"/>
  <c r="E213" i="18"/>
  <c r="D213" i="18"/>
  <c r="V212" i="18"/>
  <c r="V251" i="18" s="1"/>
  <c r="U212" i="18"/>
  <c r="T212" i="18"/>
  <c r="S212" i="18"/>
  <c r="R212" i="18"/>
  <c r="R251" i="18" s="1"/>
  <c r="Q212" i="18"/>
  <c r="P212" i="18"/>
  <c r="O212" i="18"/>
  <c r="N212" i="18"/>
  <c r="N251" i="18" s="1"/>
  <c r="M212" i="18"/>
  <c r="L212" i="18"/>
  <c r="K212" i="18"/>
  <c r="J212" i="18"/>
  <c r="I212" i="18"/>
  <c r="H212" i="18"/>
  <c r="G212" i="18"/>
  <c r="F212" i="18"/>
  <c r="F251" i="18" s="1"/>
  <c r="E212" i="18"/>
  <c r="D212" i="18"/>
  <c r="V211" i="18"/>
  <c r="U211" i="18"/>
  <c r="U250" i="18" s="1"/>
  <c r="T211" i="18"/>
  <c r="S211" i="18"/>
  <c r="R211" i="18"/>
  <c r="R250" i="18" s="1"/>
  <c r="Q211" i="18"/>
  <c r="Q250" i="18" s="1"/>
  <c r="P211" i="18"/>
  <c r="O211" i="18"/>
  <c r="N211" i="18"/>
  <c r="M211" i="18"/>
  <c r="L211" i="18"/>
  <c r="K211" i="18"/>
  <c r="J211" i="18"/>
  <c r="I211" i="18"/>
  <c r="I250" i="18" s="1"/>
  <c r="H211" i="18"/>
  <c r="G211" i="18"/>
  <c r="F211" i="18"/>
  <c r="E211" i="18"/>
  <c r="D211" i="18"/>
  <c r="V210" i="18"/>
  <c r="U210" i="18"/>
  <c r="U249" i="18" s="1"/>
  <c r="T210" i="18"/>
  <c r="T249" i="18" s="1"/>
  <c r="S210" i="18"/>
  <c r="R210" i="18"/>
  <c r="Q210" i="18"/>
  <c r="P210" i="18"/>
  <c r="O210" i="18"/>
  <c r="N210" i="18"/>
  <c r="M210" i="18"/>
  <c r="L210" i="18"/>
  <c r="K210" i="18"/>
  <c r="J210" i="18"/>
  <c r="I210" i="18"/>
  <c r="H210" i="18"/>
  <c r="H249" i="18" s="1"/>
  <c r="G210" i="18"/>
  <c r="F210" i="18"/>
  <c r="E210" i="18"/>
  <c r="D210" i="18"/>
  <c r="D249" i="18" s="1"/>
  <c r="V209" i="18"/>
  <c r="U209" i="18"/>
  <c r="T209" i="18"/>
  <c r="S209" i="18"/>
  <c r="R209" i="18"/>
  <c r="Q209" i="18"/>
  <c r="P209" i="18"/>
  <c r="O209" i="18"/>
  <c r="O237" i="18" s="1"/>
  <c r="N209" i="18"/>
  <c r="M209" i="18"/>
  <c r="L209" i="18"/>
  <c r="K209" i="18"/>
  <c r="K248" i="18" s="1"/>
  <c r="J209" i="18"/>
  <c r="I209" i="18"/>
  <c r="H209" i="18"/>
  <c r="H248" i="18" s="1"/>
  <c r="G209" i="18"/>
  <c r="G248" i="18" s="1"/>
  <c r="F209" i="18"/>
  <c r="E209" i="18"/>
  <c r="D209" i="18"/>
  <c r="V208" i="18"/>
  <c r="U208" i="18"/>
  <c r="T208" i="18"/>
  <c r="S208" i="18"/>
  <c r="R208" i="18"/>
  <c r="R237" i="18" s="1"/>
  <c r="Q208" i="18"/>
  <c r="P208" i="18"/>
  <c r="O208" i="18"/>
  <c r="N208" i="18"/>
  <c r="M208" i="18"/>
  <c r="L208" i="18"/>
  <c r="K208" i="18"/>
  <c r="J208" i="18"/>
  <c r="I208" i="18"/>
  <c r="H208" i="18"/>
  <c r="H237" i="18" s="1"/>
  <c r="G208" i="18"/>
  <c r="G237" i="18" s="1"/>
  <c r="F208" i="18"/>
  <c r="E208" i="18"/>
  <c r="D208" i="18"/>
  <c r="J198" i="18"/>
  <c r="I198" i="18"/>
  <c r="M197" i="18"/>
  <c r="T195" i="18"/>
  <c r="S195" i="18"/>
  <c r="I195" i="18"/>
  <c r="H195" i="18"/>
  <c r="I194" i="18"/>
  <c r="L193" i="18"/>
  <c r="K192" i="18"/>
  <c r="O191" i="18"/>
  <c r="N191" i="18"/>
  <c r="R190" i="18"/>
  <c r="O190" i="18"/>
  <c r="N187" i="18"/>
  <c r="Q186" i="18"/>
  <c r="P185" i="18"/>
  <c r="T184" i="18"/>
  <c r="S184" i="18"/>
  <c r="D184" i="18"/>
  <c r="V182" i="18"/>
  <c r="U182" i="18"/>
  <c r="T182" i="18"/>
  <c r="S182" i="18"/>
  <c r="Q182" i="18"/>
  <c r="P182" i="18"/>
  <c r="O182" i="18"/>
  <c r="N182" i="18"/>
  <c r="M182" i="18"/>
  <c r="L182" i="18"/>
  <c r="K182" i="18"/>
  <c r="J182" i="18"/>
  <c r="I182" i="18"/>
  <c r="H182" i="18"/>
  <c r="G182" i="18"/>
  <c r="F182" i="18"/>
  <c r="E182" i="18"/>
  <c r="D182" i="18"/>
  <c r="E180" i="18"/>
  <c r="L176" i="18"/>
  <c r="I176" i="18"/>
  <c r="L175" i="18"/>
  <c r="L174" i="18"/>
  <c r="P160" i="18"/>
  <c r="V159" i="18"/>
  <c r="U159" i="18"/>
  <c r="T159" i="18"/>
  <c r="S159" i="18"/>
  <c r="R159" i="18"/>
  <c r="R198" i="18" s="1"/>
  <c r="Q159" i="18"/>
  <c r="P159" i="18"/>
  <c r="O159" i="18"/>
  <c r="N159" i="18"/>
  <c r="M159" i="18"/>
  <c r="M198" i="18" s="1"/>
  <c r="L159" i="18"/>
  <c r="K159" i="18"/>
  <c r="J159" i="18"/>
  <c r="I159" i="18"/>
  <c r="H159" i="18"/>
  <c r="H198" i="18" s="1"/>
  <c r="G159" i="18"/>
  <c r="F159" i="18"/>
  <c r="E159" i="18"/>
  <c r="D159" i="18"/>
  <c r="V158" i="18"/>
  <c r="U158" i="18"/>
  <c r="U197" i="18" s="1"/>
  <c r="T158" i="18"/>
  <c r="S158" i="18"/>
  <c r="R158" i="18"/>
  <c r="Q158" i="18"/>
  <c r="P158" i="18"/>
  <c r="P197" i="18" s="1"/>
  <c r="O158" i="18"/>
  <c r="N158" i="18"/>
  <c r="M158" i="18"/>
  <c r="L158" i="18"/>
  <c r="L197" i="18" s="1"/>
  <c r="K158" i="18"/>
  <c r="J158" i="18"/>
  <c r="I158" i="18"/>
  <c r="H158" i="18"/>
  <c r="G158" i="18"/>
  <c r="F158" i="18"/>
  <c r="E158" i="18"/>
  <c r="E197" i="18" s="1"/>
  <c r="D158" i="18"/>
  <c r="V157" i="18"/>
  <c r="U157" i="18"/>
  <c r="T157" i="18"/>
  <c r="S157" i="18"/>
  <c r="S196" i="18" s="1"/>
  <c r="R157" i="18"/>
  <c r="Q157" i="18"/>
  <c r="P157" i="18"/>
  <c r="O157" i="18"/>
  <c r="O196" i="18" s="1"/>
  <c r="N157" i="18"/>
  <c r="M157" i="18"/>
  <c r="L157" i="18"/>
  <c r="K157" i="18"/>
  <c r="J157" i="18"/>
  <c r="I157" i="18"/>
  <c r="H157" i="18"/>
  <c r="H196" i="18" s="1"/>
  <c r="G157" i="18"/>
  <c r="F157" i="18"/>
  <c r="E157" i="18"/>
  <c r="D157" i="18"/>
  <c r="V156" i="18"/>
  <c r="V195" i="18" s="1"/>
  <c r="U156" i="18"/>
  <c r="T156" i="18"/>
  <c r="S156" i="18"/>
  <c r="R156" i="18"/>
  <c r="R195" i="18" s="1"/>
  <c r="Q156" i="18"/>
  <c r="Q195" i="18" s="1"/>
  <c r="P156" i="18"/>
  <c r="P195" i="18" s="1"/>
  <c r="O156" i="18"/>
  <c r="O195" i="18" s="1"/>
  <c r="N156" i="18"/>
  <c r="N195" i="18" s="1"/>
  <c r="M156" i="18"/>
  <c r="M195" i="18" s="1"/>
  <c r="L156" i="18"/>
  <c r="L195" i="18" s="1"/>
  <c r="K156" i="18"/>
  <c r="K195" i="18" s="1"/>
  <c r="J156" i="18"/>
  <c r="J195" i="18" s="1"/>
  <c r="I156" i="18"/>
  <c r="H156" i="18"/>
  <c r="G156" i="18"/>
  <c r="G195" i="18" s="1"/>
  <c r="F156" i="18"/>
  <c r="F195" i="18" s="1"/>
  <c r="E156" i="18"/>
  <c r="E195" i="18" s="1"/>
  <c r="D156" i="18"/>
  <c r="D195" i="18" s="1"/>
  <c r="V155" i="18"/>
  <c r="V194" i="18" s="1"/>
  <c r="U155" i="18"/>
  <c r="U194" i="18" s="1"/>
  <c r="T155" i="18"/>
  <c r="T194" i="18" s="1"/>
  <c r="S155" i="18"/>
  <c r="R155" i="18"/>
  <c r="Q155" i="18"/>
  <c r="P155" i="18"/>
  <c r="O155" i="18"/>
  <c r="N155" i="18"/>
  <c r="N194" i="18" s="1"/>
  <c r="M155" i="18"/>
  <c r="L155" i="18"/>
  <c r="K155" i="18"/>
  <c r="J155" i="18"/>
  <c r="I155" i="18"/>
  <c r="H155" i="18"/>
  <c r="G155" i="18"/>
  <c r="F155" i="18"/>
  <c r="E155" i="18"/>
  <c r="E194" i="18" s="1"/>
  <c r="D155" i="18"/>
  <c r="D194" i="18" s="1"/>
  <c r="V154" i="18"/>
  <c r="U154" i="18"/>
  <c r="T154" i="18"/>
  <c r="S154" i="18"/>
  <c r="R154" i="18"/>
  <c r="Q154" i="18"/>
  <c r="Q193" i="18" s="1"/>
  <c r="P154" i="18"/>
  <c r="O154" i="18"/>
  <c r="N154" i="18"/>
  <c r="M154" i="18"/>
  <c r="L154" i="18"/>
  <c r="K154" i="18"/>
  <c r="J154" i="18"/>
  <c r="I154" i="18"/>
  <c r="I193" i="18" s="1"/>
  <c r="H154" i="18"/>
  <c r="H193" i="18" s="1"/>
  <c r="G154" i="18"/>
  <c r="G193" i="18" s="1"/>
  <c r="F154" i="18"/>
  <c r="E154" i="18"/>
  <c r="D154" i="18"/>
  <c r="V153" i="18"/>
  <c r="U153" i="18"/>
  <c r="T153" i="18"/>
  <c r="T192" i="18" s="1"/>
  <c r="S153" i="18"/>
  <c r="R153" i="18"/>
  <c r="Q153" i="18"/>
  <c r="P153" i="18"/>
  <c r="O153" i="18"/>
  <c r="O192" i="18" s="1"/>
  <c r="N153" i="18"/>
  <c r="M153" i="18"/>
  <c r="L153" i="18"/>
  <c r="K153" i="18"/>
  <c r="J153" i="18"/>
  <c r="J192" i="18" s="1"/>
  <c r="I153" i="18"/>
  <c r="H153" i="18"/>
  <c r="G153" i="18"/>
  <c r="F153" i="18"/>
  <c r="E153" i="18"/>
  <c r="D153" i="18"/>
  <c r="D192" i="18" s="1"/>
  <c r="V152" i="18"/>
  <c r="U152" i="18"/>
  <c r="T152" i="18"/>
  <c r="S152" i="18"/>
  <c r="R152" i="18"/>
  <c r="R191" i="18" s="1"/>
  <c r="Q152" i="18"/>
  <c r="P152" i="18"/>
  <c r="O152" i="18"/>
  <c r="N152" i="18"/>
  <c r="M152" i="18"/>
  <c r="M191" i="18" s="1"/>
  <c r="L152" i="18"/>
  <c r="K152" i="18"/>
  <c r="J152" i="18"/>
  <c r="I152" i="18"/>
  <c r="H152" i="18"/>
  <c r="G152" i="18"/>
  <c r="G191" i="18" s="1"/>
  <c r="F152" i="18"/>
  <c r="E152" i="18"/>
  <c r="D152" i="18"/>
  <c r="V151" i="18"/>
  <c r="U151" i="18"/>
  <c r="U190" i="18" s="1"/>
  <c r="T151" i="18"/>
  <c r="S151" i="18"/>
  <c r="R151" i="18"/>
  <c r="Q151" i="18"/>
  <c r="Q190" i="18" s="1"/>
  <c r="P151" i="18"/>
  <c r="O151" i="18"/>
  <c r="N151" i="18"/>
  <c r="M151" i="18"/>
  <c r="L151" i="18"/>
  <c r="K151" i="18"/>
  <c r="J151" i="18"/>
  <c r="J190" i="18" s="1"/>
  <c r="I151" i="18"/>
  <c r="H151" i="18"/>
  <c r="G151" i="18"/>
  <c r="F151" i="18"/>
  <c r="E151" i="18"/>
  <c r="E190" i="18" s="1"/>
  <c r="D151" i="18"/>
  <c r="V150" i="18"/>
  <c r="U150" i="18"/>
  <c r="T150" i="18"/>
  <c r="T189" i="18" s="1"/>
  <c r="S150" i="18"/>
  <c r="R150" i="18"/>
  <c r="Q150" i="18"/>
  <c r="P150" i="18"/>
  <c r="O150" i="18"/>
  <c r="O189" i="18" s="1"/>
  <c r="N150" i="18"/>
  <c r="M150" i="18"/>
  <c r="M189" i="18" s="1"/>
  <c r="L150" i="18"/>
  <c r="L189" i="18" s="1"/>
  <c r="K150" i="18"/>
  <c r="J150" i="18"/>
  <c r="I150" i="18"/>
  <c r="H150" i="18"/>
  <c r="H189" i="18" s="1"/>
  <c r="G150" i="18"/>
  <c r="F150" i="18"/>
  <c r="E150" i="18"/>
  <c r="D150" i="18"/>
  <c r="D189" i="18" s="1"/>
  <c r="V149" i="18"/>
  <c r="V188" i="18" s="1"/>
  <c r="U149" i="18"/>
  <c r="T149" i="18"/>
  <c r="S149" i="18"/>
  <c r="R149" i="18"/>
  <c r="Q149" i="18"/>
  <c r="P149" i="18"/>
  <c r="P188" i="18" s="1"/>
  <c r="O149" i="18"/>
  <c r="N149" i="18"/>
  <c r="M149" i="18"/>
  <c r="L149" i="18"/>
  <c r="K149" i="18"/>
  <c r="K188" i="18" s="1"/>
  <c r="J149" i="18"/>
  <c r="I149" i="18"/>
  <c r="H149" i="18"/>
  <c r="H188" i="18" s="1"/>
  <c r="G149" i="18"/>
  <c r="G188" i="18" s="1"/>
  <c r="F149" i="18"/>
  <c r="F188" i="18" s="1"/>
  <c r="E149" i="18"/>
  <c r="D149" i="18"/>
  <c r="V148" i="18"/>
  <c r="U148" i="18"/>
  <c r="T148" i="18"/>
  <c r="S148" i="18"/>
  <c r="S187" i="18" s="1"/>
  <c r="R148" i="18"/>
  <c r="Q148" i="18"/>
  <c r="P148" i="18"/>
  <c r="P187" i="18" s="1"/>
  <c r="O148" i="18"/>
  <c r="N148" i="18"/>
  <c r="M148" i="18"/>
  <c r="L148" i="18"/>
  <c r="K148" i="18"/>
  <c r="J148" i="18"/>
  <c r="J187" i="18" s="1"/>
  <c r="I148" i="18"/>
  <c r="I187" i="18" s="1"/>
  <c r="H148" i="18"/>
  <c r="G148" i="18"/>
  <c r="F148" i="18"/>
  <c r="E148" i="18"/>
  <c r="D148" i="18"/>
  <c r="V147" i="18"/>
  <c r="V186" i="18" s="1"/>
  <c r="U147" i="18"/>
  <c r="T147" i="18"/>
  <c r="S147" i="18"/>
  <c r="R147" i="18"/>
  <c r="Q147" i="18"/>
  <c r="P147" i="18"/>
  <c r="O147" i="18"/>
  <c r="N147" i="18"/>
  <c r="N186" i="18" s="1"/>
  <c r="M147" i="18"/>
  <c r="M186" i="18" s="1"/>
  <c r="L147" i="18"/>
  <c r="L186" i="18" s="1"/>
  <c r="K147" i="18"/>
  <c r="J147" i="18"/>
  <c r="I147" i="18"/>
  <c r="H147" i="18"/>
  <c r="G147" i="18"/>
  <c r="F147" i="18"/>
  <c r="F186" i="18" s="1"/>
  <c r="E147" i="18"/>
  <c r="D147" i="18"/>
  <c r="V146" i="18"/>
  <c r="U146" i="18"/>
  <c r="T146" i="18"/>
  <c r="T185" i="18" s="1"/>
  <c r="S146" i="18"/>
  <c r="R146" i="18"/>
  <c r="Q146" i="18"/>
  <c r="P146" i="18"/>
  <c r="O146" i="18"/>
  <c r="O185" i="18" s="1"/>
  <c r="N146" i="18"/>
  <c r="M146" i="18"/>
  <c r="L146" i="18"/>
  <c r="K146" i="18"/>
  <c r="J146" i="18"/>
  <c r="I146" i="18"/>
  <c r="I185" i="18" s="1"/>
  <c r="H146" i="18"/>
  <c r="G146" i="18"/>
  <c r="F146" i="18"/>
  <c r="E146" i="18"/>
  <c r="D146" i="18"/>
  <c r="D185" i="18" s="1"/>
  <c r="V145" i="18"/>
  <c r="U145" i="18"/>
  <c r="T145" i="18"/>
  <c r="S145" i="18"/>
  <c r="R145" i="18"/>
  <c r="R184" i="18" s="1"/>
  <c r="Q145" i="18"/>
  <c r="P145" i="18"/>
  <c r="O145" i="18"/>
  <c r="N145" i="18"/>
  <c r="M145" i="18"/>
  <c r="L145" i="18"/>
  <c r="K145" i="18"/>
  <c r="J145" i="18"/>
  <c r="I145" i="18"/>
  <c r="H145" i="18"/>
  <c r="G145" i="18"/>
  <c r="G184" i="18" s="1"/>
  <c r="F145" i="18"/>
  <c r="E145" i="18"/>
  <c r="D145" i="18"/>
  <c r="V144" i="18"/>
  <c r="V183" i="18" s="1"/>
  <c r="U144" i="18"/>
  <c r="T144" i="18"/>
  <c r="S144" i="18"/>
  <c r="R144" i="18"/>
  <c r="Q144" i="18"/>
  <c r="P144" i="18"/>
  <c r="O144" i="18"/>
  <c r="N144" i="18"/>
  <c r="M144" i="18"/>
  <c r="L144" i="18"/>
  <c r="K144" i="18"/>
  <c r="J144" i="18"/>
  <c r="J183" i="18" s="1"/>
  <c r="I144" i="18"/>
  <c r="H144" i="18"/>
  <c r="G144" i="18"/>
  <c r="F144" i="18"/>
  <c r="F183" i="18" s="1"/>
  <c r="E144" i="18"/>
  <c r="D144" i="18"/>
  <c r="R143" i="18"/>
  <c r="R182" i="18" s="1"/>
  <c r="V142" i="18"/>
  <c r="U142" i="18"/>
  <c r="T142" i="18"/>
  <c r="S142" i="18"/>
  <c r="R142" i="18"/>
  <c r="Q142" i="18"/>
  <c r="P142" i="18"/>
  <c r="O142" i="18"/>
  <c r="N142" i="18"/>
  <c r="M142" i="18"/>
  <c r="M181" i="18" s="1"/>
  <c r="L142" i="18"/>
  <c r="K142" i="18"/>
  <c r="J142" i="18"/>
  <c r="J181" i="18" s="1"/>
  <c r="I142" i="18"/>
  <c r="I181" i="18" s="1"/>
  <c r="H142" i="18"/>
  <c r="G142" i="18"/>
  <c r="F142" i="18"/>
  <c r="E142" i="18"/>
  <c r="D142" i="18"/>
  <c r="V141" i="18"/>
  <c r="U141" i="18"/>
  <c r="T141" i="18"/>
  <c r="S141" i="18"/>
  <c r="R141" i="18"/>
  <c r="Q141" i="18"/>
  <c r="P141" i="18"/>
  <c r="P180" i="18" s="1"/>
  <c r="O141" i="18"/>
  <c r="N141" i="18"/>
  <c r="M141" i="18"/>
  <c r="M180" i="18" s="1"/>
  <c r="L141" i="18"/>
  <c r="L180" i="18" s="1"/>
  <c r="K141" i="18"/>
  <c r="J141" i="18"/>
  <c r="I141" i="18"/>
  <c r="H141" i="18"/>
  <c r="H180" i="18" s="1"/>
  <c r="G141" i="18"/>
  <c r="F141" i="18"/>
  <c r="E141" i="18"/>
  <c r="D141" i="18"/>
  <c r="V140" i="18"/>
  <c r="U140" i="18"/>
  <c r="T140" i="18"/>
  <c r="S140" i="18"/>
  <c r="S179" i="18" s="1"/>
  <c r="R140" i="18"/>
  <c r="Q140" i="18"/>
  <c r="P140" i="18"/>
  <c r="P179" i="18" s="1"/>
  <c r="O140" i="18"/>
  <c r="O179" i="18" s="1"/>
  <c r="N140" i="18"/>
  <c r="M140" i="18"/>
  <c r="L140" i="18"/>
  <c r="K140" i="18"/>
  <c r="J140" i="18"/>
  <c r="I140" i="18"/>
  <c r="I179" i="18" s="1"/>
  <c r="H140" i="18"/>
  <c r="H179" i="18" s="1"/>
  <c r="G140" i="18"/>
  <c r="F140" i="18"/>
  <c r="F179" i="18" s="1"/>
  <c r="E140" i="18"/>
  <c r="D140" i="18"/>
  <c r="V139" i="18"/>
  <c r="V178" i="18" s="1"/>
  <c r="U139" i="18"/>
  <c r="T139" i="18"/>
  <c r="S139" i="18"/>
  <c r="S178" i="18" s="1"/>
  <c r="R139" i="18"/>
  <c r="R178" i="18" s="1"/>
  <c r="Q139" i="18"/>
  <c r="P139" i="18"/>
  <c r="O139" i="18"/>
  <c r="N139" i="18"/>
  <c r="M139" i="18"/>
  <c r="L139" i="18"/>
  <c r="K139" i="18"/>
  <c r="J139" i="18"/>
  <c r="I139" i="18"/>
  <c r="H139" i="18"/>
  <c r="G139" i="18"/>
  <c r="F139" i="18"/>
  <c r="F178" i="18" s="1"/>
  <c r="E139" i="18"/>
  <c r="D139" i="18"/>
  <c r="V138" i="18"/>
  <c r="V177" i="18" s="1"/>
  <c r="U138" i="18"/>
  <c r="U177" i="18" s="1"/>
  <c r="T138" i="18"/>
  <c r="S138" i="18"/>
  <c r="R138" i="18"/>
  <c r="Q138" i="18"/>
  <c r="P138" i="18"/>
  <c r="O138" i="18"/>
  <c r="N138" i="18"/>
  <c r="M138" i="18"/>
  <c r="L138" i="18"/>
  <c r="K138" i="18"/>
  <c r="J138" i="18"/>
  <c r="I138" i="18"/>
  <c r="I177" i="18" s="1"/>
  <c r="H138" i="18"/>
  <c r="G138" i="18"/>
  <c r="F138" i="18"/>
  <c r="F177" i="18" s="1"/>
  <c r="E138" i="18"/>
  <c r="E177" i="18" s="1"/>
  <c r="D138" i="18"/>
  <c r="V137" i="18"/>
  <c r="U137" i="18"/>
  <c r="T137" i="18"/>
  <c r="S137" i="18"/>
  <c r="R137" i="18"/>
  <c r="Q137" i="18"/>
  <c r="P137" i="18"/>
  <c r="O137" i="18"/>
  <c r="N137" i="18"/>
  <c r="M137" i="18"/>
  <c r="L137" i="18"/>
  <c r="K137" i="18"/>
  <c r="J137" i="18"/>
  <c r="I137" i="18"/>
  <c r="H137" i="18"/>
  <c r="H176" i="18" s="1"/>
  <c r="G137" i="18"/>
  <c r="F137" i="18"/>
  <c r="E137" i="18"/>
  <c r="D137" i="18"/>
  <c r="V136" i="18"/>
  <c r="U136" i="18"/>
  <c r="T136" i="18"/>
  <c r="S136" i="18"/>
  <c r="R136" i="18"/>
  <c r="Q136" i="18"/>
  <c r="P136" i="18"/>
  <c r="O136" i="18"/>
  <c r="O175" i="18" s="1"/>
  <c r="N136" i="18"/>
  <c r="M136" i="18"/>
  <c r="L136" i="18"/>
  <c r="K136" i="18"/>
  <c r="K175" i="18" s="1"/>
  <c r="J136" i="18"/>
  <c r="I136" i="18"/>
  <c r="H136" i="18"/>
  <c r="G136" i="18"/>
  <c r="F136" i="18"/>
  <c r="E136" i="18"/>
  <c r="D136" i="18"/>
  <c r="V135" i="18"/>
  <c r="U135" i="18"/>
  <c r="T135" i="18"/>
  <c r="S135" i="18"/>
  <c r="R135" i="18"/>
  <c r="R174" i="18" s="1"/>
  <c r="Q135" i="18"/>
  <c r="P135" i="18"/>
  <c r="O135" i="18"/>
  <c r="O174" i="18" s="1"/>
  <c r="N135" i="18"/>
  <c r="N174" i="18" s="1"/>
  <c r="M135" i="18"/>
  <c r="L135" i="18"/>
  <c r="K135" i="18"/>
  <c r="J135" i="18"/>
  <c r="I135" i="18"/>
  <c r="H135" i="18"/>
  <c r="G135" i="18"/>
  <c r="F135" i="18"/>
  <c r="E135" i="18"/>
  <c r="D135" i="18"/>
  <c r="V134" i="18"/>
  <c r="U134" i="18"/>
  <c r="U173" i="18" s="1"/>
  <c r="T134" i="18"/>
  <c r="S134" i="18"/>
  <c r="R134" i="18"/>
  <c r="R173" i="18" s="1"/>
  <c r="Q134" i="18"/>
  <c r="Q173" i="18" s="1"/>
  <c r="P134" i="18"/>
  <c r="O134" i="18"/>
  <c r="N134" i="18"/>
  <c r="M134" i="18"/>
  <c r="M173" i="18" s="1"/>
  <c r="L134" i="18"/>
  <c r="K134" i="18"/>
  <c r="J134" i="18"/>
  <c r="J173" i="18" s="1"/>
  <c r="I134" i="18"/>
  <c r="H134" i="18"/>
  <c r="G134" i="18"/>
  <c r="F134" i="18"/>
  <c r="E134" i="18"/>
  <c r="E173" i="18" s="1"/>
  <c r="D134" i="18"/>
  <c r="V133" i="18"/>
  <c r="U133" i="18"/>
  <c r="U172" i="18" s="1"/>
  <c r="T133" i="18"/>
  <c r="T172" i="18" s="1"/>
  <c r="S133" i="18"/>
  <c r="R133" i="18"/>
  <c r="Q133" i="18"/>
  <c r="P133" i="18"/>
  <c r="O133" i="18"/>
  <c r="N133" i="18"/>
  <c r="N172" i="18" s="1"/>
  <c r="M133" i="18"/>
  <c r="M172" i="18" s="1"/>
  <c r="L133" i="18"/>
  <c r="K133" i="18"/>
  <c r="K172" i="18" s="1"/>
  <c r="J133" i="18"/>
  <c r="I133" i="18"/>
  <c r="H133" i="18"/>
  <c r="H172" i="18" s="1"/>
  <c r="G133" i="18"/>
  <c r="F133" i="18"/>
  <c r="E133" i="18"/>
  <c r="E172" i="18" s="1"/>
  <c r="D133" i="18"/>
  <c r="D172" i="18" s="1"/>
  <c r="V132" i="18"/>
  <c r="U132" i="18"/>
  <c r="T132" i="18"/>
  <c r="S132" i="18"/>
  <c r="R132" i="18"/>
  <c r="Q132" i="18"/>
  <c r="P132" i="18"/>
  <c r="O132" i="18"/>
  <c r="N132" i="18"/>
  <c r="N160" i="18" s="1"/>
  <c r="M132" i="18"/>
  <c r="L132" i="18"/>
  <c r="K132" i="18"/>
  <c r="K171" i="18" s="1"/>
  <c r="J132" i="18"/>
  <c r="I132" i="18"/>
  <c r="H132" i="18"/>
  <c r="H171" i="18" s="1"/>
  <c r="G132" i="18"/>
  <c r="G171" i="18" s="1"/>
  <c r="F132" i="18"/>
  <c r="E132" i="18"/>
  <c r="D132" i="18"/>
  <c r="V131" i="18"/>
  <c r="U131" i="18"/>
  <c r="T131" i="18"/>
  <c r="S131" i="18"/>
  <c r="R131" i="18"/>
  <c r="Q131" i="18"/>
  <c r="Q160" i="18" s="1"/>
  <c r="P131" i="18"/>
  <c r="O131" i="18"/>
  <c r="O160" i="18" s="1"/>
  <c r="N131" i="18"/>
  <c r="N170" i="18" s="1"/>
  <c r="M131" i="18"/>
  <c r="L131" i="18"/>
  <c r="K131" i="18"/>
  <c r="J131" i="18"/>
  <c r="I131" i="18"/>
  <c r="H131" i="18"/>
  <c r="G131" i="18"/>
  <c r="F131" i="18"/>
  <c r="E131" i="18"/>
  <c r="D131" i="18"/>
  <c r="R120" i="18"/>
  <c r="N120" i="18"/>
  <c r="M120" i="18"/>
  <c r="U119" i="18"/>
  <c r="P119" i="18"/>
  <c r="L119" i="18"/>
  <c r="S118" i="18"/>
  <c r="M118" i="18"/>
  <c r="H118" i="18"/>
  <c r="T117" i="18"/>
  <c r="S117" i="18"/>
  <c r="O117" i="18"/>
  <c r="L117" i="18"/>
  <c r="K117" i="18"/>
  <c r="D117" i="18"/>
  <c r="U116" i="18"/>
  <c r="N116" i="18"/>
  <c r="I116" i="18"/>
  <c r="Q115" i="18"/>
  <c r="L115" i="18"/>
  <c r="H114" i="18"/>
  <c r="D114" i="18"/>
  <c r="R113" i="18"/>
  <c r="O113" i="18"/>
  <c r="G113" i="18"/>
  <c r="D113" i="18"/>
  <c r="U112" i="18"/>
  <c r="R112" i="18"/>
  <c r="L112" i="18"/>
  <c r="J112" i="18"/>
  <c r="E112" i="18"/>
  <c r="M111" i="18"/>
  <c r="J111" i="18"/>
  <c r="H111" i="18"/>
  <c r="E111" i="18"/>
  <c r="R110" i="18"/>
  <c r="P110" i="18"/>
  <c r="K110" i="18"/>
  <c r="S109" i="18"/>
  <c r="P109" i="18"/>
  <c r="N109" i="18"/>
  <c r="K109" i="18"/>
  <c r="E109" i="18"/>
  <c r="V108" i="18"/>
  <c r="Q108" i="18"/>
  <c r="F108" i="18"/>
  <c r="V107" i="18"/>
  <c r="T107" i="18"/>
  <c r="Q107" i="18"/>
  <c r="K107" i="18"/>
  <c r="I107" i="18"/>
  <c r="D107" i="18"/>
  <c r="I106" i="18"/>
  <c r="G106" i="18"/>
  <c r="D106" i="18"/>
  <c r="Q105" i="18"/>
  <c r="J105" i="18"/>
  <c r="G105" i="18"/>
  <c r="V104" i="18"/>
  <c r="U104" i="18"/>
  <c r="T104" i="18"/>
  <c r="S104" i="18"/>
  <c r="R104" i="18"/>
  <c r="Q104" i="18"/>
  <c r="P104" i="18"/>
  <c r="O104" i="18"/>
  <c r="N104" i="18"/>
  <c r="M104" i="18"/>
  <c r="L104" i="18"/>
  <c r="K104" i="18"/>
  <c r="J104" i="18"/>
  <c r="I104" i="18"/>
  <c r="H104" i="18"/>
  <c r="G104" i="18"/>
  <c r="F104" i="18"/>
  <c r="E104" i="18"/>
  <c r="D104" i="18"/>
  <c r="M103" i="18"/>
  <c r="P102" i="18"/>
  <c r="M102" i="18"/>
  <c r="F102" i="18"/>
  <c r="S101" i="18"/>
  <c r="O101" i="18"/>
  <c r="V100" i="18"/>
  <c r="R100" i="18"/>
  <c r="F100" i="18"/>
  <c r="L99" i="18"/>
  <c r="L98" i="18"/>
  <c r="I98" i="18"/>
  <c r="F98" i="18"/>
  <c r="O97" i="18"/>
  <c r="L97" i="18"/>
  <c r="R96" i="18"/>
  <c r="U95" i="18"/>
  <c r="R95" i="18"/>
  <c r="K95" i="18"/>
  <c r="E95" i="18"/>
  <c r="T94" i="18"/>
  <c r="D94" i="18"/>
  <c r="Q92" i="18"/>
  <c r="K82" i="18"/>
  <c r="V81" i="18"/>
  <c r="U81" i="18"/>
  <c r="U120" i="18" s="1"/>
  <c r="T81" i="18"/>
  <c r="T120" i="18" s="1"/>
  <c r="S81" i="18"/>
  <c r="R81" i="18"/>
  <c r="Q81" i="18"/>
  <c r="P81" i="18"/>
  <c r="O81" i="18"/>
  <c r="N81" i="18"/>
  <c r="M81" i="18"/>
  <c r="L81" i="18"/>
  <c r="K81" i="18"/>
  <c r="K120" i="18" s="1"/>
  <c r="J81" i="18"/>
  <c r="J120" i="18" s="1"/>
  <c r="I81" i="18"/>
  <c r="I120" i="18" s="1"/>
  <c r="H81" i="18"/>
  <c r="G81" i="18"/>
  <c r="G120" i="18" s="1"/>
  <c r="F81" i="18"/>
  <c r="E81" i="18"/>
  <c r="E120" i="18" s="1"/>
  <c r="D81" i="18"/>
  <c r="D120" i="18" s="1"/>
  <c r="V80" i="18"/>
  <c r="U80" i="18"/>
  <c r="T80" i="18"/>
  <c r="S80" i="18"/>
  <c r="R80" i="18"/>
  <c r="Q80" i="18"/>
  <c r="P80" i="18"/>
  <c r="O80" i="18"/>
  <c r="O119" i="18" s="1"/>
  <c r="N80" i="18"/>
  <c r="M80" i="18"/>
  <c r="M119" i="18" s="1"/>
  <c r="L80" i="18"/>
  <c r="K80" i="18"/>
  <c r="J80" i="18"/>
  <c r="I80" i="18"/>
  <c r="H80" i="18"/>
  <c r="H119" i="18" s="1"/>
  <c r="G80" i="18"/>
  <c r="G119" i="18" s="1"/>
  <c r="F80" i="18"/>
  <c r="E80" i="18"/>
  <c r="E119" i="18" s="1"/>
  <c r="D80" i="18"/>
  <c r="V79" i="18"/>
  <c r="U79" i="18"/>
  <c r="T79" i="18"/>
  <c r="S79" i="18"/>
  <c r="R79" i="18"/>
  <c r="R118" i="18" s="1"/>
  <c r="Q79" i="18"/>
  <c r="P79" i="18"/>
  <c r="P118" i="18" s="1"/>
  <c r="O79" i="18"/>
  <c r="O118" i="18" s="1"/>
  <c r="N79" i="18"/>
  <c r="M79" i="18"/>
  <c r="L79" i="18"/>
  <c r="K79" i="18"/>
  <c r="K118" i="18" s="1"/>
  <c r="J79" i="18"/>
  <c r="J118" i="18" s="1"/>
  <c r="I79" i="18"/>
  <c r="H79" i="18"/>
  <c r="G79" i="18"/>
  <c r="F79" i="18"/>
  <c r="E79" i="18"/>
  <c r="D79" i="18"/>
  <c r="V78" i="18"/>
  <c r="V117" i="18" s="1"/>
  <c r="U78" i="18"/>
  <c r="T78" i="18"/>
  <c r="S78" i="18"/>
  <c r="R78" i="18"/>
  <c r="R117" i="18" s="1"/>
  <c r="Q78" i="18"/>
  <c r="Q117" i="18" s="1"/>
  <c r="P78" i="18"/>
  <c r="P117" i="18" s="1"/>
  <c r="O78" i="18"/>
  <c r="N78" i="18"/>
  <c r="N117" i="18" s="1"/>
  <c r="M78" i="18"/>
  <c r="M117" i="18" s="1"/>
  <c r="L78" i="18"/>
  <c r="K78" i="18"/>
  <c r="J78" i="18"/>
  <c r="J117" i="18" s="1"/>
  <c r="I78" i="18"/>
  <c r="I117" i="18" s="1"/>
  <c r="H78" i="18"/>
  <c r="H117" i="18" s="1"/>
  <c r="G78" i="18"/>
  <c r="G117" i="18" s="1"/>
  <c r="F78" i="18"/>
  <c r="F117" i="18" s="1"/>
  <c r="E78" i="18"/>
  <c r="E117" i="18" s="1"/>
  <c r="D78" i="18"/>
  <c r="V77" i="18"/>
  <c r="V116" i="18" s="1"/>
  <c r="U77" i="18"/>
  <c r="T77" i="18"/>
  <c r="S77" i="18"/>
  <c r="R77" i="18"/>
  <c r="Q77" i="18"/>
  <c r="Q116" i="18" s="1"/>
  <c r="P77" i="18"/>
  <c r="P116" i="18" s="1"/>
  <c r="O77" i="18"/>
  <c r="N77" i="18"/>
  <c r="M77" i="18"/>
  <c r="L77" i="18"/>
  <c r="L116" i="18" s="1"/>
  <c r="K77" i="18"/>
  <c r="K116" i="18" s="1"/>
  <c r="J77" i="18"/>
  <c r="I77" i="18"/>
  <c r="H77" i="18"/>
  <c r="G77" i="18"/>
  <c r="G116" i="18" s="1"/>
  <c r="F77" i="18"/>
  <c r="F116" i="18" s="1"/>
  <c r="E77" i="18"/>
  <c r="E116" i="18" s="1"/>
  <c r="D77" i="18"/>
  <c r="V76" i="18"/>
  <c r="V115" i="18" s="1"/>
  <c r="U76" i="18"/>
  <c r="T76" i="18"/>
  <c r="T115" i="18" s="1"/>
  <c r="S76" i="18"/>
  <c r="S115" i="18" s="1"/>
  <c r="R76" i="18"/>
  <c r="Q76" i="18"/>
  <c r="P76" i="18"/>
  <c r="P115" i="18" s="1"/>
  <c r="O76" i="18"/>
  <c r="N76" i="18"/>
  <c r="N115" i="18" s="1"/>
  <c r="M76" i="18"/>
  <c r="L76" i="18"/>
  <c r="K76" i="18"/>
  <c r="J76" i="18"/>
  <c r="J115" i="18" s="1"/>
  <c r="I76" i="18"/>
  <c r="I115" i="18" s="1"/>
  <c r="H76" i="18"/>
  <c r="H115" i="18" s="1"/>
  <c r="G76" i="18"/>
  <c r="F76" i="18"/>
  <c r="F115" i="18" s="1"/>
  <c r="E76" i="18"/>
  <c r="D76" i="18"/>
  <c r="D115" i="18" s="1"/>
  <c r="V75" i="18"/>
  <c r="V114" i="18" s="1"/>
  <c r="U75" i="18"/>
  <c r="T75" i="18"/>
  <c r="S75" i="18"/>
  <c r="S114" i="18" s="1"/>
  <c r="R75" i="18"/>
  <c r="R114" i="18" s="1"/>
  <c r="Q75" i="18"/>
  <c r="Q114" i="18" s="1"/>
  <c r="P75" i="18"/>
  <c r="P114" i="18" s="1"/>
  <c r="O75" i="18"/>
  <c r="O114" i="18" s="1"/>
  <c r="N75" i="18"/>
  <c r="M75" i="18"/>
  <c r="L75" i="18"/>
  <c r="L114" i="18" s="1"/>
  <c r="K75" i="18"/>
  <c r="K114" i="18" s="1"/>
  <c r="J75" i="18"/>
  <c r="I75" i="18"/>
  <c r="H75" i="18"/>
  <c r="G75" i="18"/>
  <c r="G114" i="18" s="1"/>
  <c r="F75" i="18"/>
  <c r="F114" i="18" s="1"/>
  <c r="E75" i="18"/>
  <c r="D75" i="18"/>
  <c r="V74" i="18"/>
  <c r="U74" i="18"/>
  <c r="U113" i="18" s="1"/>
  <c r="T74" i="18"/>
  <c r="T113" i="18" s="1"/>
  <c r="S74" i="18"/>
  <c r="R74" i="18"/>
  <c r="Q74" i="18"/>
  <c r="P74" i="18"/>
  <c r="O74" i="18"/>
  <c r="N74" i="18"/>
  <c r="N113" i="18" s="1"/>
  <c r="M74" i="18"/>
  <c r="L74" i="18"/>
  <c r="K74" i="18"/>
  <c r="J74" i="18"/>
  <c r="J113" i="18" s="1"/>
  <c r="I74" i="18"/>
  <c r="I113" i="18" s="1"/>
  <c r="H74" i="18"/>
  <c r="G74" i="18"/>
  <c r="F74" i="18"/>
  <c r="E74" i="18"/>
  <c r="E113" i="18" s="1"/>
  <c r="D74" i="18"/>
  <c r="V73" i="18"/>
  <c r="U73" i="18"/>
  <c r="T73" i="18"/>
  <c r="S73" i="18"/>
  <c r="R73" i="18"/>
  <c r="Q73" i="18"/>
  <c r="Q112" i="18" s="1"/>
  <c r="P73" i="18"/>
  <c r="O73" i="18"/>
  <c r="N73" i="18"/>
  <c r="M73" i="18"/>
  <c r="M112" i="18" s="1"/>
  <c r="L73" i="18"/>
  <c r="K73" i="18"/>
  <c r="J73" i="18"/>
  <c r="I73" i="18"/>
  <c r="H73" i="18"/>
  <c r="H112" i="18" s="1"/>
  <c r="G73" i="18"/>
  <c r="G112" i="18" s="1"/>
  <c r="F73" i="18"/>
  <c r="E73" i="18"/>
  <c r="D73" i="18"/>
  <c r="V72" i="18"/>
  <c r="U72" i="18"/>
  <c r="U111" i="18" s="1"/>
  <c r="T72" i="18"/>
  <c r="T111" i="18" s="1"/>
  <c r="S72" i="18"/>
  <c r="R72" i="18"/>
  <c r="Q72" i="18"/>
  <c r="P72" i="18"/>
  <c r="P111" i="18" s="1"/>
  <c r="O72" i="18"/>
  <c r="O111" i="18" s="1"/>
  <c r="N72" i="18"/>
  <c r="M72" i="18"/>
  <c r="L72" i="18"/>
  <c r="K72" i="18"/>
  <c r="K111" i="18" s="1"/>
  <c r="J72" i="18"/>
  <c r="I72" i="18"/>
  <c r="H72" i="18"/>
  <c r="G72" i="18"/>
  <c r="F72" i="18"/>
  <c r="E72" i="18"/>
  <c r="D72" i="18"/>
  <c r="D111" i="18" s="1"/>
  <c r="V71" i="18"/>
  <c r="U71" i="18"/>
  <c r="T71" i="18"/>
  <c r="S71" i="18"/>
  <c r="S110" i="18" s="1"/>
  <c r="R71" i="18"/>
  <c r="Q71" i="18"/>
  <c r="P71" i="18"/>
  <c r="O71" i="18"/>
  <c r="N71" i="18"/>
  <c r="N110" i="18" s="1"/>
  <c r="M71" i="18"/>
  <c r="M110" i="18" s="1"/>
  <c r="L71" i="18"/>
  <c r="K71" i="18"/>
  <c r="J71" i="18"/>
  <c r="I71" i="18"/>
  <c r="H71" i="18"/>
  <c r="H110" i="18" s="1"/>
  <c r="G71" i="18"/>
  <c r="G110" i="18" s="1"/>
  <c r="F71" i="18"/>
  <c r="E71" i="18"/>
  <c r="D71" i="18"/>
  <c r="V70" i="18"/>
  <c r="V109" i="18" s="1"/>
  <c r="U70" i="18"/>
  <c r="U109" i="18" s="1"/>
  <c r="T70" i="18"/>
  <c r="S70" i="18"/>
  <c r="R70" i="18"/>
  <c r="Q70" i="18"/>
  <c r="Q109" i="18" s="1"/>
  <c r="P70" i="18"/>
  <c r="O70" i="18"/>
  <c r="N70" i="18"/>
  <c r="M70" i="18"/>
  <c r="L70" i="18"/>
  <c r="K70" i="18"/>
  <c r="J70" i="18"/>
  <c r="J109" i="18" s="1"/>
  <c r="I70" i="18"/>
  <c r="H70" i="18"/>
  <c r="G70" i="18"/>
  <c r="F70" i="18"/>
  <c r="F109" i="18" s="1"/>
  <c r="E70" i="18"/>
  <c r="D70" i="18"/>
  <c r="V69" i="18"/>
  <c r="U69" i="18"/>
  <c r="T69" i="18"/>
  <c r="T108" i="18" s="1"/>
  <c r="S69" i="18"/>
  <c r="S108" i="18" s="1"/>
  <c r="R69" i="18"/>
  <c r="Q69" i="18"/>
  <c r="P69" i="18"/>
  <c r="O69" i="18"/>
  <c r="N69" i="18"/>
  <c r="N108" i="18" s="1"/>
  <c r="M69" i="18"/>
  <c r="M108" i="18" s="1"/>
  <c r="L69" i="18"/>
  <c r="K69" i="18"/>
  <c r="J69" i="18"/>
  <c r="I69" i="18"/>
  <c r="I108" i="18" s="1"/>
  <c r="H69" i="18"/>
  <c r="H108" i="18" s="1"/>
  <c r="G69" i="18"/>
  <c r="F69" i="18"/>
  <c r="E69" i="18"/>
  <c r="D69" i="18"/>
  <c r="D108" i="18" s="1"/>
  <c r="V68" i="18"/>
  <c r="U68" i="18"/>
  <c r="T68" i="18"/>
  <c r="S68" i="18"/>
  <c r="R68" i="18"/>
  <c r="Q68" i="18"/>
  <c r="P68" i="18"/>
  <c r="P107" i="18" s="1"/>
  <c r="O68" i="18"/>
  <c r="N68" i="18"/>
  <c r="M68" i="18"/>
  <c r="L68" i="18"/>
  <c r="L107" i="18" s="1"/>
  <c r="K68" i="18"/>
  <c r="J68" i="18"/>
  <c r="I68" i="18"/>
  <c r="H68" i="18"/>
  <c r="G68" i="18"/>
  <c r="G107" i="18" s="1"/>
  <c r="F68" i="18"/>
  <c r="F107" i="18" s="1"/>
  <c r="E68" i="18"/>
  <c r="D68" i="18"/>
  <c r="V67" i="18"/>
  <c r="U67" i="18"/>
  <c r="T67" i="18"/>
  <c r="T106" i="18" s="1"/>
  <c r="S67" i="18"/>
  <c r="S106" i="18" s="1"/>
  <c r="R67" i="18"/>
  <c r="Q67" i="18"/>
  <c r="P67" i="18"/>
  <c r="O67" i="18"/>
  <c r="O106" i="18" s="1"/>
  <c r="N67" i="18"/>
  <c r="N106" i="18" s="1"/>
  <c r="M67" i="18"/>
  <c r="L67" i="18"/>
  <c r="K67" i="18"/>
  <c r="J67" i="18"/>
  <c r="J106" i="18" s="1"/>
  <c r="I67" i="18"/>
  <c r="H67" i="18"/>
  <c r="G67" i="18"/>
  <c r="F67" i="18"/>
  <c r="E67" i="18"/>
  <c r="D67" i="18"/>
  <c r="V66" i="18"/>
  <c r="V105" i="18" s="1"/>
  <c r="U66" i="18"/>
  <c r="T66" i="18"/>
  <c r="S66" i="18"/>
  <c r="R66" i="18"/>
  <c r="R105" i="18" s="1"/>
  <c r="Q66" i="18"/>
  <c r="P66" i="18"/>
  <c r="O66" i="18"/>
  <c r="N66" i="18"/>
  <c r="M66" i="18"/>
  <c r="M105" i="18" s="1"/>
  <c r="L66" i="18"/>
  <c r="L105" i="18" s="1"/>
  <c r="K66" i="18"/>
  <c r="J66" i="18"/>
  <c r="I66" i="18"/>
  <c r="H66" i="18"/>
  <c r="G66" i="18"/>
  <c r="F66" i="18"/>
  <c r="F105" i="18" s="1"/>
  <c r="E66" i="18"/>
  <c r="D66" i="18"/>
  <c r="D105" i="18" s="1"/>
  <c r="V64" i="18"/>
  <c r="U64" i="18"/>
  <c r="U103" i="18" s="1"/>
  <c r="T64" i="18"/>
  <c r="T103" i="18" s="1"/>
  <c r="S64" i="18"/>
  <c r="R64" i="18"/>
  <c r="Q64" i="18"/>
  <c r="P64" i="18"/>
  <c r="P103" i="18" s="1"/>
  <c r="O64" i="18"/>
  <c r="N64" i="18"/>
  <c r="N103" i="18" s="1"/>
  <c r="M64" i="18"/>
  <c r="L64" i="18"/>
  <c r="K64" i="18"/>
  <c r="K103" i="18" s="1"/>
  <c r="J64" i="18"/>
  <c r="J103" i="18" s="1"/>
  <c r="I64" i="18"/>
  <c r="I103" i="18" s="1"/>
  <c r="H64" i="18"/>
  <c r="H103" i="18" s="1"/>
  <c r="G64" i="18"/>
  <c r="G103" i="18" s="1"/>
  <c r="F64" i="18"/>
  <c r="E64" i="18"/>
  <c r="E103" i="18" s="1"/>
  <c r="D64" i="18"/>
  <c r="D103" i="18" s="1"/>
  <c r="V63" i="18"/>
  <c r="U63" i="18"/>
  <c r="T63" i="18"/>
  <c r="S63" i="18"/>
  <c r="S102" i="18" s="1"/>
  <c r="R63" i="18"/>
  <c r="Q63" i="18"/>
  <c r="Q102" i="18" s="1"/>
  <c r="P63" i="18"/>
  <c r="O63" i="18"/>
  <c r="N63" i="18"/>
  <c r="N102" i="18" s="1"/>
  <c r="M63" i="18"/>
  <c r="L63" i="18"/>
  <c r="L102" i="18" s="1"/>
  <c r="K63" i="18"/>
  <c r="J63" i="18"/>
  <c r="J102" i="18" s="1"/>
  <c r="I63" i="18"/>
  <c r="H63" i="18"/>
  <c r="H102" i="18" s="1"/>
  <c r="G63" i="18"/>
  <c r="G102" i="18" s="1"/>
  <c r="F63" i="18"/>
  <c r="E63" i="18"/>
  <c r="D63" i="18"/>
  <c r="V62" i="18"/>
  <c r="V101" i="18" s="1"/>
  <c r="U62" i="18"/>
  <c r="T62" i="18"/>
  <c r="T101" i="18" s="1"/>
  <c r="S62" i="18"/>
  <c r="R62" i="18"/>
  <c r="Q62" i="18"/>
  <c r="Q101" i="18" s="1"/>
  <c r="P62" i="18"/>
  <c r="P101" i="18" s="1"/>
  <c r="O62" i="18"/>
  <c r="N62" i="18"/>
  <c r="M62" i="18"/>
  <c r="M101" i="18" s="1"/>
  <c r="L62" i="18"/>
  <c r="K62" i="18"/>
  <c r="K101" i="18" s="1"/>
  <c r="J62" i="18"/>
  <c r="J101" i="18" s="1"/>
  <c r="I62" i="18"/>
  <c r="H62" i="18"/>
  <c r="G62" i="18"/>
  <c r="F62" i="18"/>
  <c r="F101" i="18" s="1"/>
  <c r="E62" i="18"/>
  <c r="D62" i="18"/>
  <c r="D101" i="18" s="1"/>
  <c r="V61" i="18"/>
  <c r="U61" i="18"/>
  <c r="T61" i="18"/>
  <c r="T100" i="18" s="1"/>
  <c r="S61" i="18"/>
  <c r="S100" i="18" s="1"/>
  <c r="R61" i="18"/>
  <c r="Q61" i="18"/>
  <c r="Q100" i="18" s="1"/>
  <c r="P61" i="18"/>
  <c r="P100" i="18" s="1"/>
  <c r="O61" i="18"/>
  <c r="N61" i="18"/>
  <c r="N100" i="18" s="1"/>
  <c r="M61" i="18"/>
  <c r="M100" i="18" s="1"/>
  <c r="L61" i="18"/>
  <c r="K61" i="18"/>
  <c r="J61" i="18"/>
  <c r="I61" i="18"/>
  <c r="I100" i="18" s="1"/>
  <c r="H61" i="18"/>
  <c r="G61" i="18"/>
  <c r="G100" i="18" s="1"/>
  <c r="F61" i="18"/>
  <c r="E61" i="18"/>
  <c r="D61" i="18"/>
  <c r="D100" i="18" s="1"/>
  <c r="V60" i="18"/>
  <c r="V99" i="18" s="1"/>
  <c r="U60" i="18"/>
  <c r="U99" i="18" s="1"/>
  <c r="T60" i="18"/>
  <c r="S60" i="18"/>
  <c r="S99" i="18" s="1"/>
  <c r="R60" i="18"/>
  <c r="Q60" i="18"/>
  <c r="Q99" i="18" s="1"/>
  <c r="P60" i="18"/>
  <c r="P99" i="18" s="1"/>
  <c r="O60" i="18"/>
  <c r="N60" i="18"/>
  <c r="M60" i="18"/>
  <c r="L60" i="18"/>
  <c r="K60" i="18"/>
  <c r="J60" i="18"/>
  <c r="J99" i="18" s="1"/>
  <c r="I60" i="18"/>
  <c r="I99" i="18" s="1"/>
  <c r="H60" i="18"/>
  <c r="G60" i="18"/>
  <c r="G99" i="18" s="1"/>
  <c r="F60" i="18"/>
  <c r="F99" i="18" s="1"/>
  <c r="E60" i="18"/>
  <c r="E99" i="18" s="1"/>
  <c r="D60" i="18"/>
  <c r="V59" i="18"/>
  <c r="V98" i="18" s="1"/>
  <c r="U59" i="18"/>
  <c r="T59" i="18"/>
  <c r="T98" i="18" s="1"/>
  <c r="S59" i="18"/>
  <c r="S98" i="18" s="1"/>
  <c r="R59" i="18"/>
  <c r="Q59" i="18"/>
  <c r="P59" i="18"/>
  <c r="O59" i="18"/>
  <c r="O98" i="18" s="1"/>
  <c r="N59" i="18"/>
  <c r="M59" i="18"/>
  <c r="M98" i="18" s="1"/>
  <c r="L59" i="18"/>
  <c r="K59" i="18"/>
  <c r="J59" i="18"/>
  <c r="J98" i="18" s="1"/>
  <c r="I59" i="18"/>
  <c r="H59" i="18"/>
  <c r="H98" i="18" s="1"/>
  <c r="G59" i="18"/>
  <c r="F59" i="18"/>
  <c r="E59" i="18"/>
  <c r="D59" i="18"/>
  <c r="D98" i="18" s="1"/>
  <c r="V58" i="18"/>
  <c r="V97" i="18" s="1"/>
  <c r="U58" i="18"/>
  <c r="T58" i="18"/>
  <c r="S58" i="18"/>
  <c r="R58" i="18"/>
  <c r="R97" i="18" s="1"/>
  <c r="Q58" i="18"/>
  <c r="Q97" i="18" s="1"/>
  <c r="P58" i="18"/>
  <c r="P97" i="18" s="1"/>
  <c r="O58" i="18"/>
  <c r="N58" i="18"/>
  <c r="M58" i="18"/>
  <c r="M97" i="18" s="1"/>
  <c r="L58" i="18"/>
  <c r="K58" i="18"/>
  <c r="K97" i="18" s="1"/>
  <c r="J58" i="18"/>
  <c r="I58" i="18"/>
  <c r="I97" i="18" s="1"/>
  <c r="H58" i="18"/>
  <c r="G58" i="18"/>
  <c r="G97" i="18" s="1"/>
  <c r="F58" i="18"/>
  <c r="F97" i="18" s="1"/>
  <c r="E58" i="18"/>
  <c r="D58" i="18"/>
  <c r="V57" i="18"/>
  <c r="U57" i="18"/>
  <c r="U96" i="18" s="1"/>
  <c r="T57" i="18"/>
  <c r="T96" i="18" s="1"/>
  <c r="S57" i="18"/>
  <c r="S96" i="18" s="1"/>
  <c r="R57" i="18"/>
  <c r="Q57" i="18"/>
  <c r="P57" i="18"/>
  <c r="P96" i="18" s="1"/>
  <c r="O57" i="18"/>
  <c r="O96" i="18" s="1"/>
  <c r="N57" i="18"/>
  <c r="N96" i="18" s="1"/>
  <c r="M57" i="18"/>
  <c r="M96" i="18" s="1"/>
  <c r="L57" i="18"/>
  <c r="L96" i="18" s="1"/>
  <c r="K57" i="18"/>
  <c r="J57" i="18"/>
  <c r="J96" i="18" s="1"/>
  <c r="I57" i="18"/>
  <c r="I96" i="18" s="1"/>
  <c r="H57" i="18"/>
  <c r="G57" i="18"/>
  <c r="F57" i="18"/>
  <c r="E57" i="18"/>
  <c r="E96" i="18" s="1"/>
  <c r="D57" i="18"/>
  <c r="D96" i="18" s="1"/>
  <c r="V56" i="18"/>
  <c r="V95" i="18" s="1"/>
  <c r="U56" i="18"/>
  <c r="T56" i="18"/>
  <c r="S56" i="18"/>
  <c r="S95" i="18" s="1"/>
  <c r="R56" i="18"/>
  <c r="Q56" i="18"/>
  <c r="Q95" i="18" s="1"/>
  <c r="P56" i="18"/>
  <c r="O56" i="18"/>
  <c r="O95" i="18" s="1"/>
  <c r="N56" i="18"/>
  <c r="M56" i="18"/>
  <c r="M95" i="18" s="1"/>
  <c r="L56" i="18"/>
  <c r="L95" i="18" s="1"/>
  <c r="K56" i="18"/>
  <c r="J56" i="18"/>
  <c r="I56" i="18"/>
  <c r="H56" i="18"/>
  <c r="H95" i="18" s="1"/>
  <c r="G56" i="18"/>
  <c r="G95" i="18" s="1"/>
  <c r="F56" i="18"/>
  <c r="F95" i="18" s="1"/>
  <c r="E56" i="18"/>
  <c r="D56" i="18"/>
  <c r="V55" i="18"/>
  <c r="V94" i="18" s="1"/>
  <c r="U55" i="18"/>
  <c r="U94" i="18" s="1"/>
  <c r="T55" i="18"/>
  <c r="T82" i="18" s="1"/>
  <c r="S55" i="18"/>
  <c r="R55" i="18"/>
  <c r="R94" i="18" s="1"/>
  <c r="Q55" i="18"/>
  <c r="P55" i="18"/>
  <c r="P94" i="18" s="1"/>
  <c r="O55" i="18"/>
  <c r="O94" i="18" s="1"/>
  <c r="N55" i="18"/>
  <c r="M55" i="18"/>
  <c r="L55" i="18"/>
  <c r="K55" i="18"/>
  <c r="K94" i="18" s="1"/>
  <c r="J55" i="18"/>
  <c r="J94" i="18" s="1"/>
  <c r="I55" i="18"/>
  <c r="I94" i="18" s="1"/>
  <c r="H55" i="18"/>
  <c r="H94" i="18" s="1"/>
  <c r="G55" i="18"/>
  <c r="F55" i="18"/>
  <c r="F94" i="18" s="1"/>
  <c r="E55" i="18"/>
  <c r="E94" i="18" s="1"/>
  <c r="D55" i="18"/>
  <c r="D82" i="18" s="1"/>
  <c r="V54" i="18"/>
  <c r="V93" i="18" s="1"/>
  <c r="U54" i="18"/>
  <c r="U93" i="18" s="1"/>
  <c r="T54" i="18"/>
  <c r="S54" i="18"/>
  <c r="S93" i="18" s="1"/>
  <c r="R54" i="18"/>
  <c r="R93" i="18" s="1"/>
  <c r="Q54" i="18"/>
  <c r="P54" i="18"/>
  <c r="O54" i="18"/>
  <c r="N54" i="18"/>
  <c r="N93" i="18" s="1"/>
  <c r="M54" i="18"/>
  <c r="M93" i="18" s="1"/>
  <c r="L54" i="18"/>
  <c r="L93" i="18" s="1"/>
  <c r="K54" i="18"/>
  <c r="K93" i="18" s="1"/>
  <c r="J54" i="18"/>
  <c r="I54" i="18"/>
  <c r="I93" i="18" s="1"/>
  <c r="H54" i="18"/>
  <c r="H93" i="18" s="1"/>
  <c r="G54" i="18"/>
  <c r="G82" i="18" s="1"/>
  <c r="F54" i="18"/>
  <c r="E54" i="18"/>
  <c r="E93" i="18" s="1"/>
  <c r="D54" i="18"/>
  <c r="V53" i="18"/>
  <c r="V82" i="18" s="1"/>
  <c r="U53" i="18"/>
  <c r="T53" i="18"/>
  <c r="S53" i="18"/>
  <c r="R53" i="18"/>
  <c r="R82" i="18" s="1"/>
  <c r="Q53" i="18"/>
  <c r="Q82" i="18" s="1"/>
  <c r="P53" i="18"/>
  <c r="O53" i="18"/>
  <c r="N53" i="18"/>
  <c r="N92" i="18" s="1"/>
  <c r="M53" i="18"/>
  <c r="L53" i="18"/>
  <c r="L92" i="18" s="1"/>
  <c r="K53" i="18"/>
  <c r="K92" i="18" s="1"/>
  <c r="J53" i="18"/>
  <c r="J92" i="18" s="1"/>
  <c r="I53" i="18"/>
  <c r="I82" i="18" s="1"/>
  <c r="H53" i="18"/>
  <c r="H92" i="18" s="1"/>
  <c r="G53" i="18"/>
  <c r="F53" i="18"/>
  <c r="F82" i="18" s="1"/>
  <c r="E53" i="18"/>
  <c r="D53" i="18"/>
  <c r="M43" i="18"/>
  <c r="V42" i="18"/>
  <c r="V120" i="18" s="1"/>
  <c r="U42" i="18"/>
  <c r="T42" i="18"/>
  <c r="S42" i="18"/>
  <c r="S120" i="18" s="1"/>
  <c r="R42" i="18"/>
  <c r="R275" i="18" s="1"/>
  <c r="Q42" i="18"/>
  <c r="Q275" i="18" s="1"/>
  <c r="P42" i="18"/>
  <c r="P198" i="18" s="1"/>
  <c r="O42" i="18"/>
  <c r="O198" i="18" s="1"/>
  <c r="N42" i="18"/>
  <c r="M42" i="18"/>
  <c r="M275" i="18" s="1"/>
  <c r="L42" i="18"/>
  <c r="K42" i="18"/>
  <c r="K198" i="18" s="1"/>
  <c r="J42" i="18"/>
  <c r="I42" i="18"/>
  <c r="I275" i="18" s="1"/>
  <c r="H42" i="18"/>
  <c r="G42" i="18"/>
  <c r="G198" i="18" s="1"/>
  <c r="F42" i="18"/>
  <c r="F275" i="18" s="1"/>
  <c r="E42" i="18"/>
  <c r="D42" i="18"/>
  <c r="V41" i="18"/>
  <c r="V197" i="18" s="1"/>
  <c r="U41" i="18"/>
  <c r="T41" i="18"/>
  <c r="S41" i="18"/>
  <c r="S197" i="18" s="1"/>
  <c r="R41" i="18"/>
  <c r="R197" i="18" s="1"/>
  <c r="Q41" i="18"/>
  <c r="Q197" i="18" s="1"/>
  <c r="P41" i="18"/>
  <c r="P274" i="18" s="1"/>
  <c r="O41" i="18"/>
  <c r="N41" i="18"/>
  <c r="M41" i="18"/>
  <c r="L41" i="18"/>
  <c r="K41" i="18"/>
  <c r="K197" i="18" s="1"/>
  <c r="J41" i="18"/>
  <c r="J197" i="18" s="1"/>
  <c r="I41" i="18"/>
  <c r="I274" i="18" s="1"/>
  <c r="H41" i="18"/>
  <c r="G41" i="18"/>
  <c r="F41" i="18"/>
  <c r="F197" i="18" s="1"/>
  <c r="E41" i="18"/>
  <c r="E274" i="18" s="1"/>
  <c r="D41" i="18"/>
  <c r="D274" i="18" s="1"/>
  <c r="V40" i="18"/>
  <c r="V196" i="18" s="1"/>
  <c r="U40" i="18"/>
  <c r="U196" i="18" s="1"/>
  <c r="T40" i="18"/>
  <c r="T273" i="18" s="1"/>
  <c r="S40" i="18"/>
  <c r="S273" i="18" s="1"/>
  <c r="R40" i="18"/>
  <c r="Q40" i="18"/>
  <c r="Q196" i="18" s="1"/>
  <c r="P40" i="18"/>
  <c r="P196" i="18" s="1"/>
  <c r="O40" i="18"/>
  <c r="N40" i="18"/>
  <c r="N196" i="18" s="1"/>
  <c r="M40" i="18"/>
  <c r="L40" i="18"/>
  <c r="K40" i="18"/>
  <c r="J40" i="18"/>
  <c r="J196" i="18" s="1"/>
  <c r="I40" i="18"/>
  <c r="I118" i="18" s="1"/>
  <c r="H40" i="18"/>
  <c r="G40" i="18"/>
  <c r="G273" i="18" s="1"/>
  <c r="F40" i="18"/>
  <c r="F196" i="18" s="1"/>
  <c r="E40" i="18"/>
  <c r="E273" i="18" s="1"/>
  <c r="D40" i="18"/>
  <c r="V39" i="18"/>
  <c r="V272" i="18" s="1"/>
  <c r="U39" i="18"/>
  <c r="T39" i="18"/>
  <c r="S39" i="18"/>
  <c r="R39" i="18"/>
  <c r="Q39" i="18"/>
  <c r="P39" i="18"/>
  <c r="O39" i="18"/>
  <c r="N39" i="18"/>
  <c r="M39" i="18"/>
  <c r="L39" i="18"/>
  <c r="K39" i="18"/>
  <c r="J39" i="18"/>
  <c r="I39" i="18"/>
  <c r="H39" i="18"/>
  <c r="G39" i="18"/>
  <c r="F39" i="18"/>
  <c r="E39" i="18"/>
  <c r="D39" i="18"/>
  <c r="V38" i="18"/>
  <c r="V271" i="18" s="1"/>
  <c r="U38" i="18"/>
  <c r="T38" i="18"/>
  <c r="S38" i="18"/>
  <c r="R38" i="18"/>
  <c r="R116" i="18" s="1"/>
  <c r="Q38" i="18"/>
  <c r="P38" i="18"/>
  <c r="O38" i="18"/>
  <c r="O271" i="18" s="1"/>
  <c r="N38" i="18"/>
  <c r="N271" i="18" s="1"/>
  <c r="M38" i="18"/>
  <c r="M271" i="18" s="1"/>
  <c r="L38" i="18"/>
  <c r="L194" i="18" s="1"/>
  <c r="K38" i="18"/>
  <c r="K194" i="18" s="1"/>
  <c r="J38" i="18"/>
  <c r="I38" i="18"/>
  <c r="H38" i="18"/>
  <c r="G38" i="18"/>
  <c r="G194" i="18" s="1"/>
  <c r="F38" i="18"/>
  <c r="F194" i="18" s="1"/>
  <c r="E38" i="18"/>
  <c r="D38" i="18"/>
  <c r="V37" i="18"/>
  <c r="V270" i="18" s="1"/>
  <c r="U37" i="18"/>
  <c r="U115" i="18" s="1"/>
  <c r="T37" i="18"/>
  <c r="S37" i="18"/>
  <c r="R37" i="18"/>
  <c r="Q37" i="18"/>
  <c r="P37" i="18"/>
  <c r="P270" i="18" s="1"/>
  <c r="O37" i="18"/>
  <c r="O193" i="18" s="1"/>
  <c r="N37" i="18"/>
  <c r="N270" i="18" s="1"/>
  <c r="M37" i="18"/>
  <c r="M270" i="18" s="1"/>
  <c r="L37" i="18"/>
  <c r="L270" i="18" s="1"/>
  <c r="K37" i="18"/>
  <c r="K270" i="18" s="1"/>
  <c r="J37" i="18"/>
  <c r="J193" i="18" s="1"/>
  <c r="I37" i="18"/>
  <c r="H37" i="18"/>
  <c r="G37" i="18"/>
  <c r="F37" i="18"/>
  <c r="E37" i="18"/>
  <c r="E115" i="18" s="1"/>
  <c r="D37" i="18"/>
  <c r="V36" i="18"/>
  <c r="U36" i="18"/>
  <c r="U114" i="18" s="1"/>
  <c r="T36" i="18"/>
  <c r="T269" i="18" s="1"/>
  <c r="S36" i="18"/>
  <c r="R36" i="18"/>
  <c r="R192" i="18" s="1"/>
  <c r="Q36" i="18"/>
  <c r="P36" i="18"/>
  <c r="O36" i="18"/>
  <c r="O269" i="18" s="1"/>
  <c r="N36" i="18"/>
  <c r="N192" i="18" s="1"/>
  <c r="M36" i="18"/>
  <c r="M114" i="18" s="1"/>
  <c r="L36" i="18"/>
  <c r="L192" i="18" s="1"/>
  <c r="K36" i="18"/>
  <c r="J36" i="18"/>
  <c r="I36" i="18"/>
  <c r="H36" i="18"/>
  <c r="G36" i="18"/>
  <c r="F36" i="18"/>
  <c r="E36" i="18"/>
  <c r="E114" i="18" s="1"/>
  <c r="D36" i="18"/>
  <c r="D269" i="18" s="1"/>
  <c r="V35" i="18"/>
  <c r="U35" i="18"/>
  <c r="U191" i="18" s="1"/>
  <c r="T35" i="18"/>
  <c r="T268" i="18" s="1"/>
  <c r="S35" i="18"/>
  <c r="R35" i="18"/>
  <c r="R268" i="18" s="1"/>
  <c r="Q35" i="18"/>
  <c r="Q191" i="18" s="1"/>
  <c r="P35" i="18"/>
  <c r="O35" i="18"/>
  <c r="N35" i="18"/>
  <c r="N268" i="18" s="1"/>
  <c r="M35" i="18"/>
  <c r="L35" i="18"/>
  <c r="L191" i="18" s="1"/>
  <c r="K35" i="18"/>
  <c r="K113" i="18" s="1"/>
  <c r="J35" i="18"/>
  <c r="I35" i="18"/>
  <c r="H35" i="18"/>
  <c r="G35" i="18"/>
  <c r="G268" i="18" s="1"/>
  <c r="F35" i="18"/>
  <c r="E35" i="18"/>
  <c r="E191" i="18" s="1"/>
  <c r="D35" i="18"/>
  <c r="D268" i="18" s="1"/>
  <c r="V34" i="18"/>
  <c r="U34" i="18"/>
  <c r="U267" i="18" s="1"/>
  <c r="T34" i="18"/>
  <c r="S34" i="18"/>
  <c r="S112" i="18" s="1"/>
  <c r="R34" i="18"/>
  <c r="Q34" i="18"/>
  <c r="P34" i="18"/>
  <c r="P190" i="18" s="1"/>
  <c r="O34" i="18"/>
  <c r="O267" i="18" s="1"/>
  <c r="N34" i="18"/>
  <c r="N112" i="18" s="1"/>
  <c r="M34" i="18"/>
  <c r="L34" i="18"/>
  <c r="K34" i="18"/>
  <c r="K112" i="18" s="1"/>
  <c r="J34" i="18"/>
  <c r="J267" i="18" s="1"/>
  <c r="I34" i="18"/>
  <c r="H34" i="18"/>
  <c r="H190" i="18" s="1"/>
  <c r="G34" i="18"/>
  <c r="G267" i="18" s="1"/>
  <c r="F34" i="18"/>
  <c r="E34" i="18"/>
  <c r="D34" i="18"/>
  <c r="V33" i="18"/>
  <c r="U33" i="18"/>
  <c r="U189" i="18" s="1"/>
  <c r="T33" i="18"/>
  <c r="T266" i="18" s="1"/>
  <c r="S33" i="18"/>
  <c r="S189" i="18" s="1"/>
  <c r="R33" i="18"/>
  <c r="Q33" i="18"/>
  <c r="Q111" i="18" s="1"/>
  <c r="P33" i="18"/>
  <c r="O33" i="18"/>
  <c r="N33" i="18"/>
  <c r="N111" i="18" s="1"/>
  <c r="M33" i="18"/>
  <c r="M266" i="18" s="1"/>
  <c r="L33" i="18"/>
  <c r="K33" i="18"/>
  <c r="K189" i="18" s="1"/>
  <c r="J33" i="18"/>
  <c r="I33" i="18"/>
  <c r="H33" i="18"/>
  <c r="G33" i="18"/>
  <c r="G266" i="18" s="1"/>
  <c r="F33" i="18"/>
  <c r="E33" i="18"/>
  <c r="E189" i="18" s="1"/>
  <c r="D33" i="18"/>
  <c r="V32" i="18"/>
  <c r="U32" i="18"/>
  <c r="U265" i="18" s="1"/>
  <c r="T32" i="18"/>
  <c r="T110" i="18" s="1"/>
  <c r="S32" i="18"/>
  <c r="R32" i="18"/>
  <c r="Q32" i="18"/>
  <c r="Q110" i="18" s="1"/>
  <c r="P32" i="18"/>
  <c r="P265" i="18" s="1"/>
  <c r="O32" i="18"/>
  <c r="O188" i="18" s="1"/>
  <c r="N32" i="18"/>
  <c r="N188" i="18" s="1"/>
  <c r="M32" i="18"/>
  <c r="M188" i="18" s="1"/>
  <c r="L32" i="18"/>
  <c r="L265" i="18" s="1"/>
  <c r="K32" i="18"/>
  <c r="K265" i="18" s="1"/>
  <c r="J32" i="18"/>
  <c r="I32" i="18"/>
  <c r="I110" i="18" s="1"/>
  <c r="H32" i="18"/>
  <c r="G32" i="18"/>
  <c r="F32" i="18"/>
  <c r="E32" i="18"/>
  <c r="D32" i="18"/>
  <c r="D110" i="18" s="1"/>
  <c r="V31" i="18"/>
  <c r="U31" i="18"/>
  <c r="T31" i="18"/>
  <c r="T109" i="18" s="1"/>
  <c r="S31" i="18"/>
  <c r="S264" i="18" s="1"/>
  <c r="R31" i="18"/>
  <c r="Q31" i="18"/>
  <c r="Q264" i="18" s="1"/>
  <c r="P31" i="18"/>
  <c r="O31" i="18"/>
  <c r="N31" i="18"/>
  <c r="N264" i="18" s="1"/>
  <c r="M31" i="18"/>
  <c r="L31" i="18"/>
  <c r="K31" i="18"/>
  <c r="K187" i="18" s="1"/>
  <c r="J31" i="18"/>
  <c r="I31" i="18"/>
  <c r="H31" i="18"/>
  <c r="G31" i="18"/>
  <c r="G109" i="18" s="1"/>
  <c r="F31" i="18"/>
  <c r="E31" i="18"/>
  <c r="D31" i="18"/>
  <c r="V30" i="18"/>
  <c r="U30" i="18"/>
  <c r="T30" i="18"/>
  <c r="T186" i="18" s="1"/>
  <c r="S30" i="18"/>
  <c r="S263" i="18" s="1"/>
  <c r="R30" i="18"/>
  <c r="R263" i="18" s="1"/>
  <c r="Q30" i="18"/>
  <c r="Q263" i="18" s="1"/>
  <c r="P30" i="18"/>
  <c r="P263" i="18" s="1"/>
  <c r="O30" i="18"/>
  <c r="O108" i="18" s="1"/>
  <c r="N30" i="18"/>
  <c r="M30" i="18"/>
  <c r="L30" i="18"/>
  <c r="K30" i="18"/>
  <c r="K263" i="18" s="1"/>
  <c r="J30" i="18"/>
  <c r="J108" i="18" s="1"/>
  <c r="I30" i="18"/>
  <c r="H30" i="18"/>
  <c r="G30" i="18"/>
  <c r="G108" i="18" s="1"/>
  <c r="F30" i="18"/>
  <c r="E30" i="18"/>
  <c r="D30" i="18"/>
  <c r="D186" i="18" s="1"/>
  <c r="V29" i="18"/>
  <c r="U29" i="18"/>
  <c r="T29" i="18"/>
  <c r="T262" i="18" s="1"/>
  <c r="S29" i="18"/>
  <c r="S185" i="18" s="1"/>
  <c r="R29" i="18"/>
  <c r="R107" i="18" s="1"/>
  <c r="Q29" i="18"/>
  <c r="Q185" i="18" s="1"/>
  <c r="P29" i="18"/>
  <c r="O29" i="18"/>
  <c r="N29" i="18"/>
  <c r="N262" i="18" s="1"/>
  <c r="M29" i="18"/>
  <c r="M107" i="18" s="1"/>
  <c r="L29" i="18"/>
  <c r="K29" i="18"/>
  <c r="J29" i="18"/>
  <c r="J107" i="18" s="1"/>
  <c r="I29" i="18"/>
  <c r="I262" i="18" s="1"/>
  <c r="H29" i="18"/>
  <c r="G29" i="18"/>
  <c r="G185" i="18" s="1"/>
  <c r="F29" i="18"/>
  <c r="E29" i="18"/>
  <c r="E185" i="18" s="1"/>
  <c r="D29" i="18"/>
  <c r="V28" i="18"/>
  <c r="V184" i="18" s="1"/>
  <c r="U28" i="18"/>
  <c r="T28" i="18"/>
  <c r="S28" i="18"/>
  <c r="S261" i="18" s="1"/>
  <c r="R28" i="18"/>
  <c r="Q28" i="18"/>
  <c r="Q184" i="18" s="1"/>
  <c r="P28" i="18"/>
  <c r="P106" i="18" s="1"/>
  <c r="O28" i="18"/>
  <c r="N28" i="18"/>
  <c r="M28" i="18"/>
  <c r="L28" i="18"/>
  <c r="L261" i="18" s="1"/>
  <c r="K28" i="18"/>
  <c r="J28" i="18"/>
  <c r="J184" i="18" s="1"/>
  <c r="I28" i="18"/>
  <c r="I261" i="18" s="1"/>
  <c r="H28" i="18"/>
  <c r="G28" i="18"/>
  <c r="G261" i="18" s="1"/>
  <c r="F28" i="18"/>
  <c r="E28" i="18"/>
  <c r="E106" i="18" s="1"/>
  <c r="D28" i="18"/>
  <c r="V27" i="18"/>
  <c r="U27" i="18"/>
  <c r="U183" i="18" s="1"/>
  <c r="T27" i="18"/>
  <c r="T183" i="18" s="1"/>
  <c r="S27" i="18"/>
  <c r="S105" i="18" s="1"/>
  <c r="R27" i="18"/>
  <c r="Q27" i="18"/>
  <c r="P27" i="18"/>
  <c r="P105" i="18" s="1"/>
  <c r="O27" i="18"/>
  <c r="O105" i="18" s="1"/>
  <c r="N27" i="18"/>
  <c r="N260" i="18" s="1"/>
  <c r="M27" i="18"/>
  <c r="M183" i="18" s="1"/>
  <c r="L27" i="18"/>
  <c r="L260" i="18" s="1"/>
  <c r="K27" i="18"/>
  <c r="K260" i="18" s="1"/>
  <c r="J27" i="18"/>
  <c r="J260" i="18" s="1"/>
  <c r="I27" i="18"/>
  <c r="H27" i="18"/>
  <c r="H183" i="18" s="1"/>
  <c r="G27" i="18"/>
  <c r="G183" i="18" s="1"/>
  <c r="F27" i="18"/>
  <c r="E27" i="18"/>
  <c r="E183" i="18" s="1"/>
  <c r="D27" i="18"/>
  <c r="V25" i="18"/>
  <c r="V103" i="18" s="1"/>
  <c r="U25" i="18"/>
  <c r="T25" i="18"/>
  <c r="T181" i="18" s="1"/>
  <c r="S25" i="18"/>
  <c r="S103" i="18" s="1"/>
  <c r="R25" i="18"/>
  <c r="R103" i="18" s="1"/>
  <c r="Q25" i="18"/>
  <c r="Q181" i="18" s="1"/>
  <c r="P25" i="18"/>
  <c r="P258" i="18" s="1"/>
  <c r="O25" i="18"/>
  <c r="N25" i="18"/>
  <c r="N258" i="18" s="1"/>
  <c r="M25" i="18"/>
  <c r="M258" i="18" s="1"/>
  <c r="L25" i="18"/>
  <c r="K25" i="18"/>
  <c r="K181" i="18" s="1"/>
  <c r="J25" i="18"/>
  <c r="I25" i="18"/>
  <c r="H25" i="18"/>
  <c r="G25" i="18"/>
  <c r="G181" i="18" s="1"/>
  <c r="F25" i="18"/>
  <c r="E25" i="18"/>
  <c r="D25" i="18"/>
  <c r="D181" i="18" s="1"/>
  <c r="V24" i="18"/>
  <c r="V102" i="18" s="1"/>
  <c r="U24" i="18"/>
  <c r="U102" i="18" s="1"/>
  <c r="T24" i="18"/>
  <c r="T180" i="18" s="1"/>
  <c r="S24" i="18"/>
  <c r="R24" i="18"/>
  <c r="R257" i="18" s="1"/>
  <c r="Q24" i="18"/>
  <c r="Q257" i="18" s="1"/>
  <c r="P24" i="18"/>
  <c r="O24" i="18"/>
  <c r="O180" i="18" s="1"/>
  <c r="N24" i="18"/>
  <c r="N180" i="18" s="1"/>
  <c r="M24" i="18"/>
  <c r="L24" i="18"/>
  <c r="K24" i="18"/>
  <c r="K102" i="18" s="1"/>
  <c r="J24" i="18"/>
  <c r="I24" i="18"/>
  <c r="I102" i="18" s="1"/>
  <c r="H24" i="18"/>
  <c r="G24" i="18"/>
  <c r="G180" i="18" s="1"/>
  <c r="F24" i="18"/>
  <c r="F257" i="18" s="1"/>
  <c r="E24" i="18"/>
  <c r="E102" i="18" s="1"/>
  <c r="D24" i="18"/>
  <c r="D180" i="18" s="1"/>
  <c r="V23" i="18"/>
  <c r="U23" i="18"/>
  <c r="U179" i="18" s="1"/>
  <c r="T23" i="18"/>
  <c r="T256" i="18" s="1"/>
  <c r="S23" i="18"/>
  <c r="R23" i="18"/>
  <c r="R179" i="18" s="1"/>
  <c r="Q23" i="18"/>
  <c r="Q179" i="18" s="1"/>
  <c r="P23" i="18"/>
  <c r="P256" i="18" s="1"/>
  <c r="O23" i="18"/>
  <c r="N23" i="18"/>
  <c r="N101" i="18" s="1"/>
  <c r="M23" i="18"/>
  <c r="L23" i="18"/>
  <c r="L101" i="18" s="1"/>
  <c r="K23" i="18"/>
  <c r="J23" i="18"/>
  <c r="I23" i="18"/>
  <c r="I256" i="18" s="1"/>
  <c r="H23" i="18"/>
  <c r="H101" i="18" s="1"/>
  <c r="G23" i="18"/>
  <c r="G179" i="18" s="1"/>
  <c r="F23" i="18"/>
  <c r="F256" i="18" s="1"/>
  <c r="E23" i="18"/>
  <c r="E256" i="18" s="1"/>
  <c r="D23" i="18"/>
  <c r="D256" i="18" s="1"/>
  <c r="V22" i="18"/>
  <c r="U22" i="18"/>
  <c r="T22" i="18"/>
  <c r="S22" i="18"/>
  <c r="R22" i="18"/>
  <c r="Q22" i="18"/>
  <c r="P22" i="18"/>
  <c r="O22" i="18"/>
  <c r="N22" i="18"/>
  <c r="M22" i="18"/>
  <c r="L22" i="18"/>
  <c r="L100" i="18" s="1"/>
  <c r="K22" i="18"/>
  <c r="K100" i="18" s="1"/>
  <c r="J22" i="18"/>
  <c r="J178" i="18" s="1"/>
  <c r="I22" i="18"/>
  <c r="I255" i="18" s="1"/>
  <c r="H22" i="18"/>
  <c r="G22" i="18"/>
  <c r="G255" i="18" s="1"/>
  <c r="F22" i="18"/>
  <c r="E22" i="18"/>
  <c r="E178" i="18" s="1"/>
  <c r="D22" i="18"/>
  <c r="D178" i="18" s="1"/>
  <c r="V21" i="18"/>
  <c r="U21" i="18"/>
  <c r="T21" i="18"/>
  <c r="T99" i="18" s="1"/>
  <c r="S21" i="18"/>
  <c r="R21" i="18"/>
  <c r="R99" i="18" s="1"/>
  <c r="Q21" i="18"/>
  <c r="P21" i="18"/>
  <c r="P177" i="18" s="1"/>
  <c r="O21" i="18"/>
  <c r="O99" i="18" s="1"/>
  <c r="N21" i="18"/>
  <c r="N99" i="18" s="1"/>
  <c r="M21" i="18"/>
  <c r="M177" i="18" s="1"/>
  <c r="L21" i="18"/>
  <c r="K21" i="18"/>
  <c r="K254" i="18" s="1"/>
  <c r="J21" i="18"/>
  <c r="J254" i="18" s="1"/>
  <c r="I21" i="18"/>
  <c r="H21" i="18"/>
  <c r="H177" i="18" s="1"/>
  <c r="G21" i="18"/>
  <c r="G254" i="18" s="1"/>
  <c r="F21" i="18"/>
  <c r="E21" i="18"/>
  <c r="D21" i="18"/>
  <c r="D99" i="18" s="1"/>
  <c r="V20" i="18"/>
  <c r="U20" i="18"/>
  <c r="U98" i="18" s="1"/>
  <c r="T20" i="18"/>
  <c r="S20" i="18"/>
  <c r="R20" i="18"/>
  <c r="R98" i="18" s="1"/>
  <c r="Q20" i="18"/>
  <c r="Q98" i="18" s="1"/>
  <c r="P20" i="18"/>
  <c r="P176" i="18" s="1"/>
  <c r="O20" i="18"/>
  <c r="N20" i="18"/>
  <c r="M20" i="18"/>
  <c r="M253" i="18" s="1"/>
  <c r="L20" i="18"/>
  <c r="K20" i="18"/>
  <c r="K176" i="18" s="1"/>
  <c r="J20" i="18"/>
  <c r="J176" i="18" s="1"/>
  <c r="I20" i="18"/>
  <c r="I253" i="18" s="1"/>
  <c r="H20" i="18"/>
  <c r="G20" i="18"/>
  <c r="G98" i="18" s="1"/>
  <c r="F20" i="18"/>
  <c r="E20" i="18"/>
  <c r="E98" i="18" s="1"/>
  <c r="D20" i="18"/>
  <c r="V19" i="18"/>
  <c r="U19" i="18"/>
  <c r="U252" i="18" s="1"/>
  <c r="T19" i="18"/>
  <c r="T97" i="18" s="1"/>
  <c r="S19" i="18"/>
  <c r="S175" i="18" s="1"/>
  <c r="R19" i="18"/>
  <c r="Q19" i="18"/>
  <c r="Q175" i="18" s="1"/>
  <c r="P19" i="18"/>
  <c r="O19" i="18"/>
  <c r="N19" i="18"/>
  <c r="M19" i="18"/>
  <c r="M175" i="18" s="1"/>
  <c r="L19" i="18"/>
  <c r="K19" i="18"/>
  <c r="J19" i="18"/>
  <c r="J97" i="18" s="1"/>
  <c r="I19" i="18"/>
  <c r="H19" i="18"/>
  <c r="G19" i="18"/>
  <c r="F19" i="18"/>
  <c r="E19" i="18"/>
  <c r="E97" i="18" s="1"/>
  <c r="D19" i="18"/>
  <c r="D97" i="18" s="1"/>
  <c r="V18" i="18"/>
  <c r="V174" i="18" s="1"/>
  <c r="U18" i="18"/>
  <c r="T18" i="18"/>
  <c r="S18" i="18"/>
  <c r="S251" i="18" s="1"/>
  <c r="R18" i="18"/>
  <c r="Q18" i="18"/>
  <c r="P18" i="18"/>
  <c r="P174" i="18" s="1"/>
  <c r="O18" i="18"/>
  <c r="N18" i="18"/>
  <c r="M18" i="18"/>
  <c r="L18" i="18"/>
  <c r="K18" i="18"/>
  <c r="J18" i="18"/>
  <c r="I18" i="18"/>
  <c r="I174" i="18" s="1"/>
  <c r="H18" i="18"/>
  <c r="H251" i="18" s="1"/>
  <c r="G18" i="18"/>
  <c r="G96" i="18" s="1"/>
  <c r="F18" i="18"/>
  <c r="F174" i="18" s="1"/>
  <c r="E18" i="18"/>
  <c r="D18" i="18"/>
  <c r="D251" i="18" s="1"/>
  <c r="V17" i="18"/>
  <c r="V250" i="18" s="1"/>
  <c r="U17" i="18"/>
  <c r="T17" i="18"/>
  <c r="T173" i="18" s="1"/>
  <c r="S17" i="18"/>
  <c r="S173" i="18" s="1"/>
  <c r="R17" i="18"/>
  <c r="Q17" i="18"/>
  <c r="P17" i="18"/>
  <c r="P95" i="18" s="1"/>
  <c r="O17" i="18"/>
  <c r="N17" i="18"/>
  <c r="N95" i="18" s="1"/>
  <c r="M17" i="18"/>
  <c r="L17" i="18"/>
  <c r="L173" i="18" s="1"/>
  <c r="K17" i="18"/>
  <c r="K250" i="18" s="1"/>
  <c r="J17" i="18"/>
  <c r="J95" i="18" s="1"/>
  <c r="I17" i="18"/>
  <c r="I173" i="18" s="1"/>
  <c r="H17" i="18"/>
  <c r="G17" i="18"/>
  <c r="F17" i="18"/>
  <c r="F250" i="18" s="1"/>
  <c r="E17" i="18"/>
  <c r="D17" i="18"/>
  <c r="D173" i="18" s="1"/>
  <c r="V16" i="18"/>
  <c r="V172" i="18" s="1"/>
  <c r="U16" i="18"/>
  <c r="T16" i="18"/>
  <c r="S16" i="18"/>
  <c r="S94" i="18" s="1"/>
  <c r="R16" i="18"/>
  <c r="Q16" i="18"/>
  <c r="Q94" i="18" s="1"/>
  <c r="P16" i="18"/>
  <c r="O16" i="18"/>
  <c r="N16" i="18"/>
  <c r="M16" i="18"/>
  <c r="M94" i="18" s="1"/>
  <c r="L16" i="18"/>
  <c r="L172" i="18" s="1"/>
  <c r="K16" i="18"/>
  <c r="K249" i="18" s="1"/>
  <c r="J16" i="18"/>
  <c r="J249" i="18" s="1"/>
  <c r="I16" i="18"/>
  <c r="I249" i="18" s="1"/>
  <c r="H16" i="18"/>
  <c r="G16" i="18"/>
  <c r="F16" i="18"/>
  <c r="E16" i="18"/>
  <c r="D16" i="18"/>
  <c r="V15" i="18"/>
  <c r="U15" i="18"/>
  <c r="T15" i="18"/>
  <c r="T93" i="18" s="1"/>
  <c r="S15" i="18"/>
  <c r="R15" i="18"/>
  <c r="Q15" i="18"/>
  <c r="P15" i="18"/>
  <c r="P93" i="18" s="1"/>
  <c r="O15" i="18"/>
  <c r="O248" i="18" s="1"/>
  <c r="N15" i="18"/>
  <c r="N248" i="18" s="1"/>
  <c r="M15" i="18"/>
  <c r="M171" i="18" s="1"/>
  <c r="L15" i="18"/>
  <c r="L171" i="18" s="1"/>
  <c r="K15" i="18"/>
  <c r="J15" i="18"/>
  <c r="J171" i="18" s="1"/>
  <c r="I15" i="18"/>
  <c r="I171" i="18" s="1"/>
  <c r="H15" i="18"/>
  <c r="G15" i="18"/>
  <c r="F15" i="18"/>
  <c r="F93" i="18" s="1"/>
  <c r="E15" i="18"/>
  <c r="D15" i="18"/>
  <c r="D93" i="18" s="1"/>
  <c r="V14" i="18"/>
  <c r="U14" i="18"/>
  <c r="U170" i="18" s="1"/>
  <c r="T14" i="18"/>
  <c r="S14" i="18"/>
  <c r="S43" i="18" s="1"/>
  <c r="R14" i="18"/>
  <c r="R170" i="18" s="1"/>
  <c r="Q14" i="18"/>
  <c r="Q247" i="18" s="1"/>
  <c r="P14" i="18"/>
  <c r="P247" i="18" s="1"/>
  <c r="O14" i="18"/>
  <c r="N14" i="18"/>
  <c r="M14" i="18"/>
  <c r="M170" i="18" s="1"/>
  <c r="L14" i="18"/>
  <c r="K14" i="18"/>
  <c r="K247" i="18" s="1"/>
  <c r="J14" i="18"/>
  <c r="I14" i="18"/>
  <c r="I43" i="18" s="1"/>
  <c r="H14" i="18"/>
  <c r="H43" i="18" s="1"/>
  <c r="G14" i="18"/>
  <c r="F14" i="18"/>
  <c r="E14" i="18"/>
  <c r="D14" i="18"/>
  <c r="K299" i="17"/>
  <c r="C298" i="17"/>
  <c r="G297" i="17"/>
  <c r="G296" i="17"/>
  <c r="K295" i="17"/>
  <c r="J295" i="17"/>
  <c r="G295" i="17"/>
  <c r="H294" i="17"/>
  <c r="G293" i="17"/>
  <c r="H292" i="17"/>
  <c r="G292" i="17"/>
  <c r="I291" i="17"/>
  <c r="G291" i="17"/>
  <c r="H290" i="17"/>
  <c r="G288" i="17"/>
  <c r="J287" i="17"/>
  <c r="H286" i="17"/>
  <c r="G286" i="17"/>
  <c r="I285" i="17"/>
  <c r="E284" i="17"/>
  <c r="G283" i="17"/>
  <c r="H282" i="17"/>
  <c r="J281" i="17"/>
  <c r="H280" i="17"/>
  <c r="F279" i="17"/>
  <c r="H278" i="17"/>
  <c r="E278" i="17"/>
  <c r="J277" i="17"/>
  <c r="H276" i="17"/>
  <c r="J275" i="17"/>
  <c r="H274" i="17"/>
  <c r="J273" i="17"/>
  <c r="I273" i="17"/>
  <c r="F273" i="17"/>
  <c r="I272" i="17"/>
  <c r="J271" i="17"/>
  <c r="F270" i="17"/>
  <c r="G269" i="17"/>
  <c r="H268" i="17"/>
  <c r="F266" i="17"/>
  <c r="C256" i="17"/>
  <c r="G255" i="17"/>
  <c r="K254" i="17"/>
  <c r="K296" i="17" s="1"/>
  <c r="J254" i="17"/>
  <c r="I254" i="17"/>
  <c r="H254" i="17"/>
  <c r="G254" i="17"/>
  <c r="F254" i="17"/>
  <c r="E254" i="17"/>
  <c r="D254" i="17"/>
  <c r="K253" i="17"/>
  <c r="J253" i="17"/>
  <c r="I253" i="17"/>
  <c r="H253" i="17"/>
  <c r="H295" i="17" s="1"/>
  <c r="G253" i="17"/>
  <c r="F253" i="17"/>
  <c r="E253" i="17"/>
  <c r="D253" i="17"/>
  <c r="K252" i="17"/>
  <c r="K294" i="17" s="1"/>
  <c r="J252" i="17"/>
  <c r="I252" i="17"/>
  <c r="H252" i="17"/>
  <c r="G252" i="17"/>
  <c r="F252" i="17"/>
  <c r="E252" i="17"/>
  <c r="D252" i="17"/>
  <c r="K251" i="17"/>
  <c r="J251" i="17"/>
  <c r="J293" i="17" s="1"/>
  <c r="I251" i="17"/>
  <c r="H251" i="17"/>
  <c r="H293" i="17" s="1"/>
  <c r="G251" i="17"/>
  <c r="F251" i="17"/>
  <c r="E251" i="17"/>
  <c r="E293" i="17" s="1"/>
  <c r="D251" i="17"/>
  <c r="K250" i="17"/>
  <c r="K292" i="17" s="1"/>
  <c r="J250" i="17"/>
  <c r="I250" i="17"/>
  <c r="H250" i="17"/>
  <c r="G250" i="17"/>
  <c r="F250" i="17"/>
  <c r="E250" i="17"/>
  <c r="D250" i="17"/>
  <c r="K249" i="17"/>
  <c r="J249" i="17"/>
  <c r="J291" i="17" s="1"/>
  <c r="I249" i="17"/>
  <c r="H249" i="17"/>
  <c r="H291" i="17" s="1"/>
  <c r="G249" i="17"/>
  <c r="F249" i="17"/>
  <c r="E249" i="17"/>
  <c r="E291" i="17" s="1"/>
  <c r="D249" i="17"/>
  <c r="K248" i="17"/>
  <c r="K290" i="17" s="1"/>
  <c r="J248" i="17"/>
  <c r="I248" i="17"/>
  <c r="H248" i="17"/>
  <c r="G248" i="17"/>
  <c r="F248" i="17"/>
  <c r="E248" i="17"/>
  <c r="D248" i="17"/>
  <c r="K247" i="17"/>
  <c r="J247" i="17"/>
  <c r="J289" i="17" s="1"/>
  <c r="I247" i="17"/>
  <c r="H247" i="17"/>
  <c r="H289" i="17" s="1"/>
  <c r="G247" i="17"/>
  <c r="G289" i="17" s="1"/>
  <c r="F247" i="17"/>
  <c r="E247" i="17"/>
  <c r="E289" i="17" s="1"/>
  <c r="D247" i="17"/>
  <c r="K246" i="17"/>
  <c r="K288" i="17" s="1"/>
  <c r="J246" i="17"/>
  <c r="I246" i="17"/>
  <c r="H246" i="17"/>
  <c r="G246" i="17"/>
  <c r="F246" i="17"/>
  <c r="E246" i="17"/>
  <c r="D246" i="17"/>
  <c r="K245" i="17"/>
  <c r="J245" i="17"/>
  <c r="I245" i="17"/>
  <c r="H245" i="17"/>
  <c r="H287" i="17" s="1"/>
  <c r="G245" i="17"/>
  <c r="G287" i="17" s="1"/>
  <c r="F245" i="17"/>
  <c r="E245" i="17"/>
  <c r="E287" i="17" s="1"/>
  <c r="D245" i="17"/>
  <c r="K244" i="17"/>
  <c r="K286" i="17" s="1"/>
  <c r="J244" i="17"/>
  <c r="I244" i="17"/>
  <c r="H244" i="17"/>
  <c r="G244" i="17"/>
  <c r="F244" i="17"/>
  <c r="E244" i="17"/>
  <c r="D244" i="17"/>
  <c r="K243" i="17"/>
  <c r="J243" i="17"/>
  <c r="I243" i="17"/>
  <c r="H243" i="17"/>
  <c r="H285" i="17" s="1"/>
  <c r="G243" i="17"/>
  <c r="G285" i="17" s="1"/>
  <c r="F243" i="17"/>
  <c r="E243" i="17"/>
  <c r="E285" i="17" s="1"/>
  <c r="D243" i="17"/>
  <c r="K242" i="17"/>
  <c r="K284" i="17" s="1"/>
  <c r="J242" i="17"/>
  <c r="I242" i="17"/>
  <c r="H242" i="17"/>
  <c r="H284" i="17" s="1"/>
  <c r="G242" i="17"/>
  <c r="F242" i="17"/>
  <c r="E242" i="17"/>
  <c r="D242" i="17"/>
  <c r="K241" i="17"/>
  <c r="J241" i="17"/>
  <c r="J283" i="17" s="1"/>
  <c r="I241" i="17"/>
  <c r="H241" i="17"/>
  <c r="H283" i="17" s="1"/>
  <c r="G241" i="17"/>
  <c r="F241" i="17"/>
  <c r="E241" i="17"/>
  <c r="E283" i="17" s="1"/>
  <c r="D241" i="17"/>
  <c r="K240" i="17"/>
  <c r="K282" i="17" s="1"/>
  <c r="J240" i="17"/>
  <c r="I240" i="17"/>
  <c r="H240" i="17"/>
  <c r="G240" i="17"/>
  <c r="F240" i="17"/>
  <c r="E240" i="17"/>
  <c r="D240" i="17"/>
  <c r="K239" i="17"/>
  <c r="J239" i="17"/>
  <c r="I239" i="17"/>
  <c r="H239" i="17"/>
  <c r="H281" i="17" s="1"/>
  <c r="G239" i="17"/>
  <c r="G281" i="17" s="1"/>
  <c r="F239" i="17"/>
  <c r="E239" i="17"/>
  <c r="E281" i="17" s="1"/>
  <c r="D239" i="17"/>
  <c r="K238" i="17"/>
  <c r="K280" i="17" s="1"/>
  <c r="J238" i="17"/>
  <c r="I238" i="17"/>
  <c r="H238" i="17"/>
  <c r="G238" i="17"/>
  <c r="F238" i="17"/>
  <c r="E238" i="17"/>
  <c r="D238" i="17"/>
  <c r="K237" i="17"/>
  <c r="J237" i="17"/>
  <c r="J279" i="17" s="1"/>
  <c r="I237" i="17"/>
  <c r="H237" i="17"/>
  <c r="H279" i="17" s="1"/>
  <c r="G237" i="17"/>
  <c r="G279" i="17" s="1"/>
  <c r="F237" i="17"/>
  <c r="E237" i="17"/>
  <c r="E279" i="17" s="1"/>
  <c r="D237" i="17"/>
  <c r="K236" i="17"/>
  <c r="K278" i="17" s="1"/>
  <c r="J236" i="17"/>
  <c r="I236" i="17"/>
  <c r="H236" i="17"/>
  <c r="G236" i="17"/>
  <c r="G278" i="17" s="1"/>
  <c r="F236" i="17"/>
  <c r="F278" i="17" s="1"/>
  <c r="E236" i="17"/>
  <c r="D236" i="17"/>
  <c r="D278" i="17" s="1"/>
  <c r="K235" i="17"/>
  <c r="J235" i="17"/>
  <c r="I235" i="17"/>
  <c r="H235" i="17"/>
  <c r="H277" i="17" s="1"/>
  <c r="G235" i="17"/>
  <c r="G277" i="17" s="1"/>
  <c r="F235" i="17"/>
  <c r="E235" i="17"/>
  <c r="E277" i="17" s="1"/>
  <c r="D235" i="17"/>
  <c r="K234" i="17"/>
  <c r="K276" i="17" s="1"/>
  <c r="J234" i="17"/>
  <c r="I234" i="17"/>
  <c r="H234" i="17"/>
  <c r="G234" i="17"/>
  <c r="F234" i="17"/>
  <c r="E234" i="17"/>
  <c r="D234" i="17"/>
  <c r="K233" i="17"/>
  <c r="J233" i="17"/>
  <c r="I233" i="17"/>
  <c r="H233" i="17"/>
  <c r="H275" i="17" s="1"/>
  <c r="G233" i="17"/>
  <c r="G275" i="17" s="1"/>
  <c r="F233" i="17"/>
  <c r="E233" i="17"/>
  <c r="E275" i="17" s="1"/>
  <c r="D233" i="17"/>
  <c r="K232" i="17"/>
  <c r="J232" i="17"/>
  <c r="I232" i="17"/>
  <c r="H232" i="17"/>
  <c r="G232" i="17"/>
  <c r="F232" i="17"/>
  <c r="F274" i="17" s="1"/>
  <c r="E232" i="17"/>
  <c r="D232" i="17"/>
  <c r="K231" i="17"/>
  <c r="J231" i="17"/>
  <c r="I231" i="17"/>
  <c r="H231" i="17"/>
  <c r="H273" i="17" s="1"/>
  <c r="G231" i="17"/>
  <c r="G273" i="17" s="1"/>
  <c r="F231" i="17"/>
  <c r="E231" i="17"/>
  <c r="E273" i="17" s="1"/>
  <c r="D231" i="17"/>
  <c r="K230" i="17"/>
  <c r="J230" i="17"/>
  <c r="I230" i="17"/>
  <c r="H230" i="17"/>
  <c r="G230" i="17"/>
  <c r="F230" i="17"/>
  <c r="E230" i="17"/>
  <c r="D230" i="17"/>
  <c r="K229" i="17"/>
  <c r="J229" i="17"/>
  <c r="I229" i="17"/>
  <c r="H229" i="17"/>
  <c r="H271" i="17" s="1"/>
  <c r="G229" i="17"/>
  <c r="G271" i="17" s="1"/>
  <c r="F229" i="17"/>
  <c r="E229" i="17"/>
  <c r="E271" i="17" s="1"/>
  <c r="D229" i="17"/>
  <c r="K228" i="17"/>
  <c r="K270" i="17" s="1"/>
  <c r="J228" i="17"/>
  <c r="I228" i="17"/>
  <c r="H228" i="17"/>
  <c r="H270" i="17" s="1"/>
  <c r="G228" i="17"/>
  <c r="F228" i="17"/>
  <c r="E228" i="17"/>
  <c r="D228" i="17"/>
  <c r="K227" i="17"/>
  <c r="J227" i="17"/>
  <c r="J269" i="17" s="1"/>
  <c r="I227" i="17"/>
  <c r="H227" i="17"/>
  <c r="H269" i="17" s="1"/>
  <c r="G227" i="17"/>
  <c r="F227" i="17"/>
  <c r="E227" i="17"/>
  <c r="E269" i="17" s="1"/>
  <c r="D227" i="17"/>
  <c r="K226" i="17"/>
  <c r="J226" i="17"/>
  <c r="I226" i="17"/>
  <c r="H226" i="17"/>
  <c r="G226" i="17"/>
  <c r="F226" i="17"/>
  <c r="F268" i="17" s="1"/>
  <c r="E226" i="17"/>
  <c r="D226" i="17"/>
  <c r="K225" i="17"/>
  <c r="J225" i="17"/>
  <c r="J267" i="17" s="1"/>
  <c r="I225" i="17"/>
  <c r="I255" i="17" s="1"/>
  <c r="H225" i="17"/>
  <c r="G225" i="17"/>
  <c r="G267" i="17" s="1"/>
  <c r="F225" i="17"/>
  <c r="E225" i="17"/>
  <c r="E267" i="17" s="1"/>
  <c r="D225" i="17"/>
  <c r="K224" i="17"/>
  <c r="J224" i="17"/>
  <c r="J255" i="17" s="1"/>
  <c r="I224" i="17"/>
  <c r="H224" i="17"/>
  <c r="H266" i="17" s="1"/>
  <c r="G224" i="17"/>
  <c r="F224" i="17"/>
  <c r="F255" i="17" s="1"/>
  <c r="E224" i="17"/>
  <c r="D224" i="17"/>
  <c r="C215" i="17"/>
  <c r="E214" i="17"/>
  <c r="K213" i="17"/>
  <c r="I213" i="17"/>
  <c r="G212" i="17"/>
  <c r="K211" i="17"/>
  <c r="H211" i="17"/>
  <c r="G210" i="17"/>
  <c r="E210" i="17"/>
  <c r="D210" i="17"/>
  <c r="E208" i="17"/>
  <c r="K207" i="17"/>
  <c r="H206" i="17"/>
  <c r="G206" i="17"/>
  <c r="E206" i="17"/>
  <c r="I204" i="17"/>
  <c r="H204" i="17"/>
  <c r="E204" i="17"/>
  <c r="I202" i="17"/>
  <c r="H202" i="17"/>
  <c r="G202" i="17"/>
  <c r="F202" i="17"/>
  <c r="K201" i="17"/>
  <c r="G200" i="17"/>
  <c r="F200" i="17"/>
  <c r="E200" i="17"/>
  <c r="E198" i="17"/>
  <c r="K197" i="17"/>
  <c r="I197" i="17"/>
  <c r="E197" i="17"/>
  <c r="G196" i="17"/>
  <c r="K195" i="17"/>
  <c r="I195" i="17"/>
  <c r="H195" i="17"/>
  <c r="G194" i="17"/>
  <c r="E194" i="17"/>
  <c r="H193" i="17"/>
  <c r="J192" i="17"/>
  <c r="E192" i="17"/>
  <c r="I191" i="17"/>
  <c r="G190" i="17"/>
  <c r="E190" i="17"/>
  <c r="H189" i="17"/>
  <c r="I188" i="17"/>
  <c r="E188" i="17"/>
  <c r="G186" i="17"/>
  <c r="G184" i="17"/>
  <c r="E184" i="17"/>
  <c r="H183" i="17"/>
  <c r="C173" i="17"/>
  <c r="F172" i="17"/>
  <c r="K171" i="17"/>
  <c r="J171" i="17"/>
  <c r="I171" i="17"/>
  <c r="H171" i="17"/>
  <c r="H213" i="17" s="1"/>
  <c r="G171" i="17"/>
  <c r="G213" i="17" s="1"/>
  <c r="F171" i="17"/>
  <c r="E171" i="17"/>
  <c r="D171" i="17"/>
  <c r="K170" i="17"/>
  <c r="J170" i="17"/>
  <c r="J212" i="17" s="1"/>
  <c r="I170" i="17"/>
  <c r="I212" i="17" s="1"/>
  <c r="H170" i="17"/>
  <c r="G170" i="17"/>
  <c r="F170" i="17"/>
  <c r="F212" i="17" s="1"/>
  <c r="E170" i="17"/>
  <c r="E212" i="17" s="1"/>
  <c r="D170" i="17"/>
  <c r="K169" i="17"/>
  <c r="J169" i="17"/>
  <c r="I169" i="17"/>
  <c r="H169" i="17"/>
  <c r="G169" i="17"/>
  <c r="G211" i="17" s="1"/>
  <c r="F169" i="17"/>
  <c r="E169" i="17"/>
  <c r="D169" i="17"/>
  <c r="D211" i="17" s="1"/>
  <c r="K168" i="17"/>
  <c r="J168" i="17"/>
  <c r="J210" i="17" s="1"/>
  <c r="I168" i="17"/>
  <c r="I210" i="17" s="1"/>
  <c r="H168" i="17"/>
  <c r="G168" i="17"/>
  <c r="F168" i="17"/>
  <c r="E168" i="17"/>
  <c r="D168" i="17"/>
  <c r="K167" i="17"/>
  <c r="J167" i="17"/>
  <c r="I167" i="17"/>
  <c r="H167" i="17"/>
  <c r="H209" i="17" s="1"/>
  <c r="G167" i="17"/>
  <c r="G209" i="17" s="1"/>
  <c r="F167" i="17"/>
  <c r="E167" i="17"/>
  <c r="D167" i="17"/>
  <c r="K166" i="17"/>
  <c r="J166" i="17"/>
  <c r="J208" i="17" s="1"/>
  <c r="I166" i="17"/>
  <c r="I208" i="17" s="1"/>
  <c r="H166" i="17"/>
  <c r="G166" i="17"/>
  <c r="F166" i="17"/>
  <c r="E166" i="17"/>
  <c r="D166" i="17"/>
  <c r="K165" i="17"/>
  <c r="J165" i="17"/>
  <c r="I165" i="17"/>
  <c r="H165" i="17"/>
  <c r="H207" i="17" s="1"/>
  <c r="G165" i="17"/>
  <c r="G207" i="17" s="1"/>
  <c r="F165" i="17"/>
  <c r="E165" i="17"/>
  <c r="D165" i="17"/>
  <c r="D207" i="17" s="1"/>
  <c r="K164" i="17"/>
  <c r="J164" i="17"/>
  <c r="J206" i="17" s="1"/>
  <c r="I164" i="17"/>
  <c r="I206" i="17" s="1"/>
  <c r="H164" i="17"/>
  <c r="G164" i="17"/>
  <c r="F164" i="17"/>
  <c r="E164" i="17"/>
  <c r="D164" i="17"/>
  <c r="K163" i="17"/>
  <c r="J163" i="17"/>
  <c r="I163" i="17"/>
  <c r="I205" i="17" s="1"/>
  <c r="H163" i="17"/>
  <c r="H205" i="17" s="1"/>
  <c r="G163" i="17"/>
  <c r="G205" i="17" s="1"/>
  <c r="F163" i="17"/>
  <c r="E163" i="17"/>
  <c r="D163" i="17"/>
  <c r="K162" i="17"/>
  <c r="J162" i="17"/>
  <c r="J204" i="17" s="1"/>
  <c r="I162" i="17"/>
  <c r="H162" i="17"/>
  <c r="G162" i="17"/>
  <c r="F162" i="17"/>
  <c r="F204" i="17" s="1"/>
  <c r="E162" i="17"/>
  <c r="D162" i="17"/>
  <c r="K161" i="17"/>
  <c r="J161" i="17"/>
  <c r="I161" i="17"/>
  <c r="I203" i="17" s="1"/>
  <c r="H161" i="17"/>
  <c r="H203" i="17" s="1"/>
  <c r="G161" i="17"/>
  <c r="G203" i="17" s="1"/>
  <c r="F161" i="17"/>
  <c r="E161" i="17"/>
  <c r="D161" i="17"/>
  <c r="D203" i="17" s="1"/>
  <c r="K160" i="17"/>
  <c r="J160" i="17"/>
  <c r="J202" i="17" s="1"/>
  <c r="I160" i="17"/>
  <c r="H160" i="17"/>
  <c r="G160" i="17"/>
  <c r="F160" i="17"/>
  <c r="E160" i="17"/>
  <c r="E202" i="17" s="1"/>
  <c r="D160" i="17"/>
  <c r="K159" i="17"/>
  <c r="J159" i="17"/>
  <c r="I159" i="17"/>
  <c r="I201" i="17" s="1"/>
  <c r="H159" i="17"/>
  <c r="H201" i="17" s="1"/>
  <c r="G159" i="17"/>
  <c r="G201" i="17" s="1"/>
  <c r="F159" i="17"/>
  <c r="E159" i="17"/>
  <c r="D159" i="17"/>
  <c r="K158" i="17"/>
  <c r="J158" i="17"/>
  <c r="J200" i="17" s="1"/>
  <c r="I158" i="17"/>
  <c r="I200" i="17" s="1"/>
  <c r="H158" i="17"/>
  <c r="G158" i="17"/>
  <c r="F158" i="17"/>
  <c r="E158" i="17"/>
  <c r="D158" i="17"/>
  <c r="K157" i="17"/>
  <c r="J157" i="17"/>
  <c r="I157" i="17"/>
  <c r="H157" i="17"/>
  <c r="H199" i="17" s="1"/>
  <c r="G157" i="17"/>
  <c r="G199" i="17" s="1"/>
  <c r="F157" i="17"/>
  <c r="E157" i="17"/>
  <c r="D157" i="17"/>
  <c r="K156" i="17"/>
  <c r="J156" i="17"/>
  <c r="J198" i="17" s="1"/>
  <c r="I156" i="17"/>
  <c r="I198" i="17" s="1"/>
  <c r="H156" i="17"/>
  <c r="G156" i="17"/>
  <c r="F156" i="17"/>
  <c r="E156" i="17"/>
  <c r="D156" i="17"/>
  <c r="D198" i="17" s="1"/>
  <c r="K155" i="17"/>
  <c r="J155" i="17"/>
  <c r="I155" i="17"/>
  <c r="H155" i="17"/>
  <c r="H197" i="17" s="1"/>
  <c r="G155" i="17"/>
  <c r="G197" i="17" s="1"/>
  <c r="F155" i="17"/>
  <c r="E155" i="17"/>
  <c r="D155" i="17"/>
  <c r="K154" i="17"/>
  <c r="J154" i="17"/>
  <c r="J196" i="17" s="1"/>
  <c r="I154" i="17"/>
  <c r="I196" i="17" s="1"/>
  <c r="H154" i="17"/>
  <c r="G154" i="17"/>
  <c r="F154" i="17"/>
  <c r="F196" i="17" s="1"/>
  <c r="E154" i="17"/>
  <c r="E196" i="17" s="1"/>
  <c r="D154" i="17"/>
  <c r="K153" i="17"/>
  <c r="J153" i="17"/>
  <c r="I153" i="17"/>
  <c r="H153" i="17"/>
  <c r="G153" i="17"/>
  <c r="G195" i="17" s="1"/>
  <c r="F153" i="17"/>
  <c r="F195" i="17" s="1"/>
  <c r="E153" i="17"/>
  <c r="E195" i="17" s="1"/>
  <c r="D153" i="17"/>
  <c r="D195" i="17" s="1"/>
  <c r="K152" i="17"/>
  <c r="J152" i="17"/>
  <c r="J194" i="17" s="1"/>
  <c r="I152" i="17"/>
  <c r="I194" i="17" s="1"/>
  <c r="H152" i="17"/>
  <c r="G152" i="17"/>
  <c r="F152" i="17"/>
  <c r="E152" i="17"/>
  <c r="D152" i="17"/>
  <c r="D194" i="17" s="1"/>
  <c r="K151" i="17"/>
  <c r="J151" i="17"/>
  <c r="I151" i="17"/>
  <c r="H151" i="17"/>
  <c r="G151" i="17"/>
  <c r="G193" i="17" s="1"/>
  <c r="F151" i="17"/>
  <c r="E151" i="17"/>
  <c r="D151" i="17"/>
  <c r="D193" i="17" s="1"/>
  <c r="K150" i="17"/>
  <c r="J150" i="17"/>
  <c r="I150" i="17"/>
  <c r="I192" i="17" s="1"/>
  <c r="H150" i="17"/>
  <c r="G150" i="17"/>
  <c r="F150" i="17"/>
  <c r="E150" i="17"/>
  <c r="D150" i="17"/>
  <c r="K149" i="17"/>
  <c r="J149" i="17"/>
  <c r="I149" i="17"/>
  <c r="H149" i="17"/>
  <c r="H191" i="17" s="1"/>
  <c r="G149" i="17"/>
  <c r="G191" i="17" s="1"/>
  <c r="F149" i="17"/>
  <c r="E149" i="17"/>
  <c r="D149" i="17"/>
  <c r="D191" i="17" s="1"/>
  <c r="K148" i="17"/>
  <c r="J148" i="17"/>
  <c r="J190" i="17" s="1"/>
  <c r="I148" i="17"/>
  <c r="I190" i="17" s="1"/>
  <c r="H148" i="17"/>
  <c r="G148" i="17"/>
  <c r="F148" i="17"/>
  <c r="E148" i="17"/>
  <c r="D148" i="17"/>
  <c r="K147" i="17"/>
  <c r="J147" i="17"/>
  <c r="I147" i="17"/>
  <c r="I189" i="17" s="1"/>
  <c r="H147" i="17"/>
  <c r="G147" i="17"/>
  <c r="G189" i="17" s="1"/>
  <c r="F147" i="17"/>
  <c r="E147" i="17"/>
  <c r="D147" i="17"/>
  <c r="K146" i="17"/>
  <c r="J146" i="17"/>
  <c r="J188" i="17" s="1"/>
  <c r="I146" i="17"/>
  <c r="H146" i="17"/>
  <c r="G146" i="17"/>
  <c r="F146" i="17"/>
  <c r="F188" i="17" s="1"/>
  <c r="E146" i="17"/>
  <c r="D146" i="17"/>
  <c r="K145" i="17"/>
  <c r="J145" i="17"/>
  <c r="I145" i="17"/>
  <c r="I187" i="17" s="1"/>
  <c r="H145" i="17"/>
  <c r="H187" i="17" s="1"/>
  <c r="G145" i="17"/>
  <c r="G187" i="17" s="1"/>
  <c r="F145" i="17"/>
  <c r="E145" i="17"/>
  <c r="D145" i="17"/>
  <c r="K144" i="17"/>
  <c r="J144" i="17"/>
  <c r="J186" i="17" s="1"/>
  <c r="I144" i="17"/>
  <c r="I186" i="17" s="1"/>
  <c r="H144" i="17"/>
  <c r="G144" i="17"/>
  <c r="F144" i="17"/>
  <c r="F186" i="17" s="1"/>
  <c r="E144" i="17"/>
  <c r="E186" i="17" s="1"/>
  <c r="D144" i="17"/>
  <c r="D186" i="17" s="1"/>
  <c r="K143" i="17"/>
  <c r="J143" i="17"/>
  <c r="I143" i="17"/>
  <c r="I185" i="17" s="1"/>
  <c r="H143" i="17"/>
  <c r="H185" i="17" s="1"/>
  <c r="G143" i="17"/>
  <c r="G185" i="17" s="1"/>
  <c r="F143" i="17"/>
  <c r="E143" i="17"/>
  <c r="D143" i="17"/>
  <c r="K142" i="17"/>
  <c r="J142" i="17"/>
  <c r="J184" i="17" s="1"/>
  <c r="I142" i="17"/>
  <c r="I184" i="17" s="1"/>
  <c r="H142" i="17"/>
  <c r="G142" i="17"/>
  <c r="F142" i="17"/>
  <c r="F184" i="17" s="1"/>
  <c r="E142" i="17"/>
  <c r="D142" i="17"/>
  <c r="D184" i="17" s="1"/>
  <c r="K141" i="17"/>
  <c r="K172" i="17" s="1"/>
  <c r="J141" i="17"/>
  <c r="I141" i="17"/>
  <c r="I172" i="17" s="1"/>
  <c r="H141" i="17"/>
  <c r="H172" i="17" s="1"/>
  <c r="G141" i="17"/>
  <c r="F141" i="17"/>
  <c r="E141" i="17"/>
  <c r="E172" i="17" s="1"/>
  <c r="D141" i="17"/>
  <c r="C131" i="17"/>
  <c r="J128" i="17"/>
  <c r="G128" i="17"/>
  <c r="F127" i="17"/>
  <c r="J126" i="17"/>
  <c r="G126" i="17"/>
  <c r="E126" i="17"/>
  <c r="K125" i="17"/>
  <c r="H125" i="17"/>
  <c r="F125" i="17"/>
  <c r="K124" i="17"/>
  <c r="J124" i="17"/>
  <c r="G124" i="17"/>
  <c r="F124" i="17"/>
  <c r="E124" i="17"/>
  <c r="D124" i="17"/>
  <c r="K123" i="17"/>
  <c r="F123" i="17"/>
  <c r="G122" i="17"/>
  <c r="E122" i="17"/>
  <c r="D122" i="17"/>
  <c r="J121" i="17"/>
  <c r="F121" i="17"/>
  <c r="I120" i="17"/>
  <c r="F120" i="17"/>
  <c r="F118" i="17"/>
  <c r="I117" i="17"/>
  <c r="G117" i="17"/>
  <c r="F117" i="17"/>
  <c r="J116" i="17"/>
  <c r="I115" i="17"/>
  <c r="G115" i="17"/>
  <c r="F115" i="17"/>
  <c r="E115" i="17"/>
  <c r="J114" i="17"/>
  <c r="G114" i="17"/>
  <c r="F114" i="17"/>
  <c r="D114" i="17"/>
  <c r="J112" i="17"/>
  <c r="G112" i="17"/>
  <c r="E112" i="17"/>
  <c r="J111" i="17"/>
  <c r="F111" i="17"/>
  <c r="E111" i="17"/>
  <c r="J110" i="17"/>
  <c r="I110" i="17"/>
  <c r="G110" i="17"/>
  <c r="F109" i="17"/>
  <c r="J108" i="17"/>
  <c r="G108" i="17"/>
  <c r="F108" i="17"/>
  <c r="I107" i="17"/>
  <c r="H107" i="17"/>
  <c r="F107" i="17"/>
  <c r="G106" i="17"/>
  <c r="E106" i="17"/>
  <c r="I105" i="17"/>
  <c r="F105" i="17"/>
  <c r="F104" i="17"/>
  <c r="E104" i="17"/>
  <c r="K103" i="17"/>
  <c r="F102" i="17"/>
  <c r="D102" i="17"/>
  <c r="I101" i="17"/>
  <c r="F101" i="17"/>
  <c r="J100" i="17"/>
  <c r="F99" i="17"/>
  <c r="H95" i="17"/>
  <c r="C89" i="17"/>
  <c r="J88" i="17"/>
  <c r="J130" i="17" s="1"/>
  <c r="I88" i="17"/>
  <c r="K87" i="17"/>
  <c r="K129" i="17" s="1"/>
  <c r="J87" i="17"/>
  <c r="I87" i="17"/>
  <c r="H87" i="17"/>
  <c r="H129" i="17" s="1"/>
  <c r="G87" i="17"/>
  <c r="G129" i="17" s="1"/>
  <c r="F87" i="17"/>
  <c r="F129" i="17" s="1"/>
  <c r="E87" i="17"/>
  <c r="D87" i="17"/>
  <c r="K86" i="17"/>
  <c r="J86" i="17"/>
  <c r="I86" i="17"/>
  <c r="I128" i="17" s="1"/>
  <c r="H86" i="17"/>
  <c r="H128" i="17" s="1"/>
  <c r="G86" i="17"/>
  <c r="F86" i="17"/>
  <c r="E86" i="17"/>
  <c r="E128" i="17" s="1"/>
  <c r="D86" i="17"/>
  <c r="K85" i="17"/>
  <c r="K127" i="17" s="1"/>
  <c r="J85" i="17"/>
  <c r="I85" i="17"/>
  <c r="I127" i="17" s="1"/>
  <c r="H85" i="17"/>
  <c r="H127" i="17" s="1"/>
  <c r="G85" i="17"/>
  <c r="G127" i="17" s="1"/>
  <c r="F85" i="17"/>
  <c r="E85" i="17"/>
  <c r="D85" i="17"/>
  <c r="K84" i="17"/>
  <c r="J84" i="17"/>
  <c r="I84" i="17"/>
  <c r="I126" i="17" s="1"/>
  <c r="H84" i="17"/>
  <c r="H126" i="17" s="1"/>
  <c r="G84" i="17"/>
  <c r="F84" i="17"/>
  <c r="E84" i="17"/>
  <c r="D84" i="17"/>
  <c r="K83" i="17"/>
  <c r="J83" i="17"/>
  <c r="I83" i="17"/>
  <c r="I125" i="17" s="1"/>
  <c r="H83" i="17"/>
  <c r="G83" i="17"/>
  <c r="G125" i="17" s="1"/>
  <c r="F83" i="17"/>
  <c r="E83" i="17"/>
  <c r="D83" i="17"/>
  <c r="K82" i="17"/>
  <c r="J82" i="17"/>
  <c r="I82" i="17"/>
  <c r="I124" i="17" s="1"/>
  <c r="H82" i="17"/>
  <c r="H124" i="17" s="1"/>
  <c r="G82" i="17"/>
  <c r="F82" i="17"/>
  <c r="E82" i="17"/>
  <c r="D82" i="17"/>
  <c r="K81" i="17"/>
  <c r="J81" i="17"/>
  <c r="I81" i="17"/>
  <c r="H81" i="17"/>
  <c r="H123" i="17" s="1"/>
  <c r="G81" i="17"/>
  <c r="G123" i="17" s="1"/>
  <c r="F81" i="17"/>
  <c r="E81" i="17"/>
  <c r="D81" i="17"/>
  <c r="K80" i="17"/>
  <c r="J80" i="17"/>
  <c r="J122" i="17" s="1"/>
  <c r="I80" i="17"/>
  <c r="I122" i="17" s="1"/>
  <c r="H80" i="17"/>
  <c r="H122" i="17" s="1"/>
  <c r="G80" i="17"/>
  <c r="F80" i="17"/>
  <c r="E80" i="17"/>
  <c r="D80" i="17"/>
  <c r="K79" i="17"/>
  <c r="K121" i="17" s="1"/>
  <c r="J79" i="17"/>
  <c r="I79" i="17"/>
  <c r="H79" i="17"/>
  <c r="H121" i="17" s="1"/>
  <c r="G79" i="17"/>
  <c r="G121" i="17" s="1"/>
  <c r="F79" i="17"/>
  <c r="E79" i="17"/>
  <c r="D79" i="17"/>
  <c r="K78" i="17"/>
  <c r="J78" i="17"/>
  <c r="J120" i="17" s="1"/>
  <c r="I78" i="17"/>
  <c r="H78" i="17"/>
  <c r="H120" i="17" s="1"/>
  <c r="G78" i="17"/>
  <c r="F78" i="17"/>
  <c r="E78" i="17"/>
  <c r="E120" i="17" s="1"/>
  <c r="D78" i="17"/>
  <c r="K77" i="17"/>
  <c r="K119" i="17" s="1"/>
  <c r="J77" i="17"/>
  <c r="I77" i="17"/>
  <c r="H77" i="17"/>
  <c r="H119" i="17" s="1"/>
  <c r="G77" i="17"/>
  <c r="G119" i="17" s="1"/>
  <c r="F77" i="17"/>
  <c r="F119" i="17" s="1"/>
  <c r="E77" i="17"/>
  <c r="D77" i="17"/>
  <c r="K76" i="17"/>
  <c r="J76" i="17"/>
  <c r="J118" i="17" s="1"/>
  <c r="I76" i="17"/>
  <c r="I118" i="17" s="1"/>
  <c r="H76" i="17"/>
  <c r="H118" i="17" s="1"/>
  <c r="G76" i="17"/>
  <c r="G118" i="17" s="1"/>
  <c r="F76" i="17"/>
  <c r="E76" i="17"/>
  <c r="E118" i="17" s="1"/>
  <c r="D76" i="17"/>
  <c r="D118" i="17" s="1"/>
  <c r="K75" i="17"/>
  <c r="K117" i="17" s="1"/>
  <c r="J75" i="17"/>
  <c r="I75" i="17"/>
  <c r="H75" i="17"/>
  <c r="H117" i="17" s="1"/>
  <c r="G75" i="17"/>
  <c r="F75" i="17"/>
  <c r="E75" i="17"/>
  <c r="E117" i="17" s="1"/>
  <c r="D75" i="17"/>
  <c r="K74" i="17"/>
  <c r="J74" i="17"/>
  <c r="I74" i="17"/>
  <c r="I116" i="17" s="1"/>
  <c r="H74" i="17"/>
  <c r="H116" i="17" s="1"/>
  <c r="G74" i="17"/>
  <c r="F74" i="17"/>
  <c r="E74" i="17"/>
  <c r="E116" i="17" s="1"/>
  <c r="D74" i="17"/>
  <c r="K73" i="17"/>
  <c r="K115" i="17" s="1"/>
  <c r="J73" i="17"/>
  <c r="I73" i="17"/>
  <c r="H73" i="17"/>
  <c r="H115" i="17" s="1"/>
  <c r="G73" i="17"/>
  <c r="F73" i="17"/>
  <c r="E73" i="17"/>
  <c r="D73" i="17"/>
  <c r="K72" i="17"/>
  <c r="K114" i="17" s="1"/>
  <c r="J72" i="17"/>
  <c r="I72" i="17"/>
  <c r="I114" i="17" s="1"/>
  <c r="H72" i="17"/>
  <c r="H114" i="17" s="1"/>
  <c r="G72" i="17"/>
  <c r="F72" i="17"/>
  <c r="E72" i="17"/>
  <c r="E114" i="17" s="1"/>
  <c r="D72" i="17"/>
  <c r="K71" i="17"/>
  <c r="K113" i="17" s="1"/>
  <c r="J71" i="17"/>
  <c r="I71" i="17"/>
  <c r="I113" i="17" s="1"/>
  <c r="H71" i="17"/>
  <c r="H113" i="17" s="1"/>
  <c r="G71" i="17"/>
  <c r="G113" i="17" s="1"/>
  <c r="F71" i="17"/>
  <c r="F113" i="17" s="1"/>
  <c r="E71" i="17"/>
  <c r="E113" i="17" s="1"/>
  <c r="D71" i="17"/>
  <c r="K70" i="17"/>
  <c r="J70" i="17"/>
  <c r="I70" i="17"/>
  <c r="I112" i="17" s="1"/>
  <c r="H70" i="17"/>
  <c r="H112" i="17" s="1"/>
  <c r="G70" i="17"/>
  <c r="F70" i="17"/>
  <c r="E70" i="17"/>
  <c r="D70" i="17"/>
  <c r="K69" i="17"/>
  <c r="K111" i="17" s="1"/>
  <c r="J69" i="17"/>
  <c r="I69" i="17"/>
  <c r="I111" i="17" s="1"/>
  <c r="H69" i="17"/>
  <c r="H111" i="17" s="1"/>
  <c r="G69" i="17"/>
  <c r="G111" i="17" s="1"/>
  <c r="F69" i="17"/>
  <c r="E69" i="17"/>
  <c r="D69" i="17"/>
  <c r="D111" i="17" s="1"/>
  <c r="K68" i="17"/>
  <c r="J68" i="17"/>
  <c r="I68" i="17"/>
  <c r="H68" i="17"/>
  <c r="H110" i="17" s="1"/>
  <c r="G68" i="17"/>
  <c r="F68" i="17"/>
  <c r="F110" i="17" s="1"/>
  <c r="E68" i="17"/>
  <c r="E110" i="17" s="1"/>
  <c r="D68" i="17"/>
  <c r="K67" i="17"/>
  <c r="K109" i="17" s="1"/>
  <c r="J67" i="17"/>
  <c r="I67" i="17"/>
  <c r="I109" i="17" s="1"/>
  <c r="H67" i="17"/>
  <c r="H109" i="17" s="1"/>
  <c r="G67" i="17"/>
  <c r="G109" i="17" s="1"/>
  <c r="F67" i="17"/>
  <c r="E67" i="17"/>
  <c r="D67" i="17"/>
  <c r="K66" i="17"/>
  <c r="J66" i="17"/>
  <c r="I66" i="17"/>
  <c r="I108" i="17" s="1"/>
  <c r="H66" i="17"/>
  <c r="H108" i="17" s="1"/>
  <c r="G66" i="17"/>
  <c r="F66" i="17"/>
  <c r="E66" i="17"/>
  <c r="E108" i="17" s="1"/>
  <c r="D66" i="17"/>
  <c r="K65" i="17"/>
  <c r="J65" i="17"/>
  <c r="I65" i="17"/>
  <c r="H65" i="17"/>
  <c r="G65" i="17"/>
  <c r="G107" i="17" s="1"/>
  <c r="F65" i="17"/>
  <c r="E65" i="17"/>
  <c r="D65" i="17"/>
  <c r="K64" i="17"/>
  <c r="K106" i="17" s="1"/>
  <c r="J64" i="17"/>
  <c r="J106" i="17" s="1"/>
  <c r="I64" i="17"/>
  <c r="I106" i="17" s="1"/>
  <c r="H64" i="17"/>
  <c r="H106" i="17" s="1"/>
  <c r="G64" i="17"/>
  <c r="F64" i="17"/>
  <c r="F106" i="17" s="1"/>
  <c r="E64" i="17"/>
  <c r="D64" i="17"/>
  <c r="K63" i="17"/>
  <c r="J63" i="17"/>
  <c r="I63" i="17"/>
  <c r="H63" i="17"/>
  <c r="H105" i="17" s="1"/>
  <c r="G63" i="17"/>
  <c r="G105" i="17" s="1"/>
  <c r="F63" i="17"/>
  <c r="E63" i="17"/>
  <c r="D63" i="17"/>
  <c r="K62" i="17"/>
  <c r="K104" i="17" s="1"/>
  <c r="J62" i="17"/>
  <c r="J104" i="17" s="1"/>
  <c r="I62" i="17"/>
  <c r="I104" i="17" s="1"/>
  <c r="H62" i="17"/>
  <c r="H104" i="17" s="1"/>
  <c r="G62" i="17"/>
  <c r="F62" i="17"/>
  <c r="E62" i="17"/>
  <c r="D62" i="17"/>
  <c r="K61" i="17"/>
  <c r="J61" i="17"/>
  <c r="I61" i="17"/>
  <c r="H61" i="17"/>
  <c r="H103" i="17" s="1"/>
  <c r="G61" i="17"/>
  <c r="G103" i="17" s="1"/>
  <c r="F61" i="17"/>
  <c r="F103" i="17" s="1"/>
  <c r="E61" i="17"/>
  <c r="E103" i="17" s="1"/>
  <c r="D61" i="17"/>
  <c r="K60" i="17"/>
  <c r="J60" i="17"/>
  <c r="J102" i="17" s="1"/>
  <c r="I60" i="17"/>
  <c r="I102" i="17" s="1"/>
  <c r="H60" i="17"/>
  <c r="H102" i="17" s="1"/>
  <c r="G60" i="17"/>
  <c r="G102" i="17" s="1"/>
  <c r="F60" i="17"/>
  <c r="E60" i="17"/>
  <c r="E102" i="17" s="1"/>
  <c r="D60" i="17"/>
  <c r="K59" i="17"/>
  <c r="K101" i="17" s="1"/>
  <c r="J59" i="17"/>
  <c r="I59" i="17"/>
  <c r="H59" i="17"/>
  <c r="H101" i="17" s="1"/>
  <c r="G59" i="17"/>
  <c r="G101" i="17" s="1"/>
  <c r="F59" i="17"/>
  <c r="E59" i="17"/>
  <c r="D59" i="17"/>
  <c r="K58" i="17"/>
  <c r="J58" i="17"/>
  <c r="I58" i="17"/>
  <c r="I100" i="17" s="1"/>
  <c r="H58" i="17"/>
  <c r="H100" i="17" s="1"/>
  <c r="G58" i="17"/>
  <c r="F58" i="17"/>
  <c r="F100" i="17" s="1"/>
  <c r="E58" i="17"/>
  <c r="E100" i="17" s="1"/>
  <c r="D58" i="17"/>
  <c r="D100" i="17" s="1"/>
  <c r="K57" i="17"/>
  <c r="J57" i="17"/>
  <c r="J99" i="17" s="1"/>
  <c r="I57" i="17"/>
  <c r="H57" i="17"/>
  <c r="G57" i="17"/>
  <c r="G88" i="17" s="1"/>
  <c r="F57" i="17"/>
  <c r="E57" i="17"/>
  <c r="E88" i="17" s="1"/>
  <c r="D57" i="17"/>
  <c r="C47" i="17"/>
  <c r="H46" i="17"/>
  <c r="F46" i="17"/>
  <c r="K45" i="17"/>
  <c r="J45" i="17"/>
  <c r="J129" i="17" s="1"/>
  <c r="I45" i="17"/>
  <c r="H45" i="17"/>
  <c r="H296" i="17" s="1"/>
  <c r="G45" i="17"/>
  <c r="F45" i="17"/>
  <c r="F296" i="17" s="1"/>
  <c r="E45" i="17"/>
  <c r="E296" i="17" s="1"/>
  <c r="D45" i="17"/>
  <c r="K44" i="17"/>
  <c r="K212" i="17" s="1"/>
  <c r="J44" i="17"/>
  <c r="I44" i="17"/>
  <c r="I295" i="17" s="1"/>
  <c r="H44" i="17"/>
  <c r="H212" i="17" s="1"/>
  <c r="G44" i="17"/>
  <c r="F44" i="17"/>
  <c r="E44" i="17"/>
  <c r="D44" i="17"/>
  <c r="D128" i="17" s="1"/>
  <c r="K43" i="17"/>
  <c r="J43" i="17"/>
  <c r="J294" i="17" s="1"/>
  <c r="I43" i="17"/>
  <c r="I294" i="17" s="1"/>
  <c r="H43" i="17"/>
  <c r="G43" i="17"/>
  <c r="F43" i="17"/>
  <c r="F294" i="17" s="1"/>
  <c r="E43" i="17"/>
  <c r="E294" i="17" s="1"/>
  <c r="D43" i="17"/>
  <c r="D294" i="17" s="1"/>
  <c r="K42" i="17"/>
  <c r="K293" i="17" s="1"/>
  <c r="J42" i="17"/>
  <c r="I42" i="17"/>
  <c r="H42" i="17"/>
  <c r="G42" i="17"/>
  <c r="F42" i="17"/>
  <c r="F293" i="17" s="1"/>
  <c r="E42" i="17"/>
  <c r="D42" i="17"/>
  <c r="K41" i="17"/>
  <c r="K209" i="17" s="1"/>
  <c r="J41" i="17"/>
  <c r="J292" i="17" s="1"/>
  <c r="I41" i="17"/>
  <c r="H41" i="17"/>
  <c r="G41" i="17"/>
  <c r="F41" i="17"/>
  <c r="F292" i="17" s="1"/>
  <c r="E41" i="17"/>
  <c r="E292" i="17" s="1"/>
  <c r="D41" i="17"/>
  <c r="D209" i="17" s="1"/>
  <c r="K40" i="17"/>
  <c r="J40" i="17"/>
  <c r="I40" i="17"/>
  <c r="H40" i="17"/>
  <c r="H208" i="17" s="1"/>
  <c r="G40" i="17"/>
  <c r="G208" i="17" s="1"/>
  <c r="F40" i="17"/>
  <c r="E40" i="17"/>
  <c r="D40" i="17"/>
  <c r="K39" i="17"/>
  <c r="J39" i="17"/>
  <c r="J123" i="17" s="1"/>
  <c r="I39" i="17"/>
  <c r="I123" i="17" s="1"/>
  <c r="H39" i="17"/>
  <c r="G39" i="17"/>
  <c r="G290" i="17" s="1"/>
  <c r="F39" i="17"/>
  <c r="F290" i="17" s="1"/>
  <c r="E39" i="17"/>
  <c r="E290" i="17" s="1"/>
  <c r="D39" i="17"/>
  <c r="D290" i="17" s="1"/>
  <c r="K38" i="17"/>
  <c r="K289" i="17" s="1"/>
  <c r="J38" i="17"/>
  <c r="I38" i="17"/>
  <c r="H38" i="17"/>
  <c r="G38" i="17"/>
  <c r="F38" i="17"/>
  <c r="E38" i="17"/>
  <c r="D38" i="17"/>
  <c r="K37" i="17"/>
  <c r="K205" i="17" s="1"/>
  <c r="J37" i="17"/>
  <c r="J288" i="17" s="1"/>
  <c r="I37" i="17"/>
  <c r="I288" i="17" s="1"/>
  <c r="H37" i="17"/>
  <c r="H288" i="17" s="1"/>
  <c r="G37" i="17"/>
  <c r="F37" i="17"/>
  <c r="F288" i="17" s="1"/>
  <c r="E37" i="17"/>
  <c r="E288" i="17" s="1"/>
  <c r="D37" i="17"/>
  <c r="D288" i="17" s="1"/>
  <c r="K36" i="17"/>
  <c r="K287" i="17" s="1"/>
  <c r="J36" i="17"/>
  <c r="I36" i="17"/>
  <c r="I287" i="17" s="1"/>
  <c r="H36" i="17"/>
  <c r="G36" i="17"/>
  <c r="G120" i="17" s="1"/>
  <c r="F36" i="17"/>
  <c r="F287" i="17" s="1"/>
  <c r="E36" i="17"/>
  <c r="D36" i="17"/>
  <c r="K35" i="17"/>
  <c r="K203" i="17" s="1"/>
  <c r="J35" i="17"/>
  <c r="J119" i="17" s="1"/>
  <c r="I35" i="17"/>
  <c r="I286" i="17" s="1"/>
  <c r="H35" i="17"/>
  <c r="G35" i="17"/>
  <c r="F35" i="17"/>
  <c r="F286" i="17" s="1"/>
  <c r="E35" i="17"/>
  <c r="E286" i="17" s="1"/>
  <c r="D35" i="17"/>
  <c r="D286" i="17" s="1"/>
  <c r="K34" i="17"/>
  <c r="K202" i="17" s="1"/>
  <c r="J34" i="17"/>
  <c r="J285" i="17" s="1"/>
  <c r="I34" i="17"/>
  <c r="H34" i="17"/>
  <c r="G34" i="17"/>
  <c r="F34" i="17"/>
  <c r="F285" i="17" s="1"/>
  <c r="E34" i="17"/>
  <c r="D34" i="17"/>
  <c r="D202" i="17" s="1"/>
  <c r="K33" i="17"/>
  <c r="J33" i="17"/>
  <c r="J117" i="17" s="1"/>
  <c r="I33" i="17"/>
  <c r="I284" i="17" s="1"/>
  <c r="H33" i="17"/>
  <c r="G33" i="17"/>
  <c r="F33" i="17"/>
  <c r="F284" i="17" s="1"/>
  <c r="E33" i="17"/>
  <c r="E201" i="17" s="1"/>
  <c r="D33" i="17"/>
  <c r="D284" i="17" s="1"/>
  <c r="K32" i="17"/>
  <c r="K200" i="17" s="1"/>
  <c r="J32" i="17"/>
  <c r="I32" i="17"/>
  <c r="I283" i="17" s="1"/>
  <c r="H32" i="17"/>
  <c r="H200" i="17" s="1"/>
  <c r="G32" i="17"/>
  <c r="G116" i="17" s="1"/>
  <c r="F32" i="17"/>
  <c r="F283" i="17" s="1"/>
  <c r="E32" i="17"/>
  <c r="D32" i="17"/>
  <c r="D200" i="17" s="1"/>
  <c r="K31" i="17"/>
  <c r="K199" i="17" s="1"/>
  <c r="J31" i="17"/>
  <c r="J115" i="17" s="1"/>
  <c r="I31" i="17"/>
  <c r="I282" i="17" s="1"/>
  <c r="H31" i="17"/>
  <c r="G31" i="17"/>
  <c r="F31" i="17"/>
  <c r="F282" i="17" s="1"/>
  <c r="E31" i="17"/>
  <c r="E282" i="17" s="1"/>
  <c r="D31" i="17"/>
  <c r="K30" i="17"/>
  <c r="J30" i="17"/>
  <c r="I30" i="17"/>
  <c r="I281" i="17" s="1"/>
  <c r="H30" i="17"/>
  <c r="H198" i="17" s="1"/>
  <c r="G30" i="17"/>
  <c r="G198" i="17" s="1"/>
  <c r="F30" i="17"/>
  <c r="F281" i="17" s="1"/>
  <c r="E30" i="17"/>
  <c r="D30" i="17"/>
  <c r="K29" i="17"/>
  <c r="J29" i="17"/>
  <c r="J113" i="17" s="1"/>
  <c r="I29" i="17"/>
  <c r="I280" i="17" s="1"/>
  <c r="H29" i="17"/>
  <c r="G29" i="17"/>
  <c r="F29" i="17"/>
  <c r="E29" i="17"/>
  <c r="E280" i="17" s="1"/>
  <c r="D29" i="17"/>
  <c r="K28" i="17"/>
  <c r="K112" i="17" s="1"/>
  <c r="J28" i="17"/>
  <c r="I28" i="17"/>
  <c r="I279" i="17" s="1"/>
  <c r="H28" i="17"/>
  <c r="H196" i="17" s="1"/>
  <c r="G28" i="17"/>
  <c r="F28" i="17"/>
  <c r="F112" i="17" s="1"/>
  <c r="E28" i="17"/>
  <c r="D28" i="17"/>
  <c r="D112" i="17" s="1"/>
  <c r="K27" i="17"/>
  <c r="J27" i="17"/>
  <c r="I27" i="17"/>
  <c r="I278" i="17" s="1"/>
  <c r="H27" i="17"/>
  <c r="G27" i="17"/>
  <c r="F27" i="17"/>
  <c r="E27" i="17"/>
  <c r="D27" i="17"/>
  <c r="K26" i="17"/>
  <c r="K277" i="17" s="1"/>
  <c r="J26" i="17"/>
  <c r="I26" i="17"/>
  <c r="H26" i="17"/>
  <c r="G26" i="17"/>
  <c r="F26" i="17"/>
  <c r="E26" i="17"/>
  <c r="D26" i="17"/>
  <c r="K25" i="17"/>
  <c r="K193" i="17" s="1"/>
  <c r="J25" i="17"/>
  <c r="J109" i="17" s="1"/>
  <c r="I25" i="17"/>
  <c r="I193" i="17" s="1"/>
  <c r="H25" i="17"/>
  <c r="G25" i="17"/>
  <c r="F25" i="17"/>
  <c r="E25" i="17"/>
  <c r="E276" i="17" s="1"/>
  <c r="D25" i="17"/>
  <c r="D276" i="17" s="1"/>
  <c r="K24" i="17"/>
  <c r="K108" i="17" s="1"/>
  <c r="J24" i="17"/>
  <c r="I24" i="17"/>
  <c r="H24" i="17"/>
  <c r="G24" i="17"/>
  <c r="G192" i="17" s="1"/>
  <c r="F24" i="17"/>
  <c r="F275" i="17" s="1"/>
  <c r="E24" i="17"/>
  <c r="D24" i="17"/>
  <c r="D108" i="17" s="1"/>
  <c r="K23" i="17"/>
  <c r="K191" i="17" s="1"/>
  <c r="J23" i="17"/>
  <c r="J107" i="17" s="1"/>
  <c r="I23" i="17"/>
  <c r="I274" i="17" s="1"/>
  <c r="H23" i="17"/>
  <c r="G23" i="17"/>
  <c r="F23" i="17"/>
  <c r="E23" i="17"/>
  <c r="E191" i="17" s="1"/>
  <c r="D23" i="17"/>
  <c r="K22" i="17"/>
  <c r="K273" i="17" s="1"/>
  <c r="J22" i="17"/>
  <c r="I22" i="17"/>
  <c r="H22" i="17"/>
  <c r="H190" i="17" s="1"/>
  <c r="G22" i="17"/>
  <c r="F22" i="17"/>
  <c r="E22" i="17"/>
  <c r="D22" i="17"/>
  <c r="D106" i="17" s="1"/>
  <c r="K21" i="17"/>
  <c r="K189" i="17" s="1"/>
  <c r="J21" i="17"/>
  <c r="J105" i="17" s="1"/>
  <c r="I21" i="17"/>
  <c r="H21" i="17"/>
  <c r="H272" i="17" s="1"/>
  <c r="G21" i="17"/>
  <c r="F21" i="17"/>
  <c r="E21" i="17"/>
  <c r="E272" i="17" s="1"/>
  <c r="D21" i="17"/>
  <c r="K20" i="17"/>
  <c r="K188" i="17" s="1"/>
  <c r="J20" i="17"/>
  <c r="I20" i="17"/>
  <c r="H20" i="17"/>
  <c r="H188" i="17" s="1"/>
  <c r="G20" i="17"/>
  <c r="G104" i="17" s="1"/>
  <c r="F20" i="17"/>
  <c r="F271" i="17" s="1"/>
  <c r="E20" i="17"/>
  <c r="D20" i="17"/>
  <c r="K19" i="17"/>
  <c r="K187" i="17" s="1"/>
  <c r="J19" i="17"/>
  <c r="J103" i="17" s="1"/>
  <c r="I19" i="17"/>
  <c r="I270" i="17" s="1"/>
  <c r="H19" i="17"/>
  <c r="G19" i="17"/>
  <c r="F19" i="17"/>
  <c r="E19" i="17"/>
  <c r="E270" i="17" s="1"/>
  <c r="D19" i="17"/>
  <c r="D187" i="17" s="1"/>
  <c r="K18" i="17"/>
  <c r="K186" i="17" s="1"/>
  <c r="J18" i="17"/>
  <c r="I18" i="17"/>
  <c r="H18" i="17"/>
  <c r="H186" i="17" s="1"/>
  <c r="G18" i="17"/>
  <c r="F18" i="17"/>
  <c r="F269" i="17" s="1"/>
  <c r="E18" i="17"/>
  <c r="D18" i="17"/>
  <c r="K17" i="17"/>
  <c r="K185" i="17" s="1"/>
  <c r="J17" i="17"/>
  <c r="J101" i="17" s="1"/>
  <c r="I17" i="17"/>
  <c r="I268" i="17" s="1"/>
  <c r="H17" i="17"/>
  <c r="G17" i="17"/>
  <c r="F17" i="17"/>
  <c r="E17" i="17"/>
  <c r="E101" i="17" s="1"/>
  <c r="D17" i="17"/>
  <c r="D268" i="17" s="1"/>
  <c r="K16" i="17"/>
  <c r="K267" i="17" s="1"/>
  <c r="J16" i="17"/>
  <c r="I16" i="17"/>
  <c r="I267" i="17" s="1"/>
  <c r="H16" i="17"/>
  <c r="H184" i="17" s="1"/>
  <c r="G16" i="17"/>
  <c r="G100" i="17" s="1"/>
  <c r="F16" i="17"/>
  <c r="F267" i="17" s="1"/>
  <c r="E16" i="17"/>
  <c r="D16" i="17"/>
  <c r="K15" i="17"/>
  <c r="K183" i="17" s="1"/>
  <c r="J15" i="17"/>
  <c r="J46" i="17" s="1"/>
  <c r="I15" i="17"/>
  <c r="I183" i="17" s="1"/>
  <c r="H15" i="17"/>
  <c r="G15" i="17"/>
  <c r="G46" i="17" s="1"/>
  <c r="F15" i="17"/>
  <c r="E15" i="17"/>
  <c r="E46" i="17" s="1"/>
  <c r="D15" i="17"/>
  <c r="D266" i="17" s="1"/>
  <c r="J274" i="16"/>
  <c r="D274" i="16"/>
  <c r="G273" i="16"/>
  <c r="J272" i="16"/>
  <c r="T271" i="16"/>
  <c r="S271" i="16"/>
  <c r="Q271" i="16"/>
  <c r="N271" i="16"/>
  <c r="M271" i="16"/>
  <c r="K271" i="16"/>
  <c r="J271" i="16"/>
  <c r="H271" i="16"/>
  <c r="F271" i="16"/>
  <c r="D271" i="16"/>
  <c r="V270" i="16"/>
  <c r="U270" i="16"/>
  <c r="H270" i="16"/>
  <c r="I269" i="16"/>
  <c r="L268" i="16"/>
  <c r="F268" i="16"/>
  <c r="L266" i="16"/>
  <c r="O265" i="16"/>
  <c r="H264" i="16"/>
  <c r="G264" i="16"/>
  <c r="N262" i="16"/>
  <c r="Q261" i="16"/>
  <c r="K261" i="16"/>
  <c r="P260" i="16"/>
  <c r="Q259" i="16"/>
  <c r="V258" i="16"/>
  <c r="U258" i="16"/>
  <c r="T258" i="16"/>
  <c r="S258" i="16"/>
  <c r="R258" i="16"/>
  <c r="Q258" i="16"/>
  <c r="P258" i="16"/>
  <c r="O258" i="16"/>
  <c r="N258" i="16"/>
  <c r="M258" i="16"/>
  <c r="L258" i="16"/>
  <c r="K258" i="16"/>
  <c r="J258" i="16"/>
  <c r="I258" i="16"/>
  <c r="H258" i="16"/>
  <c r="G258" i="16"/>
  <c r="F258" i="16"/>
  <c r="E258" i="16"/>
  <c r="D258" i="16"/>
  <c r="T257" i="16"/>
  <c r="D257" i="16"/>
  <c r="F256" i="16"/>
  <c r="P255" i="16"/>
  <c r="S254" i="16"/>
  <c r="E253" i="16"/>
  <c r="S252" i="16"/>
  <c r="R252" i="16"/>
  <c r="I252" i="16"/>
  <c r="H252" i="16"/>
  <c r="U251" i="16"/>
  <c r="F251" i="16"/>
  <c r="I250" i="16"/>
  <c r="K249" i="16"/>
  <c r="U248" i="16"/>
  <c r="E248" i="16"/>
  <c r="E246" i="16"/>
  <c r="D246" i="16"/>
  <c r="V235" i="16"/>
  <c r="U235" i="16"/>
  <c r="T235" i="16"/>
  <c r="S235" i="16"/>
  <c r="R235" i="16"/>
  <c r="R274" i="16" s="1"/>
  <c r="Q235" i="16"/>
  <c r="P235" i="16"/>
  <c r="O235" i="16"/>
  <c r="O274" i="16" s="1"/>
  <c r="N235" i="16"/>
  <c r="M235" i="16"/>
  <c r="L235" i="16"/>
  <c r="L274" i="16" s="1"/>
  <c r="K235" i="16"/>
  <c r="J235" i="16"/>
  <c r="I235" i="16"/>
  <c r="I274" i="16" s="1"/>
  <c r="H235" i="16"/>
  <c r="G235" i="16"/>
  <c r="F235" i="16"/>
  <c r="E235" i="16"/>
  <c r="D235" i="16"/>
  <c r="V234" i="16"/>
  <c r="U234" i="16"/>
  <c r="T234" i="16"/>
  <c r="S234" i="16"/>
  <c r="R234" i="16"/>
  <c r="R273" i="16" s="1"/>
  <c r="Q234" i="16"/>
  <c r="P234" i="16"/>
  <c r="O234" i="16"/>
  <c r="O273" i="16" s="1"/>
  <c r="N234" i="16"/>
  <c r="M234" i="16"/>
  <c r="L234" i="16"/>
  <c r="L273" i="16" s="1"/>
  <c r="K234" i="16"/>
  <c r="J234" i="16"/>
  <c r="I234" i="16"/>
  <c r="H234" i="16"/>
  <c r="G234" i="16"/>
  <c r="F234" i="16"/>
  <c r="E234" i="16"/>
  <c r="E273" i="16" s="1"/>
  <c r="D234" i="16"/>
  <c r="V233" i="16"/>
  <c r="U233" i="16"/>
  <c r="U272" i="16" s="1"/>
  <c r="T233" i="16"/>
  <c r="S233" i="16"/>
  <c r="R233" i="16"/>
  <c r="R272" i="16" s="1"/>
  <c r="Q233" i="16"/>
  <c r="P233" i="16"/>
  <c r="P272" i="16" s="1"/>
  <c r="O233" i="16"/>
  <c r="O272" i="16" s="1"/>
  <c r="N233" i="16"/>
  <c r="M233" i="16"/>
  <c r="L233" i="16"/>
  <c r="K233" i="16"/>
  <c r="J233" i="16"/>
  <c r="I233" i="16"/>
  <c r="H233" i="16"/>
  <c r="G233" i="16"/>
  <c r="F233" i="16"/>
  <c r="E233" i="16"/>
  <c r="E272" i="16" s="1"/>
  <c r="D233" i="16"/>
  <c r="V232" i="16"/>
  <c r="U232" i="16"/>
  <c r="U271" i="16" s="1"/>
  <c r="T232" i="16"/>
  <c r="S232" i="16"/>
  <c r="R232" i="16"/>
  <c r="R271" i="16" s="1"/>
  <c r="Q232" i="16"/>
  <c r="P232" i="16"/>
  <c r="P271" i="16" s="1"/>
  <c r="O232" i="16"/>
  <c r="O271" i="16" s="1"/>
  <c r="N232" i="16"/>
  <c r="M232" i="16"/>
  <c r="L232" i="16"/>
  <c r="L271" i="16" s="1"/>
  <c r="K232" i="16"/>
  <c r="J232" i="16"/>
  <c r="I232" i="16"/>
  <c r="I271" i="16" s="1"/>
  <c r="H232" i="16"/>
  <c r="G232" i="16"/>
  <c r="G271" i="16" s="1"/>
  <c r="F232" i="16"/>
  <c r="E232" i="16"/>
  <c r="E271" i="16" s="1"/>
  <c r="D232" i="16"/>
  <c r="V231" i="16"/>
  <c r="U231" i="16"/>
  <c r="T231" i="16"/>
  <c r="S231" i="16"/>
  <c r="R231" i="16"/>
  <c r="Q231" i="16"/>
  <c r="P231" i="16"/>
  <c r="O231" i="16"/>
  <c r="N231" i="16"/>
  <c r="M231" i="16"/>
  <c r="L231" i="16"/>
  <c r="K231" i="16"/>
  <c r="J231" i="16"/>
  <c r="I231" i="16"/>
  <c r="H231" i="16"/>
  <c r="G231" i="16"/>
  <c r="F231" i="16"/>
  <c r="F270" i="16" s="1"/>
  <c r="E231" i="16"/>
  <c r="E270" i="16" s="1"/>
  <c r="D231" i="16"/>
  <c r="V230" i="16"/>
  <c r="U230" i="16"/>
  <c r="T230" i="16"/>
  <c r="S230" i="16"/>
  <c r="S269" i="16" s="1"/>
  <c r="R230" i="16"/>
  <c r="Q230" i="16"/>
  <c r="P230" i="16"/>
  <c r="O230" i="16"/>
  <c r="N230" i="16"/>
  <c r="N269" i="16" s="1"/>
  <c r="M230" i="16"/>
  <c r="L230" i="16"/>
  <c r="K230" i="16"/>
  <c r="K269" i="16" s="1"/>
  <c r="J230" i="16"/>
  <c r="I230" i="16"/>
  <c r="H230" i="16"/>
  <c r="H269" i="16" s="1"/>
  <c r="G230" i="16"/>
  <c r="F230" i="16"/>
  <c r="E230" i="16"/>
  <c r="D230" i="16"/>
  <c r="V229" i="16"/>
  <c r="U229" i="16"/>
  <c r="T229" i="16"/>
  <c r="S229" i="16"/>
  <c r="R229" i="16"/>
  <c r="Q229" i="16"/>
  <c r="Q268" i="16" s="1"/>
  <c r="P229" i="16"/>
  <c r="O229" i="16"/>
  <c r="N229" i="16"/>
  <c r="N268" i="16" s="1"/>
  <c r="M229" i="16"/>
  <c r="L229" i="16"/>
  <c r="K229" i="16"/>
  <c r="K268" i="16" s="1"/>
  <c r="J229" i="16"/>
  <c r="I229" i="16"/>
  <c r="H229" i="16"/>
  <c r="G229" i="16"/>
  <c r="F229" i="16"/>
  <c r="E229" i="16"/>
  <c r="D229" i="16"/>
  <c r="V228" i="16"/>
  <c r="U228" i="16"/>
  <c r="T228" i="16"/>
  <c r="T267" i="16" s="1"/>
  <c r="S228" i="16"/>
  <c r="R228" i="16"/>
  <c r="Q228" i="16"/>
  <c r="Q267" i="16" s="1"/>
  <c r="P228" i="16"/>
  <c r="O228" i="16"/>
  <c r="N228" i="16"/>
  <c r="N267" i="16" s="1"/>
  <c r="M228" i="16"/>
  <c r="L228" i="16"/>
  <c r="K228" i="16"/>
  <c r="J228" i="16"/>
  <c r="I228" i="16"/>
  <c r="I267" i="16" s="1"/>
  <c r="H228" i="16"/>
  <c r="G228" i="16"/>
  <c r="F228" i="16"/>
  <c r="E228" i="16"/>
  <c r="D228" i="16"/>
  <c r="D267" i="16" s="1"/>
  <c r="V227" i="16"/>
  <c r="U227" i="16"/>
  <c r="T227" i="16"/>
  <c r="T266" i="16" s="1"/>
  <c r="S227" i="16"/>
  <c r="R227" i="16"/>
  <c r="Q227" i="16"/>
  <c r="Q266" i="16" s="1"/>
  <c r="P227" i="16"/>
  <c r="O227" i="16"/>
  <c r="N227" i="16"/>
  <c r="M227" i="16"/>
  <c r="L227" i="16"/>
  <c r="K227" i="16"/>
  <c r="J227" i="16"/>
  <c r="I227" i="16"/>
  <c r="H227" i="16"/>
  <c r="G227" i="16"/>
  <c r="G266" i="16" s="1"/>
  <c r="F227" i="16"/>
  <c r="E227" i="16"/>
  <c r="D227" i="16"/>
  <c r="D266" i="16" s="1"/>
  <c r="V226" i="16"/>
  <c r="U226" i="16"/>
  <c r="U265" i="16" s="1"/>
  <c r="T226" i="16"/>
  <c r="T265" i="16" s="1"/>
  <c r="S226" i="16"/>
  <c r="R226" i="16"/>
  <c r="Q226" i="16"/>
  <c r="P226" i="16"/>
  <c r="O226" i="16"/>
  <c r="N226" i="16"/>
  <c r="M226" i="16"/>
  <c r="L226" i="16"/>
  <c r="K226" i="16"/>
  <c r="J226" i="16"/>
  <c r="J265" i="16" s="1"/>
  <c r="I226" i="16"/>
  <c r="H226" i="16"/>
  <c r="G226" i="16"/>
  <c r="G265" i="16" s="1"/>
  <c r="F226" i="16"/>
  <c r="E226" i="16"/>
  <c r="D226" i="16"/>
  <c r="D265" i="16" s="1"/>
  <c r="V225" i="16"/>
  <c r="U225" i="16"/>
  <c r="T225" i="16"/>
  <c r="S225" i="16"/>
  <c r="R225" i="16"/>
  <c r="Q225" i="16"/>
  <c r="P225" i="16"/>
  <c r="O225" i="16"/>
  <c r="N225" i="16"/>
  <c r="M225" i="16"/>
  <c r="L225" i="16"/>
  <c r="K225" i="16"/>
  <c r="J225" i="16"/>
  <c r="J264" i="16" s="1"/>
  <c r="I225" i="16"/>
  <c r="H225" i="16"/>
  <c r="G225" i="16"/>
  <c r="F225" i="16"/>
  <c r="E225" i="16"/>
  <c r="D225" i="16"/>
  <c r="V224" i="16"/>
  <c r="U224" i="16"/>
  <c r="T224" i="16"/>
  <c r="S224" i="16"/>
  <c r="R224" i="16"/>
  <c r="Q224" i="16"/>
  <c r="P224" i="16"/>
  <c r="O224" i="16"/>
  <c r="N224" i="16"/>
  <c r="M224" i="16"/>
  <c r="M263" i="16" s="1"/>
  <c r="L224" i="16"/>
  <c r="K224" i="16"/>
  <c r="K263" i="16" s="1"/>
  <c r="J224" i="16"/>
  <c r="J263" i="16" s="1"/>
  <c r="I224" i="16"/>
  <c r="H224" i="16"/>
  <c r="G224" i="16"/>
  <c r="F224" i="16"/>
  <c r="E224" i="16"/>
  <c r="E263" i="16" s="1"/>
  <c r="D224" i="16"/>
  <c r="V223" i="16"/>
  <c r="U223" i="16"/>
  <c r="T223" i="16"/>
  <c r="S223" i="16"/>
  <c r="S262" i="16" s="1"/>
  <c r="R223" i="16"/>
  <c r="Q223" i="16"/>
  <c r="P223" i="16"/>
  <c r="P262" i="16" s="1"/>
  <c r="O223" i="16"/>
  <c r="N223" i="16"/>
  <c r="M223" i="16"/>
  <c r="M262" i="16" s="1"/>
  <c r="L223" i="16"/>
  <c r="K223" i="16"/>
  <c r="J223" i="16"/>
  <c r="I223" i="16"/>
  <c r="H223" i="16"/>
  <c r="G223" i="16"/>
  <c r="F223" i="16"/>
  <c r="E223" i="16"/>
  <c r="D223" i="16"/>
  <c r="V222" i="16"/>
  <c r="V261" i="16" s="1"/>
  <c r="U222" i="16"/>
  <c r="T222" i="16"/>
  <c r="S222" i="16"/>
  <c r="S261" i="16" s="1"/>
  <c r="R222" i="16"/>
  <c r="Q222" i="16"/>
  <c r="P222" i="16"/>
  <c r="P261" i="16" s="1"/>
  <c r="O222" i="16"/>
  <c r="N222" i="16"/>
  <c r="M222" i="16"/>
  <c r="L222" i="16"/>
  <c r="K222" i="16"/>
  <c r="J222" i="16"/>
  <c r="I222" i="16"/>
  <c r="H222" i="16"/>
  <c r="G222" i="16"/>
  <c r="F222" i="16"/>
  <c r="F261" i="16" s="1"/>
  <c r="E222" i="16"/>
  <c r="D222" i="16"/>
  <c r="V221" i="16"/>
  <c r="V260" i="16" s="1"/>
  <c r="U221" i="16"/>
  <c r="T221" i="16"/>
  <c r="S221" i="16"/>
  <c r="S260" i="16" s="1"/>
  <c r="R221" i="16"/>
  <c r="Q221" i="16"/>
  <c r="P221" i="16"/>
  <c r="O221" i="16"/>
  <c r="N221" i="16"/>
  <c r="N260" i="16" s="1"/>
  <c r="M221" i="16"/>
  <c r="L221" i="16"/>
  <c r="K221" i="16"/>
  <c r="J221" i="16"/>
  <c r="I221" i="16"/>
  <c r="I260" i="16" s="1"/>
  <c r="H221" i="16"/>
  <c r="G221" i="16"/>
  <c r="F221" i="16"/>
  <c r="F260" i="16" s="1"/>
  <c r="E221" i="16"/>
  <c r="D221" i="16"/>
  <c r="V220" i="16"/>
  <c r="V259" i="16" s="1"/>
  <c r="U220" i="16"/>
  <c r="T220" i="16"/>
  <c r="S220" i="16"/>
  <c r="R220" i="16"/>
  <c r="Q220" i="16"/>
  <c r="P220" i="16"/>
  <c r="O220" i="16"/>
  <c r="N220" i="16"/>
  <c r="M220" i="16"/>
  <c r="L220" i="16"/>
  <c r="L259" i="16" s="1"/>
  <c r="K220" i="16"/>
  <c r="J220" i="16"/>
  <c r="I220" i="16"/>
  <c r="I259" i="16" s="1"/>
  <c r="H220" i="16"/>
  <c r="G220" i="16"/>
  <c r="G259" i="16" s="1"/>
  <c r="F220" i="16"/>
  <c r="F259" i="16" s="1"/>
  <c r="E220" i="16"/>
  <c r="D220" i="16"/>
  <c r="V218" i="16"/>
  <c r="U218" i="16"/>
  <c r="T218" i="16"/>
  <c r="S218" i="16"/>
  <c r="S257" i="16" s="1"/>
  <c r="R218" i="16"/>
  <c r="Q218" i="16"/>
  <c r="P218" i="16"/>
  <c r="O218" i="16"/>
  <c r="O257" i="16" s="1"/>
  <c r="N218" i="16"/>
  <c r="M218" i="16"/>
  <c r="L218" i="16"/>
  <c r="L257" i="16" s="1"/>
  <c r="K218" i="16"/>
  <c r="J218" i="16"/>
  <c r="I218" i="16"/>
  <c r="I257" i="16" s="1"/>
  <c r="H218" i="16"/>
  <c r="G218" i="16"/>
  <c r="F218" i="16"/>
  <c r="E218" i="16"/>
  <c r="D218" i="16"/>
  <c r="V217" i="16"/>
  <c r="V256" i="16" s="1"/>
  <c r="U217" i="16"/>
  <c r="T217" i="16"/>
  <c r="S217" i="16"/>
  <c r="R217" i="16"/>
  <c r="R256" i="16" s="1"/>
  <c r="Q217" i="16"/>
  <c r="P217" i="16"/>
  <c r="O217" i="16"/>
  <c r="O256" i="16" s="1"/>
  <c r="N217" i="16"/>
  <c r="M217" i="16"/>
  <c r="M256" i="16" s="1"/>
  <c r="L217" i="16"/>
  <c r="L256" i="16" s="1"/>
  <c r="K217" i="16"/>
  <c r="J217" i="16"/>
  <c r="I217" i="16"/>
  <c r="H217" i="16"/>
  <c r="G217" i="16"/>
  <c r="F217" i="16"/>
  <c r="E217" i="16"/>
  <c r="D217" i="16"/>
  <c r="V216" i="16"/>
  <c r="U216" i="16"/>
  <c r="T216" i="16"/>
  <c r="S216" i="16"/>
  <c r="R216" i="16"/>
  <c r="R255" i="16" s="1"/>
  <c r="Q216" i="16"/>
  <c r="P216" i="16"/>
  <c r="O216" i="16"/>
  <c r="O255" i="16" s="1"/>
  <c r="N216" i="16"/>
  <c r="M216" i="16"/>
  <c r="L216" i="16"/>
  <c r="K216" i="16"/>
  <c r="J216" i="16"/>
  <c r="I216" i="16"/>
  <c r="H216" i="16"/>
  <c r="G216" i="16"/>
  <c r="F216" i="16"/>
  <c r="E216" i="16"/>
  <c r="D216" i="16"/>
  <c r="V215" i="16"/>
  <c r="U215" i="16"/>
  <c r="U254" i="16" s="1"/>
  <c r="T215" i="16"/>
  <c r="S215" i="16"/>
  <c r="R215" i="16"/>
  <c r="R254" i="16" s="1"/>
  <c r="Q215" i="16"/>
  <c r="P215" i="16"/>
  <c r="O215" i="16"/>
  <c r="N215" i="16"/>
  <c r="M215" i="16"/>
  <c r="M254" i="16" s="1"/>
  <c r="L215" i="16"/>
  <c r="L254" i="16" s="1"/>
  <c r="K215" i="16"/>
  <c r="J215" i="16"/>
  <c r="I215" i="16"/>
  <c r="H215" i="16"/>
  <c r="H254" i="16" s="1"/>
  <c r="G215" i="16"/>
  <c r="F215" i="16"/>
  <c r="E215" i="16"/>
  <c r="E254" i="16" s="1"/>
  <c r="D215" i="16"/>
  <c r="V214" i="16"/>
  <c r="V253" i="16" s="1"/>
  <c r="U214" i="16"/>
  <c r="U253" i="16" s="1"/>
  <c r="T214" i="16"/>
  <c r="S214" i="16"/>
  <c r="R214" i="16"/>
  <c r="Q214" i="16"/>
  <c r="P214" i="16"/>
  <c r="O214" i="16"/>
  <c r="O253" i="16" s="1"/>
  <c r="N214" i="16"/>
  <c r="M214" i="16"/>
  <c r="L214" i="16"/>
  <c r="K214" i="16"/>
  <c r="K253" i="16" s="1"/>
  <c r="J214" i="16"/>
  <c r="I214" i="16"/>
  <c r="H214" i="16"/>
  <c r="H253" i="16" s="1"/>
  <c r="G214" i="16"/>
  <c r="F214" i="16"/>
  <c r="F253" i="16" s="1"/>
  <c r="E214" i="16"/>
  <c r="D214" i="16"/>
  <c r="V213" i="16"/>
  <c r="U213" i="16"/>
  <c r="T213" i="16"/>
  <c r="S213" i="16"/>
  <c r="R213" i="16"/>
  <c r="Q213" i="16"/>
  <c r="P213" i="16"/>
  <c r="O213" i="16"/>
  <c r="N213" i="16"/>
  <c r="N252" i="16" s="1"/>
  <c r="M213" i="16"/>
  <c r="L213" i="16"/>
  <c r="K213" i="16"/>
  <c r="K252" i="16" s="1"/>
  <c r="J213" i="16"/>
  <c r="I213" i="16"/>
  <c r="H213" i="16"/>
  <c r="G213" i="16"/>
  <c r="F213" i="16"/>
  <c r="E213" i="16"/>
  <c r="D213" i="16"/>
  <c r="V212" i="16"/>
  <c r="V251" i="16" s="1"/>
  <c r="U212" i="16"/>
  <c r="T212" i="16"/>
  <c r="S212" i="16"/>
  <c r="R212" i="16"/>
  <c r="Q212" i="16"/>
  <c r="Q251" i="16" s="1"/>
  <c r="P212" i="16"/>
  <c r="O212" i="16"/>
  <c r="N212" i="16"/>
  <c r="N251" i="16" s="1"/>
  <c r="M212" i="16"/>
  <c r="L212" i="16"/>
  <c r="K212" i="16"/>
  <c r="K251" i="16" s="1"/>
  <c r="J212" i="16"/>
  <c r="I212" i="16"/>
  <c r="H212" i="16"/>
  <c r="G212" i="16"/>
  <c r="F212" i="16"/>
  <c r="E212" i="16"/>
  <c r="E251" i="16" s="1"/>
  <c r="D212" i="16"/>
  <c r="V211" i="16"/>
  <c r="U211" i="16"/>
  <c r="T211" i="16"/>
  <c r="T250" i="16" s="1"/>
  <c r="S211" i="16"/>
  <c r="R211" i="16"/>
  <c r="Q211" i="16"/>
  <c r="Q250" i="16" s="1"/>
  <c r="P211" i="16"/>
  <c r="O211" i="16"/>
  <c r="O250" i="16" s="1"/>
  <c r="N211" i="16"/>
  <c r="N250" i="16" s="1"/>
  <c r="M211" i="16"/>
  <c r="L211" i="16"/>
  <c r="K211" i="16"/>
  <c r="J211" i="16"/>
  <c r="I211" i="16"/>
  <c r="H211" i="16"/>
  <c r="H250" i="16" s="1"/>
  <c r="G211" i="16"/>
  <c r="F211" i="16"/>
  <c r="E211" i="16"/>
  <c r="D211" i="16"/>
  <c r="D250" i="16" s="1"/>
  <c r="V210" i="16"/>
  <c r="U210" i="16"/>
  <c r="T210" i="16"/>
  <c r="T249" i="16" s="1"/>
  <c r="S210" i="16"/>
  <c r="R210" i="16"/>
  <c r="R249" i="16" s="1"/>
  <c r="Q210" i="16"/>
  <c r="Q249" i="16" s="1"/>
  <c r="P210" i="16"/>
  <c r="O210" i="16"/>
  <c r="N210" i="16"/>
  <c r="M210" i="16"/>
  <c r="L210" i="16"/>
  <c r="K210" i="16"/>
  <c r="J210" i="16"/>
  <c r="I210" i="16"/>
  <c r="H210" i="16"/>
  <c r="G210" i="16"/>
  <c r="G249" i="16" s="1"/>
  <c r="F210" i="16"/>
  <c r="E210" i="16"/>
  <c r="D210" i="16"/>
  <c r="D249" i="16" s="1"/>
  <c r="V209" i="16"/>
  <c r="U209" i="16"/>
  <c r="T209" i="16"/>
  <c r="T248" i="16" s="1"/>
  <c r="S209" i="16"/>
  <c r="R209" i="16"/>
  <c r="Q209" i="16"/>
  <c r="P209" i="16"/>
  <c r="O209" i="16"/>
  <c r="N209" i="16"/>
  <c r="M209" i="16"/>
  <c r="L209" i="16"/>
  <c r="K209" i="16"/>
  <c r="J209" i="16"/>
  <c r="J248" i="16" s="1"/>
  <c r="I209" i="16"/>
  <c r="H209" i="16"/>
  <c r="G209" i="16"/>
  <c r="G248" i="16" s="1"/>
  <c r="F209" i="16"/>
  <c r="E209" i="16"/>
  <c r="D209" i="16"/>
  <c r="D248" i="16" s="1"/>
  <c r="V208" i="16"/>
  <c r="U208" i="16"/>
  <c r="T208" i="16"/>
  <c r="S208" i="16"/>
  <c r="R208" i="16"/>
  <c r="R247" i="16" s="1"/>
  <c r="Q208" i="16"/>
  <c r="Q247" i="16" s="1"/>
  <c r="P208" i="16"/>
  <c r="O208" i="16"/>
  <c r="N208" i="16"/>
  <c r="M208" i="16"/>
  <c r="M247" i="16" s="1"/>
  <c r="L208" i="16"/>
  <c r="K208" i="16"/>
  <c r="J208" i="16"/>
  <c r="J247" i="16" s="1"/>
  <c r="I208" i="16"/>
  <c r="H208" i="16"/>
  <c r="H247" i="16" s="1"/>
  <c r="G208" i="16"/>
  <c r="G247" i="16" s="1"/>
  <c r="F208" i="16"/>
  <c r="E208" i="16"/>
  <c r="D208" i="16"/>
  <c r="V207" i="16"/>
  <c r="U207" i="16"/>
  <c r="T207" i="16"/>
  <c r="T246" i="16" s="1"/>
  <c r="S207" i="16"/>
  <c r="R207" i="16"/>
  <c r="Q207" i="16"/>
  <c r="P207" i="16"/>
  <c r="O207" i="16"/>
  <c r="N207" i="16"/>
  <c r="M207" i="16"/>
  <c r="M246" i="16" s="1"/>
  <c r="L207" i="16"/>
  <c r="K207" i="16"/>
  <c r="K246" i="16" s="1"/>
  <c r="J207" i="16"/>
  <c r="I207" i="16"/>
  <c r="H207" i="16"/>
  <c r="G207" i="16"/>
  <c r="F207" i="16"/>
  <c r="E207" i="16"/>
  <c r="D207" i="16"/>
  <c r="R197" i="16"/>
  <c r="L197" i="16"/>
  <c r="J197" i="16"/>
  <c r="I197" i="16"/>
  <c r="M196" i="16"/>
  <c r="L196" i="16"/>
  <c r="Q195" i="16"/>
  <c r="U194" i="16"/>
  <c r="T194" i="16"/>
  <c r="R194" i="16"/>
  <c r="K194" i="16"/>
  <c r="E194" i="16"/>
  <c r="D194" i="16"/>
  <c r="V193" i="16"/>
  <c r="U193" i="16"/>
  <c r="F193" i="16"/>
  <c r="E193" i="16"/>
  <c r="N191" i="16"/>
  <c r="Q190" i="16"/>
  <c r="O190" i="16"/>
  <c r="N190" i="16"/>
  <c r="R189" i="16"/>
  <c r="Q189" i="16"/>
  <c r="G188" i="16"/>
  <c r="D188" i="16"/>
  <c r="T187" i="16"/>
  <c r="Q187" i="16"/>
  <c r="J187" i="16"/>
  <c r="H187" i="16"/>
  <c r="G187" i="16"/>
  <c r="K186" i="16"/>
  <c r="J186" i="16"/>
  <c r="J185" i="16"/>
  <c r="S184" i="16"/>
  <c r="V183" i="16"/>
  <c r="T183" i="16"/>
  <c r="S183" i="16"/>
  <c r="D183" i="16"/>
  <c r="V182" i="16"/>
  <c r="V181" i="16"/>
  <c r="U181" i="16"/>
  <c r="T181" i="16"/>
  <c r="S181" i="16"/>
  <c r="R181" i="16"/>
  <c r="Q181" i="16"/>
  <c r="P181" i="16"/>
  <c r="O181" i="16"/>
  <c r="N181" i="16"/>
  <c r="M181" i="16"/>
  <c r="L181" i="16"/>
  <c r="K181" i="16"/>
  <c r="J181" i="16"/>
  <c r="I181" i="16"/>
  <c r="H181" i="16"/>
  <c r="G181" i="16"/>
  <c r="F181" i="16"/>
  <c r="E181" i="16"/>
  <c r="D181" i="16"/>
  <c r="J180" i="16"/>
  <c r="I180" i="16"/>
  <c r="I179" i="16"/>
  <c r="G179" i="16"/>
  <c r="R178" i="16"/>
  <c r="O178" i="16"/>
  <c r="J178" i="16"/>
  <c r="U177" i="16"/>
  <c r="S177" i="16"/>
  <c r="R177" i="16"/>
  <c r="O177" i="16"/>
  <c r="V176" i="16"/>
  <c r="U176" i="16"/>
  <c r="P176" i="16"/>
  <c r="T175" i="16"/>
  <c r="S175" i="16"/>
  <c r="K175" i="16"/>
  <c r="V174" i="16"/>
  <c r="N174" i="16"/>
  <c r="L174" i="16"/>
  <c r="E174" i="16"/>
  <c r="O173" i="16"/>
  <c r="T172" i="16"/>
  <c r="D172" i="16"/>
  <c r="G171" i="16"/>
  <c r="D171" i="16"/>
  <c r="J170" i="16"/>
  <c r="M169" i="16"/>
  <c r="V158" i="16"/>
  <c r="U158" i="16"/>
  <c r="T158" i="16"/>
  <c r="S158" i="16"/>
  <c r="S197" i="16" s="1"/>
  <c r="R158" i="16"/>
  <c r="Q158" i="16"/>
  <c r="P158" i="16"/>
  <c r="O158" i="16"/>
  <c r="N158" i="16"/>
  <c r="M158" i="16"/>
  <c r="L158" i="16"/>
  <c r="K158" i="16"/>
  <c r="J158" i="16"/>
  <c r="I158" i="16"/>
  <c r="H158" i="16"/>
  <c r="G158" i="16"/>
  <c r="F158" i="16"/>
  <c r="E158" i="16"/>
  <c r="D158" i="16"/>
  <c r="V157" i="16"/>
  <c r="V196" i="16" s="1"/>
  <c r="U157" i="16"/>
  <c r="T157" i="16"/>
  <c r="S157" i="16"/>
  <c r="R157" i="16"/>
  <c r="Q157" i="16"/>
  <c r="P157" i="16"/>
  <c r="P196" i="16" s="1"/>
  <c r="O157" i="16"/>
  <c r="O196" i="16" s="1"/>
  <c r="N157" i="16"/>
  <c r="M157" i="16"/>
  <c r="L157" i="16"/>
  <c r="K157" i="16"/>
  <c r="K196" i="16" s="1"/>
  <c r="J157" i="16"/>
  <c r="I157" i="16"/>
  <c r="H157" i="16"/>
  <c r="G157" i="16"/>
  <c r="F157" i="16"/>
  <c r="F196" i="16" s="1"/>
  <c r="E157" i="16"/>
  <c r="D157" i="16"/>
  <c r="V156" i="16"/>
  <c r="U156" i="16"/>
  <c r="T156" i="16"/>
  <c r="S156" i="16"/>
  <c r="S195" i="16" s="1"/>
  <c r="R156" i="16"/>
  <c r="R195" i="16" s="1"/>
  <c r="Q156" i="16"/>
  <c r="P156" i="16"/>
  <c r="P195" i="16" s="1"/>
  <c r="O156" i="16"/>
  <c r="O195" i="16" s="1"/>
  <c r="N156" i="16"/>
  <c r="M156" i="16"/>
  <c r="L156" i="16"/>
  <c r="L195" i="16" s="1"/>
  <c r="K156" i="16"/>
  <c r="J156" i="16"/>
  <c r="I156" i="16"/>
  <c r="I195" i="16" s="1"/>
  <c r="H156" i="16"/>
  <c r="G156" i="16"/>
  <c r="F156" i="16"/>
  <c r="E156" i="16"/>
  <c r="D156" i="16"/>
  <c r="V155" i="16"/>
  <c r="U155" i="16"/>
  <c r="T155" i="16"/>
  <c r="S155" i="16"/>
  <c r="S194" i="16" s="1"/>
  <c r="R155" i="16"/>
  <c r="Q155" i="16"/>
  <c r="Q194" i="16" s="1"/>
  <c r="P155" i="16"/>
  <c r="P194" i="16" s="1"/>
  <c r="O155" i="16"/>
  <c r="O194" i="16" s="1"/>
  <c r="N155" i="16"/>
  <c r="N194" i="16" s="1"/>
  <c r="M155" i="16"/>
  <c r="M194" i="16" s="1"/>
  <c r="L155" i="16"/>
  <c r="L194" i="16" s="1"/>
  <c r="K155" i="16"/>
  <c r="J155" i="16"/>
  <c r="J194" i="16" s="1"/>
  <c r="I155" i="16"/>
  <c r="I194" i="16" s="1"/>
  <c r="H155" i="16"/>
  <c r="H194" i="16" s="1"/>
  <c r="G155" i="16"/>
  <c r="G194" i="16" s="1"/>
  <c r="F155" i="16"/>
  <c r="F194" i="16" s="1"/>
  <c r="E155" i="16"/>
  <c r="D155" i="16"/>
  <c r="V154" i="16"/>
  <c r="U154" i="16"/>
  <c r="T154" i="16"/>
  <c r="S154" i="16"/>
  <c r="R154" i="16"/>
  <c r="Q154" i="16"/>
  <c r="P154" i="16"/>
  <c r="O154" i="16"/>
  <c r="O193" i="16" s="1"/>
  <c r="N154" i="16"/>
  <c r="M154" i="16"/>
  <c r="L154" i="16"/>
  <c r="K154" i="16"/>
  <c r="J154" i="16"/>
  <c r="I154" i="16"/>
  <c r="H154" i="16"/>
  <c r="G154" i="16"/>
  <c r="F154" i="16"/>
  <c r="E154" i="16"/>
  <c r="D154" i="16"/>
  <c r="D193" i="16" s="1"/>
  <c r="V153" i="16"/>
  <c r="U153" i="16"/>
  <c r="T153" i="16"/>
  <c r="S153" i="16"/>
  <c r="R153" i="16"/>
  <c r="R192" i="16" s="1"/>
  <c r="Q153" i="16"/>
  <c r="P153" i="16"/>
  <c r="O153" i="16"/>
  <c r="N153" i="16"/>
  <c r="M153" i="16"/>
  <c r="L153" i="16"/>
  <c r="K153" i="16"/>
  <c r="K192" i="16" s="1"/>
  <c r="J153" i="16"/>
  <c r="I153" i="16"/>
  <c r="I192" i="16" s="1"/>
  <c r="H153" i="16"/>
  <c r="H192" i="16" s="1"/>
  <c r="G153" i="16"/>
  <c r="F153" i="16"/>
  <c r="E153" i="16"/>
  <c r="E192" i="16" s="1"/>
  <c r="D153" i="16"/>
  <c r="V152" i="16"/>
  <c r="U152" i="16"/>
  <c r="U191" i="16" s="1"/>
  <c r="T152" i="16"/>
  <c r="S152" i="16"/>
  <c r="R152" i="16"/>
  <c r="Q152" i="16"/>
  <c r="P152" i="16"/>
  <c r="O152" i="16"/>
  <c r="N152" i="16"/>
  <c r="M152" i="16"/>
  <c r="L152" i="16"/>
  <c r="L191" i="16" s="1"/>
  <c r="K152" i="16"/>
  <c r="K191" i="16" s="1"/>
  <c r="J152" i="16"/>
  <c r="I152" i="16"/>
  <c r="H152" i="16"/>
  <c r="G152" i="16"/>
  <c r="F152" i="16"/>
  <c r="E152" i="16"/>
  <c r="E191" i="16" s="1"/>
  <c r="D152" i="16"/>
  <c r="V151" i="16"/>
  <c r="U151" i="16"/>
  <c r="T151" i="16"/>
  <c r="S151" i="16"/>
  <c r="R151" i="16"/>
  <c r="Q151" i="16"/>
  <c r="P151" i="16"/>
  <c r="O151" i="16"/>
  <c r="N151" i="16"/>
  <c r="M151" i="16"/>
  <c r="L151" i="16"/>
  <c r="K151" i="16"/>
  <c r="J151" i="16"/>
  <c r="I151" i="16"/>
  <c r="H151" i="16"/>
  <c r="H190" i="16" s="1"/>
  <c r="G151" i="16"/>
  <c r="F151" i="16"/>
  <c r="E151" i="16"/>
  <c r="D151" i="16"/>
  <c r="V150" i="16"/>
  <c r="U150" i="16"/>
  <c r="T150" i="16"/>
  <c r="T189" i="16" s="1"/>
  <c r="S150" i="16"/>
  <c r="R150" i="16"/>
  <c r="Q150" i="16"/>
  <c r="P150" i="16"/>
  <c r="P189" i="16" s="1"/>
  <c r="O150" i="16"/>
  <c r="N150" i="16"/>
  <c r="M150" i="16"/>
  <c r="L150" i="16"/>
  <c r="K150" i="16"/>
  <c r="K189" i="16" s="1"/>
  <c r="J150" i="16"/>
  <c r="I150" i="16"/>
  <c r="H150" i="16"/>
  <c r="G150" i="16"/>
  <c r="F150" i="16"/>
  <c r="E150" i="16"/>
  <c r="D150" i="16"/>
  <c r="D189" i="16" s="1"/>
  <c r="V149" i="16"/>
  <c r="U149" i="16"/>
  <c r="U188" i="16" s="1"/>
  <c r="T149" i="16"/>
  <c r="T188" i="16" s="1"/>
  <c r="S149" i="16"/>
  <c r="S188" i="16" s="1"/>
  <c r="R149" i="16"/>
  <c r="Q149" i="16"/>
  <c r="Q188" i="16" s="1"/>
  <c r="P149" i="16"/>
  <c r="O149" i="16"/>
  <c r="N149" i="16"/>
  <c r="N188" i="16" s="1"/>
  <c r="M149" i="16"/>
  <c r="L149" i="16"/>
  <c r="K149" i="16"/>
  <c r="J149" i="16"/>
  <c r="I149" i="16"/>
  <c r="H149" i="16"/>
  <c r="G149" i="16"/>
  <c r="F149" i="16"/>
  <c r="E149" i="16"/>
  <c r="E188" i="16" s="1"/>
  <c r="D149" i="16"/>
  <c r="V148" i="16"/>
  <c r="U148" i="16"/>
  <c r="T148" i="16"/>
  <c r="S148" i="16"/>
  <c r="R148" i="16"/>
  <c r="Q148" i="16"/>
  <c r="P148" i="16"/>
  <c r="O148" i="16"/>
  <c r="N148" i="16"/>
  <c r="M148" i="16"/>
  <c r="L148" i="16"/>
  <c r="K148" i="16"/>
  <c r="J148" i="16"/>
  <c r="I148" i="16"/>
  <c r="H148" i="16"/>
  <c r="G148" i="16"/>
  <c r="F148" i="16"/>
  <c r="E148" i="16"/>
  <c r="D148" i="16"/>
  <c r="V147" i="16"/>
  <c r="U147" i="16"/>
  <c r="T147" i="16"/>
  <c r="T186" i="16" s="1"/>
  <c r="S147" i="16"/>
  <c r="R147" i="16"/>
  <c r="Q147" i="16"/>
  <c r="P147" i="16"/>
  <c r="O147" i="16"/>
  <c r="N147" i="16"/>
  <c r="M147" i="16"/>
  <c r="L147" i="16"/>
  <c r="K147" i="16"/>
  <c r="J147" i="16"/>
  <c r="I147" i="16"/>
  <c r="I186" i="16" s="1"/>
  <c r="H147" i="16"/>
  <c r="G147" i="16"/>
  <c r="F147" i="16"/>
  <c r="E147" i="16"/>
  <c r="D147" i="16"/>
  <c r="D186" i="16" s="1"/>
  <c r="V146" i="16"/>
  <c r="U146" i="16"/>
  <c r="T146" i="16"/>
  <c r="S146" i="16"/>
  <c r="R146" i="16"/>
  <c r="Q146" i="16"/>
  <c r="P146" i="16"/>
  <c r="P185" i="16" s="1"/>
  <c r="O146" i="16"/>
  <c r="N146" i="16"/>
  <c r="N185" i="16" s="1"/>
  <c r="M146" i="16"/>
  <c r="M185" i="16" s="1"/>
  <c r="L146" i="16"/>
  <c r="L185" i="16" s="1"/>
  <c r="K146" i="16"/>
  <c r="J146" i="16"/>
  <c r="I146" i="16"/>
  <c r="H146" i="16"/>
  <c r="G146" i="16"/>
  <c r="G185" i="16" s="1"/>
  <c r="F146" i="16"/>
  <c r="E146" i="16"/>
  <c r="D146" i="16"/>
  <c r="V145" i="16"/>
  <c r="U145" i="16"/>
  <c r="T145" i="16"/>
  <c r="S145" i="16"/>
  <c r="R145" i="16"/>
  <c r="Q145" i="16"/>
  <c r="Q184" i="16" s="1"/>
  <c r="P145" i="16"/>
  <c r="P184" i="16" s="1"/>
  <c r="O145" i="16"/>
  <c r="N145" i="16"/>
  <c r="M145" i="16"/>
  <c r="M184" i="16" s="1"/>
  <c r="L145" i="16"/>
  <c r="L184" i="16" s="1"/>
  <c r="K145" i="16"/>
  <c r="J145" i="16"/>
  <c r="J184" i="16" s="1"/>
  <c r="I145" i="16"/>
  <c r="H145" i="16"/>
  <c r="G145" i="16"/>
  <c r="F145" i="16"/>
  <c r="E145" i="16"/>
  <c r="D145" i="16"/>
  <c r="V144" i="16"/>
  <c r="U144" i="16"/>
  <c r="T144" i="16"/>
  <c r="S144" i="16"/>
  <c r="R144" i="16"/>
  <c r="Q144" i="16"/>
  <c r="P144" i="16"/>
  <c r="O144" i="16"/>
  <c r="N144" i="16"/>
  <c r="M144" i="16"/>
  <c r="M183" i="16" s="1"/>
  <c r="L144" i="16"/>
  <c r="K144" i="16"/>
  <c r="J144" i="16"/>
  <c r="I144" i="16"/>
  <c r="H144" i="16"/>
  <c r="G144" i="16"/>
  <c r="F144" i="16"/>
  <c r="F183" i="16" s="1"/>
  <c r="E144" i="16"/>
  <c r="D144" i="16"/>
  <c r="V143" i="16"/>
  <c r="U143" i="16"/>
  <c r="U182" i="16" s="1"/>
  <c r="T143" i="16"/>
  <c r="S143" i="16"/>
  <c r="R143" i="16"/>
  <c r="Q143" i="16"/>
  <c r="P143" i="16"/>
  <c r="P182" i="16" s="1"/>
  <c r="O143" i="16"/>
  <c r="N143" i="16"/>
  <c r="M143" i="16"/>
  <c r="L143" i="16"/>
  <c r="K143" i="16"/>
  <c r="J143" i="16"/>
  <c r="I143" i="16"/>
  <c r="I182" i="16" s="1"/>
  <c r="H143" i="16"/>
  <c r="G143" i="16"/>
  <c r="G182" i="16" s="1"/>
  <c r="F143" i="16"/>
  <c r="F182" i="16" s="1"/>
  <c r="E143" i="16"/>
  <c r="E182" i="16" s="1"/>
  <c r="D143" i="16"/>
  <c r="V141" i="16"/>
  <c r="U141" i="16"/>
  <c r="T141" i="16"/>
  <c r="S141" i="16"/>
  <c r="S180" i="16" s="1"/>
  <c r="R141" i="16"/>
  <c r="Q141" i="16"/>
  <c r="P141" i="16"/>
  <c r="O141" i="16"/>
  <c r="O180" i="16" s="1"/>
  <c r="N141" i="16"/>
  <c r="M141" i="16"/>
  <c r="L141" i="16"/>
  <c r="L180" i="16" s="1"/>
  <c r="K141" i="16"/>
  <c r="J141" i="16"/>
  <c r="I141" i="16"/>
  <c r="H141" i="16"/>
  <c r="H180" i="16" s="1"/>
  <c r="G141" i="16"/>
  <c r="F141" i="16"/>
  <c r="F180" i="16" s="1"/>
  <c r="E141" i="16"/>
  <c r="D141" i="16"/>
  <c r="D180" i="16" s="1"/>
  <c r="V140" i="16"/>
  <c r="V179" i="16" s="1"/>
  <c r="U140" i="16"/>
  <c r="T140" i="16"/>
  <c r="S140" i="16"/>
  <c r="R140" i="16"/>
  <c r="R179" i="16" s="1"/>
  <c r="Q140" i="16"/>
  <c r="P140" i="16"/>
  <c r="O140" i="16"/>
  <c r="O179" i="16" s="1"/>
  <c r="N140" i="16"/>
  <c r="M140" i="16"/>
  <c r="M179" i="16" s="1"/>
  <c r="L140" i="16"/>
  <c r="L179" i="16" s="1"/>
  <c r="K140" i="16"/>
  <c r="K179" i="16" s="1"/>
  <c r="J140" i="16"/>
  <c r="I140" i="16"/>
  <c r="H140" i="16"/>
  <c r="G140" i="16"/>
  <c r="F140" i="16"/>
  <c r="F179" i="16" s="1"/>
  <c r="E140" i="16"/>
  <c r="D140" i="16"/>
  <c r="V139" i="16"/>
  <c r="U139" i="16"/>
  <c r="U178" i="16" s="1"/>
  <c r="T139" i="16"/>
  <c r="S139" i="16"/>
  <c r="R139" i="16"/>
  <c r="Q139" i="16"/>
  <c r="P139" i="16"/>
  <c r="P178" i="16" s="1"/>
  <c r="O139" i="16"/>
  <c r="N139" i="16"/>
  <c r="M139" i="16"/>
  <c r="L139" i="16"/>
  <c r="K139" i="16"/>
  <c r="J139" i="16"/>
  <c r="I139" i="16"/>
  <c r="I178" i="16" s="1"/>
  <c r="H139" i="16"/>
  <c r="G139" i="16"/>
  <c r="F139" i="16"/>
  <c r="E139" i="16"/>
  <c r="E178" i="16" s="1"/>
  <c r="D139" i="16"/>
  <c r="V138" i="16"/>
  <c r="U138" i="16"/>
  <c r="T138" i="16"/>
  <c r="S138" i="16"/>
  <c r="R138" i="16"/>
  <c r="Q138" i="16"/>
  <c r="P138" i="16"/>
  <c r="O138" i="16"/>
  <c r="N138" i="16"/>
  <c r="M138" i="16"/>
  <c r="M177" i="16" s="1"/>
  <c r="L138" i="16"/>
  <c r="L177" i="16" s="1"/>
  <c r="K138" i="16"/>
  <c r="J138" i="16"/>
  <c r="I138" i="16"/>
  <c r="H138" i="16"/>
  <c r="H177" i="16" s="1"/>
  <c r="G138" i="16"/>
  <c r="F138" i="16"/>
  <c r="E138" i="16"/>
  <c r="D138" i="16"/>
  <c r="V137" i="16"/>
  <c r="U137" i="16"/>
  <c r="T137" i="16"/>
  <c r="T176" i="16" s="1"/>
  <c r="S137" i="16"/>
  <c r="R137" i="16"/>
  <c r="Q137" i="16"/>
  <c r="P137" i="16"/>
  <c r="O137" i="16"/>
  <c r="O176" i="16" s="1"/>
  <c r="N137" i="16"/>
  <c r="M137" i="16"/>
  <c r="L137" i="16"/>
  <c r="K137" i="16"/>
  <c r="K176" i="16" s="1"/>
  <c r="J137" i="16"/>
  <c r="I137" i="16"/>
  <c r="H137" i="16"/>
  <c r="H176" i="16" s="1"/>
  <c r="G137" i="16"/>
  <c r="F137" i="16"/>
  <c r="F176" i="16" s="1"/>
  <c r="E137" i="16"/>
  <c r="E176" i="16" s="1"/>
  <c r="D137" i="16"/>
  <c r="D176" i="16" s="1"/>
  <c r="V136" i="16"/>
  <c r="U136" i="16"/>
  <c r="T136" i="16"/>
  <c r="S136" i="16"/>
  <c r="R136" i="16"/>
  <c r="R175" i="16" s="1"/>
  <c r="Q136" i="16"/>
  <c r="P136" i="16"/>
  <c r="O136" i="16"/>
  <c r="N136" i="16"/>
  <c r="N175" i="16" s="1"/>
  <c r="M136" i="16"/>
  <c r="L136" i="16"/>
  <c r="K136" i="16"/>
  <c r="J136" i="16"/>
  <c r="I136" i="16"/>
  <c r="I175" i="16" s="1"/>
  <c r="H136" i="16"/>
  <c r="H175" i="16" s="1"/>
  <c r="G136" i="16"/>
  <c r="F136" i="16"/>
  <c r="E136" i="16"/>
  <c r="D136" i="16"/>
  <c r="D175" i="16" s="1"/>
  <c r="V135" i="16"/>
  <c r="U135" i="16"/>
  <c r="U174" i="16" s="1"/>
  <c r="T135" i="16"/>
  <c r="S135" i="16"/>
  <c r="R135" i="16"/>
  <c r="Q135" i="16"/>
  <c r="Q174" i="16" s="1"/>
  <c r="P135" i="16"/>
  <c r="O135" i="16"/>
  <c r="N135" i="16"/>
  <c r="M135" i="16"/>
  <c r="L135" i="16"/>
  <c r="K135" i="16"/>
  <c r="K174" i="16" s="1"/>
  <c r="J135" i="16"/>
  <c r="I135" i="16"/>
  <c r="H135" i="16"/>
  <c r="G135" i="16"/>
  <c r="F135" i="16"/>
  <c r="E135" i="16"/>
  <c r="D135" i="16"/>
  <c r="V134" i="16"/>
  <c r="U134" i="16"/>
  <c r="T134" i="16"/>
  <c r="T173" i="16" s="1"/>
  <c r="S134" i="16"/>
  <c r="R134" i="16"/>
  <c r="Q134" i="16"/>
  <c r="Q173" i="16" s="1"/>
  <c r="P134" i="16"/>
  <c r="O134" i="16"/>
  <c r="N134" i="16"/>
  <c r="N173" i="16" s="1"/>
  <c r="M134" i="16"/>
  <c r="M173" i="16" s="1"/>
  <c r="L134" i="16"/>
  <c r="K134" i="16"/>
  <c r="J134" i="16"/>
  <c r="I134" i="16"/>
  <c r="H134" i="16"/>
  <c r="H173" i="16" s="1"/>
  <c r="G134" i="16"/>
  <c r="F134" i="16"/>
  <c r="E134" i="16"/>
  <c r="D134" i="16"/>
  <c r="D173" i="16" s="1"/>
  <c r="V133" i="16"/>
  <c r="U133" i="16"/>
  <c r="T133" i="16"/>
  <c r="S133" i="16"/>
  <c r="R133" i="16"/>
  <c r="R172" i="16" s="1"/>
  <c r="Q133" i="16"/>
  <c r="Q172" i="16" s="1"/>
  <c r="P133" i="16"/>
  <c r="P172" i="16" s="1"/>
  <c r="O133" i="16"/>
  <c r="O172" i="16" s="1"/>
  <c r="N133" i="16"/>
  <c r="M133" i="16"/>
  <c r="L133" i="16"/>
  <c r="L172" i="16" s="1"/>
  <c r="K133" i="16"/>
  <c r="K172" i="16" s="1"/>
  <c r="J133" i="16"/>
  <c r="I133" i="16"/>
  <c r="H133" i="16"/>
  <c r="G133" i="16"/>
  <c r="G172" i="16" s="1"/>
  <c r="F133" i="16"/>
  <c r="E133" i="16"/>
  <c r="D133" i="16"/>
  <c r="V132" i="16"/>
  <c r="U132" i="16"/>
  <c r="U171" i="16" s="1"/>
  <c r="T132" i="16"/>
  <c r="T171" i="16" s="1"/>
  <c r="S132" i="16"/>
  <c r="S171" i="16" s="1"/>
  <c r="R132" i="16"/>
  <c r="Q132" i="16"/>
  <c r="P132" i="16"/>
  <c r="O132" i="16"/>
  <c r="O171" i="16" s="1"/>
  <c r="N132" i="16"/>
  <c r="N171" i="16" s="1"/>
  <c r="M132" i="16"/>
  <c r="L132" i="16"/>
  <c r="K132" i="16"/>
  <c r="J132" i="16"/>
  <c r="J171" i="16" s="1"/>
  <c r="I132" i="16"/>
  <c r="H132" i="16"/>
  <c r="G132" i="16"/>
  <c r="F132" i="16"/>
  <c r="E132" i="16"/>
  <c r="E171" i="16" s="1"/>
  <c r="D132" i="16"/>
  <c r="V131" i="16"/>
  <c r="V170" i="16" s="1"/>
  <c r="U131" i="16"/>
  <c r="T131" i="16"/>
  <c r="S131" i="16"/>
  <c r="R131" i="16"/>
  <c r="R170" i="16" s="1"/>
  <c r="Q131" i="16"/>
  <c r="Q170" i="16" s="1"/>
  <c r="P131" i="16"/>
  <c r="O131" i="16"/>
  <c r="N131" i="16"/>
  <c r="M131" i="16"/>
  <c r="M170" i="16" s="1"/>
  <c r="L131" i="16"/>
  <c r="K131" i="16"/>
  <c r="J131" i="16"/>
  <c r="I131" i="16"/>
  <c r="H131" i="16"/>
  <c r="H170" i="16" s="1"/>
  <c r="G131" i="16"/>
  <c r="G170" i="16" s="1"/>
  <c r="F131" i="16"/>
  <c r="F170" i="16" s="1"/>
  <c r="E131" i="16"/>
  <c r="D131" i="16"/>
  <c r="D170" i="16" s="1"/>
  <c r="V130" i="16"/>
  <c r="U130" i="16"/>
  <c r="U169" i="16" s="1"/>
  <c r="T130" i="16"/>
  <c r="T169" i="16" s="1"/>
  <c r="S130" i="16"/>
  <c r="R130" i="16"/>
  <c r="Q130" i="16"/>
  <c r="P130" i="16"/>
  <c r="O130" i="16"/>
  <c r="N130" i="16"/>
  <c r="M130" i="16"/>
  <c r="L130" i="16"/>
  <c r="K130" i="16"/>
  <c r="K169" i="16" s="1"/>
  <c r="J130" i="16"/>
  <c r="J169" i="16" s="1"/>
  <c r="I130" i="16"/>
  <c r="H130" i="16"/>
  <c r="G130" i="16"/>
  <c r="F130" i="16"/>
  <c r="E130" i="16"/>
  <c r="E169" i="16" s="1"/>
  <c r="D130" i="16"/>
  <c r="D169" i="16" s="1"/>
  <c r="V119" i="16"/>
  <c r="U119" i="16"/>
  <c r="O119" i="16"/>
  <c r="L119" i="16"/>
  <c r="J119" i="16"/>
  <c r="F119" i="16"/>
  <c r="R118" i="16"/>
  <c r="P118" i="16"/>
  <c r="O118" i="16"/>
  <c r="U117" i="16"/>
  <c r="R117" i="16"/>
  <c r="P117" i="16"/>
  <c r="K117" i="16"/>
  <c r="J117" i="16"/>
  <c r="U116" i="16"/>
  <c r="S116" i="16"/>
  <c r="O116" i="16"/>
  <c r="N116" i="16"/>
  <c r="M116" i="16"/>
  <c r="H116" i="16"/>
  <c r="F116" i="16"/>
  <c r="E116" i="16"/>
  <c r="V115" i="16"/>
  <c r="S115" i="16"/>
  <c r="Q115" i="16"/>
  <c r="P115" i="16"/>
  <c r="K115" i="16"/>
  <c r="H115" i="16"/>
  <c r="F115" i="16"/>
  <c r="S114" i="16"/>
  <c r="N114" i="16"/>
  <c r="K114" i="16"/>
  <c r="I114" i="16"/>
  <c r="Q113" i="16"/>
  <c r="N113" i="16"/>
  <c r="L113" i="16"/>
  <c r="H113" i="16"/>
  <c r="G113" i="16"/>
  <c r="T112" i="16"/>
  <c r="Q112" i="16"/>
  <c r="O112" i="16"/>
  <c r="K112" i="16"/>
  <c r="D112" i="16"/>
  <c r="T111" i="16"/>
  <c r="G111" i="16"/>
  <c r="D111" i="16"/>
  <c r="U110" i="16"/>
  <c r="P110" i="16"/>
  <c r="O110" i="16"/>
  <c r="G110" i="16"/>
  <c r="E110" i="16"/>
  <c r="R109" i="16"/>
  <c r="M109" i="16"/>
  <c r="J109" i="16"/>
  <c r="H109" i="16"/>
  <c r="E109" i="16"/>
  <c r="U108" i="16"/>
  <c r="P108" i="16"/>
  <c r="M108" i="16"/>
  <c r="K108" i="16"/>
  <c r="E108" i="16"/>
  <c r="S107" i="16"/>
  <c r="P107" i="16"/>
  <c r="N107" i="16"/>
  <c r="V106" i="16"/>
  <c r="S106" i="16"/>
  <c r="Q106" i="16"/>
  <c r="M106" i="16"/>
  <c r="L106" i="16"/>
  <c r="F106" i="16"/>
  <c r="V105" i="16"/>
  <c r="T105" i="16"/>
  <c r="P105" i="16"/>
  <c r="I105" i="16"/>
  <c r="F105" i="16"/>
  <c r="L104" i="16"/>
  <c r="I104" i="16"/>
  <c r="G104" i="16"/>
  <c r="V103" i="16"/>
  <c r="U103" i="16"/>
  <c r="T103" i="16"/>
  <c r="S103" i="16"/>
  <c r="R103" i="16"/>
  <c r="Q103" i="16"/>
  <c r="P103" i="16"/>
  <c r="O103" i="16"/>
  <c r="N103" i="16"/>
  <c r="M103" i="16"/>
  <c r="L103" i="16"/>
  <c r="K103" i="16"/>
  <c r="J103" i="16"/>
  <c r="I103" i="16"/>
  <c r="H103" i="16"/>
  <c r="G103" i="16"/>
  <c r="F103" i="16"/>
  <c r="E103" i="16"/>
  <c r="D103" i="16"/>
  <c r="S102" i="16"/>
  <c r="O102" i="16"/>
  <c r="V101" i="16"/>
  <c r="R101" i="16"/>
  <c r="M101" i="16"/>
  <c r="F101" i="16"/>
  <c r="P100" i="16"/>
  <c r="I100" i="16"/>
  <c r="E100" i="16"/>
  <c r="S99" i="16"/>
  <c r="L99" i="16"/>
  <c r="K99" i="16"/>
  <c r="H99" i="16"/>
  <c r="V98" i="16"/>
  <c r="U98" i="16"/>
  <c r="T98" i="16"/>
  <c r="O98" i="16"/>
  <c r="R97" i="16"/>
  <c r="N97" i="16"/>
  <c r="I97" i="16"/>
  <c r="U96" i="16"/>
  <c r="Q96" i="16"/>
  <c r="L96" i="16"/>
  <c r="J96" i="16"/>
  <c r="I96" i="16"/>
  <c r="E96" i="16"/>
  <c r="T95" i="16"/>
  <c r="H95" i="16"/>
  <c r="D95" i="16"/>
  <c r="R94" i="16"/>
  <c r="K94" i="16"/>
  <c r="U93" i="16"/>
  <c r="N93" i="16"/>
  <c r="J93" i="16"/>
  <c r="E93" i="16"/>
  <c r="Q92" i="16"/>
  <c r="M92" i="16"/>
  <c r="H92" i="16"/>
  <c r="F92" i="16"/>
  <c r="T91" i="16"/>
  <c r="D91" i="16"/>
  <c r="V80" i="16"/>
  <c r="U80" i="16"/>
  <c r="T80" i="16"/>
  <c r="T119" i="16" s="1"/>
  <c r="S80" i="16"/>
  <c r="S119" i="16" s="1"/>
  <c r="R80" i="16"/>
  <c r="R119" i="16" s="1"/>
  <c r="Q80" i="16"/>
  <c r="P80" i="16"/>
  <c r="O80" i="16"/>
  <c r="N80" i="16"/>
  <c r="N119" i="16" s="1"/>
  <c r="M80" i="16"/>
  <c r="L80" i="16"/>
  <c r="K80" i="16"/>
  <c r="J80" i="16"/>
  <c r="I80" i="16"/>
  <c r="I119" i="16" s="1"/>
  <c r="H80" i="16"/>
  <c r="G80" i="16"/>
  <c r="F80" i="16"/>
  <c r="E80" i="16"/>
  <c r="D80" i="16"/>
  <c r="D119" i="16" s="1"/>
  <c r="V79" i="16"/>
  <c r="V118" i="16" s="1"/>
  <c r="U79" i="16"/>
  <c r="U118" i="16" s="1"/>
  <c r="T79" i="16"/>
  <c r="S79" i="16"/>
  <c r="R79" i="16"/>
  <c r="Q79" i="16"/>
  <c r="P79" i="16"/>
  <c r="O79" i="16"/>
  <c r="N79" i="16"/>
  <c r="M79" i="16"/>
  <c r="M118" i="16" s="1"/>
  <c r="L79" i="16"/>
  <c r="L118" i="16" s="1"/>
  <c r="K79" i="16"/>
  <c r="J79" i="16"/>
  <c r="I79" i="16"/>
  <c r="H79" i="16"/>
  <c r="G79" i="16"/>
  <c r="G118" i="16" s="1"/>
  <c r="F79" i="16"/>
  <c r="F118" i="16" s="1"/>
  <c r="E79" i="16"/>
  <c r="E118" i="16" s="1"/>
  <c r="D79" i="16"/>
  <c r="V78" i="16"/>
  <c r="U78" i="16"/>
  <c r="T78" i="16"/>
  <c r="T117" i="16" s="1"/>
  <c r="S78" i="16"/>
  <c r="R78" i="16"/>
  <c r="Q78" i="16"/>
  <c r="P78" i="16"/>
  <c r="O78" i="16"/>
  <c r="O117" i="16" s="1"/>
  <c r="N78" i="16"/>
  <c r="M78" i="16"/>
  <c r="L78" i="16"/>
  <c r="K78" i="16"/>
  <c r="J78" i="16"/>
  <c r="I78" i="16"/>
  <c r="I117" i="16" s="1"/>
  <c r="H78" i="16"/>
  <c r="G78" i="16"/>
  <c r="F78" i="16"/>
  <c r="F117" i="16" s="1"/>
  <c r="E78" i="16"/>
  <c r="E117" i="16" s="1"/>
  <c r="D78" i="16"/>
  <c r="D117" i="16" s="1"/>
  <c r="V77" i="16"/>
  <c r="U77" i="16"/>
  <c r="T77" i="16"/>
  <c r="T116" i="16" s="1"/>
  <c r="S77" i="16"/>
  <c r="R77" i="16"/>
  <c r="R116" i="16" s="1"/>
  <c r="Q77" i="16"/>
  <c r="Q116" i="16" s="1"/>
  <c r="P77" i="16"/>
  <c r="P116" i="16" s="1"/>
  <c r="O77" i="16"/>
  <c r="N77" i="16"/>
  <c r="M77" i="16"/>
  <c r="L77" i="16"/>
  <c r="L116" i="16" s="1"/>
  <c r="K77" i="16"/>
  <c r="K116" i="16" s="1"/>
  <c r="J77" i="16"/>
  <c r="J116" i="16" s="1"/>
  <c r="I77" i="16"/>
  <c r="I116" i="16" s="1"/>
  <c r="H77" i="16"/>
  <c r="G77" i="16"/>
  <c r="G116" i="16" s="1"/>
  <c r="F77" i="16"/>
  <c r="E77" i="16"/>
  <c r="D77" i="16"/>
  <c r="D116" i="16" s="1"/>
  <c r="V76" i="16"/>
  <c r="U76" i="16"/>
  <c r="U115" i="16" s="1"/>
  <c r="T76" i="16"/>
  <c r="S76" i="16"/>
  <c r="R76" i="16"/>
  <c r="R115" i="16" s="1"/>
  <c r="Q76" i="16"/>
  <c r="P76" i="16"/>
  <c r="O76" i="16"/>
  <c r="O115" i="16" s="1"/>
  <c r="N76" i="16"/>
  <c r="N115" i="16" s="1"/>
  <c r="M76" i="16"/>
  <c r="L76" i="16"/>
  <c r="K76" i="16"/>
  <c r="J76" i="16"/>
  <c r="J115" i="16" s="1"/>
  <c r="I76" i="16"/>
  <c r="H76" i="16"/>
  <c r="G76" i="16"/>
  <c r="F76" i="16"/>
  <c r="E76" i="16"/>
  <c r="E115" i="16" s="1"/>
  <c r="D76" i="16"/>
  <c r="V75" i="16"/>
  <c r="V114" i="16" s="1"/>
  <c r="U75" i="16"/>
  <c r="U114" i="16" s="1"/>
  <c r="T75" i="16"/>
  <c r="S75" i="16"/>
  <c r="R75" i="16"/>
  <c r="R114" i="16" s="1"/>
  <c r="Q75" i="16"/>
  <c r="Q114" i="16" s="1"/>
  <c r="P75" i="16"/>
  <c r="O75" i="16"/>
  <c r="N75" i="16"/>
  <c r="M75" i="16"/>
  <c r="L75" i="16"/>
  <c r="K75" i="16"/>
  <c r="J75" i="16"/>
  <c r="I75" i="16"/>
  <c r="H75" i="16"/>
  <c r="H114" i="16" s="1"/>
  <c r="G75" i="16"/>
  <c r="F75" i="16"/>
  <c r="F114" i="16" s="1"/>
  <c r="E75" i="16"/>
  <c r="E114" i="16" s="1"/>
  <c r="D75" i="16"/>
  <c r="V74" i="16"/>
  <c r="V113" i="16" s="1"/>
  <c r="U74" i="16"/>
  <c r="U113" i="16" s="1"/>
  <c r="T74" i="16"/>
  <c r="T113" i="16" s="1"/>
  <c r="S74" i="16"/>
  <c r="R74" i="16"/>
  <c r="Q74" i="16"/>
  <c r="P74" i="16"/>
  <c r="P113" i="16" s="1"/>
  <c r="O74" i="16"/>
  <c r="N74" i="16"/>
  <c r="M74" i="16"/>
  <c r="L74" i="16"/>
  <c r="K74" i="16"/>
  <c r="K113" i="16" s="1"/>
  <c r="J74" i="16"/>
  <c r="I74" i="16"/>
  <c r="I113" i="16" s="1"/>
  <c r="H74" i="16"/>
  <c r="G74" i="16"/>
  <c r="F74" i="16"/>
  <c r="F113" i="16" s="1"/>
  <c r="E74" i="16"/>
  <c r="E113" i="16" s="1"/>
  <c r="D74" i="16"/>
  <c r="D113" i="16" s="1"/>
  <c r="V73" i="16"/>
  <c r="U73" i="16"/>
  <c r="T73" i="16"/>
  <c r="S73" i="16"/>
  <c r="R73" i="16"/>
  <c r="Q73" i="16"/>
  <c r="P73" i="16"/>
  <c r="O73" i="16"/>
  <c r="N73" i="16"/>
  <c r="N112" i="16" s="1"/>
  <c r="M73" i="16"/>
  <c r="L73" i="16"/>
  <c r="L112" i="16" s="1"/>
  <c r="K73" i="16"/>
  <c r="J73" i="16"/>
  <c r="I73" i="16"/>
  <c r="I112" i="16" s="1"/>
  <c r="H73" i="16"/>
  <c r="H112" i="16" s="1"/>
  <c r="G73" i="16"/>
  <c r="G112" i="16" s="1"/>
  <c r="F73" i="16"/>
  <c r="E73" i="16"/>
  <c r="D73" i="16"/>
  <c r="V72" i="16"/>
  <c r="U72" i="16"/>
  <c r="T72" i="16"/>
  <c r="S72" i="16"/>
  <c r="R72" i="16"/>
  <c r="R111" i="16" s="1"/>
  <c r="Q72" i="16"/>
  <c r="Q111" i="16" s="1"/>
  <c r="P72" i="16"/>
  <c r="O72" i="16"/>
  <c r="O111" i="16" s="1"/>
  <c r="N72" i="16"/>
  <c r="M72" i="16"/>
  <c r="L72" i="16"/>
  <c r="L111" i="16" s="1"/>
  <c r="K72" i="16"/>
  <c r="K111" i="16" s="1"/>
  <c r="J72" i="16"/>
  <c r="J111" i="16" s="1"/>
  <c r="I72" i="16"/>
  <c r="H72" i="16"/>
  <c r="G72" i="16"/>
  <c r="F72" i="16"/>
  <c r="E72" i="16"/>
  <c r="D72" i="16"/>
  <c r="V71" i="16"/>
  <c r="U71" i="16"/>
  <c r="T71" i="16"/>
  <c r="T110" i="16" s="1"/>
  <c r="S71" i="16"/>
  <c r="R71" i="16"/>
  <c r="R110" i="16" s="1"/>
  <c r="Q71" i="16"/>
  <c r="P71" i="16"/>
  <c r="O71" i="16"/>
  <c r="N71" i="16"/>
  <c r="N110" i="16" s="1"/>
  <c r="M71" i="16"/>
  <c r="M110" i="16" s="1"/>
  <c r="L71" i="16"/>
  <c r="K71" i="16"/>
  <c r="K110" i="16" s="1"/>
  <c r="J71" i="16"/>
  <c r="J110" i="16" s="1"/>
  <c r="I71" i="16"/>
  <c r="H71" i="16"/>
  <c r="G71" i="16"/>
  <c r="F71" i="16"/>
  <c r="E71" i="16"/>
  <c r="D71" i="16"/>
  <c r="D110" i="16" s="1"/>
  <c r="V70" i="16"/>
  <c r="U70" i="16"/>
  <c r="U109" i="16" s="1"/>
  <c r="T70" i="16"/>
  <c r="T109" i="16" s="1"/>
  <c r="S70" i="16"/>
  <c r="R70" i="16"/>
  <c r="Q70" i="16"/>
  <c r="Q109" i="16" s="1"/>
  <c r="P70" i="16"/>
  <c r="P109" i="16" s="1"/>
  <c r="O70" i="16"/>
  <c r="N70" i="16"/>
  <c r="M70" i="16"/>
  <c r="L70" i="16"/>
  <c r="K70" i="16"/>
  <c r="J70" i="16"/>
  <c r="I70" i="16"/>
  <c r="H70" i="16"/>
  <c r="G70" i="16"/>
  <c r="G109" i="16" s="1"/>
  <c r="F70" i="16"/>
  <c r="E70" i="16"/>
  <c r="D70" i="16"/>
  <c r="D109" i="16" s="1"/>
  <c r="V69" i="16"/>
  <c r="U69" i="16"/>
  <c r="T69" i="16"/>
  <c r="T108" i="16" s="1"/>
  <c r="S69" i="16"/>
  <c r="S108" i="16" s="1"/>
  <c r="R69" i="16"/>
  <c r="Q69" i="16"/>
  <c r="P69" i="16"/>
  <c r="O69" i="16"/>
  <c r="N69" i="16"/>
  <c r="M69" i="16"/>
  <c r="L69" i="16"/>
  <c r="K69" i="16"/>
  <c r="J69" i="16"/>
  <c r="J108" i="16" s="1"/>
  <c r="I69" i="16"/>
  <c r="H69" i="16"/>
  <c r="H108" i="16" s="1"/>
  <c r="G69" i="16"/>
  <c r="G108" i="16" s="1"/>
  <c r="F69" i="16"/>
  <c r="E69" i="16"/>
  <c r="D69" i="16"/>
  <c r="D108" i="16" s="1"/>
  <c r="V68" i="16"/>
  <c r="V107" i="16" s="1"/>
  <c r="U68" i="16"/>
  <c r="T68" i="16"/>
  <c r="S68" i="16"/>
  <c r="R68" i="16"/>
  <c r="Q68" i="16"/>
  <c r="P68" i="16"/>
  <c r="O68" i="16"/>
  <c r="N68" i="16"/>
  <c r="M68" i="16"/>
  <c r="M107" i="16" s="1"/>
  <c r="L68" i="16"/>
  <c r="K68" i="16"/>
  <c r="K107" i="16" s="1"/>
  <c r="J68" i="16"/>
  <c r="J107" i="16" s="1"/>
  <c r="I68" i="16"/>
  <c r="H68" i="16"/>
  <c r="H107" i="16" s="1"/>
  <c r="G68" i="16"/>
  <c r="G107" i="16" s="1"/>
  <c r="F68" i="16"/>
  <c r="F107" i="16" s="1"/>
  <c r="E68" i="16"/>
  <c r="D68" i="16"/>
  <c r="D107" i="16" s="1"/>
  <c r="V67" i="16"/>
  <c r="U67" i="16"/>
  <c r="T67" i="16"/>
  <c r="S67" i="16"/>
  <c r="R67" i="16"/>
  <c r="Q67" i="16"/>
  <c r="P67" i="16"/>
  <c r="P106" i="16" s="1"/>
  <c r="O67" i="16"/>
  <c r="N67" i="16"/>
  <c r="N106" i="16" s="1"/>
  <c r="M67" i="16"/>
  <c r="L67" i="16"/>
  <c r="K67" i="16"/>
  <c r="K106" i="16" s="1"/>
  <c r="J67" i="16"/>
  <c r="J106" i="16" s="1"/>
  <c r="I67" i="16"/>
  <c r="I106" i="16" s="1"/>
  <c r="H67" i="16"/>
  <c r="G67" i="16"/>
  <c r="G106" i="16" s="1"/>
  <c r="F67" i="16"/>
  <c r="E67" i="16"/>
  <c r="D67" i="16"/>
  <c r="V66" i="16"/>
  <c r="U66" i="16"/>
  <c r="T66" i="16"/>
  <c r="S66" i="16"/>
  <c r="S105" i="16" s="1"/>
  <c r="R66" i="16"/>
  <c r="Q66" i="16"/>
  <c r="Q105" i="16" s="1"/>
  <c r="P66" i="16"/>
  <c r="O66" i="16"/>
  <c r="N66" i="16"/>
  <c r="N105" i="16" s="1"/>
  <c r="M66" i="16"/>
  <c r="M105" i="16" s="1"/>
  <c r="L66" i="16"/>
  <c r="L105" i="16" s="1"/>
  <c r="K66" i="16"/>
  <c r="J66" i="16"/>
  <c r="J105" i="16" s="1"/>
  <c r="I66" i="16"/>
  <c r="H66" i="16"/>
  <c r="G66" i="16"/>
  <c r="F66" i="16"/>
  <c r="E66" i="16"/>
  <c r="D66" i="16"/>
  <c r="D105" i="16" s="1"/>
  <c r="V65" i="16"/>
  <c r="V104" i="16" s="1"/>
  <c r="U65" i="16"/>
  <c r="T65" i="16"/>
  <c r="T104" i="16" s="1"/>
  <c r="S65" i="16"/>
  <c r="R65" i="16"/>
  <c r="Q65" i="16"/>
  <c r="Q104" i="16" s="1"/>
  <c r="P65" i="16"/>
  <c r="P104" i="16" s="1"/>
  <c r="O65" i="16"/>
  <c r="O104" i="16" s="1"/>
  <c r="N65" i="16"/>
  <c r="M65" i="16"/>
  <c r="M104" i="16" s="1"/>
  <c r="L65" i="16"/>
  <c r="K65" i="16"/>
  <c r="J65" i="16"/>
  <c r="I65" i="16"/>
  <c r="H65" i="16"/>
  <c r="G65" i="16"/>
  <c r="F65" i="16"/>
  <c r="F104" i="16" s="1"/>
  <c r="E65" i="16"/>
  <c r="D65" i="16"/>
  <c r="D104" i="16" s="1"/>
  <c r="V63" i="16"/>
  <c r="U63" i="16"/>
  <c r="T63" i="16"/>
  <c r="T102" i="16" s="1"/>
  <c r="S63" i="16"/>
  <c r="R63" i="16"/>
  <c r="Q63" i="16"/>
  <c r="P63" i="16"/>
  <c r="P102" i="16" s="1"/>
  <c r="O63" i="16"/>
  <c r="N63" i="16"/>
  <c r="M63" i="16"/>
  <c r="L63" i="16"/>
  <c r="L102" i="16" s="1"/>
  <c r="K63" i="16"/>
  <c r="J63" i="16"/>
  <c r="J102" i="16" s="1"/>
  <c r="I63" i="16"/>
  <c r="I102" i="16" s="1"/>
  <c r="H63" i="16"/>
  <c r="H102" i="16" s="1"/>
  <c r="G63" i="16"/>
  <c r="G102" i="16" s="1"/>
  <c r="F63" i="16"/>
  <c r="E63" i="16"/>
  <c r="D63" i="16"/>
  <c r="D102" i="16" s="1"/>
  <c r="V62" i="16"/>
  <c r="U62" i="16"/>
  <c r="T62" i="16"/>
  <c r="S62" i="16"/>
  <c r="S101" i="16" s="1"/>
  <c r="R62" i="16"/>
  <c r="Q62" i="16"/>
  <c r="P62" i="16"/>
  <c r="O62" i="16"/>
  <c r="O101" i="16" s="1"/>
  <c r="N62" i="16"/>
  <c r="M62" i="16"/>
  <c r="L62" i="16"/>
  <c r="L101" i="16" s="1"/>
  <c r="K62" i="16"/>
  <c r="J62" i="16"/>
  <c r="J101" i="16" s="1"/>
  <c r="I62" i="16"/>
  <c r="H62" i="16"/>
  <c r="G62" i="16"/>
  <c r="G101" i="16" s="1"/>
  <c r="F62" i="16"/>
  <c r="E62" i="16"/>
  <c r="D62" i="16"/>
  <c r="V61" i="16"/>
  <c r="V100" i="16" s="1"/>
  <c r="U61" i="16"/>
  <c r="U100" i="16" s="1"/>
  <c r="T61" i="16"/>
  <c r="S61" i="16"/>
  <c r="R61" i="16"/>
  <c r="R100" i="16" s="1"/>
  <c r="Q61" i="16"/>
  <c r="P61" i="16"/>
  <c r="O61" i="16"/>
  <c r="O100" i="16" s="1"/>
  <c r="N61" i="16"/>
  <c r="M61" i="16"/>
  <c r="M100" i="16" s="1"/>
  <c r="L61" i="16"/>
  <c r="K61" i="16"/>
  <c r="J61" i="16"/>
  <c r="J100" i="16" s="1"/>
  <c r="I61" i="16"/>
  <c r="H61" i="16"/>
  <c r="G61" i="16"/>
  <c r="G100" i="16" s="1"/>
  <c r="F61" i="16"/>
  <c r="F100" i="16" s="1"/>
  <c r="E61" i="16"/>
  <c r="D61" i="16"/>
  <c r="V60" i="16"/>
  <c r="U60" i="16"/>
  <c r="U99" i="16" s="1"/>
  <c r="T60" i="16"/>
  <c r="S60" i="16"/>
  <c r="R60" i="16"/>
  <c r="R99" i="16" s="1"/>
  <c r="Q60" i="16"/>
  <c r="Q99" i="16" s="1"/>
  <c r="P60" i="16"/>
  <c r="P99" i="16" s="1"/>
  <c r="O60" i="16"/>
  <c r="N60" i="16"/>
  <c r="M60" i="16"/>
  <c r="M99" i="16" s="1"/>
  <c r="L60" i="16"/>
  <c r="K60" i="16"/>
  <c r="J60" i="16"/>
  <c r="I60" i="16"/>
  <c r="I99" i="16" s="1"/>
  <c r="H60" i="16"/>
  <c r="G60" i="16"/>
  <c r="F60" i="16"/>
  <c r="E60" i="16"/>
  <c r="E99" i="16" s="1"/>
  <c r="D60" i="16"/>
  <c r="V59" i="16"/>
  <c r="U59" i="16"/>
  <c r="T59" i="16"/>
  <c r="S59" i="16"/>
  <c r="S98" i="16" s="1"/>
  <c r="R59" i="16"/>
  <c r="Q59" i="16"/>
  <c r="P59" i="16"/>
  <c r="P98" i="16" s="1"/>
  <c r="O59" i="16"/>
  <c r="N59" i="16"/>
  <c r="M59" i="16"/>
  <c r="L59" i="16"/>
  <c r="L98" i="16" s="1"/>
  <c r="K59" i="16"/>
  <c r="K98" i="16" s="1"/>
  <c r="J59" i="16"/>
  <c r="I59" i="16"/>
  <c r="H59" i="16"/>
  <c r="H98" i="16" s="1"/>
  <c r="G59" i="16"/>
  <c r="F59" i="16"/>
  <c r="F98" i="16" s="1"/>
  <c r="E59" i="16"/>
  <c r="E98" i="16" s="1"/>
  <c r="D59" i="16"/>
  <c r="D98" i="16" s="1"/>
  <c r="V58" i="16"/>
  <c r="V97" i="16" s="1"/>
  <c r="U58" i="16"/>
  <c r="T58" i="16"/>
  <c r="S58" i="16"/>
  <c r="S97" i="16" s="1"/>
  <c r="R58" i="16"/>
  <c r="Q58" i="16"/>
  <c r="P58" i="16"/>
  <c r="O58" i="16"/>
  <c r="O97" i="16" s="1"/>
  <c r="N58" i="16"/>
  <c r="M58" i="16"/>
  <c r="L58" i="16"/>
  <c r="K58" i="16"/>
  <c r="K97" i="16" s="1"/>
  <c r="J58" i="16"/>
  <c r="I58" i="16"/>
  <c r="H58" i="16"/>
  <c r="H97" i="16" s="1"/>
  <c r="G58" i="16"/>
  <c r="F58" i="16"/>
  <c r="F97" i="16" s="1"/>
  <c r="E58" i="16"/>
  <c r="D58" i="16"/>
  <c r="V57" i="16"/>
  <c r="V96" i="16" s="1"/>
  <c r="U57" i="16"/>
  <c r="T57" i="16"/>
  <c r="S57" i="16"/>
  <c r="S81" i="16" s="1"/>
  <c r="R57" i="16"/>
  <c r="R96" i="16" s="1"/>
  <c r="Q57" i="16"/>
  <c r="P57" i="16"/>
  <c r="O57" i="16"/>
  <c r="N57" i="16"/>
  <c r="N96" i="16" s="1"/>
  <c r="M57" i="16"/>
  <c r="L57" i="16"/>
  <c r="K57" i="16"/>
  <c r="K96" i="16" s="1"/>
  <c r="J57" i="16"/>
  <c r="I57" i="16"/>
  <c r="H57" i="16"/>
  <c r="G57" i="16"/>
  <c r="F57" i="16"/>
  <c r="F96" i="16" s="1"/>
  <c r="E57" i="16"/>
  <c r="D57" i="16"/>
  <c r="V56" i="16"/>
  <c r="U56" i="16"/>
  <c r="U95" i="16" s="1"/>
  <c r="T56" i="16"/>
  <c r="S56" i="16"/>
  <c r="R56" i="16"/>
  <c r="Q56" i="16"/>
  <c r="Q95" i="16" s="1"/>
  <c r="P56" i="16"/>
  <c r="O56" i="16"/>
  <c r="O95" i="16" s="1"/>
  <c r="N56" i="16"/>
  <c r="N95" i="16" s="1"/>
  <c r="M56" i="16"/>
  <c r="M95" i="16" s="1"/>
  <c r="L56" i="16"/>
  <c r="L95" i="16" s="1"/>
  <c r="K56" i="16"/>
  <c r="J56" i="16"/>
  <c r="I56" i="16"/>
  <c r="I95" i="16" s="1"/>
  <c r="H56" i="16"/>
  <c r="G56" i="16"/>
  <c r="F56" i="16"/>
  <c r="E56" i="16"/>
  <c r="E95" i="16" s="1"/>
  <c r="D56" i="16"/>
  <c r="V55" i="16"/>
  <c r="U55" i="16"/>
  <c r="T55" i="16"/>
  <c r="T94" i="16" s="1"/>
  <c r="S55" i="16"/>
  <c r="R55" i="16"/>
  <c r="Q55" i="16"/>
  <c r="Q94" i="16" s="1"/>
  <c r="P55" i="16"/>
  <c r="O55" i="16"/>
  <c r="O94" i="16" s="1"/>
  <c r="N55" i="16"/>
  <c r="M55" i="16"/>
  <c r="L55" i="16"/>
  <c r="L94" i="16" s="1"/>
  <c r="K55" i="16"/>
  <c r="J55" i="16"/>
  <c r="I55" i="16"/>
  <c r="H55" i="16"/>
  <c r="H94" i="16" s="1"/>
  <c r="G55" i="16"/>
  <c r="G94" i="16" s="1"/>
  <c r="F55" i="16"/>
  <c r="E55" i="16"/>
  <c r="D55" i="16"/>
  <c r="D94" i="16" s="1"/>
  <c r="V54" i="16"/>
  <c r="U54" i="16"/>
  <c r="T54" i="16"/>
  <c r="T93" i="16" s="1"/>
  <c r="S54" i="16"/>
  <c r="R54" i="16"/>
  <c r="R93" i="16" s="1"/>
  <c r="Q54" i="16"/>
  <c r="P54" i="16"/>
  <c r="O54" i="16"/>
  <c r="O93" i="16" s="1"/>
  <c r="N54" i="16"/>
  <c r="M54" i="16"/>
  <c r="L54" i="16"/>
  <c r="L93" i="16" s="1"/>
  <c r="K54" i="16"/>
  <c r="J54" i="16"/>
  <c r="I54" i="16"/>
  <c r="H54" i="16"/>
  <c r="G54" i="16"/>
  <c r="G93" i="16" s="1"/>
  <c r="F54" i="16"/>
  <c r="E54" i="16"/>
  <c r="D54" i="16"/>
  <c r="D93" i="16" s="1"/>
  <c r="V53" i="16"/>
  <c r="V92" i="16" s="1"/>
  <c r="U53" i="16"/>
  <c r="U92" i="16" s="1"/>
  <c r="T53" i="16"/>
  <c r="S53" i="16"/>
  <c r="R53" i="16"/>
  <c r="R92" i="16" s="1"/>
  <c r="Q53" i="16"/>
  <c r="P53" i="16"/>
  <c r="O53" i="16"/>
  <c r="N53" i="16"/>
  <c r="M53" i="16"/>
  <c r="L53" i="16"/>
  <c r="K53" i="16"/>
  <c r="J53" i="16"/>
  <c r="J92" i="16" s="1"/>
  <c r="I53" i="16"/>
  <c r="H53" i="16"/>
  <c r="G53" i="16"/>
  <c r="G92" i="16" s="1"/>
  <c r="F53" i="16"/>
  <c r="E53" i="16"/>
  <c r="E92" i="16" s="1"/>
  <c r="D53" i="16"/>
  <c r="V52" i="16"/>
  <c r="U52" i="16"/>
  <c r="U91" i="16" s="1"/>
  <c r="T52" i="16"/>
  <c r="S52" i="16"/>
  <c r="R52" i="16"/>
  <c r="Q52" i="16"/>
  <c r="P52" i="16"/>
  <c r="P91" i="16" s="1"/>
  <c r="O52" i="16"/>
  <c r="N52" i="16"/>
  <c r="M52" i="16"/>
  <c r="M91" i="16" s="1"/>
  <c r="L52" i="16"/>
  <c r="K52" i="16"/>
  <c r="K91" i="16" s="1"/>
  <c r="J52" i="16"/>
  <c r="J81" i="16" s="1"/>
  <c r="I52" i="16"/>
  <c r="I91" i="16" s="1"/>
  <c r="H52" i="16"/>
  <c r="G52" i="16"/>
  <c r="F52" i="16"/>
  <c r="E52" i="16"/>
  <c r="E91" i="16" s="1"/>
  <c r="D52" i="16"/>
  <c r="U42" i="16"/>
  <c r="V41" i="16"/>
  <c r="V274" i="16" s="1"/>
  <c r="U41" i="16"/>
  <c r="U274" i="16" s="1"/>
  <c r="T41" i="16"/>
  <c r="T274" i="16" s="1"/>
  <c r="S41" i="16"/>
  <c r="R41" i="16"/>
  <c r="Q41" i="16"/>
  <c r="P41" i="16"/>
  <c r="P197" i="16" s="1"/>
  <c r="O41" i="16"/>
  <c r="N41" i="16"/>
  <c r="M41" i="16"/>
  <c r="M274" i="16" s="1"/>
  <c r="L41" i="16"/>
  <c r="K41" i="16"/>
  <c r="J41" i="16"/>
  <c r="I41" i="16"/>
  <c r="H41" i="16"/>
  <c r="H274" i="16" s="1"/>
  <c r="G41" i="16"/>
  <c r="G274" i="16" s="1"/>
  <c r="F41" i="16"/>
  <c r="E41" i="16"/>
  <c r="E119" i="16" s="1"/>
  <c r="D41" i="16"/>
  <c r="V40" i="16"/>
  <c r="U40" i="16"/>
  <c r="U273" i="16" s="1"/>
  <c r="T40" i="16"/>
  <c r="S40" i="16"/>
  <c r="S196" i="16" s="1"/>
  <c r="R40" i="16"/>
  <c r="Q40" i="16"/>
  <c r="Q118" i="16" s="1"/>
  <c r="P40" i="16"/>
  <c r="P273" i="16" s="1"/>
  <c r="O40" i="16"/>
  <c r="N40" i="16"/>
  <c r="N273" i="16" s="1"/>
  <c r="M40" i="16"/>
  <c r="M273" i="16" s="1"/>
  <c r="L40" i="16"/>
  <c r="K40" i="16"/>
  <c r="K273" i="16" s="1"/>
  <c r="J40" i="16"/>
  <c r="I40" i="16"/>
  <c r="I273" i="16" s="1"/>
  <c r="H40" i="16"/>
  <c r="H273" i="16" s="1"/>
  <c r="G40" i="16"/>
  <c r="F40" i="16"/>
  <c r="E40" i="16"/>
  <c r="E196" i="16" s="1"/>
  <c r="D40" i="16"/>
  <c r="D196" i="16" s="1"/>
  <c r="V39" i="16"/>
  <c r="U39" i="16"/>
  <c r="T39" i="16"/>
  <c r="T195" i="16" s="1"/>
  <c r="S39" i="16"/>
  <c r="S272" i="16" s="1"/>
  <c r="R39" i="16"/>
  <c r="Q39" i="16"/>
  <c r="P39" i="16"/>
  <c r="O39" i="16"/>
  <c r="N39" i="16"/>
  <c r="N272" i="16" s="1"/>
  <c r="M39" i="16"/>
  <c r="L39" i="16"/>
  <c r="L272" i="16" s="1"/>
  <c r="K39" i="16"/>
  <c r="K272" i="16" s="1"/>
  <c r="J39" i="16"/>
  <c r="I39" i="16"/>
  <c r="H39" i="16"/>
  <c r="G39" i="16"/>
  <c r="F39" i="16"/>
  <c r="E39" i="16"/>
  <c r="D39" i="16"/>
  <c r="V38" i="16"/>
  <c r="V271" i="16" s="1"/>
  <c r="U38" i="16"/>
  <c r="T38" i="16"/>
  <c r="S38" i="16"/>
  <c r="R38" i="16"/>
  <c r="Q38" i="16"/>
  <c r="P38" i="16"/>
  <c r="O38" i="16"/>
  <c r="N38" i="16"/>
  <c r="M38" i="16"/>
  <c r="L38" i="16"/>
  <c r="K38" i="16"/>
  <c r="J38" i="16"/>
  <c r="I38" i="16"/>
  <c r="H38" i="16"/>
  <c r="G38" i="16"/>
  <c r="F38" i="16"/>
  <c r="E38" i="16"/>
  <c r="D38" i="16"/>
  <c r="V37" i="16"/>
  <c r="U37" i="16"/>
  <c r="T37" i="16"/>
  <c r="T270" i="16" s="1"/>
  <c r="S37" i="16"/>
  <c r="R37" i="16"/>
  <c r="Q37" i="16"/>
  <c r="Q270" i="16" s="1"/>
  <c r="P37" i="16"/>
  <c r="P270" i="16" s="1"/>
  <c r="O37" i="16"/>
  <c r="N37" i="16"/>
  <c r="M37" i="16"/>
  <c r="M193" i="16" s="1"/>
  <c r="L37" i="16"/>
  <c r="K37" i="16"/>
  <c r="K270" i="16" s="1"/>
  <c r="J37" i="16"/>
  <c r="I37" i="16"/>
  <c r="H37" i="16"/>
  <c r="H193" i="16" s="1"/>
  <c r="G37" i="16"/>
  <c r="G193" i="16" s="1"/>
  <c r="F37" i="16"/>
  <c r="E37" i="16"/>
  <c r="D37" i="16"/>
  <c r="D270" i="16" s="1"/>
  <c r="V36" i="16"/>
  <c r="V269" i="16" s="1"/>
  <c r="U36" i="16"/>
  <c r="T36" i="16"/>
  <c r="T192" i="16" s="1"/>
  <c r="S36" i="16"/>
  <c r="R36" i="16"/>
  <c r="Q36" i="16"/>
  <c r="P36" i="16"/>
  <c r="P192" i="16" s="1"/>
  <c r="O36" i="16"/>
  <c r="N36" i="16"/>
  <c r="M36" i="16"/>
  <c r="M192" i="16" s="1"/>
  <c r="L36" i="16"/>
  <c r="K36" i="16"/>
  <c r="J36" i="16"/>
  <c r="J269" i="16" s="1"/>
  <c r="I36" i="16"/>
  <c r="H36" i="16"/>
  <c r="G36" i="16"/>
  <c r="G269" i="16" s="1"/>
  <c r="F36" i="16"/>
  <c r="E36" i="16"/>
  <c r="E269" i="16" s="1"/>
  <c r="D36" i="16"/>
  <c r="D114" i="16" s="1"/>
  <c r="V35" i="16"/>
  <c r="V268" i="16" s="1"/>
  <c r="U35" i="16"/>
  <c r="T35" i="16"/>
  <c r="T191" i="16" s="1"/>
  <c r="S35" i="16"/>
  <c r="R35" i="16"/>
  <c r="Q35" i="16"/>
  <c r="P35" i="16"/>
  <c r="P191" i="16" s="1"/>
  <c r="O35" i="16"/>
  <c r="N35" i="16"/>
  <c r="M35" i="16"/>
  <c r="L35" i="16"/>
  <c r="K35" i="16"/>
  <c r="J35" i="16"/>
  <c r="J268" i="16" s="1"/>
  <c r="I35" i="16"/>
  <c r="H35" i="16"/>
  <c r="G35" i="16"/>
  <c r="G268" i="16" s="1"/>
  <c r="F35" i="16"/>
  <c r="E35" i="16"/>
  <c r="D35" i="16"/>
  <c r="V34" i="16"/>
  <c r="U34" i="16"/>
  <c r="U190" i="16" s="1"/>
  <c r="T34" i="16"/>
  <c r="S34" i="16"/>
  <c r="R34" i="16"/>
  <c r="Q34" i="16"/>
  <c r="P34" i="16"/>
  <c r="O34" i="16"/>
  <c r="O267" i="16" s="1"/>
  <c r="N34" i="16"/>
  <c r="M34" i="16"/>
  <c r="M267" i="16" s="1"/>
  <c r="L34" i="16"/>
  <c r="K34" i="16"/>
  <c r="K267" i="16" s="1"/>
  <c r="J34" i="16"/>
  <c r="J112" i="16" s="1"/>
  <c r="I34" i="16"/>
  <c r="H34" i="16"/>
  <c r="G34" i="16"/>
  <c r="F34" i="16"/>
  <c r="E34" i="16"/>
  <c r="D34" i="16"/>
  <c r="V33" i="16"/>
  <c r="V111" i="16" s="1"/>
  <c r="U33" i="16"/>
  <c r="U266" i="16" s="1"/>
  <c r="T33" i="16"/>
  <c r="S33" i="16"/>
  <c r="S266" i="16" s="1"/>
  <c r="R33" i="16"/>
  <c r="R266" i="16" s="1"/>
  <c r="Q33" i="16"/>
  <c r="P33" i="16"/>
  <c r="P266" i="16" s="1"/>
  <c r="O33" i="16"/>
  <c r="N33" i="16"/>
  <c r="N266" i="16" s="1"/>
  <c r="M33" i="16"/>
  <c r="M266" i="16" s="1"/>
  <c r="L33" i="16"/>
  <c r="K33" i="16"/>
  <c r="J33" i="16"/>
  <c r="J189" i="16" s="1"/>
  <c r="I33" i="16"/>
  <c r="I189" i="16" s="1"/>
  <c r="H33" i="16"/>
  <c r="G33" i="16"/>
  <c r="F33" i="16"/>
  <c r="F189" i="16" s="1"/>
  <c r="E33" i="16"/>
  <c r="E111" i="16" s="1"/>
  <c r="D33" i="16"/>
  <c r="V32" i="16"/>
  <c r="V188" i="16" s="1"/>
  <c r="U32" i="16"/>
  <c r="T32" i="16"/>
  <c r="S32" i="16"/>
  <c r="S265" i="16" s="1"/>
  <c r="R32" i="16"/>
  <c r="Q32" i="16"/>
  <c r="Q265" i="16" s="1"/>
  <c r="P32" i="16"/>
  <c r="P265" i="16" s="1"/>
  <c r="O32" i="16"/>
  <c r="N32" i="16"/>
  <c r="M32" i="16"/>
  <c r="L32" i="16"/>
  <c r="K32" i="16"/>
  <c r="J32" i="16"/>
  <c r="I32" i="16"/>
  <c r="H32" i="16"/>
  <c r="G32" i="16"/>
  <c r="F32" i="16"/>
  <c r="F265" i="16" s="1"/>
  <c r="E32" i="16"/>
  <c r="E265" i="16" s="1"/>
  <c r="D32" i="16"/>
  <c r="V31" i="16"/>
  <c r="V264" i="16" s="1"/>
  <c r="U31" i="16"/>
  <c r="T31" i="16"/>
  <c r="S31" i="16"/>
  <c r="S264" i="16" s="1"/>
  <c r="R31" i="16"/>
  <c r="R264" i="16" s="1"/>
  <c r="Q31" i="16"/>
  <c r="P31" i="16"/>
  <c r="O31" i="16"/>
  <c r="O264" i="16" s="1"/>
  <c r="N31" i="16"/>
  <c r="M31" i="16"/>
  <c r="M264" i="16" s="1"/>
  <c r="L31" i="16"/>
  <c r="K31" i="16"/>
  <c r="J31" i="16"/>
  <c r="I31" i="16"/>
  <c r="H31" i="16"/>
  <c r="G31" i="16"/>
  <c r="F31" i="16"/>
  <c r="F264" i="16" s="1"/>
  <c r="E31" i="16"/>
  <c r="D31" i="16"/>
  <c r="V30" i="16"/>
  <c r="V263" i="16" s="1"/>
  <c r="U30" i="16"/>
  <c r="U263" i="16" s="1"/>
  <c r="T30" i="16"/>
  <c r="S30" i="16"/>
  <c r="R30" i="16"/>
  <c r="R186" i="16" s="1"/>
  <c r="Q30" i="16"/>
  <c r="P30" i="16"/>
  <c r="P263" i="16" s="1"/>
  <c r="O30" i="16"/>
  <c r="N30" i="16"/>
  <c r="M30" i="16"/>
  <c r="M186" i="16" s="1"/>
  <c r="L30" i="16"/>
  <c r="L186" i="16" s="1"/>
  <c r="K30" i="16"/>
  <c r="J30" i="16"/>
  <c r="I30" i="16"/>
  <c r="I263" i="16" s="1"/>
  <c r="H30" i="16"/>
  <c r="G30" i="16"/>
  <c r="F30" i="16"/>
  <c r="F186" i="16" s="1"/>
  <c r="E30" i="16"/>
  <c r="D30" i="16"/>
  <c r="V29" i="16"/>
  <c r="U29" i="16"/>
  <c r="U185" i="16" s="1"/>
  <c r="T29" i="16"/>
  <c r="S29" i="16"/>
  <c r="R29" i="16"/>
  <c r="R185" i="16" s="1"/>
  <c r="Q29" i="16"/>
  <c r="P29" i="16"/>
  <c r="O29" i="16"/>
  <c r="O262" i="16" s="1"/>
  <c r="N29" i="16"/>
  <c r="M29" i="16"/>
  <c r="L29" i="16"/>
  <c r="L262" i="16" s="1"/>
  <c r="K29" i="16"/>
  <c r="J29" i="16"/>
  <c r="J262" i="16" s="1"/>
  <c r="I29" i="16"/>
  <c r="I185" i="16" s="1"/>
  <c r="H29" i="16"/>
  <c r="H262" i="16" s="1"/>
  <c r="G29" i="16"/>
  <c r="F29" i="16"/>
  <c r="F185" i="16" s="1"/>
  <c r="E29" i="16"/>
  <c r="D29" i="16"/>
  <c r="V28" i="16"/>
  <c r="U28" i="16"/>
  <c r="U184" i="16" s="1"/>
  <c r="T28" i="16"/>
  <c r="S28" i="16"/>
  <c r="R28" i="16"/>
  <c r="R261" i="16" s="1"/>
  <c r="Q28" i="16"/>
  <c r="P28" i="16"/>
  <c r="O28" i="16"/>
  <c r="O261" i="16" s="1"/>
  <c r="N28" i="16"/>
  <c r="M28" i="16"/>
  <c r="L28" i="16"/>
  <c r="L261" i="16" s="1"/>
  <c r="K28" i="16"/>
  <c r="J28" i="16"/>
  <c r="I28" i="16"/>
  <c r="H28" i="16"/>
  <c r="G28" i="16"/>
  <c r="G184" i="16" s="1"/>
  <c r="F28" i="16"/>
  <c r="E28" i="16"/>
  <c r="D28" i="16"/>
  <c r="V27" i="16"/>
  <c r="U27" i="16"/>
  <c r="T27" i="16"/>
  <c r="T260" i="16" s="1"/>
  <c r="S27" i="16"/>
  <c r="R27" i="16"/>
  <c r="R260" i="16" s="1"/>
  <c r="Q27" i="16"/>
  <c r="P27" i="16"/>
  <c r="O27" i="16"/>
  <c r="O105" i="16" s="1"/>
  <c r="N27" i="16"/>
  <c r="M27" i="16"/>
  <c r="L27" i="16"/>
  <c r="K27" i="16"/>
  <c r="K260" i="16" s="1"/>
  <c r="J27" i="16"/>
  <c r="I27" i="16"/>
  <c r="H27" i="16"/>
  <c r="H105" i="16" s="1"/>
  <c r="G27" i="16"/>
  <c r="G260" i="16" s="1"/>
  <c r="F27" i="16"/>
  <c r="E27" i="16"/>
  <c r="D27" i="16"/>
  <c r="D260" i="16" s="1"/>
  <c r="V26" i="16"/>
  <c r="U26" i="16"/>
  <c r="U259" i="16" s="1"/>
  <c r="T26" i="16"/>
  <c r="S26" i="16"/>
  <c r="S259" i="16" s="1"/>
  <c r="R26" i="16"/>
  <c r="R259" i="16" s="1"/>
  <c r="Q26" i="16"/>
  <c r="P26" i="16"/>
  <c r="O26" i="16"/>
  <c r="O182" i="16" s="1"/>
  <c r="N26" i="16"/>
  <c r="N182" i="16" s="1"/>
  <c r="M26" i="16"/>
  <c r="M182" i="16" s="1"/>
  <c r="L26" i="16"/>
  <c r="K26" i="16"/>
  <c r="J26" i="16"/>
  <c r="J259" i="16" s="1"/>
  <c r="I26" i="16"/>
  <c r="H26" i="16"/>
  <c r="H182" i="16" s="1"/>
  <c r="G26" i="16"/>
  <c r="F26" i="16"/>
  <c r="E26" i="16"/>
  <c r="E259" i="16" s="1"/>
  <c r="D26" i="16"/>
  <c r="V24" i="16"/>
  <c r="U24" i="16"/>
  <c r="U257" i="16" s="1"/>
  <c r="T24" i="16"/>
  <c r="T180" i="16" s="1"/>
  <c r="S24" i="16"/>
  <c r="R24" i="16"/>
  <c r="R102" i="16" s="1"/>
  <c r="Q24" i="16"/>
  <c r="Q180" i="16" s="1"/>
  <c r="P24" i="16"/>
  <c r="O24" i="16"/>
  <c r="N24" i="16"/>
  <c r="M24" i="16"/>
  <c r="L24" i="16"/>
  <c r="K24" i="16"/>
  <c r="J24" i="16"/>
  <c r="J257" i="16" s="1"/>
  <c r="I24" i="16"/>
  <c r="H24" i="16"/>
  <c r="H257" i="16" s="1"/>
  <c r="G24" i="16"/>
  <c r="F24" i="16"/>
  <c r="E24" i="16"/>
  <c r="E257" i="16" s="1"/>
  <c r="D24" i="16"/>
  <c r="V23" i="16"/>
  <c r="U23" i="16"/>
  <c r="T23" i="16"/>
  <c r="T179" i="16" s="1"/>
  <c r="S23" i="16"/>
  <c r="S179" i="16" s="1"/>
  <c r="R23" i="16"/>
  <c r="Q23" i="16"/>
  <c r="Q179" i="16" s="1"/>
  <c r="P23" i="16"/>
  <c r="P256" i="16" s="1"/>
  <c r="O23" i="16"/>
  <c r="N23" i="16"/>
  <c r="N256" i="16" s="1"/>
  <c r="M23" i="16"/>
  <c r="L23" i="16"/>
  <c r="K23" i="16"/>
  <c r="K256" i="16" s="1"/>
  <c r="J23" i="16"/>
  <c r="I23" i="16"/>
  <c r="H23" i="16"/>
  <c r="H256" i="16" s="1"/>
  <c r="G23" i="16"/>
  <c r="G256" i="16" s="1"/>
  <c r="F23" i="16"/>
  <c r="E23" i="16"/>
  <c r="D23" i="16"/>
  <c r="V22" i="16"/>
  <c r="U22" i="16"/>
  <c r="U255" i="16" s="1"/>
  <c r="T22" i="16"/>
  <c r="T178" i="16" s="1"/>
  <c r="S22" i="16"/>
  <c r="S255" i="16" s="1"/>
  <c r="R22" i="16"/>
  <c r="Q22" i="16"/>
  <c r="Q255" i="16" s="1"/>
  <c r="P22" i="16"/>
  <c r="O22" i="16"/>
  <c r="N22" i="16"/>
  <c r="N255" i="16" s="1"/>
  <c r="M22" i="16"/>
  <c r="L22" i="16"/>
  <c r="K22" i="16"/>
  <c r="K178" i="16" s="1"/>
  <c r="J22" i="16"/>
  <c r="J255" i="16" s="1"/>
  <c r="I22" i="16"/>
  <c r="I255" i="16" s="1"/>
  <c r="H22" i="16"/>
  <c r="H255" i="16" s="1"/>
  <c r="G22" i="16"/>
  <c r="G178" i="16" s="1"/>
  <c r="F22" i="16"/>
  <c r="E22" i="16"/>
  <c r="E255" i="16" s="1"/>
  <c r="D22" i="16"/>
  <c r="V21" i="16"/>
  <c r="U21" i="16"/>
  <c r="T21" i="16"/>
  <c r="T177" i="16" s="1"/>
  <c r="S21" i="16"/>
  <c r="R21" i="16"/>
  <c r="Q21" i="16"/>
  <c r="Q254" i="16" s="1"/>
  <c r="P21" i="16"/>
  <c r="O21" i="16"/>
  <c r="N21" i="16"/>
  <c r="M21" i="16"/>
  <c r="L21" i="16"/>
  <c r="K21" i="16"/>
  <c r="J21" i="16"/>
  <c r="J177" i="16" s="1"/>
  <c r="I21" i="16"/>
  <c r="I177" i="16" s="1"/>
  <c r="H21" i="16"/>
  <c r="G21" i="16"/>
  <c r="F21" i="16"/>
  <c r="E21" i="16"/>
  <c r="E177" i="16" s="1"/>
  <c r="D21" i="16"/>
  <c r="D177" i="16" s="1"/>
  <c r="V20" i="16"/>
  <c r="U20" i="16"/>
  <c r="T20" i="16"/>
  <c r="T253" i="16" s="1"/>
  <c r="S20" i="16"/>
  <c r="R20" i="16"/>
  <c r="Q20" i="16"/>
  <c r="Q253" i="16" s="1"/>
  <c r="P20" i="16"/>
  <c r="P253" i="16" s="1"/>
  <c r="O20" i="16"/>
  <c r="N20" i="16"/>
  <c r="N98" i="16" s="1"/>
  <c r="M20" i="16"/>
  <c r="L20" i="16"/>
  <c r="L176" i="16" s="1"/>
  <c r="K20" i="16"/>
  <c r="J20" i="16"/>
  <c r="J176" i="16" s="1"/>
  <c r="I20" i="16"/>
  <c r="H20" i="16"/>
  <c r="G20" i="16"/>
  <c r="G253" i="16" s="1"/>
  <c r="F20" i="16"/>
  <c r="E20" i="16"/>
  <c r="D20" i="16"/>
  <c r="D253" i="16" s="1"/>
  <c r="V19" i="16"/>
  <c r="U19" i="16"/>
  <c r="T19" i="16"/>
  <c r="T252" i="16" s="1"/>
  <c r="S19" i="16"/>
  <c r="R19" i="16"/>
  <c r="Q19" i="16"/>
  <c r="Q97" i="16" s="1"/>
  <c r="P19" i="16"/>
  <c r="P175" i="16" s="1"/>
  <c r="O19" i="16"/>
  <c r="N19" i="16"/>
  <c r="M19" i="16"/>
  <c r="M175" i="16" s="1"/>
  <c r="L19" i="16"/>
  <c r="K19" i="16"/>
  <c r="J19" i="16"/>
  <c r="I19" i="16"/>
  <c r="H19" i="16"/>
  <c r="G19" i="16"/>
  <c r="G252" i="16" s="1"/>
  <c r="F19" i="16"/>
  <c r="F252" i="16" s="1"/>
  <c r="E19" i="16"/>
  <c r="D19" i="16"/>
  <c r="V18" i="16"/>
  <c r="U18" i="16"/>
  <c r="T18" i="16"/>
  <c r="S18" i="16"/>
  <c r="S174" i="16" s="1"/>
  <c r="R18" i="16"/>
  <c r="R251" i="16" s="1"/>
  <c r="Q18" i="16"/>
  <c r="P18" i="16"/>
  <c r="O18" i="16"/>
  <c r="N18" i="16"/>
  <c r="M18" i="16"/>
  <c r="L18" i="16"/>
  <c r="L251" i="16" s="1"/>
  <c r="K18" i="16"/>
  <c r="J18" i="16"/>
  <c r="J251" i="16" s="1"/>
  <c r="I18" i="16"/>
  <c r="H18" i="16"/>
  <c r="G18" i="16"/>
  <c r="F18" i="16"/>
  <c r="F174" i="16" s="1"/>
  <c r="E18" i="16"/>
  <c r="D18" i="16"/>
  <c r="D96" i="16" s="1"/>
  <c r="V17" i="16"/>
  <c r="V173" i="16" s="1"/>
  <c r="U17" i="16"/>
  <c r="T17" i="16"/>
  <c r="S17" i="16"/>
  <c r="R17" i="16"/>
  <c r="Q17" i="16"/>
  <c r="P17" i="16"/>
  <c r="O17" i="16"/>
  <c r="N17" i="16"/>
  <c r="M17" i="16"/>
  <c r="M250" i="16" s="1"/>
  <c r="L17" i="16"/>
  <c r="K17" i="16"/>
  <c r="J17" i="16"/>
  <c r="J250" i="16" s="1"/>
  <c r="I17" i="16"/>
  <c r="I173" i="16" s="1"/>
  <c r="H17" i="16"/>
  <c r="G17" i="16"/>
  <c r="F17" i="16"/>
  <c r="F173" i="16" s="1"/>
  <c r="E17" i="16"/>
  <c r="E173" i="16" s="1"/>
  <c r="D17" i="16"/>
  <c r="V16" i="16"/>
  <c r="V172" i="16" s="1"/>
  <c r="U16" i="16"/>
  <c r="U249" i="16" s="1"/>
  <c r="T16" i="16"/>
  <c r="S16" i="16"/>
  <c r="S249" i="16" s="1"/>
  <c r="R16" i="16"/>
  <c r="Q16" i="16"/>
  <c r="P16" i="16"/>
  <c r="P249" i="16" s="1"/>
  <c r="O16" i="16"/>
  <c r="N16" i="16"/>
  <c r="M16" i="16"/>
  <c r="M249" i="16" s="1"/>
  <c r="L16" i="16"/>
  <c r="L249" i="16" s="1"/>
  <c r="K16" i="16"/>
  <c r="J16" i="16"/>
  <c r="I16" i="16"/>
  <c r="I172" i="16" s="1"/>
  <c r="H16" i="16"/>
  <c r="H172" i="16" s="1"/>
  <c r="G16" i="16"/>
  <c r="F16" i="16"/>
  <c r="F172" i="16" s="1"/>
  <c r="E16" i="16"/>
  <c r="E249" i="16" s="1"/>
  <c r="D16" i="16"/>
  <c r="V15" i="16"/>
  <c r="V248" i="16" s="1"/>
  <c r="U15" i="16"/>
  <c r="T15" i="16"/>
  <c r="S15" i="16"/>
  <c r="S248" i="16" s="1"/>
  <c r="R15" i="16"/>
  <c r="Q15" i="16"/>
  <c r="P15" i="16"/>
  <c r="O15" i="16"/>
  <c r="O248" i="16" s="1"/>
  <c r="N15" i="16"/>
  <c r="N248" i="16" s="1"/>
  <c r="M15" i="16"/>
  <c r="M93" i="16" s="1"/>
  <c r="L15" i="16"/>
  <c r="L171" i="16" s="1"/>
  <c r="K15" i="16"/>
  <c r="K171" i="16" s="1"/>
  <c r="J15" i="16"/>
  <c r="I15" i="16"/>
  <c r="I171" i="16" s="1"/>
  <c r="H15" i="16"/>
  <c r="G15" i="16"/>
  <c r="F15" i="16"/>
  <c r="E15" i="16"/>
  <c r="D15" i="16"/>
  <c r="V14" i="16"/>
  <c r="V247" i="16" s="1"/>
  <c r="U14" i="16"/>
  <c r="T14" i="16"/>
  <c r="S14" i="16"/>
  <c r="R14" i="16"/>
  <c r="Q14" i="16"/>
  <c r="P14" i="16"/>
  <c r="P170" i="16" s="1"/>
  <c r="O14" i="16"/>
  <c r="O170" i="16" s="1"/>
  <c r="N14" i="16"/>
  <c r="N170" i="16" s="1"/>
  <c r="M14" i="16"/>
  <c r="L14" i="16"/>
  <c r="K14" i="16"/>
  <c r="J14" i="16"/>
  <c r="I14" i="16"/>
  <c r="I247" i="16" s="1"/>
  <c r="H14" i="16"/>
  <c r="G14" i="16"/>
  <c r="F14" i="16"/>
  <c r="F247" i="16" s="1"/>
  <c r="E14" i="16"/>
  <c r="D14" i="16"/>
  <c r="V13" i="16"/>
  <c r="U13" i="16"/>
  <c r="U246" i="16" s="1"/>
  <c r="T13" i="16"/>
  <c r="S13" i="16"/>
  <c r="R13" i="16"/>
  <c r="Q13" i="16"/>
  <c r="P13" i="16"/>
  <c r="O13" i="16"/>
  <c r="N13" i="16"/>
  <c r="M13" i="16"/>
  <c r="L13" i="16"/>
  <c r="K13" i="16"/>
  <c r="J13" i="16"/>
  <c r="I13" i="16"/>
  <c r="H13" i="16"/>
  <c r="H42" i="16" s="1"/>
  <c r="G13" i="16"/>
  <c r="F13" i="16"/>
  <c r="E13" i="16"/>
  <c r="D13" i="16"/>
  <c r="C296" i="15"/>
  <c r="J294" i="15"/>
  <c r="H294" i="15"/>
  <c r="G294" i="15"/>
  <c r="D294" i="15"/>
  <c r="K291" i="15"/>
  <c r="H290" i="15"/>
  <c r="G290" i="15"/>
  <c r="D290" i="15"/>
  <c r="I287" i="15"/>
  <c r="H286" i="15"/>
  <c r="G286" i="15"/>
  <c r="D286" i="15"/>
  <c r="J283" i="15"/>
  <c r="H282" i="15"/>
  <c r="K279" i="15"/>
  <c r="I279" i="15"/>
  <c r="G279" i="15"/>
  <c r="E279" i="15"/>
  <c r="J278" i="15"/>
  <c r="G276" i="15"/>
  <c r="D276" i="15"/>
  <c r="J274" i="15"/>
  <c r="I271" i="15"/>
  <c r="G271" i="15"/>
  <c r="J270" i="15"/>
  <c r="J268" i="15"/>
  <c r="G268" i="15"/>
  <c r="D268" i="15"/>
  <c r="J267" i="15"/>
  <c r="G266" i="15"/>
  <c r="D266" i="15"/>
  <c r="C254" i="15"/>
  <c r="K252" i="15"/>
  <c r="K294" i="15" s="1"/>
  <c r="J252" i="15"/>
  <c r="I252" i="15"/>
  <c r="I294" i="15" s="1"/>
  <c r="H252" i="15"/>
  <c r="G252" i="15"/>
  <c r="F252" i="15"/>
  <c r="F294" i="15" s="1"/>
  <c r="E252" i="15"/>
  <c r="E294" i="15" s="1"/>
  <c r="D252" i="15"/>
  <c r="K251" i="15"/>
  <c r="K293" i="15" s="1"/>
  <c r="J251" i="15"/>
  <c r="I251" i="15"/>
  <c r="H251" i="15"/>
  <c r="G251" i="15"/>
  <c r="F251" i="15"/>
  <c r="F293" i="15" s="1"/>
  <c r="E251" i="15"/>
  <c r="E293" i="15" s="1"/>
  <c r="D251" i="15"/>
  <c r="K250" i="15"/>
  <c r="J250" i="15"/>
  <c r="J292" i="15" s="1"/>
  <c r="I250" i="15"/>
  <c r="I292" i="15" s="1"/>
  <c r="H250" i="15"/>
  <c r="H292" i="15" s="1"/>
  <c r="G250" i="15"/>
  <c r="F250" i="15"/>
  <c r="E250" i="15"/>
  <c r="D250" i="15"/>
  <c r="K249" i="15"/>
  <c r="J249" i="15"/>
  <c r="I249" i="15"/>
  <c r="H249" i="15"/>
  <c r="G249" i="15"/>
  <c r="F249" i="15"/>
  <c r="F291" i="15" s="1"/>
  <c r="E249" i="15"/>
  <c r="D249" i="15"/>
  <c r="K248" i="15"/>
  <c r="K290" i="15" s="1"/>
  <c r="J248" i="15"/>
  <c r="J290" i="15" s="1"/>
  <c r="I248" i="15"/>
  <c r="I290" i="15" s="1"/>
  <c r="H248" i="15"/>
  <c r="G248" i="15"/>
  <c r="F248" i="15"/>
  <c r="F290" i="15" s="1"/>
  <c r="E248" i="15"/>
  <c r="E290" i="15" s="1"/>
  <c r="D248" i="15"/>
  <c r="K247" i="15"/>
  <c r="K289" i="15" s="1"/>
  <c r="J247" i="15"/>
  <c r="I247" i="15"/>
  <c r="H247" i="15"/>
  <c r="G247" i="15"/>
  <c r="F247" i="15"/>
  <c r="F289" i="15" s="1"/>
  <c r="E247" i="15"/>
  <c r="E289" i="15" s="1"/>
  <c r="D247" i="15"/>
  <c r="K246" i="15"/>
  <c r="J246" i="15"/>
  <c r="I246" i="15"/>
  <c r="I288" i="15" s="1"/>
  <c r="H246" i="15"/>
  <c r="G246" i="15"/>
  <c r="F246" i="15"/>
  <c r="E246" i="15"/>
  <c r="D246" i="15"/>
  <c r="K245" i="15"/>
  <c r="K287" i="15" s="1"/>
  <c r="J245" i="15"/>
  <c r="J287" i="15" s="1"/>
  <c r="I245" i="15"/>
  <c r="H245" i="15"/>
  <c r="G245" i="15"/>
  <c r="F245" i="15"/>
  <c r="F287" i="15" s="1"/>
  <c r="E245" i="15"/>
  <c r="D245" i="15"/>
  <c r="K244" i="15"/>
  <c r="K286" i="15" s="1"/>
  <c r="J244" i="15"/>
  <c r="J286" i="15" s="1"/>
  <c r="I244" i="15"/>
  <c r="I286" i="15" s="1"/>
  <c r="H244" i="15"/>
  <c r="G244" i="15"/>
  <c r="F244" i="15"/>
  <c r="F286" i="15" s="1"/>
  <c r="E244" i="15"/>
  <c r="E286" i="15" s="1"/>
  <c r="D244" i="15"/>
  <c r="K243" i="15"/>
  <c r="K285" i="15" s="1"/>
  <c r="J243" i="15"/>
  <c r="J285" i="15" s="1"/>
  <c r="I243" i="15"/>
  <c r="H243" i="15"/>
  <c r="G243" i="15"/>
  <c r="F243" i="15"/>
  <c r="F285" i="15" s="1"/>
  <c r="E243" i="15"/>
  <c r="D243" i="15"/>
  <c r="K242" i="15"/>
  <c r="J242" i="15"/>
  <c r="J284" i="15" s="1"/>
  <c r="I242" i="15"/>
  <c r="I284" i="15" s="1"/>
  <c r="H242" i="15"/>
  <c r="H284" i="15" s="1"/>
  <c r="G242" i="15"/>
  <c r="F242" i="15"/>
  <c r="E242" i="15"/>
  <c r="D242" i="15"/>
  <c r="K241" i="15"/>
  <c r="K283" i="15" s="1"/>
  <c r="J241" i="15"/>
  <c r="I241" i="15"/>
  <c r="H241" i="15"/>
  <c r="G241" i="15"/>
  <c r="F241" i="15"/>
  <c r="F283" i="15" s="1"/>
  <c r="E241" i="15"/>
  <c r="D241" i="15"/>
  <c r="K240" i="15"/>
  <c r="J240" i="15"/>
  <c r="J282" i="15" s="1"/>
  <c r="I240" i="15"/>
  <c r="I282" i="15" s="1"/>
  <c r="H240" i="15"/>
  <c r="G240" i="15"/>
  <c r="F240" i="15"/>
  <c r="E240" i="15"/>
  <c r="D240" i="15"/>
  <c r="K239" i="15"/>
  <c r="K281" i="15" s="1"/>
  <c r="J239" i="15"/>
  <c r="J281" i="15" s="1"/>
  <c r="I239" i="15"/>
  <c r="H239" i="15"/>
  <c r="G239" i="15"/>
  <c r="F239" i="15"/>
  <c r="F281" i="15" s="1"/>
  <c r="E239" i="15"/>
  <c r="D239" i="15"/>
  <c r="K238" i="15"/>
  <c r="J238" i="15"/>
  <c r="J280" i="15" s="1"/>
  <c r="I238" i="15"/>
  <c r="I280" i="15" s="1"/>
  <c r="H238" i="15"/>
  <c r="H280" i="15" s="1"/>
  <c r="G238" i="15"/>
  <c r="F238" i="15"/>
  <c r="E238" i="15"/>
  <c r="D238" i="15"/>
  <c r="K237" i="15"/>
  <c r="J237" i="15"/>
  <c r="J279" i="15" s="1"/>
  <c r="I237" i="15"/>
  <c r="H237" i="15"/>
  <c r="H279" i="15" s="1"/>
  <c r="G237" i="15"/>
  <c r="F237" i="15"/>
  <c r="F279" i="15" s="1"/>
  <c r="E237" i="15"/>
  <c r="D237" i="15"/>
  <c r="D279" i="15" s="1"/>
  <c r="K236" i="15"/>
  <c r="J236" i="15"/>
  <c r="I236" i="15"/>
  <c r="I278" i="15" s="1"/>
  <c r="H236" i="15"/>
  <c r="H278" i="15" s="1"/>
  <c r="G236" i="15"/>
  <c r="F236" i="15"/>
  <c r="E236" i="15"/>
  <c r="D236" i="15"/>
  <c r="K235" i="15"/>
  <c r="K277" i="15" s="1"/>
  <c r="J235" i="15"/>
  <c r="J277" i="15" s="1"/>
  <c r="I235" i="15"/>
  <c r="H235" i="15"/>
  <c r="G235" i="15"/>
  <c r="F235" i="15"/>
  <c r="F277" i="15" s="1"/>
  <c r="E235" i="15"/>
  <c r="E277" i="15" s="1"/>
  <c r="D235" i="15"/>
  <c r="K234" i="15"/>
  <c r="J234" i="15"/>
  <c r="J276" i="15" s="1"/>
  <c r="I234" i="15"/>
  <c r="I276" i="15" s="1"/>
  <c r="H234" i="15"/>
  <c r="H276" i="15" s="1"/>
  <c r="G234" i="15"/>
  <c r="F234" i="15"/>
  <c r="F276" i="15" s="1"/>
  <c r="E234" i="15"/>
  <c r="E276" i="15" s="1"/>
  <c r="D234" i="15"/>
  <c r="K233" i="15"/>
  <c r="K275" i="15" s="1"/>
  <c r="J233" i="15"/>
  <c r="J275" i="15" s="1"/>
  <c r="I233" i="15"/>
  <c r="H233" i="15"/>
  <c r="G233" i="15"/>
  <c r="F233" i="15"/>
  <c r="F275" i="15" s="1"/>
  <c r="E233" i="15"/>
  <c r="D233" i="15"/>
  <c r="K232" i="15"/>
  <c r="J232" i="15"/>
  <c r="I232" i="15"/>
  <c r="I274" i="15" s="1"/>
  <c r="H232" i="15"/>
  <c r="H274" i="15" s="1"/>
  <c r="G232" i="15"/>
  <c r="F232" i="15"/>
  <c r="E232" i="15"/>
  <c r="D232" i="15"/>
  <c r="K231" i="15"/>
  <c r="K273" i="15" s="1"/>
  <c r="J231" i="15"/>
  <c r="J273" i="15" s="1"/>
  <c r="I231" i="15"/>
  <c r="H231" i="15"/>
  <c r="G231" i="15"/>
  <c r="F231" i="15"/>
  <c r="F273" i="15" s="1"/>
  <c r="E231" i="15"/>
  <c r="D231" i="15"/>
  <c r="K230" i="15"/>
  <c r="J230" i="15"/>
  <c r="J272" i="15" s="1"/>
  <c r="I230" i="15"/>
  <c r="I272" i="15" s="1"/>
  <c r="H230" i="15"/>
  <c r="H272" i="15" s="1"/>
  <c r="G230" i="15"/>
  <c r="F230" i="15"/>
  <c r="E230" i="15"/>
  <c r="D230" i="15"/>
  <c r="K229" i="15"/>
  <c r="K271" i="15" s="1"/>
  <c r="J229" i="15"/>
  <c r="J271" i="15" s="1"/>
  <c r="I229" i="15"/>
  <c r="H229" i="15"/>
  <c r="H271" i="15" s="1"/>
  <c r="G229" i="15"/>
  <c r="F229" i="15"/>
  <c r="F271" i="15" s="1"/>
  <c r="E229" i="15"/>
  <c r="E271" i="15" s="1"/>
  <c r="D229" i="15"/>
  <c r="D271" i="15" s="1"/>
  <c r="K228" i="15"/>
  <c r="J228" i="15"/>
  <c r="I228" i="15"/>
  <c r="I270" i="15" s="1"/>
  <c r="H228" i="15"/>
  <c r="G228" i="15"/>
  <c r="F228" i="15"/>
  <c r="E228" i="15"/>
  <c r="D228" i="15"/>
  <c r="K227" i="15"/>
  <c r="K269" i="15" s="1"/>
  <c r="J227" i="15"/>
  <c r="J269" i="15" s="1"/>
  <c r="I227" i="15"/>
  <c r="H227" i="15"/>
  <c r="G227" i="15"/>
  <c r="F227" i="15"/>
  <c r="F269" i="15" s="1"/>
  <c r="E227" i="15"/>
  <c r="E269" i="15" s="1"/>
  <c r="D227" i="15"/>
  <c r="K226" i="15"/>
  <c r="K268" i="15" s="1"/>
  <c r="J226" i="15"/>
  <c r="I226" i="15"/>
  <c r="I268" i="15" s="1"/>
  <c r="H226" i="15"/>
  <c r="H268" i="15" s="1"/>
  <c r="G226" i="15"/>
  <c r="F226" i="15"/>
  <c r="F268" i="15" s="1"/>
  <c r="E226" i="15"/>
  <c r="E268" i="15" s="1"/>
  <c r="D226" i="15"/>
  <c r="K225" i="15"/>
  <c r="K267" i="15" s="1"/>
  <c r="J225" i="15"/>
  <c r="I225" i="15"/>
  <c r="H225" i="15"/>
  <c r="G225" i="15"/>
  <c r="F225" i="15"/>
  <c r="F267" i="15" s="1"/>
  <c r="E225" i="15"/>
  <c r="D225" i="15"/>
  <c r="K224" i="15"/>
  <c r="K266" i="15" s="1"/>
  <c r="J224" i="15"/>
  <c r="J266" i="15" s="1"/>
  <c r="I224" i="15"/>
  <c r="I266" i="15" s="1"/>
  <c r="H224" i="15"/>
  <c r="H266" i="15" s="1"/>
  <c r="G224" i="15"/>
  <c r="F224" i="15"/>
  <c r="F266" i="15" s="1"/>
  <c r="E224" i="15"/>
  <c r="E266" i="15" s="1"/>
  <c r="D224" i="15"/>
  <c r="K223" i="15"/>
  <c r="K265" i="15" s="1"/>
  <c r="J223" i="15"/>
  <c r="J265" i="15" s="1"/>
  <c r="I223" i="15"/>
  <c r="H223" i="15"/>
  <c r="G223" i="15"/>
  <c r="F223" i="15"/>
  <c r="F265" i="15" s="1"/>
  <c r="E223" i="15"/>
  <c r="E253" i="15" s="1"/>
  <c r="D223" i="15"/>
  <c r="K222" i="15"/>
  <c r="J222" i="15"/>
  <c r="J253" i="15" s="1"/>
  <c r="I222" i="15"/>
  <c r="H222" i="15"/>
  <c r="H253" i="15" s="1"/>
  <c r="G222" i="15"/>
  <c r="G253" i="15" s="1"/>
  <c r="F222" i="15"/>
  <c r="E222" i="15"/>
  <c r="D222" i="15"/>
  <c r="C213" i="15"/>
  <c r="K211" i="15"/>
  <c r="I211" i="15"/>
  <c r="D211" i="15"/>
  <c r="K210" i="15"/>
  <c r="J209" i="15"/>
  <c r="K207" i="15"/>
  <c r="J207" i="15"/>
  <c r="I207" i="15"/>
  <c r="F206" i="15"/>
  <c r="D206" i="15"/>
  <c r="K204" i="15"/>
  <c r="K203" i="15"/>
  <c r="J203" i="15"/>
  <c r="I203" i="15"/>
  <c r="D203" i="15"/>
  <c r="F202" i="15"/>
  <c r="E202" i="15"/>
  <c r="D202" i="15"/>
  <c r="H201" i="15"/>
  <c r="J199" i="15"/>
  <c r="K198" i="15"/>
  <c r="H196" i="15"/>
  <c r="F196" i="15"/>
  <c r="E196" i="15"/>
  <c r="K194" i="15"/>
  <c r="E194" i="15"/>
  <c r="D194" i="15"/>
  <c r="D193" i="15"/>
  <c r="K192" i="15"/>
  <c r="G192" i="15"/>
  <c r="F192" i="15"/>
  <c r="J191" i="15"/>
  <c r="F190" i="15"/>
  <c r="D190" i="15"/>
  <c r="H188" i="15"/>
  <c r="D188" i="15"/>
  <c r="J187" i="15"/>
  <c r="K186" i="15"/>
  <c r="K185" i="15"/>
  <c r="I185" i="15"/>
  <c r="G184" i="15"/>
  <c r="F184" i="15"/>
  <c r="K183" i="15"/>
  <c r="I183" i="15"/>
  <c r="D183" i="15"/>
  <c r="K182" i="15"/>
  <c r="D182" i="15"/>
  <c r="J181" i="15"/>
  <c r="C171" i="15"/>
  <c r="J170" i="15"/>
  <c r="K169" i="15"/>
  <c r="J169" i="15"/>
  <c r="J211" i="15" s="1"/>
  <c r="I169" i="15"/>
  <c r="H169" i="15"/>
  <c r="H211" i="15" s="1"/>
  <c r="G169" i="15"/>
  <c r="G211" i="15" s="1"/>
  <c r="F169" i="15"/>
  <c r="F211" i="15" s="1"/>
  <c r="E169" i="15"/>
  <c r="E211" i="15" s="1"/>
  <c r="D169" i="15"/>
  <c r="K168" i="15"/>
  <c r="J168" i="15"/>
  <c r="I168" i="15"/>
  <c r="I210" i="15" s="1"/>
  <c r="H168" i="15"/>
  <c r="G168" i="15"/>
  <c r="F168" i="15"/>
  <c r="F210" i="15" s="1"/>
  <c r="E168" i="15"/>
  <c r="D168" i="15"/>
  <c r="K167" i="15"/>
  <c r="J167" i="15"/>
  <c r="I167" i="15"/>
  <c r="H167" i="15"/>
  <c r="H209" i="15" s="1"/>
  <c r="G167" i="15"/>
  <c r="F167" i="15"/>
  <c r="F209" i="15" s="1"/>
  <c r="E167" i="15"/>
  <c r="D167" i="15"/>
  <c r="K166" i="15"/>
  <c r="K208" i="15" s="1"/>
  <c r="J166" i="15"/>
  <c r="J208" i="15" s="1"/>
  <c r="I166" i="15"/>
  <c r="I208" i="15" s="1"/>
  <c r="H166" i="15"/>
  <c r="G166" i="15"/>
  <c r="F166" i="15"/>
  <c r="F208" i="15" s="1"/>
  <c r="E166" i="15"/>
  <c r="E208" i="15" s="1"/>
  <c r="D166" i="15"/>
  <c r="D208" i="15" s="1"/>
  <c r="K165" i="15"/>
  <c r="J165" i="15"/>
  <c r="I165" i="15"/>
  <c r="H165" i="15"/>
  <c r="H207" i="15" s="1"/>
  <c r="G165" i="15"/>
  <c r="G207" i="15" s="1"/>
  <c r="F165" i="15"/>
  <c r="F207" i="15" s="1"/>
  <c r="E165" i="15"/>
  <c r="E207" i="15" s="1"/>
  <c r="D165" i="15"/>
  <c r="D207" i="15" s="1"/>
  <c r="K164" i="15"/>
  <c r="K206" i="15" s="1"/>
  <c r="J164" i="15"/>
  <c r="I164" i="15"/>
  <c r="I206" i="15" s="1"/>
  <c r="H164" i="15"/>
  <c r="G164" i="15"/>
  <c r="F164" i="15"/>
  <c r="E164" i="15"/>
  <c r="D164" i="15"/>
  <c r="K163" i="15"/>
  <c r="J163" i="15"/>
  <c r="J205" i="15" s="1"/>
  <c r="I163" i="15"/>
  <c r="H163" i="15"/>
  <c r="H205" i="15" s="1"/>
  <c r="G163" i="15"/>
  <c r="F163" i="15"/>
  <c r="F205" i="15" s="1"/>
  <c r="E163" i="15"/>
  <c r="D163" i="15"/>
  <c r="K162" i="15"/>
  <c r="J162" i="15"/>
  <c r="I162" i="15"/>
  <c r="I204" i="15" s="1"/>
  <c r="H162" i="15"/>
  <c r="G162" i="15"/>
  <c r="G204" i="15" s="1"/>
  <c r="F162" i="15"/>
  <c r="F204" i="15" s="1"/>
  <c r="E162" i="15"/>
  <c r="E204" i="15" s="1"/>
  <c r="D162" i="15"/>
  <c r="K161" i="15"/>
  <c r="J161" i="15"/>
  <c r="I161" i="15"/>
  <c r="H161" i="15"/>
  <c r="H203" i="15" s="1"/>
  <c r="G161" i="15"/>
  <c r="G203" i="15" s="1"/>
  <c r="F161" i="15"/>
  <c r="F203" i="15" s="1"/>
  <c r="E161" i="15"/>
  <c r="E203" i="15" s="1"/>
  <c r="D161" i="15"/>
  <c r="K160" i="15"/>
  <c r="K202" i="15" s="1"/>
  <c r="J160" i="15"/>
  <c r="I160" i="15"/>
  <c r="I202" i="15" s="1"/>
  <c r="H160" i="15"/>
  <c r="G160" i="15"/>
  <c r="G202" i="15" s="1"/>
  <c r="F160" i="15"/>
  <c r="E160" i="15"/>
  <c r="D160" i="15"/>
  <c r="K159" i="15"/>
  <c r="J159" i="15"/>
  <c r="J201" i="15" s="1"/>
  <c r="I159" i="15"/>
  <c r="H159" i="15"/>
  <c r="G159" i="15"/>
  <c r="F159" i="15"/>
  <c r="F201" i="15" s="1"/>
  <c r="E159" i="15"/>
  <c r="D159" i="15"/>
  <c r="K158" i="15"/>
  <c r="K200" i="15" s="1"/>
  <c r="J158" i="15"/>
  <c r="I158" i="15"/>
  <c r="I200" i="15" s="1"/>
  <c r="H158" i="15"/>
  <c r="G158" i="15"/>
  <c r="G200" i="15" s="1"/>
  <c r="F158" i="15"/>
  <c r="F200" i="15" s="1"/>
  <c r="E158" i="15"/>
  <c r="E200" i="15" s="1"/>
  <c r="D158" i="15"/>
  <c r="K157" i="15"/>
  <c r="J157" i="15"/>
  <c r="I157" i="15"/>
  <c r="H157" i="15"/>
  <c r="H199" i="15" s="1"/>
  <c r="G157" i="15"/>
  <c r="F157" i="15"/>
  <c r="F199" i="15" s="1"/>
  <c r="E157" i="15"/>
  <c r="D157" i="15"/>
  <c r="K156" i="15"/>
  <c r="J156" i="15"/>
  <c r="I156" i="15"/>
  <c r="I198" i="15" s="1"/>
  <c r="H156" i="15"/>
  <c r="G156" i="15"/>
  <c r="G198" i="15" s="1"/>
  <c r="F156" i="15"/>
  <c r="F198" i="15" s="1"/>
  <c r="E156" i="15"/>
  <c r="E198" i="15" s="1"/>
  <c r="D156" i="15"/>
  <c r="D198" i="15" s="1"/>
  <c r="K155" i="15"/>
  <c r="J155" i="15"/>
  <c r="J197" i="15" s="1"/>
  <c r="I155" i="15"/>
  <c r="H155" i="15"/>
  <c r="H197" i="15" s="1"/>
  <c r="G155" i="15"/>
  <c r="F155" i="15"/>
  <c r="F197" i="15" s="1"/>
  <c r="E155" i="15"/>
  <c r="D155" i="15"/>
  <c r="D197" i="15" s="1"/>
  <c r="K154" i="15"/>
  <c r="K196" i="15" s="1"/>
  <c r="J154" i="15"/>
  <c r="J196" i="15" s="1"/>
  <c r="I154" i="15"/>
  <c r="I196" i="15" s="1"/>
  <c r="H154" i="15"/>
  <c r="G154" i="15"/>
  <c r="G196" i="15" s="1"/>
  <c r="F154" i="15"/>
  <c r="E154" i="15"/>
  <c r="D154" i="15"/>
  <c r="D196" i="15" s="1"/>
  <c r="K153" i="15"/>
  <c r="J153" i="15"/>
  <c r="J195" i="15" s="1"/>
  <c r="I153" i="15"/>
  <c r="H153" i="15"/>
  <c r="H195" i="15" s="1"/>
  <c r="G153" i="15"/>
  <c r="F153" i="15"/>
  <c r="F195" i="15" s="1"/>
  <c r="E153" i="15"/>
  <c r="D153" i="15"/>
  <c r="K152" i="15"/>
  <c r="J152" i="15"/>
  <c r="I152" i="15"/>
  <c r="I194" i="15" s="1"/>
  <c r="H152" i="15"/>
  <c r="G152" i="15"/>
  <c r="G194" i="15" s="1"/>
  <c r="F152" i="15"/>
  <c r="F194" i="15" s="1"/>
  <c r="E152" i="15"/>
  <c r="D152" i="15"/>
  <c r="K151" i="15"/>
  <c r="J151" i="15"/>
  <c r="J193" i="15" s="1"/>
  <c r="I151" i="15"/>
  <c r="H151" i="15"/>
  <c r="H193" i="15" s="1"/>
  <c r="G151" i="15"/>
  <c r="G193" i="15" s="1"/>
  <c r="F151" i="15"/>
  <c r="F193" i="15" s="1"/>
  <c r="E151" i="15"/>
  <c r="E193" i="15" s="1"/>
  <c r="D151" i="15"/>
  <c r="K150" i="15"/>
  <c r="J150" i="15"/>
  <c r="I150" i="15"/>
  <c r="I192" i="15" s="1"/>
  <c r="H150" i="15"/>
  <c r="G150" i="15"/>
  <c r="F150" i="15"/>
  <c r="E150" i="15"/>
  <c r="E192" i="15" s="1"/>
  <c r="D150" i="15"/>
  <c r="D192" i="15" s="1"/>
  <c r="K149" i="15"/>
  <c r="J149" i="15"/>
  <c r="I149" i="15"/>
  <c r="H149" i="15"/>
  <c r="H191" i="15" s="1"/>
  <c r="G149" i="15"/>
  <c r="F149" i="15"/>
  <c r="F191" i="15" s="1"/>
  <c r="E149" i="15"/>
  <c r="D149" i="15"/>
  <c r="K148" i="15"/>
  <c r="K190" i="15" s="1"/>
  <c r="J148" i="15"/>
  <c r="I148" i="15"/>
  <c r="I190" i="15" s="1"/>
  <c r="H148" i="15"/>
  <c r="G148" i="15"/>
  <c r="G190" i="15" s="1"/>
  <c r="F148" i="15"/>
  <c r="E148" i="15"/>
  <c r="D148" i="15"/>
  <c r="K147" i="15"/>
  <c r="J147" i="15"/>
  <c r="J189" i="15" s="1"/>
  <c r="I147" i="15"/>
  <c r="H147" i="15"/>
  <c r="H189" i="15" s="1"/>
  <c r="G147" i="15"/>
  <c r="F147" i="15"/>
  <c r="F189" i="15" s="1"/>
  <c r="E147" i="15"/>
  <c r="D147" i="15"/>
  <c r="K146" i="15"/>
  <c r="K188" i="15" s="1"/>
  <c r="J146" i="15"/>
  <c r="J188" i="15" s="1"/>
  <c r="I146" i="15"/>
  <c r="I188" i="15" s="1"/>
  <c r="H146" i="15"/>
  <c r="G146" i="15"/>
  <c r="G188" i="15" s="1"/>
  <c r="F146" i="15"/>
  <c r="F188" i="15" s="1"/>
  <c r="E146" i="15"/>
  <c r="E188" i="15" s="1"/>
  <c r="D146" i="15"/>
  <c r="K145" i="15"/>
  <c r="J145" i="15"/>
  <c r="I145" i="15"/>
  <c r="H145" i="15"/>
  <c r="H187" i="15" s="1"/>
  <c r="G145" i="15"/>
  <c r="F145" i="15"/>
  <c r="F187" i="15" s="1"/>
  <c r="E145" i="15"/>
  <c r="D145" i="15"/>
  <c r="K144" i="15"/>
  <c r="J144" i="15"/>
  <c r="I144" i="15"/>
  <c r="I186" i="15" s="1"/>
  <c r="H144" i="15"/>
  <c r="G144" i="15"/>
  <c r="G186" i="15" s="1"/>
  <c r="F144" i="15"/>
  <c r="F186" i="15" s="1"/>
  <c r="E144" i="15"/>
  <c r="E186" i="15" s="1"/>
  <c r="D144" i="15"/>
  <c r="D186" i="15" s="1"/>
  <c r="K143" i="15"/>
  <c r="J143" i="15"/>
  <c r="J185" i="15" s="1"/>
  <c r="I143" i="15"/>
  <c r="H143" i="15"/>
  <c r="H185" i="15" s="1"/>
  <c r="G143" i="15"/>
  <c r="G185" i="15" s="1"/>
  <c r="F143" i="15"/>
  <c r="F185" i="15" s="1"/>
  <c r="E143" i="15"/>
  <c r="E185" i="15" s="1"/>
  <c r="D143" i="15"/>
  <c r="D185" i="15" s="1"/>
  <c r="K142" i="15"/>
  <c r="K184" i="15" s="1"/>
  <c r="J142" i="15"/>
  <c r="I142" i="15"/>
  <c r="I184" i="15" s="1"/>
  <c r="H142" i="15"/>
  <c r="G142" i="15"/>
  <c r="F142" i="15"/>
  <c r="E142" i="15"/>
  <c r="D142" i="15"/>
  <c r="D184" i="15" s="1"/>
  <c r="K141" i="15"/>
  <c r="J141" i="15"/>
  <c r="J183" i="15" s="1"/>
  <c r="I141" i="15"/>
  <c r="H141" i="15"/>
  <c r="H183" i="15" s="1"/>
  <c r="G141" i="15"/>
  <c r="G183" i="15" s="1"/>
  <c r="F141" i="15"/>
  <c r="F183" i="15" s="1"/>
  <c r="E141" i="15"/>
  <c r="E183" i="15" s="1"/>
  <c r="D141" i="15"/>
  <c r="K140" i="15"/>
  <c r="K170" i="15" s="1"/>
  <c r="J140" i="15"/>
  <c r="I140" i="15"/>
  <c r="H140" i="15"/>
  <c r="G140" i="15"/>
  <c r="G182" i="15" s="1"/>
  <c r="F140" i="15"/>
  <c r="F182" i="15" s="1"/>
  <c r="E140" i="15"/>
  <c r="D140" i="15"/>
  <c r="D170" i="15" s="1"/>
  <c r="K139" i="15"/>
  <c r="J139" i="15"/>
  <c r="I139" i="15"/>
  <c r="H139" i="15"/>
  <c r="H170" i="15" s="1"/>
  <c r="G139" i="15"/>
  <c r="F139" i="15"/>
  <c r="E139" i="15"/>
  <c r="E170" i="15" s="1"/>
  <c r="D139" i="15"/>
  <c r="C129" i="15"/>
  <c r="J127" i="15"/>
  <c r="F127" i="15"/>
  <c r="E127" i="15"/>
  <c r="D127" i="15"/>
  <c r="G126" i="15"/>
  <c r="J125" i="15"/>
  <c r="K124" i="15"/>
  <c r="J124" i="15"/>
  <c r="E124" i="15"/>
  <c r="K123" i="15"/>
  <c r="J123" i="15"/>
  <c r="E123" i="15"/>
  <c r="K122" i="15"/>
  <c r="J122" i="15"/>
  <c r="H122" i="15"/>
  <c r="J121" i="15"/>
  <c r="K120" i="15"/>
  <c r="J119" i="15"/>
  <c r="H119" i="15"/>
  <c r="F119" i="15"/>
  <c r="E119" i="15"/>
  <c r="K118" i="15"/>
  <c r="K117" i="15"/>
  <c r="J117" i="15"/>
  <c r="F117" i="15"/>
  <c r="K116" i="15"/>
  <c r="J115" i="15"/>
  <c r="D115" i="15"/>
  <c r="K114" i="15"/>
  <c r="J114" i="15"/>
  <c r="H113" i="15"/>
  <c r="G113" i="15"/>
  <c r="K112" i="15"/>
  <c r="J112" i="15"/>
  <c r="J109" i="15"/>
  <c r="E109" i="15"/>
  <c r="D109" i="15"/>
  <c r="K108" i="15"/>
  <c r="J108" i="15"/>
  <c r="E108" i="15"/>
  <c r="J107" i="15"/>
  <c r="K106" i="15"/>
  <c r="J106" i="15"/>
  <c r="J105" i="15"/>
  <c r="K104" i="15"/>
  <c r="G104" i="15"/>
  <c r="J103" i="15"/>
  <c r="H103" i="15"/>
  <c r="K102" i="15"/>
  <c r="K101" i="15"/>
  <c r="J101" i="15"/>
  <c r="F101" i="15"/>
  <c r="E101" i="15"/>
  <c r="D101" i="15"/>
  <c r="K100" i="15"/>
  <c r="K99" i="15"/>
  <c r="J99" i="15"/>
  <c r="E99" i="15"/>
  <c r="D99" i="15"/>
  <c r="K98" i="15"/>
  <c r="J98" i="15"/>
  <c r="H97" i="15"/>
  <c r="C88" i="15"/>
  <c r="G87" i="15"/>
  <c r="K86" i="15"/>
  <c r="K127" i="15" s="1"/>
  <c r="J86" i="15"/>
  <c r="I86" i="15"/>
  <c r="I127" i="15" s="1"/>
  <c r="H86" i="15"/>
  <c r="H127" i="15" s="1"/>
  <c r="G86" i="15"/>
  <c r="G127" i="15" s="1"/>
  <c r="F86" i="15"/>
  <c r="E86" i="15"/>
  <c r="D86" i="15"/>
  <c r="K85" i="15"/>
  <c r="K126" i="15" s="1"/>
  <c r="J85" i="15"/>
  <c r="J126" i="15" s="1"/>
  <c r="I85" i="15"/>
  <c r="H85" i="15"/>
  <c r="G85" i="15"/>
  <c r="F85" i="15"/>
  <c r="F126" i="15" s="1"/>
  <c r="E85" i="15"/>
  <c r="E126" i="15" s="1"/>
  <c r="D85" i="15"/>
  <c r="K84" i="15"/>
  <c r="K125" i="15" s="1"/>
  <c r="J84" i="15"/>
  <c r="I84" i="15"/>
  <c r="I125" i="15" s="1"/>
  <c r="H84" i="15"/>
  <c r="H125" i="15" s="1"/>
  <c r="G84" i="15"/>
  <c r="F84" i="15"/>
  <c r="F125" i="15" s="1"/>
  <c r="E84" i="15"/>
  <c r="D84" i="15"/>
  <c r="K83" i="15"/>
  <c r="J83" i="15"/>
  <c r="I83" i="15"/>
  <c r="H83" i="15"/>
  <c r="G83" i="15"/>
  <c r="F83" i="15"/>
  <c r="F124" i="15" s="1"/>
  <c r="E83" i="15"/>
  <c r="D83" i="15"/>
  <c r="K82" i="15"/>
  <c r="J82" i="15"/>
  <c r="I82" i="15"/>
  <c r="I123" i="15" s="1"/>
  <c r="H82" i="15"/>
  <c r="H123" i="15" s="1"/>
  <c r="G82" i="15"/>
  <c r="G123" i="15" s="1"/>
  <c r="F82" i="15"/>
  <c r="F123" i="15" s="1"/>
  <c r="E82" i="15"/>
  <c r="D82" i="15"/>
  <c r="D123" i="15" s="1"/>
  <c r="K81" i="15"/>
  <c r="J81" i="15"/>
  <c r="I81" i="15"/>
  <c r="H81" i="15"/>
  <c r="G81" i="15"/>
  <c r="F81" i="15"/>
  <c r="F122" i="15" s="1"/>
  <c r="E81" i="15"/>
  <c r="E122" i="15" s="1"/>
  <c r="D81" i="15"/>
  <c r="K80" i="15"/>
  <c r="J80" i="15"/>
  <c r="I80" i="15"/>
  <c r="I121" i="15" s="1"/>
  <c r="H80" i="15"/>
  <c r="H121" i="15" s="1"/>
  <c r="G80" i="15"/>
  <c r="F80" i="15"/>
  <c r="F121" i="15" s="1"/>
  <c r="E80" i="15"/>
  <c r="D80" i="15"/>
  <c r="D121" i="15" s="1"/>
  <c r="K79" i="15"/>
  <c r="J79" i="15"/>
  <c r="J120" i="15" s="1"/>
  <c r="I79" i="15"/>
  <c r="H79" i="15"/>
  <c r="G79" i="15"/>
  <c r="F79" i="15"/>
  <c r="F120" i="15" s="1"/>
  <c r="E79" i="15"/>
  <c r="E120" i="15" s="1"/>
  <c r="D79" i="15"/>
  <c r="K78" i="15"/>
  <c r="K119" i="15" s="1"/>
  <c r="J78" i="15"/>
  <c r="I78" i="15"/>
  <c r="I119" i="15" s="1"/>
  <c r="H78" i="15"/>
  <c r="G78" i="15"/>
  <c r="G119" i="15" s="1"/>
  <c r="F78" i="15"/>
  <c r="E78" i="15"/>
  <c r="D78" i="15"/>
  <c r="D119" i="15" s="1"/>
  <c r="K77" i="15"/>
  <c r="J77" i="15"/>
  <c r="J118" i="15" s="1"/>
  <c r="I77" i="15"/>
  <c r="H77" i="15"/>
  <c r="G77" i="15"/>
  <c r="F77" i="15"/>
  <c r="F118" i="15" s="1"/>
  <c r="E77" i="15"/>
  <c r="E118" i="15" s="1"/>
  <c r="D77" i="15"/>
  <c r="K76" i="15"/>
  <c r="J76" i="15"/>
  <c r="I76" i="15"/>
  <c r="I117" i="15" s="1"/>
  <c r="H76" i="15"/>
  <c r="H117" i="15" s="1"/>
  <c r="G76" i="15"/>
  <c r="F76" i="15"/>
  <c r="E76" i="15"/>
  <c r="D76" i="15"/>
  <c r="K75" i="15"/>
  <c r="J75" i="15"/>
  <c r="J116" i="15" s="1"/>
  <c r="I75" i="15"/>
  <c r="H75" i="15"/>
  <c r="G75" i="15"/>
  <c r="F75" i="15"/>
  <c r="F116" i="15" s="1"/>
  <c r="E75" i="15"/>
  <c r="E116" i="15" s="1"/>
  <c r="D75" i="15"/>
  <c r="K74" i="15"/>
  <c r="J74" i="15"/>
  <c r="I74" i="15"/>
  <c r="I115" i="15" s="1"/>
  <c r="H74" i="15"/>
  <c r="H115" i="15" s="1"/>
  <c r="G74" i="15"/>
  <c r="F74" i="15"/>
  <c r="F115" i="15" s="1"/>
  <c r="E74" i="15"/>
  <c r="D74" i="15"/>
  <c r="K73" i="15"/>
  <c r="J73" i="15"/>
  <c r="I73" i="15"/>
  <c r="H73" i="15"/>
  <c r="G73" i="15"/>
  <c r="F73" i="15"/>
  <c r="F114" i="15" s="1"/>
  <c r="E73" i="15"/>
  <c r="E114" i="15" s="1"/>
  <c r="D73" i="15"/>
  <c r="K72" i="15"/>
  <c r="K113" i="15" s="1"/>
  <c r="J72" i="15"/>
  <c r="I72" i="15"/>
  <c r="I113" i="15" s="1"/>
  <c r="H72" i="15"/>
  <c r="G72" i="15"/>
  <c r="F72" i="15"/>
  <c r="E72" i="15"/>
  <c r="D72" i="15"/>
  <c r="D113" i="15" s="1"/>
  <c r="K71" i="15"/>
  <c r="J71" i="15"/>
  <c r="I71" i="15"/>
  <c r="I112" i="15" s="1"/>
  <c r="H71" i="15"/>
  <c r="H112" i="15" s="1"/>
  <c r="G71" i="15"/>
  <c r="G112" i="15" s="1"/>
  <c r="F71" i="15"/>
  <c r="F112" i="15" s="1"/>
  <c r="E71" i="15"/>
  <c r="E112" i="15" s="1"/>
  <c r="D71" i="15"/>
  <c r="D112" i="15" s="1"/>
  <c r="K70" i="15"/>
  <c r="K111" i="15" s="1"/>
  <c r="J70" i="15"/>
  <c r="I70" i="15"/>
  <c r="I111" i="15" s="1"/>
  <c r="H70" i="15"/>
  <c r="H111" i="15" s="1"/>
  <c r="G70" i="15"/>
  <c r="F70" i="15"/>
  <c r="E70" i="15"/>
  <c r="D70" i="15"/>
  <c r="K69" i="15"/>
  <c r="K110" i="15" s="1"/>
  <c r="J69" i="15"/>
  <c r="J110" i="15" s="1"/>
  <c r="I69" i="15"/>
  <c r="H69" i="15"/>
  <c r="G69" i="15"/>
  <c r="G110" i="15" s="1"/>
  <c r="F69" i="15"/>
  <c r="F110" i="15" s="1"/>
  <c r="E69" i="15"/>
  <c r="E110" i="15" s="1"/>
  <c r="D69" i="15"/>
  <c r="K68" i="15"/>
  <c r="K109" i="15" s="1"/>
  <c r="J68" i="15"/>
  <c r="I68" i="15"/>
  <c r="I109" i="15" s="1"/>
  <c r="H68" i="15"/>
  <c r="H109" i="15" s="1"/>
  <c r="G68" i="15"/>
  <c r="G109" i="15" s="1"/>
  <c r="F68" i="15"/>
  <c r="F109" i="15" s="1"/>
  <c r="E68" i="15"/>
  <c r="D68" i="15"/>
  <c r="K67" i="15"/>
  <c r="J67" i="15"/>
  <c r="I67" i="15"/>
  <c r="H67" i="15"/>
  <c r="G67" i="15"/>
  <c r="F67" i="15"/>
  <c r="F108" i="15" s="1"/>
  <c r="E67" i="15"/>
  <c r="D67" i="15"/>
  <c r="K66" i="15"/>
  <c r="J66" i="15"/>
  <c r="I66" i="15"/>
  <c r="I107" i="15" s="1"/>
  <c r="H66" i="15"/>
  <c r="H107" i="15" s="1"/>
  <c r="G66" i="15"/>
  <c r="F66" i="15"/>
  <c r="F107" i="15" s="1"/>
  <c r="E66" i="15"/>
  <c r="D66" i="15"/>
  <c r="D107" i="15" s="1"/>
  <c r="K65" i="15"/>
  <c r="J65" i="15"/>
  <c r="I65" i="15"/>
  <c r="H65" i="15"/>
  <c r="H106" i="15" s="1"/>
  <c r="G65" i="15"/>
  <c r="F65" i="15"/>
  <c r="F106" i="15" s="1"/>
  <c r="E65" i="15"/>
  <c r="E106" i="15" s="1"/>
  <c r="D65" i="15"/>
  <c r="K64" i="15"/>
  <c r="J64" i="15"/>
  <c r="I64" i="15"/>
  <c r="I105" i="15" s="1"/>
  <c r="H64" i="15"/>
  <c r="H105" i="15" s="1"/>
  <c r="G64" i="15"/>
  <c r="F64" i="15"/>
  <c r="F105" i="15" s="1"/>
  <c r="E64" i="15"/>
  <c r="D64" i="15"/>
  <c r="D105" i="15" s="1"/>
  <c r="K63" i="15"/>
  <c r="J63" i="15"/>
  <c r="J104" i="15" s="1"/>
  <c r="I63" i="15"/>
  <c r="I104" i="15" s="1"/>
  <c r="H63" i="15"/>
  <c r="H104" i="15" s="1"/>
  <c r="G63" i="15"/>
  <c r="F63" i="15"/>
  <c r="F104" i="15" s="1"/>
  <c r="E63" i="15"/>
  <c r="E104" i="15" s="1"/>
  <c r="D63" i="15"/>
  <c r="D104" i="15" s="1"/>
  <c r="K62" i="15"/>
  <c r="K103" i="15" s="1"/>
  <c r="J62" i="15"/>
  <c r="I62" i="15"/>
  <c r="I103" i="15" s="1"/>
  <c r="H62" i="15"/>
  <c r="G62" i="15"/>
  <c r="F62" i="15"/>
  <c r="E62" i="15"/>
  <c r="D62" i="15"/>
  <c r="D103" i="15" s="1"/>
  <c r="K61" i="15"/>
  <c r="J61" i="15"/>
  <c r="J102" i="15" s="1"/>
  <c r="I61" i="15"/>
  <c r="H61" i="15"/>
  <c r="G61" i="15"/>
  <c r="F61" i="15"/>
  <c r="F102" i="15" s="1"/>
  <c r="E61" i="15"/>
  <c r="E102" i="15" s="1"/>
  <c r="D61" i="15"/>
  <c r="K60" i="15"/>
  <c r="J60" i="15"/>
  <c r="I60" i="15"/>
  <c r="I101" i="15" s="1"/>
  <c r="H60" i="15"/>
  <c r="H101" i="15" s="1"/>
  <c r="G60" i="15"/>
  <c r="G101" i="15" s="1"/>
  <c r="F60" i="15"/>
  <c r="E60" i="15"/>
  <c r="D60" i="15"/>
  <c r="K59" i="15"/>
  <c r="J59" i="15"/>
  <c r="J100" i="15" s="1"/>
  <c r="I59" i="15"/>
  <c r="H59" i="15"/>
  <c r="G59" i="15"/>
  <c r="F59" i="15"/>
  <c r="F100" i="15" s="1"/>
  <c r="E59" i="15"/>
  <c r="E100" i="15" s="1"/>
  <c r="D59" i="15"/>
  <c r="K58" i="15"/>
  <c r="J58" i="15"/>
  <c r="I58" i="15"/>
  <c r="I99" i="15" s="1"/>
  <c r="H58" i="15"/>
  <c r="H99" i="15" s="1"/>
  <c r="G58" i="15"/>
  <c r="G99" i="15" s="1"/>
  <c r="F58" i="15"/>
  <c r="F99" i="15" s="1"/>
  <c r="E58" i="15"/>
  <c r="D58" i="15"/>
  <c r="K57" i="15"/>
  <c r="J57" i="15"/>
  <c r="J87" i="15" s="1"/>
  <c r="J128" i="15" s="1"/>
  <c r="I57" i="15"/>
  <c r="H57" i="15"/>
  <c r="G57" i="15"/>
  <c r="F57" i="15"/>
  <c r="F98" i="15" s="1"/>
  <c r="E57" i="15"/>
  <c r="D57" i="15"/>
  <c r="K56" i="15"/>
  <c r="K87" i="15" s="1"/>
  <c r="J56" i="15"/>
  <c r="I56" i="15"/>
  <c r="H56" i="15"/>
  <c r="H87" i="15" s="1"/>
  <c r="G56" i="15"/>
  <c r="G97" i="15" s="1"/>
  <c r="F56" i="15"/>
  <c r="E56" i="15"/>
  <c r="D56" i="15"/>
  <c r="D87" i="15" s="1"/>
  <c r="C46" i="15"/>
  <c r="I45" i="15"/>
  <c r="G45" i="15"/>
  <c r="G295" i="15" s="1"/>
  <c r="K44" i="15"/>
  <c r="J44" i="15"/>
  <c r="I44" i="15"/>
  <c r="H44" i="15"/>
  <c r="G44" i="15"/>
  <c r="F44" i="15"/>
  <c r="E44" i="15"/>
  <c r="D44" i="15"/>
  <c r="K43" i="15"/>
  <c r="J43" i="15"/>
  <c r="I43" i="15"/>
  <c r="I293" i="15" s="1"/>
  <c r="H43" i="15"/>
  <c r="H293" i="15" s="1"/>
  <c r="G43" i="15"/>
  <c r="G293" i="15" s="1"/>
  <c r="F43" i="15"/>
  <c r="E43" i="15"/>
  <c r="E210" i="15" s="1"/>
  <c r="D43" i="15"/>
  <c r="D210" i="15" s="1"/>
  <c r="K42" i="15"/>
  <c r="J42" i="15"/>
  <c r="I42" i="15"/>
  <c r="H42" i="15"/>
  <c r="G42" i="15"/>
  <c r="F42" i="15"/>
  <c r="E42" i="15"/>
  <c r="E125" i="15" s="1"/>
  <c r="D42" i="15"/>
  <c r="K41" i="15"/>
  <c r="J41" i="15"/>
  <c r="I41" i="15"/>
  <c r="I291" i="15" s="1"/>
  <c r="H41" i="15"/>
  <c r="G41" i="15"/>
  <c r="G291" i="15" s="1"/>
  <c r="F41" i="15"/>
  <c r="E41" i="15"/>
  <c r="E291" i="15" s="1"/>
  <c r="D41" i="15"/>
  <c r="K40" i="15"/>
  <c r="J40" i="15"/>
  <c r="I40" i="15"/>
  <c r="H40" i="15"/>
  <c r="G40" i="15"/>
  <c r="F40" i="15"/>
  <c r="E40" i="15"/>
  <c r="D40" i="15"/>
  <c r="K39" i="15"/>
  <c r="J39" i="15"/>
  <c r="I39" i="15"/>
  <c r="I289" i="15" s="1"/>
  <c r="H39" i="15"/>
  <c r="H289" i="15" s="1"/>
  <c r="G39" i="15"/>
  <c r="G289" i="15" s="1"/>
  <c r="F39" i="15"/>
  <c r="E39" i="15"/>
  <c r="E206" i="15" s="1"/>
  <c r="D39" i="15"/>
  <c r="K38" i="15"/>
  <c r="K205" i="15" s="1"/>
  <c r="J38" i="15"/>
  <c r="I38" i="15"/>
  <c r="I205" i="15" s="1"/>
  <c r="H38" i="15"/>
  <c r="G38" i="15"/>
  <c r="G288" i="15" s="1"/>
  <c r="F38" i="15"/>
  <c r="E38" i="15"/>
  <c r="E121" i="15" s="1"/>
  <c r="D38" i="15"/>
  <c r="K37" i="15"/>
  <c r="J37" i="15"/>
  <c r="I37" i="15"/>
  <c r="H37" i="15"/>
  <c r="G37" i="15"/>
  <c r="G287" i="15" s="1"/>
  <c r="F37" i="15"/>
  <c r="E37" i="15"/>
  <c r="E287" i="15" s="1"/>
  <c r="D37" i="15"/>
  <c r="D204" i="15" s="1"/>
  <c r="K36" i="15"/>
  <c r="J36" i="15"/>
  <c r="I36" i="15"/>
  <c r="H36" i="15"/>
  <c r="G36" i="15"/>
  <c r="F36" i="15"/>
  <c r="E36" i="15"/>
  <c r="D36" i="15"/>
  <c r="K35" i="15"/>
  <c r="J35" i="15"/>
  <c r="I35" i="15"/>
  <c r="I285" i="15" s="1"/>
  <c r="H35" i="15"/>
  <c r="H202" i="15" s="1"/>
  <c r="G35" i="15"/>
  <c r="G285" i="15" s="1"/>
  <c r="F35" i="15"/>
  <c r="E35" i="15"/>
  <c r="D35" i="15"/>
  <c r="K34" i="15"/>
  <c r="K201" i="15" s="1"/>
  <c r="J34" i="15"/>
  <c r="I34" i="15"/>
  <c r="I201" i="15" s="1"/>
  <c r="H34" i="15"/>
  <c r="G34" i="15"/>
  <c r="G284" i="15" s="1"/>
  <c r="F34" i="15"/>
  <c r="E34" i="15"/>
  <c r="E117" i="15" s="1"/>
  <c r="D34" i="15"/>
  <c r="K33" i="15"/>
  <c r="J33" i="15"/>
  <c r="I33" i="15"/>
  <c r="I283" i="15" s="1"/>
  <c r="H33" i="15"/>
  <c r="H200" i="15" s="1"/>
  <c r="G33" i="15"/>
  <c r="G283" i="15" s="1"/>
  <c r="F33" i="15"/>
  <c r="E33" i="15"/>
  <c r="D33" i="15"/>
  <c r="D200" i="15" s="1"/>
  <c r="K32" i="15"/>
  <c r="K115" i="15" s="1"/>
  <c r="J32" i="15"/>
  <c r="I32" i="15"/>
  <c r="I199" i="15" s="1"/>
  <c r="H32" i="15"/>
  <c r="G32" i="15"/>
  <c r="G282" i="15" s="1"/>
  <c r="F32" i="15"/>
  <c r="E32" i="15"/>
  <c r="E115" i="15" s="1"/>
  <c r="D32" i="15"/>
  <c r="D282" i="15" s="1"/>
  <c r="K31" i="15"/>
  <c r="J31" i="15"/>
  <c r="I31" i="15"/>
  <c r="I281" i="15" s="1"/>
  <c r="H31" i="15"/>
  <c r="G31" i="15"/>
  <c r="G281" i="15" s="1"/>
  <c r="F31" i="15"/>
  <c r="E31" i="15"/>
  <c r="D31" i="15"/>
  <c r="K30" i="15"/>
  <c r="K197" i="15" s="1"/>
  <c r="J30" i="15"/>
  <c r="J113" i="15" s="1"/>
  <c r="I30" i="15"/>
  <c r="I197" i="15" s="1"/>
  <c r="H30" i="15"/>
  <c r="G30" i="15"/>
  <c r="G280" i="15" s="1"/>
  <c r="F30" i="15"/>
  <c r="F113" i="15" s="1"/>
  <c r="E30" i="15"/>
  <c r="E113" i="15" s="1"/>
  <c r="D30" i="15"/>
  <c r="D280" i="15" s="1"/>
  <c r="K29" i="15"/>
  <c r="J29" i="15"/>
  <c r="I29" i="15"/>
  <c r="H29" i="15"/>
  <c r="G29" i="15"/>
  <c r="F29" i="15"/>
  <c r="E29" i="15"/>
  <c r="D29" i="15"/>
  <c r="K28" i="15"/>
  <c r="K195" i="15" s="1"/>
  <c r="J28" i="15"/>
  <c r="J111" i="15" s="1"/>
  <c r="I28" i="15"/>
  <c r="I195" i="15" s="1"/>
  <c r="H28" i="15"/>
  <c r="G28" i="15"/>
  <c r="G278" i="15" s="1"/>
  <c r="F28" i="15"/>
  <c r="F111" i="15" s="1"/>
  <c r="E28" i="15"/>
  <c r="E111" i="15" s="1"/>
  <c r="D28" i="15"/>
  <c r="D195" i="15" s="1"/>
  <c r="K27" i="15"/>
  <c r="J27" i="15"/>
  <c r="I27" i="15"/>
  <c r="I277" i="15" s="1"/>
  <c r="H27" i="15"/>
  <c r="H194" i="15" s="1"/>
  <c r="G27" i="15"/>
  <c r="G277" i="15" s="1"/>
  <c r="F27" i="15"/>
  <c r="E27" i="15"/>
  <c r="D27" i="15"/>
  <c r="K26" i="15"/>
  <c r="K193" i="15" s="1"/>
  <c r="J26" i="15"/>
  <c r="I26" i="15"/>
  <c r="I193" i="15" s="1"/>
  <c r="H26" i="15"/>
  <c r="G26" i="15"/>
  <c r="F26" i="15"/>
  <c r="E26" i="15"/>
  <c r="D26" i="15"/>
  <c r="K25" i="15"/>
  <c r="J25" i="15"/>
  <c r="I25" i="15"/>
  <c r="I275" i="15" s="1"/>
  <c r="H25" i="15"/>
  <c r="H192" i="15" s="1"/>
  <c r="G25" i="15"/>
  <c r="G275" i="15" s="1"/>
  <c r="F25" i="15"/>
  <c r="E25" i="15"/>
  <c r="E275" i="15" s="1"/>
  <c r="D25" i="15"/>
  <c r="K24" i="15"/>
  <c r="K107" i="15" s="1"/>
  <c r="J24" i="15"/>
  <c r="I24" i="15"/>
  <c r="I191" i="15" s="1"/>
  <c r="H24" i="15"/>
  <c r="G24" i="15"/>
  <c r="G274" i="15" s="1"/>
  <c r="F24" i="15"/>
  <c r="E24" i="15"/>
  <c r="E107" i="15" s="1"/>
  <c r="D24" i="15"/>
  <c r="K23" i="15"/>
  <c r="J23" i="15"/>
  <c r="I23" i="15"/>
  <c r="I273" i="15" s="1"/>
  <c r="H23" i="15"/>
  <c r="H190" i="15" s="1"/>
  <c r="G23" i="15"/>
  <c r="G273" i="15" s="1"/>
  <c r="F23" i="15"/>
  <c r="E23" i="15"/>
  <c r="E273" i="15" s="1"/>
  <c r="D23" i="15"/>
  <c r="K22" i="15"/>
  <c r="K189" i="15" s="1"/>
  <c r="J22" i="15"/>
  <c r="I22" i="15"/>
  <c r="I189" i="15" s="1"/>
  <c r="H22" i="15"/>
  <c r="G22" i="15"/>
  <c r="G272" i="15" s="1"/>
  <c r="F22" i="15"/>
  <c r="E22" i="15"/>
  <c r="E105" i="15" s="1"/>
  <c r="D22" i="15"/>
  <c r="K21" i="15"/>
  <c r="J21" i="15"/>
  <c r="I21" i="15"/>
  <c r="H21" i="15"/>
  <c r="G21" i="15"/>
  <c r="F21" i="15"/>
  <c r="E21" i="15"/>
  <c r="D21" i="15"/>
  <c r="K20" i="15"/>
  <c r="K187" i="15" s="1"/>
  <c r="J20" i="15"/>
  <c r="I20" i="15"/>
  <c r="I187" i="15" s="1"/>
  <c r="H20" i="15"/>
  <c r="G20" i="15"/>
  <c r="G270" i="15" s="1"/>
  <c r="F20" i="15"/>
  <c r="F103" i="15" s="1"/>
  <c r="E20" i="15"/>
  <c r="E103" i="15" s="1"/>
  <c r="D20" i="15"/>
  <c r="D270" i="15" s="1"/>
  <c r="K19" i="15"/>
  <c r="J19" i="15"/>
  <c r="I19" i="15"/>
  <c r="I269" i="15" s="1"/>
  <c r="H19" i="15"/>
  <c r="H186" i="15" s="1"/>
  <c r="G19" i="15"/>
  <c r="G269" i="15" s="1"/>
  <c r="F19" i="15"/>
  <c r="E19" i="15"/>
  <c r="D19" i="15"/>
  <c r="K18" i="15"/>
  <c r="J18" i="15"/>
  <c r="I18" i="15"/>
  <c r="H18" i="15"/>
  <c r="G18" i="15"/>
  <c r="F18" i="15"/>
  <c r="E18" i="15"/>
  <c r="D18" i="15"/>
  <c r="K17" i="15"/>
  <c r="J17" i="15"/>
  <c r="I17" i="15"/>
  <c r="I267" i="15" s="1"/>
  <c r="H17" i="15"/>
  <c r="G17" i="15"/>
  <c r="G267" i="15" s="1"/>
  <c r="F17" i="15"/>
  <c r="E17" i="15"/>
  <c r="E184" i="15" s="1"/>
  <c r="D17" i="15"/>
  <c r="K16" i="15"/>
  <c r="J16" i="15"/>
  <c r="I16" i="15"/>
  <c r="H16" i="15"/>
  <c r="G16" i="15"/>
  <c r="F16" i="15"/>
  <c r="E16" i="15"/>
  <c r="D16" i="15"/>
  <c r="K15" i="15"/>
  <c r="J15" i="15"/>
  <c r="J45" i="15" s="1"/>
  <c r="I15" i="15"/>
  <c r="H15" i="15"/>
  <c r="G15" i="15"/>
  <c r="G265" i="15" s="1"/>
  <c r="F15" i="15"/>
  <c r="E15" i="15"/>
  <c r="E265" i="15" s="1"/>
  <c r="D15" i="15"/>
  <c r="K14" i="15"/>
  <c r="K45" i="15" s="1"/>
  <c r="J14" i="15"/>
  <c r="J97" i="15" s="1"/>
  <c r="I14" i="15"/>
  <c r="I181" i="15" s="1"/>
  <c r="H14" i="15"/>
  <c r="G14" i="15"/>
  <c r="G264" i="15" s="1"/>
  <c r="F14" i="15"/>
  <c r="E14" i="15"/>
  <c r="D14" i="15"/>
  <c r="R273" i="14"/>
  <c r="Q273" i="14"/>
  <c r="P273" i="14"/>
  <c r="O273" i="14"/>
  <c r="M273" i="14"/>
  <c r="N271" i="14"/>
  <c r="V270" i="14"/>
  <c r="T270" i="14"/>
  <c r="Q270" i="14"/>
  <c r="J270" i="14"/>
  <c r="I270" i="14"/>
  <c r="H270" i="14"/>
  <c r="D270" i="14"/>
  <c r="V266" i="14"/>
  <c r="U266" i="14"/>
  <c r="T266" i="14"/>
  <c r="R266" i="14"/>
  <c r="P266" i="14"/>
  <c r="M266" i="14"/>
  <c r="F266" i="14"/>
  <c r="E266" i="14"/>
  <c r="D266" i="14"/>
  <c r="N265" i="14"/>
  <c r="K265" i="14"/>
  <c r="J265" i="14"/>
  <c r="G265" i="14"/>
  <c r="E265" i="14"/>
  <c r="V263" i="14"/>
  <c r="I262" i="14"/>
  <c r="V260" i="14"/>
  <c r="T260" i="14"/>
  <c r="O260" i="14"/>
  <c r="E258" i="14"/>
  <c r="J255" i="14"/>
  <c r="S252" i="14"/>
  <c r="Q252" i="14"/>
  <c r="M252" i="14"/>
  <c r="D251" i="14"/>
  <c r="V249" i="14"/>
  <c r="U249" i="14"/>
  <c r="S249" i="14"/>
  <c r="Q249" i="14"/>
  <c r="P249" i="14"/>
  <c r="F249" i="14"/>
  <c r="E249" i="14"/>
  <c r="I248" i="14"/>
  <c r="R247" i="14"/>
  <c r="R245" i="14"/>
  <c r="V234" i="14"/>
  <c r="V273" i="14" s="1"/>
  <c r="U234" i="14"/>
  <c r="U273" i="14" s="1"/>
  <c r="T234" i="14"/>
  <c r="T273" i="14" s="1"/>
  <c r="S234" i="14"/>
  <c r="S273" i="14" s="1"/>
  <c r="R234" i="14"/>
  <c r="Q234" i="14"/>
  <c r="P234" i="14"/>
  <c r="O234" i="14"/>
  <c r="N234" i="14"/>
  <c r="N273" i="14" s="1"/>
  <c r="M234" i="14"/>
  <c r="L234" i="14"/>
  <c r="L273" i="14" s="1"/>
  <c r="K234" i="14"/>
  <c r="J234" i="14"/>
  <c r="I234" i="14"/>
  <c r="H234" i="14"/>
  <c r="G234" i="14"/>
  <c r="F234" i="14"/>
  <c r="E234" i="14"/>
  <c r="D234" i="14"/>
  <c r="V233" i="14"/>
  <c r="U233" i="14"/>
  <c r="T233" i="14"/>
  <c r="S233" i="14"/>
  <c r="R233" i="14"/>
  <c r="Q233" i="14"/>
  <c r="Q272" i="14" s="1"/>
  <c r="P233" i="14"/>
  <c r="O233" i="14"/>
  <c r="N233" i="14"/>
  <c r="M233" i="14"/>
  <c r="L233" i="14"/>
  <c r="K233" i="14"/>
  <c r="J233" i="14"/>
  <c r="I233" i="14"/>
  <c r="H233" i="14"/>
  <c r="H272" i="14" s="1"/>
  <c r="G233" i="14"/>
  <c r="F233" i="14"/>
  <c r="E233" i="14"/>
  <c r="D233" i="14"/>
  <c r="V232" i="14"/>
  <c r="U232" i="14"/>
  <c r="T232" i="14"/>
  <c r="T271" i="14" s="1"/>
  <c r="S232" i="14"/>
  <c r="R232" i="14"/>
  <c r="Q232" i="14"/>
  <c r="P232" i="14"/>
  <c r="O232" i="14"/>
  <c r="N232" i="14"/>
  <c r="M232" i="14"/>
  <c r="L232" i="14"/>
  <c r="K232" i="14"/>
  <c r="J232" i="14"/>
  <c r="I232" i="14"/>
  <c r="H232" i="14"/>
  <c r="G232" i="14"/>
  <c r="F232" i="14"/>
  <c r="E232" i="14"/>
  <c r="D232" i="14"/>
  <c r="V231" i="14"/>
  <c r="U231" i="14"/>
  <c r="U270" i="14" s="1"/>
  <c r="T231" i="14"/>
  <c r="S231" i="14"/>
  <c r="S270" i="14" s="1"/>
  <c r="R231" i="14"/>
  <c r="R270" i="14" s="1"/>
  <c r="Q231" i="14"/>
  <c r="P231" i="14"/>
  <c r="P270" i="14" s="1"/>
  <c r="O231" i="14"/>
  <c r="O270" i="14" s="1"/>
  <c r="N231" i="14"/>
  <c r="N270" i="14" s="1"/>
  <c r="M231" i="14"/>
  <c r="M270" i="14" s="1"/>
  <c r="L231" i="14"/>
  <c r="L270" i="14" s="1"/>
  <c r="K231" i="14"/>
  <c r="K270" i="14" s="1"/>
  <c r="J231" i="14"/>
  <c r="I231" i="14"/>
  <c r="H231" i="14"/>
  <c r="G231" i="14"/>
  <c r="G270" i="14" s="1"/>
  <c r="F231" i="14"/>
  <c r="F270" i="14" s="1"/>
  <c r="E231" i="14"/>
  <c r="E270" i="14" s="1"/>
  <c r="D231" i="14"/>
  <c r="V230" i="14"/>
  <c r="U230" i="14"/>
  <c r="T230" i="14"/>
  <c r="S230" i="14"/>
  <c r="R230" i="14"/>
  <c r="Q230" i="14"/>
  <c r="P230" i="14"/>
  <c r="O230" i="14"/>
  <c r="N230" i="14"/>
  <c r="M230" i="14"/>
  <c r="L230" i="14"/>
  <c r="K230" i="14"/>
  <c r="J230" i="14"/>
  <c r="J269" i="14" s="1"/>
  <c r="I230" i="14"/>
  <c r="H230" i="14"/>
  <c r="G230" i="14"/>
  <c r="F230" i="14"/>
  <c r="E230" i="14"/>
  <c r="D230" i="14"/>
  <c r="V229" i="14"/>
  <c r="U229" i="14"/>
  <c r="T229" i="14"/>
  <c r="S229" i="14"/>
  <c r="R229" i="14"/>
  <c r="Q229" i="14"/>
  <c r="P229" i="14"/>
  <c r="O229" i="14"/>
  <c r="N229" i="14"/>
  <c r="M229" i="14"/>
  <c r="L229" i="14"/>
  <c r="K229" i="14"/>
  <c r="K268" i="14" s="1"/>
  <c r="J229" i="14"/>
  <c r="I229" i="14"/>
  <c r="H229" i="14"/>
  <c r="G229" i="14"/>
  <c r="F229" i="14"/>
  <c r="E229" i="14"/>
  <c r="D229" i="14"/>
  <c r="V228" i="14"/>
  <c r="U228" i="14"/>
  <c r="T228" i="14"/>
  <c r="S228" i="14"/>
  <c r="R228" i="14"/>
  <c r="Q228" i="14"/>
  <c r="P228" i="14"/>
  <c r="O228" i="14"/>
  <c r="N228" i="14"/>
  <c r="M228" i="14"/>
  <c r="L228" i="14"/>
  <c r="K228" i="14"/>
  <c r="J228" i="14"/>
  <c r="I228" i="14"/>
  <c r="H228" i="14"/>
  <c r="G228" i="14"/>
  <c r="F228" i="14"/>
  <c r="E228" i="14"/>
  <c r="D228" i="14"/>
  <c r="V227" i="14"/>
  <c r="U227" i="14"/>
  <c r="T227" i="14"/>
  <c r="S227" i="14"/>
  <c r="S266" i="14" s="1"/>
  <c r="R227" i="14"/>
  <c r="Q227" i="14"/>
  <c r="Q266" i="14" s="1"/>
  <c r="P227" i="14"/>
  <c r="O227" i="14"/>
  <c r="O266" i="14" s="1"/>
  <c r="N227" i="14"/>
  <c r="N266" i="14" s="1"/>
  <c r="M227" i="14"/>
  <c r="L227" i="14"/>
  <c r="L266" i="14" s="1"/>
  <c r="K227" i="14"/>
  <c r="K266" i="14" s="1"/>
  <c r="J227" i="14"/>
  <c r="J266" i="14" s="1"/>
  <c r="I227" i="14"/>
  <c r="I266" i="14" s="1"/>
  <c r="H227" i="14"/>
  <c r="H266" i="14" s="1"/>
  <c r="G227" i="14"/>
  <c r="G266" i="14" s="1"/>
  <c r="F227" i="14"/>
  <c r="E227" i="14"/>
  <c r="D227" i="14"/>
  <c r="V226" i="14"/>
  <c r="V265" i="14" s="1"/>
  <c r="U226" i="14"/>
  <c r="T226" i="14"/>
  <c r="S226" i="14"/>
  <c r="R226" i="14"/>
  <c r="Q226" i="14"/>
  <c r="P226" i="14"/>
  <c r="O226" i="14"/>
  <c r="O265" i="14" s="1"/>
  <c r="N226" i="14"/>
  <c r="M226" i="14"/>
  <c r="M265" i="14" s="1"/>
  <c r="L226" i="14"/>
  <c r="L265" i="14" s="1"/>
  <c r="K226" i="14"/>
  <c r="J226" i="14"/>
  <c r="I226" i="14"/>
  <c r="H226" i="14"/>
  <c r="G226" i="14"/>
  <c r="F226" i="14"/>
  <c r="F265" i="14" s="1"/>
  <c r="E226" i="14"/>
  <c r="D226" i="14"/>
  <c r="V225" i="14"/>
  <c r="U225" i="14"/>
  <c r="T225" i="14"/>
  <c r="S225" i="14"/>
  <c r="R225" i="14"/>
  <c r="Q225" i="14"/>
  <c r="P225" i="14"/>
  <c r="O225" i="14"/>
  <c r="N225" i="14"/>
  <c r="M225" i="14"/>
  <c r="L225" i="14"/>
  <c r="K225" i="14"/>
  <c r="J225" i="14"/>
  <c r="I225" i="14"/>
  <c r="H225" i="14"/>
  <c r="G225" i="14"/>
  <c r="F225" i="14"/>
  <c r="E225" i="14"/>
  <c r="D225" i="14"/>
  <c r="V224" i="14"/>
  <c r="U224" i="14"/>
  <c r="T224" i="14"/>
  <c r="S224" i="14"/>
  <c r="R224" i="14"/>
  <c r="Q224" i="14"/>
  <c r="P224" i="14"/>
  <c r="O224" i="14"/>
  <c r="N224" i="14"/>
  <c r="M224" i="14"/>
  <c r="L224" i="14"/>
  <c r="L263" i="14" s="1"/>
  <c r="K224" i="14"/>
  <c r="J224" i="14"/>
  <c r="I224" i="14"/>
  <c r="H224" i="14"/>
  <c r="G224" i="14"/>
  <c r="F224" i="14"/>
  <c r="E224" i="14"/>
  <c r="D224" i="14"/>
  <c r="D263" i="14" s="1"/>
  <c r="V223" i="14"/>
  <c r="U223" i="14"/>
  <c r="T223" i="14"/>
  <c r="S223" i="14"/>
  <c r="R223" i="14"/>
  <c r="Q223" i="14"/>
  <c r="P223" i="14"/>
  <c r="O223" i="14"/>
  <c r="O262" i="14" s="1"/>
  <c r="N223" i="14"/>
  <c r="M223" i="14"/>
  <c r="L223" i="14"/>
  <c r="K223" i="14"/>
  <c r="J223" i="14"/>
  <c r="I223" i="14"/>
  <c r="H223" i="14"/>
  <c r="G223" i="14"/>
  <c r="G262" i="14" s="1"/>
  <c r="F223" i="14"/>
  <c r="E223" i="14"/>
  <c r="D223" i="14"/>
  <c r="V222" i="14"/>
  <c r="U222" i="14"/>
  <c r="T222" i="14"/>
  <c r="S222" i="14"/>
  <c r="R222" i="14"/>
  <c r="Q222" i="14"/>
  <c r="P222" i="14"/>
  <c r="O222" i="14"/>
  <c r="N222" i="14"/>
  <c r="M222" i="14"/>
  <c r="L222" i="14"/>
  <c r="K222" i="14"/>
  <c r="J222" i="14"/>
  <c r="J261" i="14" s="1"/>
  <c r="I222" i="14"/>
  <c r="H222" i="14"/>
  <c r="G222" i="14"/>
  <c r="F222" i="14"/>
  <c r="E222" i="14"/>
  <c r="D222" i="14"/>
  <c r="V221" i="14"/>
  <c r="U221" i="14"/>
  <c r="U260" i="14" s="1"/>
  <c r="T221" i="14"/>
  <c r="S221" i="14"/>
  <c r="S260" i="14" s="1"/>
  <c r="R221" i="14"/>
  <c r="Q221" i="14"/>
  <c r="P221" i="14"/>
  <c r="O221" i="14"/>
  <c r="N221" i="14"/>
  <c r="M221" i="14"/>
  <c r="L221" i="14"/>
  <c r="K221" i="14"/>
  <c r="J221" i="14"/>
  <c r="I221" i="14"/>
  <c r="H221" i="14"/>
  <c r="G221" i="14"/>
  <c r="F221" i="14"/>
  <c r="E221" i="14"/>
  <c r="D221" i="14"/>
  <c r="V220" i="14"/>
  <c r="U220" i="14"/>
  <c r="T220" i="14"/>
  <c r="S220" i="14"/>
  <c r="R220" i="14"/>
  <c r="Q220" i="14"/>
  <c r="P220" i="14"/>
  <c r="O220" i="14"/>
  <c r="N220" i="14"/>
  <c r="M220" i="14"/>
  <c r="L220" i="14"/>
  <c r="K220" i="14"/>
  <c r="J220" i="14"/>
  <c r="I220" i="14"/>
  <c r="H220" i="14"/>
  <c r="H259" i="14" s="1"/>
  <c r="G220" i="14"/>
  <c r="F220" i="14"/>
  <c r="E220" i="14"/>
  <c r="D220" i="14"/>
  <c r="V219" i="14"/>
  <c r="U219" i="14"/>
  <c r="T219" i="14"/>
  <c r="S219" i="14"/>
  <c r="R219" i="14"/>
  <c r="R258" i="14" s="1"/>
  <c r="Q219" i="14"/>
  <c r="P219" i="14"/>
  <c r="O219" i="14"/>
  <c r="N219" i="14"/>
  <c r="M219" i="14"/>
  <c r="L219" i="14"/>
  <c r="K219" i="14"/>
  <c r="K258" i="14" s="1"/>
  <c r="J219" i="14"/>
  <c r="I219" i="14"/>
  <c r="H219" i="14"/>
  <c r="G219" i="14"/>
  <c r="F219" i="14"/>
  <c r="E219" i="14"/>
  <c r="D219" i="14"/>
  <c r="R218" i="14"/>
  <c r="V217" i="14"/>
  <c r="U217" i="14"/>
  <c r="T217" i="14"/>
  <c r="S217" i="14"/>
  <c r="R217" i="14"/>
  <c r="Q217" i="14"/>
  <c r="P217" i="14"/>
  <c r="O217" i="14"/>
  <c r="N217" i="14"/>
  <c r="M217" i="14"/>
  <c r="M256" i="14" s="1"/>
  <c r="L217" i="14"/>
  <c r="K217" i="14"/>
  <c r="J217" i="14"/>
  <c r="I217" i="14"/>
  <c r="H217" i="14"/>
  <c r="H256" i="14" s="1"/>
  <c r="G217" i="14"/>
  <c r="F217" i="14"/>
  <c r="E217" i="14"/>
  <c r="D217" i="14"/>
  <c r="V216" i="14"/>
  <c r="U216" i="14"/>
  <c r="T216" i="14"/>
  <c r="S216" i="14"/>
  <c r="R216" i="14"/>
  <c r="R255" i="14" s="1"/>
  <c r="Q216" i="14"/>
  <c r="P216" i="14"/>
  <c r="P255" i="14" s="1"/>
  <c r="O216" i="14"/>
  <c r="N216" i="14"/>
  <c r="M216" i="14"/>
  <c r="L216" i="14"/>
  <c r="K216" i="14"/>
  <c r="K255" i="14" s="1"/>
  <c r="J216" i="14"/>
  <c r="I216" i="14"/>
  <c r="H216" i="14"/>
  <c r="G216" i="14"/>
  <c r="F216" i="14"/>
  <c r="E216" i="14"/>
  <c r="D216" i="14"/>
  <c r="V215" i="14"/>
  <c r="U215" i="14"/>
  <c r="U254" i="14" s="1"/>
  <c r="T215" i="14"/>
  <c r="S215" i="14"/>
  <c r="S254" i="14" s="1"/>
  <c r="R215" i="14"/>
  <c r="Q215" i="14"/>
  <c r="P215" i="14"/>
  <c r="O215" i="14"/>
  <c r="N215" i="14"/>
  <c r="N254" i="14" s="1"/>
  <c r="M215" i="14"/>
  <c r="L215" i="14"/>
  <c r="K215" i="14"/>
  <c r="J215" i="14"/>
  <c r="I215" i="14"/>
  <c r="H215" i="14"/>
  <c r="G215" i="14"/>
  <c r="F215" i="14"/>
  <c r="E215" i="14"/>
  <c r="D215" i="14"/>
  <c r="V214" i="14"/>
  <c r="V253" i="14" s="1"/>
  <c r="U214" i="14"/>
  <c r="T214" i="14"/>
  <c r="S214" i="14"/>
  <c r="R214" i="14"/>
  <c r="Q214" i="14"/>
  <c r="Q253" i="14" s="1"/>
  <c r="P214" i="14"/>
  <c r="O214" i="14"/>
  <c r="N214" i="14"/>
  <c r="M214" i="14"/>
  <c r="L214" i="14"/>
  <c r="K214" i="14"/>
  <c r="J214" i="14"/>
  <c r="I214" i="14"/>
  <c r="H214" i="14"/>
  <c r="H253" i="14" s="1"/>
  <c r="G214" i="14"/>
  <c r="F214" i="14"/>
  <c r="F253" i="14" s="1"/>
  <c r="E214" i="14"/>
  <c r="D214" i="14"/>
  <c r="V213" i="14"/>
  <c r="V252" i="14" s="1"/>
  <c r="U213" i="14"/>
  <c r="U252" i="14" s="1"/>
  <c r="T213" i="14"/>
  <c r="T252" i="14" s="1"/>
  <c r="S213" i="14"/>
  <c r="R213" i="14"/>
  <c r="R252" i="14" s="1"/>
  <c r="Q213" i="14"/>
  <c r="P213" i="14"/>
  <c r="P252" i="14" s="1"/>
  <c r="O213" i="14"/>
  <c r="N213" i="14"/>
  <c r="M213" i="14"/>
  <c r="L213" i="14"/>
  <c r="K213" i="14"/>
  <c r="K252" i="14" s="1"/>
  <c r="J213" i="14"/>
  <c r="I213" i="14"/>
  <c r="I252" i="14" s="1"/>
  <c r="H213" i="14"/>
  <c r="G213" i="14"/>
  <c r="F213" i="14"/>
  <c r="E213" i="14"/>
  <c r="D213" i="14"/>
  <c r="D252" i="14" s="1"/>
  <c r="V212" i="14"/>
  <c r="U212" i="14"/>
  <c r="T212" i="14"/>
  <c r="T251" i="14" s="1"/>
  <c r="S212" i="14"/>
  <c r="R212" i="14"/>
  <c r="Q212" i="14"/>
  <c r="P212" i="14"/>
  <c r="O212" i="14"/>
  <c r="N212" i="14"/>
  <c r="N251" i="14" s="1"/>
  <c r="M212" i="14"/>
  <c r="L212" i="14"/>
  <c r="L251" i="14" s="1"/>
  <c r="K212" i="14"/>
  <c r="J212" i="14"/>
  <c r="I212" i="14"/>
  <c r="H212" i="14"/>
  <c r="G212" i="14"/>
  <c r="G251" i="14" s="1"/>
  <c r="F212" i="14"/>
  <c r="E212" i="14"/>
  <c r="D212" i="14"/>
  <c r="V211" i="14"/>
  <c r="U211" i="14"/>
  <c r="T211" i="14"/>
  <c r="S211" i="14"/>
  <c r="R211" i="14"/>
  <c r="Q211" i="14"/>
  <c r="Q250" i="14" s="1"/>
  <c r="P211" i="14"/>
  <c r="O211" i="14"/>
  <c r="O250" i="14" s="1"/>
  <c r="N211" i="14"/>
  <c r="M211" i="14"/>
  <c r="L211" i="14"/>
  <c r="K211" i="14"/>
  <c r="J211" i="14"/>
  <c r="J250" i="14" s="1"/>
  <c r="I211" i="14"/>
  <c r="H211" i="14"/>
  <c r="G211" i="14"/>
  <c r="F211" i="14"/>
  <c r="E211" i="14"/>
  <c r="D211" i="14"/>
  <c r="V210" i="14"/>
  <c r="U210" i="14"/>
  <c r="T210" i="14"/>
  <c r="T249" i="14" s="1"/>
  <c r="S210" i="14"/>
  <c r="R210" i="14"/>
  <c r="R249" i="14" s="1"/>
  <c r="Q210" i="14"/>
  <c r="P210" i="14"/>
  <c r="O210" i="14"/>
  <c r="O249" i="14" s="1"/>
  <c r="N210" i="14"/>
  <c r="N249" i="14" s="1"/>
  <c r="M210" i="14"/>
  <c r="M249" i="14" s="1"/>
  <c r="L210" i="14"/>
  <c r="L249" i="14" s="1"/>
  <c r="K210" i="14"/>
  <c r="K249" i="14" s="1"/>
  <c r="J210" i="14"/>
  <c r="J249" i="14" s="1"/>
  <c r="I210" i="14"/>
  <c r="I249" i="14" s="1"/>
  <c r="H210" i="14"/>
  <c r="H249" i="14" s="1"/>
  <c r="G210" i="14"/>
  <c r="G249" i="14" s="1"/>
  <c r="F210" i="14"/>
  <c r="E210" i="14"/>
  <c r="D210" i="14"/>
  <c r="D249" i="14" s="1"/>
  <c r="V209" i="14"/>
  <c r="U209" i="14"/>
  <c r="U248" i="14" s="1"/>
  <c r="T209" i="14"/>
  <c r="S209" i="14"/>
  <c r="R209" i="14"/>
  <c r="Q209" i="14"/>
  <c r="P209" i="14"/>
  <c r="P248" i="14" s="1"/>
  <c r="O209" i="14"/>
  <c r="N209" i="14"/>
  <c r="M209" i="14"/>
  <c r="L209" i="14"/>
  <c r="K209" i="14"/>
  <c r="J209" i="14"/>
  <c r="I209" i="14"/>
  <c r="H209" i="14"/>
  <c r="G209" i="14"/>
  <c r="G248" i="14" s="1"/>
  <c r="F209" i="14"/>
  <c r="F248" i="14" s="1"/>
  <c r="E209" i="14"/>
  <c r="E248" i="14" s="1"/>
  <c r="D209" i="14"/>
  <c r="V208" i="14"/>
  <c r="V247" i="14" s="1"/>
  <c r="U208" i="14"/>
  <c r="U247" i="14" s="1"/>
  <c r="T208" i="14"/>
  <c r="T247" i="14" s="1"/>
  <c r="S208" i="14"/>
  <c r="S247" i="14" s="1"/>
  <c r="R208" i="14"/>
  <c r="Q208" i="14"/>
  <c r="Q247" i="14" s="1"/>
  <c r="P208" i="14"/>
  <c r="P247" i="14" s="1"/>
  <c r="O208" i="14"/>
  <c r="O247" i="14" s="1"/>
  <c r="N208" i="14"/>
  <c r="N247" i="14" s="1"/>
  <c r="M208" i="14"/>
  <c r="L208" i="14"/>
  <c r="K208" i="14"/>
  <c r="J208" i="14"/>
  <c r="I208" i="14"/>
  <c r="H208" i="14"/>
  <c r="H247" i="14" s="1"/>
  <c r="G208" i="14"/>
  <c r="F208" i="14"/>
  <c r="E208" i="14"/>
  <c r="D208" i="14"/>
  <c r="V207" i="14"/>
  <c r="V246" i="14" s="1"/>
  <c r="U207" i="14"/>
  <c r="T207" i="14"/>
  <c r="S207" i="14"/>
  <c r="R207" i="14"/>
  <c r="Q207" i="14"/>
  <c r="P207" i="14"/>
  <c r="O207" i="14"/>
  <c r="N207" i="14"/>
  <c r="M207" i="14"/>
  <c r="M246" i="14" s="1"/>
  <c r="L207" i="14"/>
  <c r="K207" i="14"/>
  <c r="K246" i="14" s="1"/>
  <c r="J207" i="14"/>
  <c r="I207" i="14"/>
  <c r="H207" i="14"/>
  <c r="G207" i="14"/>
  <c r="F207" i="14"/>
  <c r="E207" i="14"/>
  <c r="D207" i="14"/>
  <c r="V206" i="14"/>
  <c r="U206" i="14"/>
  <c r="T206" i="14"/>
  <c r="S206" i="14"/>
  <c r="R206" i="14"/>
  <c r="Q206" i="14"/>
  <c r="P206" i="14"/>
  <c r="O206" i="14"/>
  <c r="N206" i="14"/>
  <c r="M206" i="14"/>
  <c r="L206" i="14"/>
  <c r="K206" i="14"/>
  <c r="J206" i="14"/>
  <c r="I206" i="14"/>
  <c r="H206" i="14"/>
  <c r="G206" i="14"/>
  <c r="F206" i="14"/>
  <c r="F245" i="14" s="1"/>
  <c r="E206" i="14"/>
  <c r="D206" i="14"/>
  <c r="P196" i="14"/>
  <c r="M196" i="14"/>
  <c r="D195" i="14"/>
  <c r="K194" i="14"/>
  <c r="U193" i="14"/>
  <c r="S193" i="14"/>
  <c r="I193" i="14"/>
  <c r="G193" i="14"/>
  <c r="T191" i="14"/>
  <c r="V189" i="14"/>
  <c r="T189" i="14"/>
  <c r="P189" i="14"/>
  <c r="O189" i="14"/>
  <c r="N189" i="14"/>
  <c r="E189" i="14"/>
  <c r="O188" i="14"/>
  <c r="M188" i="14"/>
  <c r="R187" i="14"/>
  <c r="V186" i="14"/>
  <c r="S186" i="14"/>
  <c r="F186" i="14"/>
  <c r="V185" i="14"/>
  <c r="U184" i="14"/>
  <c r="L184" i="14"/>
  <c r="E184" i="14"/>
  <c r="U183" i="14"/>
  <c r="O183" i="14"/>
  <c r="E183" i="14"/>
  <c r="R182" i="14"/>
  <c r="D181" i="14"/>
  <c r="V180" i="14"/>
  <c r="U180" i="14"/>
  <c r="T180" i="14"/>
  <c r="S180" i="14"/>
  <c r="R180" i="14"/>
  <c r="Q180" i="14"/>
  <c r="P180" i="14"/>
  <c r="O180" i="14"/>
  <c r="N180" i="14"/>
  <c r="M180" i="14"/>
  <c r="L180" i="14"/>
  <c r="K180" i="14"/>
  <c r="J180" i="14"/>
  <c r="I180" i="14"/>
  <c r="H180" i="14"/>
  <c r="G180" i="14"/>
  <c r="F180" i="14"/>
  <c r="E180" i="14"/>
  <c r="D180" i="14"/>
  <c r="H179" i="14"/>
  <c r="K178" i="14"/>
  <c r="J176" i="14"/>
  <c r="U175" i="14"/>
  <c r="P175" i="14"/>
  <c r="M175" i="14"/>
  <c r="K175" i="14"/>
  <c r="N174" i="14"/>
  <c r="L174" i="14"/>
  <c r="O173" i="14"/>
  <c r="R172" i="14"/>
  <c r="P172" i="14"/>
  <c r="O172" i="14"/>
  <c r="M172" i="14"/>
  <c r="I172" i="14"/>
  <c r="G172" i="14"/>
  <c r="P171" i="14"/>
  <c r="N171" i="14"/>
  <c r="T170" i="14"/>
  <c r="Q170" i="14"/>
  <c r="O170" i="14"/>
  <c r="O169" i="14"/>
  <c r="R168" i="14"/>
  <c r="P168" i="14"/>
  <c r="Q159" i="14"/>
  <c r="V158" i="14"/>
  <c r="V196" i="14" s="1"/>
  <c r="U158" i="14"/>
  <c r="U196" i="14" s="1"/>
  <c r="T158" i="14"/>
  <c r="T196" i="14" s="1"/>
  <c r="S158" i="14"/>
  <c r="S196" i="14" s="1"/>
  <c r="R158" i="14"/>
  <c r="R196" i="14" s="1"/>
  <c r="Q158" i="14"/>
  <c r="Q196" i="14" s="1"/>
  <c r="P158" i="14"/>
  <c r="O158" i="14"/>
  <c r="O196" i="14" s="1"/>
  <c r="N158" i="14"/>
  <c r="N196" i="14" s="1"/>
  <c r="M158" i="14"/>
  <c r="L158" i="14"/>
  <c r="L196" i="14" s="1"/>
  <c r="K158" i="14"/>
  <c r="J158" i="14"/>
  <c r="I158" i="14"/>
  <c r="H158" i="14"/>
  <c r="G158" i="14"/>
  <c r="G196" i="14" s="1"/>
  <c r="F158" i="14"/>
  <c r="E158" i="14"/>
  <c r="E196" i="14" s="1"/>
  <c r="D158" i="14"/>
  <c r="V157" i="14"/>
  <c r="U157" i="14"/>
  <c r="T157" i="14"/>
  <c r="S157" i="14"/>
  <c r="R157" i="14"/>
  <c r="R195" i="14" s="1"/>
  <c r="Q157" i="14"/>
  <c r="Q195" i="14" s="1"/>
  <c r="P157" i="14"/>
  <c r="P195" i="14" s="1"/>
  <c r="O157" i="14"/>
  <c r="N157" i="14"/>
  <c r="M157" i="14"/>
  <c r="L157" i="14"/>
  <c r="K157" i="14"/>
  <c r="J157" i="14"/>
  <c r="I157" i="14"/>
  <c r="I195" i="14" s="1"/>
  <c r="H157" i="14"/>
  <c r="H195" i="14" s="1"/>
  <c r="G157" i="14"/>
  <c r="F157" i="14"/>
  <c r="E157" i="14"/>
  <c r="D157" i="14"/>
  <c r="V156" i="14"/>
  <c r="U156" i="14"/>
  <c r="U194" i="14" s="1"/>
  <c r="T156" i="14"/>
  <c r="T194" i="14" s="1"/>
  <c r="S156" i="14"/>
  <c r="S194" i="14" s="1"/>
  <c r="R156" i="14"/>
  <c r="Q156" i="14"/>
  <c r="P156" i="14"/>
  <c r="O156" i="14"/>
  <c r="N156" i="14"/>
  <c r="M156" i="14"/>
  <c r="L156" i="14"/>
  <c r="L194" i="14" s="1"/>
  <c r="K156" i="14"/>
  <c r="J156" i="14"/>
  <c r="I156" i="14"/>
  <c r="H156" i="14"/>
  <c r="G156" i="14"/>
  <c r="G194" i="14" s="1"/>
  <c r="F156" i="14"/>
  <c r="E156" i="14"/>
  <c r="E194" i="14" s="1"/>
  <c r="D156" i="14"/>
  <c r="D194" i="14" s="1"/>
  <c r="V155" i="14"/>
  <c r="V193" i="14" s="1"/>
  <c r="U155" i="14"/>
  <c r="T155" i="14"/>
  <c r="T193" i="14" s="1"/>
  <c r="S155" i="14"/>
  <c r="R155" i="14"/>
  <c r="R193" i="14" s="1"/>
  <c r="Q155" i="14"/>
  <c r="Q193" i="14" s="1"/>
  <c r="P155" i="14"/>
  <c r="P193" i="14" s="1"/>
  <c r="O155" i="14"/>
  <c r="O193" i="14" s="1"/>
  <c r="N155" i="14"/>
  <c r="N193" i="14" s="1"/>
  <c r="M155" i="14"/>
  <c r="M193" i="14" s="1"/>
  <c r="L155" i="14"/>
  <c r="L193" i="14" s="1"/>
  <c r="K155" i="14"/>
  <c r="K193" i="14" s="1"/>
  <c r="J155" i="14"/>
  <c r="J193" i="14" s="1"/>
  <c r="I155" i="14"/>
  <c r="H155" i="14"/>
  <c r="H193" i="14" s="1"/>
  <c r="G155" i="14"/>
  <c r="F155" i="14"/>
  <c r="F193" i="14" s="1"/>
  <c r="E155" i="14"/>
  <c r="E193" i="14" s="1"/>
  <c r="D155" i="14"/>
  <c r="D193" i="14" s="1"/>
  <c r="V154" i="14"/>
  <c r="U154" i="14"/>
  <c r="T154" i="14"/>
  <c r="S154" i="14"/>
  <c r="R154" i="14"/>
  <c r="R192" i="14" s="1"/>
  <c r="Q154" i="14"/>
  <c r="Q192" i="14" s="1"/>
  <c r="P154" i="14"/>
  <c r="O154" i="14"/>
  <c r="N154" i="14"/>
  <c r="M154" i="14"/>
  <c r="M192" i="14" s="1"/>
  <c r="L154" i="14"/>
  <c r="K154" i="14"/>
  <c r="K192" i="14" s="1"/>
  <c r="J154" i="14"/>
  <c r="J192" i="14" s="1"/>
  <c r="I154" i="14"/>
  <c r="I192" i="14" s="1"/>
  <c r="H154" i="14"/>
  <c r="G154" i="14"/>
  <c r="F154" i="14"/>
  <c r="E154" i="14"/>
  <c r="D154" i="14"/>
  <c r="V153" i="14"/>
  <c r="V191" i="14" s="1"/>
  <c r="U153" i="14"/>
  <c r="U191" i="14" s="1"/>
  <c r="T153" i="14"/>
  <c r="S153" i="14"/>
  <c r="R153" i="14"/>
  <c r="Q153" i="14"/>
  <c r="P153" i="14"/>
  <c r="P191" i="14" s="1"/>
  <c r="O153" i="14"/>
  <c r="N153" i="14"/>
  <c r="N191" i="14" s="1"/>
  <c r="M153" i="14"/>
  <c r="M191" i="14" s="1"/>
  <c r="L153" i="14"/>
  <c r="L191" i="14" s="1"/>
  <c r="K153" i="14"/>
  <c r="J153" i="14"/>
  <c r="I153" i="14"/>
  <c r="H153" i="14"/>
  <c r="G153" i="14"/>
  <c r="F153" i="14"/>
  <c r="E153" i="14"/>
  <c r="D153" i="14"/>
  <c r="D191" i="14" s="1"/>
  <c r="V152" i="14"/>
  <c r="U152" i="14"/>
  <c r="T152" i="14"/>
  <c r="S152" i="14"/>
  <c r="S190" i="14" s="1"/>
  <c r="R152" i="14"/>
  <c r="Q152" i="14"/>
  <c r="Q190" i="14" s="1"/>
  <c r="P152" i="14"/>
  <c r="O152" i="14"/>
  <c r="O190" i="14" s="1"/>
  <c r="N152" i="14"/>
  <c r="M152" i="14"/>
  <c r="L152" i="14"/>
  <c r="K152" i="14"/>
  <c r="J152" i="14"/>
  <c r="I152" i="14"/>
  <c r="I190" i="14" s="1"/>
  <c r="H152" i="14"/>
  <c r="H190" i="14" s="1"/>
  <c r="G152" i="14"/>
  <c r="G190" i="14" s="1"/>
  <c r="F152" i="14"/>
  <c r="E152" i="14"/>
  <c r="D152" i="14"/>
  <c r="V151" i="14"/>
  <c r="U151" i="14"/>
  <c r="U189" i="14" s="1"/>
  <c r="T151" i="14"/>
  <c r="S151" i="14"/>
  <c r="S189" i="14" s="1"/>
  <c r="R151" i="14"/>
  <c r="R189" i="14" s="1"/>
  <c r="Q151" i="14"/>
  <c r="Q189" i="14" s="1"/>
  <c r="P151" i="14"/>
  <c r="O151" i="14"/>
  <c r="N151" i="14"/>
  <c r="M151" i="14"/>
  <c r="M189" i="14" s="1"/>
  <c r="L151" i="14"/>
  <c r="L189" i="14" s="1"/>
  <c r="K151" i="14"/>
  <c r="K189" i="14" s="1"/>
  <c r="J151" i="14"/>
  <c r="J189" i="14" s="1"/>
  <c r="I151" i="14"/>
  <c r="I189" i="14" s="1"/>
  <c r="H151" i="14"/>
  <c r="H189" i="14" s="1"/>
  <c r="G151" i="14"/>
  <c r="G189" i="14" s="1"/>
  <c r="F151" i="14"/>
  <c r="F189" i="14" s="1"/>
  <c r="E151" i="14"/>
  <c r="D151" i="14"/>
  <c r="D189" i="14" s="1"/>
  <c r="V150" i="14"/>
  <c r="V188" i="14" s="1"/>
  <c r="U150" i="14"/>
  <c r="U188" i="14" s="1"/>
  <c r="T150" i="14"/>
  <c r="S150" i="14"/>
  <c r="R150" i="14"/>
  <c r="Q150" i="14"/>
  <c r="P150" i="14"/>
  <c r="P188" i="14" s="1"/>
  <c r="O150" i="14"/>
  <c r="N150" i="14"/>
  <c r="N188" i="14" s="1"/>
  <c r="M150" i="14"/>
  <c r="L150" i="14"/>
  <c r="L188" i="14" s="1"/>
  <c r="K150" i="14"/>
  <c r="K188" i="14" s="1"/>
  <c r="J150" i="14"/>
  <c r="J188" i="14" s="1"/>
  <c r="I150" i="14"/>
  <c r="I188" i="14" s="1"/>
  <c r="H150" i="14"/>
  <c r="G150" i="14"/>
  <c r="G188" i="14" s="1"/>
  <c r="F150" i="14"/>
  <c r="F188" i="14" s="1"/>
  <c r="E150" i="14"/>
  <c r="E188" i="14" s="1"/>
  <c r="D150" i="14"/>
  <c r="V149" i="14"/>
  <c r="U149" i="14"/>
  <c r="T149" i="14"/>
  <c r="S149" i="14"/>
  <c r="S187" i="14" s="1"/>
  <c r="R149" i="14"/>
  <c r="Q149" i="14"/>
  <c r="Q187" i="14" s="1"/>
  <c r="P149" i="14"/>
  <c r="P187" i="14" s="1"/>
  <c r="O149" i="14"/>
  <c r="N149" i="14"/>
  <c r="M149" i="14"/>
  <c r="L149" i="14"/>
  <c r="L187" i="14" s="1"/>
  <c r="K149" i="14"/>
  <c r="J149" i="14"/>
  <c r="J187" i="14" s="1"/>
  <c r="I149" i="14"/>
  <c r="I187" i="14" s="1"/>
  <c r="H149" i="14"/>
  <c r="H187" i="14" s="1"/>
  <c r="G149" i="14"/>
  <c r="F149" i="14"/>
  <c r="E149" i="14"/>
  <c r="D149" i="14"/>
  <c r="V148" i="14"/>
  <c r="U148" i="14"/>
  <c r="T148" i="14"/>
  <c r="T186" i="14" s="1"/>
  <c r="S148" i="14"/>
  <c r="R148" i="14"/>
  <c r="Q148" i="14"/>
  <c r="P148" i="14"/>
  <c r="O148" i="14"/>
  <c r="O186" i="14" s="1"/>
  <c r="N148" i="14"/>
  <c r="M148" i="14"/>
  <c r="M186" i="14" s="1"/>
  <c r="L148" i="14"/>
  <c r="L186" i="14" s="1"/>
  <c r="K148" i="14"/>
  <c r="K186" i="14" s="1"/>
  <c r="J148" i="14"/>
  <c r="I148" i="14"/>
  <c r="H148" i="14"/>
  <c r="G148" i="14"/>
  <c r="F148" i="14"/>
  <c r="E148" i="14"/>
  <c r="E186" i="14" s="1"/>
  <c r="D148" i="14"/>
  <c r="D186" i="14" s="1"/>
  <c r="V147" i="14"/>
  <c r="U147" i="14"/>
  <c r="T147" i="14"/>
  <c r="S147" i="14"/>
  <c r="R147" i="14"/>
  <c r="R185" i="14" s="1"/>
  <c r="Q147" i="14"/>
  <c r="P147" i="14"/>
  <c r="P185" i="14" s="1"/>
  <c r="O147" i="14"/>
  <c r="O185" i="14" s="1"/>
  <c r="N147" i="14"/>
  <c r="N185" i="14" s="1"/>
  <c r="M147" i="14"/>
  <c r="L147" i="14"/>
  <c r="K147" i="14"/>
  <c r="J147" i="14"/>
  <c r="I147" i="14"/>
  <c r="I185" i="14" s="1"/>
  <c r="H147" i="14"/>
  <c r="H185" i="14" s="1"/>
  <c r="G147" i="14"/>
  <c r="G185" i="14" s="1"/>
  <c r="F147" i="14"/>
  <c r="F185" i="14" s="1"/>
  <c r="E147" i="14"/>
  <c r="D147" i="14"/>
  <c r="V146" i="14"/>
  <c r="U146" i="14"/>
  <c r="T146" i="14"/>
  <c r="S146" i="14"/>
  <c r="S184" i="14" s="1"/>
  <c r="R146" i="14"/>
  <c r="R184" i="14" s="1"/>
  <c r="Q146" i="14"/>
  <c r="Q184" i="14" s="1"/>
  <c r="P146" i="14"/>
  <c r="O146" i="14"/>
  <c r="N146" i="14"/>
  <c r="M146" i="14"/>
  <c r="L146" i="14"/>
  <c r="K146" i="14"/>
  <c r="K184" i="14" s="1"/>
  <c r="J146" i="14"/>
  <c r="J184" i="14" s="1"/>
  <c r="I146" i="14"/>
  <c r="I184" i="14" s="1"/>
  <c r="H146" i="14"/>
  <c r="G146" i="14"/>
  <c r="F146" i="14"/>
  <c r="E146" i="14"/>
  <c r="D146" i="14"/>
  <c r="V145" i="14"/>
  <c r="V183" i="14" s="1"/>
  <c r="U145" i="14"/>
  <c r="T145" i="14"/>
  <c r="T183" i="14" s="1"/>
  <c r="S145" i="14"/>
  <c r="S183" i="14" s="1"/>
  <c r="R145" i="14"/>
  <c r="Q145" i="14"/>
  <c r="P145" i="14"/>
  <c r="O145" i="14"/>
  <c r="N145" i="14"/>
  <c r="N183" i="14" s="1"/>
  <c r="M145" i="14"/>
  <c r="M183" i="14" s="1"/>
  <c r="L145" i="14"/>
  <c r="L183" i="14" s="1"/>
  <c r="K145" i="14"/>
  <c r="J145" i="14"/>
  <c r="I145" i="14"/>
  <c r="H145" i="14"/>
  <c r="H183" i="14" s="1"/>
  <c r="G145" i="14"/>
  <c r="F145" i="14"/>
  <c r="F183" i="14" s="1"/>
  <c r="E145" i="14"/>
  <c r="D145" i="14"/>
  <c r="D183" i="14" s="1"/>
  <c r="V144" i="14"/>
  <c r="U144" i="14"/>
  <c r="T144" i="14"/>
  <c r="S144" i="14"/>
  <c r="R144" i="14"/>
  <c r="Q144" i="14"/>
  <c r="Q182" i="14" s="1"/>
  <c r="P144" i="14"/>
  <c r="O144" i="14"/>
  <c r="O182" i="14" s="1"/>
  <c r="N144" i="14"/>
  <c r="M144" i="14"/>
  <c r="L144" i="14"/>
  <c r="K144" i="14"/>
  <c r="K182" i="14" s="1"/>
  <c r="J144" i="14"/>
  <c r="I144" i="14"/>
  <c r="I182" i="14" s="1"/>
  <c r="H144" i="14"/>
  <c r="H182" i="14" s="1"/>
  <c r="G144" i="14"/>
  <c r="G182" i="14" s="1"/>
  <c r="F144" i="14"/>
  <c r="E144" i="14"/>
  <c r="D144" i="14"/>
  <c r="V143" i="14"/>
  <c r="U143" i="14"/>
  <c r="T143" i="14"/>
  <c r="T181" i="14" s="1"/>
  <c r="S143" i="14"/>
  <c r="R143" i="14"/>
  <c r="R181" i="14" s="1"/>
  <c r="Q143" i="14"/>
  <c r="P143" i="14"/>
  <c r="O143" i="14"/>
  <c r="N143" i="14"/>
  <c r="N181" i="14" s="1"/>
  <c r="M143" i="14"/>
  <c r="L143" i="14"/>
  <c r="L181" i="14" s="1"/>
  <c r="K143" i="14"/>
  <c r="K181" i="14" s="1"/>
  <c r="J143" i="14"/>
  <c r="J181" i="14" s="1"/>
  <c r="I143" i="14"/>
  <c r="H143" i="14"/>
  <c r="G143" i="14"/>
  <c r="F143" i="14"/>
  <c r="E143" i="14"/>
  <c r="E181" i="14" s="1"/>
  <c r="D143" i="14"/>
  <c r="R142" i="14"/>
  <c r="V141" i="14"/>
  <c r="V179" i="14" s="1"/>
  <c r="U141" i="14"/>
  <c r="U179" i="14" s="1"/>
  <c r="T141" i="14"/>
  <c r="S141" i="14"/>
  <c r="R141" i="14"/>
  <c r="Q141" i="14"/>
  <c r="Q179" i="14" s="1"/>
  <c r="P141" i="14"/>
  <c r="O141" i="14"/>
  <c r="O179" i="14" s="1"/>
  <c r="N141" i="14"/>
  <c r="N179" i="14" s="1"/>
  <c r="M141" i="14"/>
  <c r="L141" i="14"/>
  <c r="K141" i="14"/>
  <c r="J141" i="14"/>
  <c r="I141" i="14"/>
  <c r="I179" i="14" s="1"/>
  <c r="H141" i="14"/>
  <c r="G141" i="14"/>
  <c r="G179" i="14" s="1"/>
  <c r="F141" i="14"/>
  <c r="F179" i="14" s="1"/>
  <c r="E141" i="14"/>
  <c r="E179" i="14" s="1"/>
  <c r="D141" i="14"/>
  <c r="V140" i="14"/>
  <c r="U140" i="14"/>
  <c r="T140" i="14"/>
  <c r="T178" i="14" s="1"/>
  <c r="S140" i="14"/>
  <c r="R140" i="14"/>
  <c r="R178" i="14" s="1"/>
  <c r="Q140" i="14"/>
  <c r="Q178" i="14" s="1"/>
  <c r="P140" i="14"/>
  <c r="P178" i="14" s="1"/>
  <c r="O140" i="14"/>
  <c r="N140" i="14"/>
  <c r="M140" i="14"/>
  <c r="L140" i="14"/>
  <c r="K140" i="14"/>
  <c r="J140" i="14"/>
  <c r="J178" i="14" s="1"/>
  <c r="I140" i="14"/>
  <c r="H140" i="14"/>
  <c r="H178" i="14" s="1"/>
  <c r="G140" i="14"/>
  <c r="F140" i="14"/>
  <c r="E140" i="14"/>
  <c r="D140" i="14"/>
  <c r="V139" i="14"/>
  <c r="U139" i="14"/>
  <c r="U177" i="14" s="1"/>
  <c r="T139" i="14"/>
  <c r="T177" i="14" s="1"/>
  <c r="S139" i="14"/>
  <c r="R139" i="14"/>
  <c r="Q139" i="14"/>
  <c r="P139" i="14"/>
  <c r="O139" i="14"/>
  <c r="N139" i="14"/>
  <c r="N177" i="14" s="1"/>
  <c r="M139" i="14"/>
  <c r="M177" i="14" s="1"/>
  <c r="L139" i="14"/>
  <c r="K139" i="14"/>
  <c r="K177" i="14" s="1"/>
  <c r="J139" i="14"/>
  <c r="I139" i="14"/>
  <c r="H139" i="14"/>
  <c r="G139" i="14"/>
  <c r="G177" i="14" s="1"/>
  <c r="F139" i="14"/>
  <c r="E139" i="14"/>
  <c r="E177" i="14" s="1"/>
  <c r="D139" i="14"/>
  <c r="D177" i="14" s="1"/>
  <c r="V138" i="14"/>
  <c r="V176" i="14" s="1"/>
  <c r="U138" i="14"/>
  <c r="T138" i="14"/>
  <c r="S138" i="14"/>
  <c r="R138" i="14"/>
  <c r="R176" i="14" s="1"/>
  <c r="Q138" i="14"/>
  <c r="Q176" i="14" s="1"/>
  <c r="P138" i="14"/>
  <c r="P176" i="14" s="1"/>
  <c r="O138" i="14"/>
  <c r="O176" i="14" s="1"/>
  <c r="N138" i="14"/>
  <c r="N176" i="14" s="1"/>
  <c r="M138" i="14"/>
  <c r="L138" i="14"/>
  <c r="K138" i="14"/>
  <c r="J138" i="14"/>
  <c r="I138" i="14"/>
  <c r="H138" i="14"/>
  <c r="H176" i="14" s="1"/>
  <c r="G138" i="14"/>
  <c r="G176" i="14" s="1"/>
  <c r="F138" i="14"/>
  <c r="E138" i="14"/>
  <c r="D138" i="14"/>
  <c r="V137" i="14"/>
  <c r="V175" i="14" s="1"/>
  <c r="U137" i="14"/>
  <c r="T137" i="14"/>
  <c r="T175" i="14" s="1"/>
  <c r="S137" i="14"/>
  <c r="S175" i="14" s="1"/>
  <c r="R137" i="14"/>
  <c r="R175" i="14" s="1"/>
  <c r="Q137" i="14"/>
  <c r="Q175" i="14" s="1"/>
  <c r="P137" i="14"/>
  <c r="O137" i="14"/>
  <c r="N137" i="14"/>
  <c r="M137" i="14"/>
  <c r="L137" i="14"/>
  <c r="K137" i="14"/>
  <c r="J137" i="14"/>
  <c r="J175" i="14" s="1"/>
  <c r="I137" i="14"/>
  <c r="I175" i="14" s="1"/>
  <c r="H137" i="14"/>
  <c r="G137" i="14"/>
  <c r="F137" i="14"/>
  <c r="E137" i="14"/>
  <c r="D137" i="14"/>
  <c r="D175" i="14" s="1"/>
  <c r="V136" i="14"/>
  <c r="V174" i="14" s="1"/>
  <c r="U136" i="14"/>
  <c r="U174" i="14" s="1"/>
  <c r="T136" i="14"/>
  <c r="T174" i="14" s="1"/>
  <c r="S136" i="14"/>
  <c r="R136" i="14"/>
  <c r="Q136" i="14"/>
  <c r="P136" i="14"/>
  <c r="O136" i="14"/>
  <c r="N136" i="14"/>
  <c r="M136" i="14"/>
  <c r="M174" i="14" s="1"/>
  <c r="L136" i="14"/>
  <c r="K136" i="14"/>
  <c r="J136" i="14"/>
  <c r="I136" i="14"/>
  <c r="H136" i="14"/>
  <c r="G136" i="14"/>
  <c r="G174" i="14" s="1"/>
  <c r="F136" i="14"/>
  <c r="E136" i="14"/>
  <c r="E174" i="14" s="1"/>
  <c r="D136" i="14"/>
  <c r="D174" i="14" s="1"/>
  <c r="V135" i="14"/>
  <c r="U135" i="14"/>
  <c r="T135" i="14"/>
  <c r="S135" i="14"/>
  <c r="S173" i="14" s="1"/>
  <c r="R135" i="14"/>
  <c r="Q135" i="14"/>
  <c r="Q173" i="14" s="1"/>
  <c r="P135" i="14"/>
  <c r="P173" i="14" s="1"/>
  <c r="O135" i="14"/>
  <c r="N135" i="14"/>
  <c r="M135" i="14"/>
  <c r="L135" i="14"/>
  <c r="K135" i="14"/>
  <c r="J135" i="14"/>
  <c r="J173" i="14" s="1"/>
  <c r="I135" i="14"/>
  <c r="H135" i="14"/>
  <c r="H173" i="14" s="1"/>
  <c r="G135" i="14"/>
  <c r="G173" i="14" s="1"/>
  <c r="F135" i="14"/>
  <c r="E135" i="14"/>
  <c r="D135" i="14"/>
  <c r="V134" i="14"/>
  <c r="V172" i="14" s="1"/>
  <c r="U134" i="14"/>
  <c r="U172" i="14" s="1"/>
  <c r="T134" i="14"/>
  <c r="T172" i="14" s="1"/>
  <c r="S134" i="14"/>
  <c r="S172" i="14" s="1"/>
  <c r="R134" i="14"/>
  <c r="Q134" i="14"/>
  <c r="Q172" i="14" s="1"/>
  <c r="P134" i="14"/>
  <c r="O134" i="14"/>
  <c r="N134" i="14"/>
  <c r="N172" i="14" s="1"/>
  <c r="M134" i="14"/>
  <c r="L134" i="14"/>
  <c r="L172" i="14" s="1"/>
  <c r="K134" i="14"/>
  <c r="K172" i="14" s="1"/>
  <c r="J134" i="14"/>
  <c r="J172" i="14" s="1"/>
  <c r="I134" i="14"/>
  <c r="H134" i="14"/>
  <c r="H172" i="14" s="1"/>
  <c r="G134" i="14"/>
  <c r="F134" i="14"/>
  <c r="F172" i="14" s="1"/>
  <c r="E134" i="14"/>
  <c r="E172" i="14" s="1"/>
  <c r="D134" i="14"/>
  <c r="D172" i="14" s="1"/>
  <c r="V133" i="14"/>
  <c r="V171" i="14" s="1"/>
  <c r="U133" i="14"/>
  <c r="U171" i="14" s="1"/>
  <c r="T133" i="14"/>
  <c r="S133" i="14"/>
  <c r="R133" i="14"/>
  <c r="Q133" i="14"/>
  <c r="P133" i="14"/>
  <c r="O133" i="14"/>
  <c r="O171" i="14" s="1"/>
  <c r="N133" i="14"/>
  <c r="M133" i="14"/>
  <c r="M171" i="14" s="1"/>
  <c r="L133" i="14"/>
  <c r="K133" i="14"/>
  <c r="J133" i="14"/>
  <c r="I133" i="14"/>
  <c r="H133" i="14"/>
  <c r="G133" i="14"/>
  <c r="G171" i="14" s="1"/>
  <c r="F133" i="14"/>
  <c r="F171" i="14" s="1"/>
  <c r="E133" i="14"/>
  <c r="D133" i="14"/>
  <c r="V132" i="14"/>
  <c r="V170" i="14" s="1"/>
  <c r="U132" i="14"/>
  <c r="U170" i="14" s="1"/>
  <c r="T132" i="14"/>
  <c r="S132" i="14"/>
  <c r="S170" i="14" s="1"/>
  <c r="R132" i="14"/>
  <c r="R170" i="14" s="1"/>
  <c r="Q132" i="14"/>
  <c r="P132" i="14"/>
  <c r="P170" i="14" s="1"/>
  <c r="O132" i="14"/>
  <c r="N132" i="14"/>
  <c r="N170" i="14" s="1"/>
  <c r="M132" i="14"/>
  <c r="L132" i="14"/>
  <c r="L170" i="14" s="1"/>
  <c r="K132" i="14"/>
  <c r="J132" i="14"/>
  <c r="J170" i="14" s="1"/>
  <c r="I132" i="14"/>
  <c r="I170" i="14" s="1"/>
  <c r="H132" i="14"/>
  <c r="H170" i="14" s="1"/>
  <c r="G132" i="14"/>
  <c r="F132" i="14"/>
  <c r="E132" i="14"/>
  <c r="D132" i="14"/>
  <c r="D170" i="14" s="1"/>
  <c r="V131" i="14"/>
  <c r="V169" i="14" s="1"/>
  <c r="U131" i="14"/>
  <c r="U169" i="14" s="1"/>
  <c r="T131" i="14"/>
  <c r="T169" i="14" s="1"/>
  <c r="S131" i="14"/>
  <c r="S169" i="14" s="1"/>
  <c r="R131" i="14"/>
  <c r="Q131" i="14"/>
  <c r="P131" i="14"/>
  <c r="O131" i="14"/>
  <c r="N131" i="14"/>
  <c r="M131" i="14"/>
  <c r="M169" i="14" s="1"/>
  <c r="L131" i="14"/>
  <c r="L169" i="14" s="1"/>
  <c r="K131" i="14"/>
  <c r="J131" i="14"/>
  <c r="I131" i="14"/>
  <c r="H131" i="14"/>
  <c r="G131" i="14"/>
  <c r="F131" i="14"/>
  <c r="F169" i="14" s="1"/>
  <c r="E131" i="14"/>
  <c r="E169" i="14" s="1"/>
  <c r="D131" i="14"/>
  <c r="D169" i="14" s="1"/>
  <c r="V130" i="14"/>
  <c r="V168" i="14" s="1"/>
  <c r="U130" i="14"/>
  <c r="T130" i="14"/>
  <c r="S130" i="14"/>
  <c r="R130" i="14"/>
  <c r="Q130" i="14"/>
  <c r="P130" i="14"/>
  <c r="O130" i="14"/>
  <c r="O168" i="14" s="1"/>
  <c r="N130" i="14"/>
  <c r="N168" i="14" s="1"/>
  <c r="M130" i="14"/>
  <c r="L130" i="14"/>
  <c r="K130" i="14"/>
  <c r="J130" i="14"/>
  <c r="J159" i="14" s="1"/>
  <c r="I130" i="14"/>
  <c r="I168" i="14" s="1"/>
  <c r="H130" i="14"/>
  <c r="H168" i="14" s="1"/>
  <c r="G130" i="14"/>
  <c r="F130" i="14"/>
  <c r="F168" i="14" s="1"/>
  <c r="E130" i="14"/>
  <c r="D130" i="14"/>
  <c r="V119" i="14"/>
  <c r="U119" i="14"/>
  <c r="T119" i="14"/>
  <c r="R119" i="14"/>
  <c r="P119" i="14"/>
  <c r="M119" i="14"/>
  <c r="E119" i="14"/>
  <c r="P118" i="14"/>
  <c r="J118" i="14"/>
  <c r="L117" i="14"/>
  <c r="K117" i="14"/>
  <c r="V116" i="14"/>
  <c r="R116" i="14"/>
  <c r="P116" i="14"/>
  <c r="N116" i="14"/>
  <c r="K116" i="14"/>
  <c r="I116" i="14"/>
  <c r="G116" i="14"/>
  <c r="I115" i="14"/>
  <c r="T114" i="14"/>
  <c r="M114" i="14"/>
  <c r="D114" i="14"/>
  <c r="O113" i="14"/>
  <c r="G113" i="14"/>
  <c r="U112" i="14"/>
  <c r="S112" i="14"/>
  <c r="R112" i="14"/>
  <c r="N112" i="14"/>
  <c r="J112" i="14"/>
  <c r="G112" i="14"/>
  <c r="E112" i="14"/>
  <c r="U111" i="14"/>
  <c r="I110" i="14"/>
  <c r="H110" i="14"/>
  <c r="M109" i="14"/>
  <c r="K109" i="14"/>
  <c r="V108" i="14"/>
  <c r="O108" i="14"/>
  <c r="Q107" i="14"/>
  <c r="I107" i="14"/>
  <c r="T106" i="14"/>
  <c r="L106" i="14"/>
  <c r="D106" i="14"/>
  <c r="R105" i="14"/>
  <c r="O105" i="14"/>
  <c r="G105" i="14"/>
  <c r="V104" i="14"/>
  <c r="E104" i="14"/>
  <c r="V103" i="14"/>
  <c r="U103" i="14"/>
  <c r="T103" i="14"/>
  <c r="S103" i="14"/>
  <c r="R103" i="14"/>
  <c r="Q103" i="14"/>
  <c r="P103" i="14"/>
  <c r="O103" i="14"/>
  <c r="N103" i="14"/>
  <c r="M103" i="14"/>
  <c r="L103" i="14"/>
  <c r="K103" i="14"/>
  <c r="J103" i="14"/>
  <c r="I103" i="14"/>
  <c r="H103" i="14"/>
  <c r="G103" i="14"/>
  <c r="F103" i="14"/>
  <c r="E103" i="14"/>
  <c r="D103" i="14"/>
  <c r="H102" i="14"/>
  <c r="E102" i="14"/>
  <c r="T101" i="14"/>
  <c r="K101" i="14"/>
  <c r="H101" i="14"/>
  <c r="D101" i="14"/>
  <c r="N100" i="14"/>
  <c r="K100" i="14"/>
  <c r="G100" i="14"/>
  <c r="S99" i="14"/>
  <c r="Q99" i="14"/>
  <c r="N99" i="14"/>
  <c r="J99" i="14"/>
  <c r="V98" i="14"/>
  <c r="T98" i="14"/>
  <c r="S98" i="14"/>
  <c r="Q98" i="14"/>
  <c r="M98" i="14"/>
  <c r="D98" i="14"/>
  <c r="T97" i="14"/>
  <c r="P97" i="14"/>
  <c r="G97" i="14"/>
  <c r="S96" i="14"/>
  <c r="J96" i="14"/>
  <c r="V95" i="14"/>
  <c r="O95" i="14"/>
  <c r="M95" i="14"/>
  <c r="L95" i="14"/>
  <c r="H95" i="14"/>
  <c r="F95" i="14"/>
  <c r="P94" i="14"/>
  <c r="I94" i="14"/>
  <c r="U93" i="14"/>
  <c r="S93" i="14"/>
  <c r="R93" i="14"/>
  <c r="N93" i="14"/>
  <c r="L93" i="14"/>
  <c r="V92" i="14"/>
  <c r="O92" i="14"/>
  <c r="F92" i="14"/>
  <c r="R91" i="14"/>
  <c r="K91" i="14"/>
  <c r="I91" i="14"/>
  <c r="R81" i="14"/>
  <c r="V80" i="14"/>
  <c r="U80" i="14"/>
  <c r="T80" i="14"/>
  <c r="S80" i="14"/>
  <c r="S119" i="14" s="1"/>
  <c r="R80" i="14"/>
  <c r="Q80" i="14"/>
  <c r="Q119" i="14" s="1"/>
  <c r="P80" i="14"/>
  <c r="O80" i="14"/>
  <c r="O119" i="14" s="1"/>
  <c r="N80" i="14"/>
  <c r="N119" i="14" s="1"/>
  <c r="M80" i="14"/>
  <c r="L80" i="14"/>
  <c r="L119" i="14" s="1"/>
  <c r="K80" i="14"/>
  <c r="J80" i="14"/>
  <c r="I80" i="14"/>
  <c r="H80" i="14"/>
  <c r="H119" i="14" s="1"/>
  <c r="G80" i="14"/>
  <c r="F80" i="14"/>
  <c r="F119" i="14" s="1"/>
  <c r="E80" i="14"/>
  <c r="D80" i="14"/>
  <c r="V79" i="14"/>
  <c r="U79" i="14"/>
  <c r="T79" i="14"/>
  <c r="T118" i="14" s="1"/>
  <c r="S79" i="14"/>
  <c r="R79" i="14"/>
  <c r="R118" i="14" s="1"/>
  <c r="Q79" i="14"/>
  <c r="Q118" i="14" s="1"/>
  <c r="P79" i="14"/>
  <c r="O79" i="14"/>
  <c r="N79" i="14"/>
  <c r="M79" i="14"/>
  <c r="L79" i="14"/>
  <c r="K79" i="14"/>
  <c r="K118" i="14" s="1"/>
  <c r="J79" i="14"/>
  <c r="I79" i="14"/>
  <c r="H79" i="14"/>
  <c r="H118" i="14" s="1"/>
  <c r="G79" i="14"/>
  <c r="F79" i="14"/>
  <c r="E79" i="14"/>
  <c r="D79" i="14"/>
  <c r="D118" i="14" s="1"/>
  <c r="V78" i="14"/>
  <c r="U78" i="14"/>
  <c r="U117" i="14" s="1"/>
  <c r="T78" i="14"/>
  <c r="T117" i="14" s="1"/>
  <c r="S78" i="14"/>
  <c r="S117" i="14" s="1"/>
  <c r="R78" i="14"/>
  <c r="Q78" i="14"/>
  <c r="P78" i="14"/>
  <c r="O78" i="14"/>
  <c r="N78" i="14"/>
  <c r="N117" i="14" s="1"/>
  <c r="M78" i="14"/>
  <c r="L78" i="14"/>
  <c r="K78" i="14"/>
  <c r="J78" i="14"/>
  <c r="I78" i="14"/>
  <c r="H78" i="14"/>
  <c r="G78" i="14"/>
  <c r="G117" i="14" s="1"/>
  <c r="F78" i="14"/>
  <c r="E78" i="14"/>
  <c r="E117" i="14" s="1"/>
  <c r="D78" i="14"/>
  <c r="D117" i="14" s="1"/>
  <c r="V77" i="14"/>
  <c r="U77" i="14"/>
  <c r="U116" i="14" s="1"/>
  <c r="T77" i="14"/>
  <c r="T116" i="14" s="1"/>
  <c r="S77" i="14"/>
  <c r="S116" i="14" s="1"/>
  <c r="R77" i="14"/>
  <c r="Q77" i="14"/>
  <c r="Q116" i="14" s="1"/>
  <c r="P77" i="14"/>
  <c r="O77" i="14"/>
  <c r="O116" i="14" s="1"/>
  <c r="N77" i="14"/>
  <c r="M77" i="14"/>
  <c r="M116" i="14" s="1"/>
  <c r="L77" i="14"/>
  <c r="L116" i="14" s="1"/>
  <c r="K77" i="14"/>
  <c r="J77" i="14"/>
  <c r="J116" i="14" s="1"/>
  <c r="I77" i="14"/>
  <c r="H77" i="14"/>
  <c r="H116" i="14" s="1"/>
  <c r="G77" i="14"/>
  <c r="F77" i="14"/>
  <c r="F116" i="14" s="1"/>
  <c r="E77" i="14"/>
  <c r="E116" i="14" s="1"/>
  <c r="D77" i="14"/>
  <c r="D116" i="14" s="1"/>
  <c r="V76" i="14"/>
  <c r="U76" i="14"/>
  <c r="T76" i="14"/>
  <c r="T115" i="14" s="1"/>
  <c r="S76" i="14"/>
  <c r="R76" i="14"/>
  <c r="Q76" i="14"/>
  <c r="Q115" i="14" s="1"/>
  <c r="P76" i="14"/>
  <c r="O76" i="14"/>
  <c r="N76" i="14"/>
  <c r="M76" i="14"/>
  <c r="M115" i="14" s="1"/>
  <c r="L76" i="14"/>
  <c r="K76" i="14"/>
  <c r="K115" i="14" s="1"/>
  <c r="J76" i="14"/>
  <c r="J115" i="14" s="1"/>
  <c r="I76" i="14"/>
  <c r="H76" i="14"/>
  <c r="G76" i="14"/>
  <c r="F76" i="14"/>
  <c r="E76" i="14"/>
  <c r="D76" i="14"/>
  <c r="D115" i="14" s="1"/>
  <c r="V75" i="14"/>
  <c r="U75" i="14"/>
  <c r="T75" i="14"/>
  <c r="S75" i="14"/>
  <c r="R75" i="14"/>
  <c r="Q75" i="14"/>
  <c r="P75" i="14"/>
  <c r="P114" i="14" s="1"/>
  <c r="O75" i="14"/>
  <c r="N75" i="14"/>
  <c r="N114" i="14" s="1"/>
  <c r="M75" i="14"/>
  <c r="L75" i="14"/>
  <c r="L114" i="14" s="1"/>
  <c r="K75" i="14"/>
  <c r="J75" i="14"/>
  <c r="I75" i="14"/>
  <c r="H75" i="14"/>
  <c r="G75" i="14"/>
  <c r="G114" i="14" s="1"/>
  <c r="F75" i="14"/>
  <c r="E75" i="14"/>
  <c r="D75" i="14"/>
  <c r="V74" i="14"/>
  <c r="U74" i="14"/>
  <c r="T74" i="14"/>
  <c r="S74" i="14"/>
  <c r="S113" i="14" s="1"/>
  <c r="R74" i="14"/>
  <c r="Q74" i="14"/>
  <c r="Q113" i="14" s="1"/>
  <c r="P74" i="14"/>
  <c r="P113" i="14" s="1"/>
  <c r="O74" i="14"/>
  <c r="N74" i="14"/>
  <c r="M74" i="14"/>
  <c r="L74" i="14"/>
  <c r="K74" i="14"/>
  <c r="J74" i="14"/>
  <c r="J113" i="14" s="1"/>
  <c r="I74" i="14"/>
  <c r="H74" i="14"/>
  <c r="G74" i="14"/>
  <c r="F74" i="14"/>
  <c r="E74" i="14"/>
  <c r="D74" i="14"/>
  <c r="V73" i="14"/>
  <c r="V112" i="14" s="1"/>
  <c r="U73" i="14"/>
  <c r="T73" i="14"/>
  <c r="T112" i="14" s="1"/>
  <c r="S73" i="14"/>
  <c r="R73" i="14"/>
  <c r="Q73" i="14"/>
  <c r="Q112" i="14" s="1"/>
  <c r="P73" i="14"/>
  <c r="P112" i="14" s="1"/>
  <c r="O73" i="14"/>
  <c r="O112" i="14" s="1"/>
  <c r="N73" i="14"/>
  <c r="M73" i="14"/>
  <c r="M112" i="14" s="1"/>
  <c r="L73" i="14"/>
  <c r="L112" i="14" s="1"/>
  <c r="K73" i="14"/>
  <c r="K112" i="14" s="1"/>
  <c r="J73" i="14"/>
  <c r="I73" i="14"/>
  <c r="I112" i="14" s="1"/>
  <c r="H73" i="14"/>
  <c r="H112" i="14" s="1"/>
  <c r="G73" i="14"/>
  <c r="F73" i="14"/>
  <c r="F112" i="14" s="1"/>
  <c r="E73" i="14"/>
  <c r="D73" i="14"/>
  <c r="D112" i="14" s="1"/>
  <c r="V72" i="14"/>
  <c r="V111" i="14" s="1"/>
  <c r="U72" i="14"/>
  <c r="T72" i="14"/>
  <c r="S72" i="14"/>
  <c r="R72" i="14"/>
  <c r="Q72" i="14"/>
  <c r="P72" i="14"/>
  <c r="P111" i="14" s="1"/>
  <c r="O72" i="14"/>
  <c r="O111" i="14" s="1"/>
  <c r="N72" i="14"/>
  <c r="N111" i="14" s="1"/>
  <c r="M72" i="14"/>
  <c r="M111" i="14" s="1"/>
  <c r="L72" i="14"/>
  <c r="L111" i="14" s="1"/>
  <c r="K72" i="14"/>
  <c r="K111" i="14" s="1"/>
  <c r="J72" i="14"/>
  <c r="J111" i="14" s="1"/>
  <c r="I72" i="14"/>
  <c r="I111" i="14" s="1"/>
  <c r="H72" i="14"/>
  <c r="G72" i="14"/>
  <c r="G111" i="14" s="1"/>
  <c r="F72" i="14"/>
  <c r="F111" i="14" s="1"/>
  <c r="E72" i="14"/>
  <c r="E111" i="14" s="1"/>
  <c r="D72" i="14"/>
  <c r="V71" i="14"/>
  <c r="U71" i="14"/>
  <c r="T71" i="14"/>
  <c r="S71" i="14"/>
  <c r="S110" i="14" s="1"/>
  <c r="R71" i="14"/>
  <c r="Q71" i="14"/>
  <c r="Q110" i="14" s="1"/>
  <c r="P71" i="14"/>
  <c r="P110" i="14" s="1"/>
  <c r="O71" i="14"/>
  <c r="N71" i="14"/>
  <c r="M71" i="14"/>
  <c r="L71" i="14"/>
  <c r="L110" i="14" s="1"/>
  <c r="K71" i="14"/>
  <c r="J71" i="14"/>
  <c r="J110" i="14" s="1"/>
  <c r="I71" i="14"/>
  <c r="H71" i="14"/>
  <c r="G71" i="14"/>
  <c r="F71" i="14"/>
  <c r="E71" i="14"/>
  <c r="D71" i="14"/>
  <c r="V70" i="14"/>
  <c r="V109" i="14" s="1"/>
  <c r="U70" i="14"/>
  <c r="T70" i="14"/>
  <c r="S70" i="14"/>
  <c r="S109" i="14" s="1"/>
  <c r="R70" i="14"/>
  <c r="Q70" i="14"/>
  <c r="P70" i="14"/>
  <c r="O70" i="14"/>
  <c r="O109" i="14" s="1"/>
  <c r="N70" i="14"/>
  <c r="M70" i="14"/>
  <c r="L70" i="14"/>
  <c r="L109" i="14" s="1"/>
  <c r="K70" i="14"/>
  <c r="J70" i="14"/>
  <c r="I70" i="14"/>
  <c r="H70" i="14"/>
  <c r="G70" i="14"/>
  <c r="F70" i="14"/>
  <c r="F109" i="14" s="1"/>
  <c r="E70" i="14"/>
  <c r="D70" i="14"/>
  <c r="D109" i="14" s="1"/>
  <c r="V69" i="14"/>
  <c r="U69" i="14"/>
  <c r="T69" i="14"/>
  <c r="S69" i="14"/>
  <c r="R69" i="14"/>
  <c r="R108" i="14" s="1"/>
  <c r="Q69" i="14"/>
  <c r="P69" i="14"/>
  <c r="P108" i="14" s="1"/>
  <c r="O69" i="14"/>
  <c r="N69" i="14"/>
  <c r="N108" i="14" s="1"/>
  <c r="M69" i="14"/>
  <c r="M108" i="14" s="1"/>
  <c r="L69" i="14"/>
  <c r="K69" i="14"/>
  <c r="J69" i="14"/>
  <c r="I69" i="14"/>
  <c r="I108" i="14" s="1"/>
  <c r="H69" i="14"/>
  <c r="G69" i="14"/>
  <c r="F69" i="14"/>
  <c r="F108" i="14" s="1"/>
  <c r="E69" i="14"/>
  <c r="D69" i="14"/>
  <c r="V68" i="14"/>
  <c r="U68" i="14"/>
  <c r="U107" i="14" s="1"/>
  <c r="T68" i="14"/>
  <c r="S68" i="14"/>
  <c r="S107" i="14" s="1"/>
  <c r="R68" i="14"/>
  <c r="R107" i="14" s="1"/>
  <c r="Q68" i="14"/>
  <c r="P68" i="14"/>
  <c r="O68" i="14"/>
  <c r="N68" i="14"/>
  <c r="N107" i="14" s="1"/>
  <c r="M68" i="14"/>
  <c r="L68" i="14"/>
  <c r="L107" i="14" s="1"/>
  <c r="K68" i="14"/>
  <c r="J68" i="14"/>
  <c r="I68" i="14"/>
  <c r="H68" i="14"/>
  <c r="G68" i="14"/>
  <c r="F68" i="14"/>
  <c r="E68" i="14"/>
  <c r="E107" i="14" s="1"/>
  <c r="D68" i="14"/>
  <c r="V67" i="14"/>
  <c r="V106" i="14" s="1"/>
  <c r="U67" i="14"/>
  <c r="U106" i="14" s="1"/>
  <c r="T67" i="14"/>
  <c r="S67" i="14"/>
  <c r="S106" i="14" s="1"/>
  <c r="R67" i="14"/>
  <c r="Q67" i="14"/>
  <c r="P67" i="14"/>
  <c r="O67" i="14"/>
  <c r="O106" i="14" s="1"/>
  <c r="N67" i="14"/>
  <c r="M67" i="14"/>
  <c r="L67" i="14"/>
  <c r="K67" i="14"/>
  <c r="J67" i="14"/>
  <c r="I67" i="14"/>
  <c r="H67" i="14"/>
  <c r="H106" i="14" s="1"/>
  <c r="G67" i="14"/>
  <c r="F67" i="14"/>
  <c r="F106" i="14" s="1"/>
  <c r="E67" i="14"/>
  <c r="E106" i="14" s="1"/>
  <c r="D67" i="14"/>
  <c r="V66" i="14"/>
  <c r="U66" i="14"/>
  <c r="T66" i="14"/>
  <c r="S66" i="14"/>
  <c r="R66" i="14"/>
  <c r="Q66" i="14"/>
  <c r="P66" i="14"/>
  <c r="P105" i="14" s="1"/>
  <c r="O66" i="14"/>
  <c r="N66" i="14"/>
  <c r="M66" i="14"/>
  <c r="L66" i="14"/>
  <c r="K66" i="14"/>
  <c r="K105" i="14" s="1"/>
  <c r="J66" i="14"/>
  <c r="I66" i="14"/>
  <c r="I105" i="14" s="1"/>
  <c r="H66" i="14"/>
  <c r="H105" i="14" s="1"/>
  <c r="G66" i="14"/>
  <c r="F66" i="14"/>
  <c r="E66" i="14"/>
  <c r="D66" i="14"/>
  <c r="V65" i="14"/>
  <c r="U65" i="14"/>
  <c r="U104" i="14" s="1"/>
  <c r="T65" i="14"/>
  <c r="S65" i="14"/>
  <c r="R65" i="14"/>
  <c r="R104" i="14" s="1"/>
  <c r="Q65" i="14"/>
  <c r="P65" i="14"/>
  <c r="O65" i="14"/>
  <c r="N65" i="14"/>
  <c r="N104" i="14" s="1"/>
  <c r="M65" i="14"/>
  <c r="L65" i="14"/>
  <c r="L104" i="14" s="1"/>
  <c r="K65" i="14"/>
  <c r="K104" i="14" s="1"/>
  <c r="J65" i="14"/>
  <c r="J104" i="14" s="1"/>
  <c r="I65" i="14"/>
  <c r="H65" i="14"/>
  <c r="G65" i="14"/>
  <c r="F65" i="14"/>
  <c r="E65" i="14"/>
  <c r="D65" i="14"/>
  <c r="R64" i="14"/>
  <c r="V63" i="14"/>
  <c r="U63" i="14"/>
  <c r="U102" i="14" s="1"/>
  <c r="T63" i="14"/>
  <c r="S63" i="14"/>
  <c r="R63" i="14"/>
  <c r="R102" i="14" s="1"/>
  <c r="Q63" i="14"/>
  <c r="P63" i="14"/>
  <c r="O63" i="14"/>
  <c r="O102" i="14" s="1"/>
  <c r="N63" i="14"/>
  <c r="M63" i="14"/>
  <c r="M102" i="14" s="1"/>
  <c r="L63" i="14"/>
  <c r="K63" i="14"/>
  <c r="J63" i="14"/>
  <c r="I63" i="14"/>
  <c r="H63" i="14"/>
  <c r="G63" i="14"/>
  <c r="F63" i="14"/>
  <c r="F102" i="14" s="1"/>
  <c r="E63" i="14"/>
  <c r="D63" i="14"/>
  <c r="V62" i="14"/>
  <c r="U62" i="14"/>
  <c r="U101" i="14" s="1"/>
  <c r="T62" i="14"/>
  <c r="S62" i="14"/>
  <c r="R62" i="14"/>
  <c r="R101" i="14" s="1"/>
  <c r="Q62" i="14"/>
  <c r="Q101" i="14" s="1"/>
  <c r="P62" i="14"/>
  <c r="P101" i="14" s="1"/>
  <c r="O62" i="14"/>
  <c r="N62" i="14"/>
  <c r="M62" i="14"/>
  <c r="L62" i="14"/>
  <c r="K62" i="14"/>
  <c r="J62" i="14"/>
  <c r="I62" i="14"/>
  <c r="I101" i="14" s="1"/>
  <c r="H62" i="14"/>
  <c r="G62" i="14"/>
  <c r="F62" i="14"/>
  <c r="E62" i="14"/>
  <c r="E101" i="14" s="1"/>
  <c r="D62" i="14"/>
  <c r="V61" i="14"/>
  <c r="U61" i="14"/>
  <c r="U100" i="14" s="1"/>
  <c r="T61" i="14"/>
  <c r="T100" i="14" s="1"/>
  <c r="S61" i="14"/>
  <c r="S100" i="14" s="1"/>
  <c r="R61" i="14"/>
  <c r="Q61" i="14"/>
  <c r="P61" i="14"/>
  <c r="O61" i="14"/>
  <c r="N61" i="14"/>
  <c r="M61" i="14"/>
  <c r="L61" i="14"/>
  <c r="L100" i="14" s="1"/>
  <c r="K61" i="14"/>
  <c r="J61" i="14"/>
  <c r="I61" i="14"/>
  <c r="H61" i="14"/>
  <c r="H100" i="14" s="1"/>
  <c r="G61" i="14"/>
  <c r="F61" i="14"/>
  <c r="E61" i="14"/>
  <c r="E100" i="14" s="1"/>
  <c r="D61" i="14"/>
  <c r="D100" i="14" s="1"/>
  <c r="V60" i="14"/>
  <c r="V99" i="14" s="1"/>
  <c r="U60" i="14"/>
  <c r="T60" i="14"/>
  <c r="S60" i="14"/>
  <c r="R60" i="14"/>
  <c r="Q60" i="14"/>
  <c r="P60" i="14"/>
  <c r="O60" i="14"/>
  <c r="O99" i="14" s="1"/>
  <c r="N60" i="14"/>
  <c r="M60" i="14"/>
  <c r="L60" i="14"/>
  <c r="K60" i="14"/>
  <c r="K99" i="14" s="1"/>
  <c r="J60" i="14"/>
  <c r="I60" i="14"/>
  <c r="H60" i="14"/>
  <c r="H99" i="14" s="1"/>
  <c r="G60" i="14"/>
  <c r="G99" i="14" s="1"/>
  <c r="F60" i="14"/>
  <c r="F99" i="14" s="1"/>
  <c r="E60" i="14"/>
  <c r="D60" i="14"/>
  <c r="V59" i="14"/>
  <c r="U59" i="14"/>
  <c r="U98" i="14" s="1"/>
  <c r="T59" i="14"/>
  <c r="S59" i="14"/>
  <c r="R59" i="14"/>
  <c r="R98" i="14" s="1"/>
  <c r="Q59" i="14"/>
  <c r="P59" i="14"/>
  <c r="P98" i="14" s="1"/>
  <c r="O59" i="14"/>
  <c r="N59" i="14"/>
  <c r="N98" i="14" s="1"/>
  <c r="M59" i="14"/>
  <c r="L59" i="14"/>
  <c r="K59" i="14"/>
  <c r="K98" i="14" s="1"/>
  <c r="J59" i="14"/>
  <c r="J98" i="14" s="1"/>
  <c r="I59" i="14"/>
  <c r="I98" i="14" s="1"/>
  <c r="H59" i="14"/>
  <c r="G59" i="14"/>
  <c r="F59" i="14"/>
  <c r="E59" i="14"/>
  <c r="D59" i="14"/>
  <c r="V58" i="14"/>
  <c r="U58" i="14"/>
  <c r="U97" i="14" s="1"/>
  <c r="T58" i="14"/>
  <c r="S58" i="14"/>
  <c r="R58" i="14"/>
  <c r="Q58" i="14"/>
  <c r="Q97" i="14" s="1"/>
  <c r="P58" i="14"/>
  <c r="O58" i="14"/>
  <c r="N58" i="14"/>
  <c r="N97" i="14" s="1"/>
  <c r="M58" i="14"/>
  <c r="M97" i="14" s="1"/>
  <c r="L58" i="14"/>
  <c r="L97" i="14" s="1"/>
  <c r="K58" i="14"/>
  <c r="J58" i="14"/>
  <c r="I58" i="14"/>
  <c r="H58" i="14"/>
  <c r="G58" i="14"/>
  <c r="F58" i="14"/>
  <c r="E58" i="14"/>
  <c r="E97" i="14" s="1"/>
  <c r="D58" i="14"/>
  <c r="D97" i="14" s="1"/>
  <c r="V57" i="14"/>
  <c r="U57" i="14"/>
  <c r="T57" i="14"/>
  <c r="T96" i="14" s="1"/>
  <c r="S57" i="14"/>
  <c r="R57" i="14"/>
  <c r="Q57" i="14"/>
  <c r="Q96" i="14" s="1"/>
  <c r="P57" i="14"/>
  <c r="P96" i="14" s="1"/>
  <c r="O57" i="14"/>
  <c r="O96" i="14" s="1"/>
  <c r="N57" i="14"/>
  <c r="M57" i="14"/>
  <c r="L57" i="14"/>
  <c r="K57" i="14"/>
  <c r="J57" i="14"/>
  <c r="I57" i="14"/>
  <c r="H57" i="14"/>
  <c r="H96" i="14" s="1"/>
  <c r="G57" i="14"/>
  <c r="G96" i="14" s="1"/>
  <c r="F57" i="14"/>
  <c r="E57" i="14"/>
  <c r="D57" i="14"/>
  <c r="D96" i="14" s="1"/>
  <c r="V56" i="14"/>
  <c r="U56" i="14"/>
  <c r="U95" i="14" s="1"/>
  <c r="T56" i="14"/>
  <c r="T95" i="14" s="1"/>
  <c r="S56" i="14"/>
  <c r="S95" i="14" s="1"/>
  <c r="R56" i="14"/>
  <c r="R95" i="14" s="1"/>
  <c r="Q56" i="14"/>
  <c r="Q95" i="14" s="1"/>
  <c r="P56" i="14"/>
  <c r="P95" i="14" s="1"/>
  <c r="O56" i="14"/>
  <c r="N56" i="14"/>
  <c r="N95" i="14" s="1"/>
  <c r="M56" i="14"/>
  <c r="L56" i="14"/>
  <c r="K56" i="14"/>
  <c r="K95" i="14" s="1"/>
  <c r="J56" i="14"/>
  <c r="J95" i="14" s="1"/>
  <c r="I56" i="14"/>
  <c r="I95" i="14" s="1"/>
  <c r="H56" i="14"/>
  <c r="G56" i="14"/>
  <c r="G95" i="14" s="1"/>
  <c r="F56" i="14"/>
  <c r="E56" i="14"/>
  <c r="E95" i="14" s="1"/>
  <c r="D56" i="14"/>
  <c r="D95" i="14" s="1"/>
  <c r="V55" i="14"/>
  <c r="V94" i="14" s="1"/>
  <c r="U55" i="14"/>
  <c r="U94" i="14" s="1"/>
  <c r="T55" i="14"/>
  <c r="S55" i="14"/>
  <c r="R55" i="14"/>
  <c r="Q55" i="14"/>
  <c r="P55" i="14"/>
  <c r="O55" i="14"/>
  <c r="N55" i="14"/>
  <c r="N94" i="14" s="1"/>
  <c r="M55" i="14"/>
  <c r="M94" i="14" s="1"/>
  <c r="L55" i="14"/>
  <c r="K55" i="14"/>
  <c r="J55" i="14"/>
  <c r="J94" i="14" s="1"/>
  <c r="I55" i="14"/>
  <c r="H55" i="14"/>
  <c r="G55" i="14"/>
  <c r="G94" i="14" s="1"/>
  <c r="F55" i="14"/>
  <c r="F94" i="14" s="1"/>
  <c r="E55" i="14"/>
  <c r="E94" i="14" s="1"/>
  <c r="D55" i="14"/>
  <c r="V54" i="14"/>
  <c r="V93" i="14" s="1"/>
  <c r="U54" i="14"/>
  <c r="T54" i="14"/>
  <c r="T93" i="14" s="1"/>
  <c r="S54" i="14"/>
  <c r="R54" i="14"/>
  <c r="Q54" i="14"/>
  <c r="Q93" i="14" s="1"/>
  <c r="P54" i="14"/>
  <c r="P93" i="14" s="1"/>
  <c r="O54" i="14"/>
  <c r="O93" i="14" s="1"/>
  <c r="N54" i="14"/>
  <c r="M54" i="14"/>
  <c r="M93" i="14" s="1"/>
  <c r="L54" i="14"/>
  <c r="K54" i="14"/>
  <c r="J54" i="14"/>
  <c r="J93" i="14" s="1"/>
  <c r="I54" i="14"/>
  <c r="I93" i="14" s="1"/>
  <c r="H54" i="14"/>
  <c r="G54" i="14"/>
  <c r="F54" i="14"/>
  <c r="E54" i="14"/>
  <c r="D54" i="14"/>
  <c r="V53" i="14"/>
  <c r="U53" i="14"/>
  <c r="T53" i="14"/>
  <c r="T92" i="14" s="1"/>
  <c r="S53" i="14"/>
  <c r="S92" i="14" s="1"/>
  <c r="R53" i="14"/>
  <c r="Q53" i="14"/>
  <c r="P53" i="14"/>
  <c r="P92" i="14" s="1"/>
  <c r="O53" i="14"/>
  <c r="N53" i="14"/>
  <c r="M53" i="14"/>
  <c r="M92" i="14" s="1"/>
  <c r="L53" i="14"/>
  <c r="L92" i="14" s="1"/>
  <c r="K53" i="14"/>
  <c r="J53" i="14"/>
  <c r="I53" i="14"/>
  <c r="I81" i="14" s="1"/>
  <c r="H53" i="14"/>
  <c r="G53" i="14"/>
  <c r="F53" i="14"/>
  <c r="E53" i="14"/>
  <c r="D53" i="14"/>
  <c r="D92" i="14" s="1"/>
  <c r="V52" i="14"/>
  <c r="U52" i="14"/>
  <c r="T52" i="14"/>
  <c r="S52" i="14"/>
  <c r="R52" i="14"/>
  <c r="Q52" i="14"/>
  <c r="P52" i="14"/>
  <c r="P91" i="14" s="1"/>
  <c r="O52" i="14"/>
  <c r="O91" i="14" s="1"/>
  <c r="N52" i="14"/>
  <c r="N91" i="14" s="1"/>
  <c r="M52" i="14"/>
  <c r="L52" i="14"/>
  <c r="K52" i="14"/>
  <c r="J52" i="14"/>
  <c r="I52" i="14"/>
  <c r="H52" i="14"/>
  <c r="G52" i="14"/>
  <c r="G91" i="14" s="1"/>
  <c r="F52" i="14"/>
  <c r="E52" i="14"/>
  <c r="D52" i="14"/>
  <c r="V42" i="14"/>
  <c r="V41" i="14"/>
  <c r="U41" i="14"/>
  <c r="T41" i="14"/>
  <c r="S41" i="14"/>
  <c r="R41" i="14"/>
  <c r="Q41" i="14"/>
  <c r="P41" i="14"/>
  <c r="O41" i="14"/>
  <c r="N41" i="14"/>
  <c r="M41" i="14"/>
  <c r="L41" i="14"/>
  <c r="K41" i="14"/>
  <c r="K273" i="14" s="1"/>
  <c r="J41" i="14"/>
  <c r="J196" i="14" s="1"/>
  <c r="I41" i="14"/>
  <c r="I196" i="14" s="1"/>
  <c r="H41" i="14"/>
  <c r="H273" i="14" s="1"/>
  <c r="G41" i="14"/>
  <c r="G119" i="14" s="1"/>
  <c r="F41" i="14"/>
  <c r="E41" i="14"/>
  <c r="E273" i="14" s="1"/>
  <c r="D41" i="14"/>
  <c r="V40" i="14"/>
  <c r="V118" i="14" s="1"/>
  <c r="U40" i="14"/>
  <c r="T40" i="14"/>
  <c r="T272" i="14" s="1"/>
  <c r="S40" i="14"/>
  <c r="R40" i="14"/>
  <c r="R272" i="14" s="1"/>
  <c r="Q40" i="14"/>
  <c r="P40" i="14"/>
  <c r="P272" i="14" s="1"/>
  <c r="O40" i="14"/>
  <c r="O195" i="14" s="1"/>
  <c r="N40" i="14"/>
  <c r="M40" i="14"/>
  <c r="L40" i="14"/>
  <c r="L118" i="14" s="1"/>
  <c r="K40" i="14"/>
  <c r="K272" i="14" s="1"/>
  <c r="J40" i="14"/>
  <c r="J195" i="14" s="1"/>
  <c r="I40" i="14"/>
  <c r="H40" i="14"/>
  <c r="G40" i="14"/>
  <c r="G118" i="14" s="1"/>
  <c r="F40" i="14"/>
  <c r="F272" i="14" s="1"/>
  <c r="E40" i="14"/>
  <c r="D40" i="14"/>
  <c r="V39" i="14"/>
  <c r="U39" i="14"/>
  <c r="U271" i="14" s="1"/>
  <c r="T39" i="14"/>
  <c r="S39" i="14"/>
  <c r="S271" i="14" s="1"/>
  <c r="R39" i="14"/>
  <c r="R194" i="14" s="1"/>
  <c r="Q39" i="14"/>
  <c r="Q271" i="14" s="1"/>
  <c r="P39" i="14"/>
  <c r="P194" i="14" s="1"/>
  <c r="O39" i="14"/>
  <c r="N39" i="14"/>
  <c r="M39" i="14"/>
  <c r="L39" i="14"/>
  <c r="K39" i="14"/>
  <c r="J39" i="14"/>
  <c r="I39" i="14"/>
  <c r="H39" i="14"/>
  <c r="H194" i="14" s="1"/>
  <c r="G39" i="14"/>
  <c r="G271" i="14" s="1"/>
  <c r="F39" i="14"/>
  <c r="E39" i="14"/>
  <c r="D39" i="14"/>
  <c r="V38" i="14"/>
  <c r="U38" i="14"/>
  <c r="T38" i="14"/>
  <c r="S38" i="14"/>
  <c r="R38" i="14"/>
  <c r="Q38" i="14"/>
  <c r="P38" i="14"/>
  <c r="O38" i="14"/>
  <c r="N38" i="14"/>
  <c r="M38" i="14"/>
  <c r="L38" i="14"/>
  <c r="K38" i="14"/>
  <c r="J38" i="14"/>
  <c r="I38" i="14"/>
  <c r="H38" i="14"/>
  <c r="G38" i="14"/>
  <c r="F38" i="14"/>
  <c r="E38" i="14"/>
  <c r="D38" i="14"/>
  <c r="V37" i="14"/>
  <c r="V192" i="14" s="1"/>
  <c r="U37" i="14"/>
  <c r="T37" i="14"/>
  <c r="T269" i="14" s="1"/>
  <c r="S37" i="14"/>
  <c r="R37" i="14"/>
  <c r="Q37" i="14"/>
  <c r="P37" i="14"/>
  <c r="P115" i="14" s="1"/>
  <c r="O37" i="14"/>
  <c r="O269" i="14" s="1"/>
  <c r="N37" i="14"/>
  <c r="M37" i="14"/>
  <c r="M269" i="14" s="1"/>
  <c r="L37" i="14"/>
  <c r="K37" i="14"/>
  <c r="K269" i="14" s="1"/>
  <c r="J37" i="14"/>
  <c r="I37" i="14"/>
  <c r="I269" i="14" s="1"/>
  <c r="H37" i="14"/>
  <c r="H192" i="14" s="1"/>
  <c r="G37" i="14"/>
  <c r="G269" i="14" s="1"/>
  <c r="F37" i="14"/>
  <c r="F192" i="14" s="1"/>
  <c r="E37" i="14"/>
  <c r="D37" i="14"/>
  <c r="D269" i="14" s="1"/>
  <c r="V36" i="14"/>
  <c r="V114" i="14" s="1"/>
  <c r="U36" i="14"/>
  <c r="T36" i="14"/>
  <c r="T268" i="14" s="1"/>
  <c r="S36" i="14"/>
  <c r="R36" i="14"/>
  <c r="R268" i="14" s="1"/>
  <c r="Q36" i="14"/>
  <c r="P36" i="14"/>
  <c r="P268" i="14" s="1"/>
  <c r="O36" i="14"/>
  <c r="N36" i="14"/>
  <c r="N268" i="14" s="1"/>
  <c r="M36" i="14"/>
  <c r="L36" i="14"/>
  <c r="L268" i="14" s="1"/>
  <c r="K36" i="14"/>
  <c r="J36" i="14"/>
  <c r="J268" i="14" s="1"/>
  <c r="I36" i="14"/>
  <c r="I191" i="14" s="1"/>
  <c r="H36" i="14"/>
  <c r="G36" i="14"/>
  <c r="F36" i="14"/>
  <c r="E36" i="14"/>
  <c r="D36" i="14"/>
  <c r="D268" i="14" s="1"/>
  <c r="V35" i="14"/>
  <c r="V113" i="14" s="1"/>
  <c r="U35" i="14"/>
  <c r="U267" i="14" s="1"/>
  <c r="T35" i="14"/>
  <c r="T113" i="14" s="1"/>
  <c r="S35" i="14"/>
  <c r="S267" i="14" s="1"/>
  <c r="R35" i="14"/>
  <c r="Q35" i="14"/>
  <c r="Q267" i="14" s="1"/>
  <c r="P35" i="14"/>
  <c r="O35" i="14"/>
  <c r="O267" i="14" s="1"/>
  <c r="N35" i="14"/>
  <c r="M35" i="14"/>
  <c r="M267" i="14" s="1"/>
  <c r="L35" i="14"/>
  <c r="L190" i="14" s="1"/>
  <c r="K35" i="14"/>
  <c r="K113" i="14" s="1"/>
  <c r="J35" i="14"/>
  <c r="J267" i="14" s="1"/>
  <c r="I35" i="14"/>
  <c r="H35" i="14"/>
  <c r="H113" i="14" s="1"/>
  <c r="G35" i="14"/>
  <c r="F35" i="14"/>
  <c r="E35" i="14"/>
  <c r="D35" i="14"/>
  <c r="D267" i="14" s="1"/>
  <c r="V34" i="14"/>
  <c r="U34" i="14"/>
  <c r="T34" i="14"/>
  <c r="S34" i="14"/>
  <c r="R34" i="14"/>
  <c r="Q34" i="14"/>
  <c r="P34" i="14"/>
  <c r="O34" i="14"/>
  <c r="N34" i="14"/>
  <c r="M34" i="14"/>
  <c r="L34" i="14"/>
  <c r="K34" i="14"/>
  <c r="J34" i="14"/>
  <c r="I34" i="14"/>
  <c r="H34" i="14"/>
  <c r="G34" i="14"/>
  <c r="F34" i="14"/>
  <c r="E34" i="14"/>
  <c r="D34" i="14"/>
  <c r="V33" i="14"/>
  <c r="U33" i="14"/>
  <c r="U265" i="14" s="1"/>
  <c r="T33" i="14"/>
  <c r="S33" i="14"/>
  <c r="S265" i="14" s="1"/>
  <c r="R33" i="14"/>
  <c r="Q33" i="14"/>
  <c r="P33" i="14"/>
  <c r="P265" i="14" s="1"/>
  <c r="O33" i="14"/>
  <c r="N33" i="14"/>
  <c r="M33" i="14"/>
  <c r="L33" i="14"/>
  <c r="K33" i="14"/>
  <c r="J33" i="14"/>
  <c r="I33" i="14"/>
  <c r="H33" i="14"/>
  <c r="H265" i="14" s="1"/>
  <c r="G33" i="14"/>
  <c r="F33" i="14"/>
  <c r="E33" i="14"/>
  <c r="D33" i="14"/>
  <c r="D188" i="14" s="1"/>
  <c r="V32" i="14"/>
  <c r="V264" i="14" s="1"/>
  <c r="U32" i="14"/>
  <c r="U187" i="14" s="1"/>
  <c r="T32" i="14"/>
  <c r="T110" i="14" s="1"/>
  <c r="S32" i="14"/>
  <c r="S264" i="14" s="1"/>
  <c r="R32" i="14"/>
  <c r="R110" i="14" s="1"/>
  <c r="Q32" i="14"/>
  <c r="P32" i="14"/>
  <c r="O32" i="14"/>
  <c r="N32" i="14"/>
  <c r="N187" i="14" s="1"/>
  <c r="M32" i="14"/>
  <c r="L32" i="14"/>
  <c r="L264" i="14" s="1"/>
  <c r="K32" i="14"/>
  <c r="J32" i="14"/>
  <c r="I32" i="14"/>
  <c r="H32" i="14"/>
  <c r="H264" i="14" s="1"/>
  <c r="G32" i="14"/>
  <c r="F32" i="14"/>
  <c r="F264" i="14" s="1"/>
  <c r="E32" i="14"/>
  <c r="E187" i="14" s="1"/>
  <c r="D32" i="14"/>
  <c r="D110" i="14" s="1"/>
  <c r="V31" i="14"/>
  <c r="U31" i="14"/>
  <c r="U186" i="14" s="1"/>
  <c r="T31" i="14"/>
  <c r="S31" i="14"/>
  <c r="R31" i="14"/>
  <c r="Q31" i="14"/>
  <c r="Q186" i="14" s="1"/>
  <c r="P31" i="14"/>
  <c r="O31" i="14"/>
  <c r="O263" i="14" s="1"/>
  <c r="N31" i="14"/>
  <c r="M31" i="14"/>
  <c r="M263" i="14" s="1"/>
  <c r="L31" i="14"/>
  <c r="K31" i="14"/>
  <c r="J31" i="14"/>
  <c r="J186" i="14" s="1"/>
  <c r="I31" i="14"/>
  <c r="I263" i="14" s="1"/>
  <c r="H31" i="14"/>
  <c r="H263" i="14" s="1"/>
  <c r="G31" i="14"/>
  <c r="G109" i="14" s="1"/>
  <c r="F31" i="14"/>
  <c r="F263" i="14" s="1"/>
  <c r="E31" i="14"/>
  <c r="E109" i="14" s="1"/>
  <c r="D31" i="14"/>
  <c r="V30" i="14"/>
  <c r="U30" i="14"/>
  <c r="T30" i="14"/>
  <c r="T262" i="14" s="1"/>
  <c r="S30" i="14"/>
  <c r="R30" i="14"/>
  <c r="R262" i="14" s="1"/>
  <c r="Q30" i="14"/>
  <c r="P30" i="14"/>
  <c r="P262" i="14" s="1"/>
  <c r="O30" i="14"/>
  <c r="N30" i="14"/>
  <c r="N262" i="14" s="1"/>
  <c r="M30" i="14"/>
  <c r="L30" i="14"/>
  <c r="L262" i="14" s="1"/>
  <c r="K30" i="14"/>
  <c r="J30" i="14"/>
  <c r="I30" i="14"/>
  <c r="H30" i="14"/>
  <c r="H108" i="14" s="1"/>
  <c r="G30" i="14"/>
  <c r="G108" i="14" s="1"/>
  <c r="F30" i="14"/>
  <c r="F262" i="14" s="1"/>
  <c r="E30" i="14"/>
  <c r="E108" i="14" s="1"/>
  <c r="D30" i="14"/>
  <c r="V29" i="14"/>
  <c r="U29" i="14"/>
  <c r="U261" i="14" s="1"/>
  <c r="T29" i="14"/>
  <c r="S29" i="14"/>
  <c r="S261" i="14" s="1"/>
  <c r="R29" i="14"/>
  <c r="Q29" i="14"/>
  <c r="Q261" i="14" s="1"/>
  <c r="P29" i="14"/>
  <c r="P184" i="14" s="1"/>
  <c r="O29" i="14"/>
  <c r="O261" i="14" s="1"/>
  <c r="N29" i="14"/>
  <c r="M29" i="14"/>
  <c r="M107" i="14" s="1"/>
  <c r="L29" i="14"/>
  <c r="K29" i="14"/>
  <c r="K107" i="14" s="1"/>
  <c r="J29" i="14"/>
  <c r="J107" i="14" s="1"/>
  <c r="I29" i="14"/>
  <c r="I261" i="14" s="1"/>
  <c r="H29" i="14"/>
  <c r="G29" i="14"/>
  <c r="F29" i="14"/>
  <c r="F261" i="14" s="1"/>
  <c r="E29" i="14"/>
  <c r="E261" i="14" s="1"/>
  <c r="D29" i="14"/>
  <c r="V28" i="14"/>
  <c r="U28" i="14"/>
  <c r="T28" i="14"/>
  <c r="S28" i="14"/>
  <c r="R28" i="14"/>
  <c r="Q28" i="14"/>
  <c r="Q183" i="14" s="1"/>
  <c r="P28" i="14"/>
  <c r="P106" i="14" s="1"/>
  <c r="O28" i="14"/>
  <c r="N28" i="14"/>
  <c r="M28" i="14"/>
  <c r="M106" i="14" s="1"/>
  <c r="L28" i="14"/>
  <c r="K28" i="14"/>
  <c r="J28" i="14"/>
  <c r="I28" i="14"/>
  <c r="I106" i="14" s="1"/>
  <c r="H28" i="14"/>
  <c r="H260" i="14" s="1"/>
  <c r="G28" i="14"/>
  <c r="F28" i="14"/>
  <c r="F260" i="14" s="1"/>
  <c r="E28" i="14"/>
  <c r="D28" i="14"/>
  <c r="D260" i="14" s="1"/>
  <c r="V27" i="14"/>
  <c r="V182" i="14" s="1"/>
  <c r="U27" i="14"/>
  <c r="U259" i="14" s="1"/>
  <c r="T27" i="14"/>
  <c r="T105" i="14" s="1"/>
  <c r="S27" i="14"/>
  <c r="R27" i="14"/>
  <c r="R259" i="14" s="1"/>
  <c r="Q27" i="14"/>
  <c r="Q105" i="14" s="1"/>
  <c r="P27" i="14"/>
  <c r="O27" i="14"/>
  <c r="O259" i="14" s="1"/>
  <c r="N27" i="14"/>
  <c r="M27" i="14"/>
  <c r="L27" i="14"/>
  <c r="K27" i="14"/>
  <c r="K259" i="14" s="1"/>
  <c r="J27" i="14"/>
  <c r="I27" i="14"/>
  <c r="I259" i="14" s="1"/>
  <c r="H27" i="14"/>
  <c r="G27" i="14"/>
  <c r="G259" i="14" s="1"/>
  <c r="F27" i="14"/>
  <c r="F182" i="14" s="1"/>
  <c r="E27" i="14"/>
  <c r="E259" i="14" s="1"/>
  <c r="D27" i="14"/>
  <c r="D182" i="14" s="1"/>
  <c r="V26" i="14"/>
  <c r="U26" i="14"/>
  <c r="U258" i="14" s="1"/>
  <c r="T26" i="14"/>
  <c r="T104" i="14" s="1"/>
  <c r="S26" i="14"/>
  <c r="R26" i="14"/>
  <c r="Q26" i="14"/>
  <c r="Q104" i="14" s="1"/>
  <c r="P26" i="14"/>
  <c r="P181" i="14" s="1"/>
  <c r="O26" i="14"/>
  <c r="O104" i="14" s="1"/>
  <c r="N26" i="14"/>
  <c r="M26" i="14"/>
  <c r="L26" i="14"/>
  <c r="L258" i="14" s="1"/>
  <c r="K26" i="14"/>
  <c r="J26" i="14"/>
  <c r="J258" i="14" s="1"/>
  <c r="I26" i="14"/>
  <c r="I181" i="14" s="1"/>
  <c r="H26" i="14"/>
  <c r="H258" i="14" s="1"/>
  <c r="G26" i="14"/>
  <c r="G181" i="14" s="1"/>
  <c r="F26" i="14"/>
  <c r="F104" i="14" s="1"/>
  <c r="E26" i="14"/>
  <c r="D26" i="14"/>
  <c r="V24" i="14"/>
  <c r="V102" i="14" s="1"/>
  <c r="U24" i="14"/>
  <c r="T24" i="14"/>
  <c r="S24" i="14"/>
  <c r="R24" i="14"/>
  <c r="R256" i="14" s="1"/>
  <c r="Q24" i="14"/>
  <c r="Q256" i="14" s="1"/>
  <c r="P24" i="14"/>
  <c r="P256" i="14" s="1"/>
  <c r="O24" i="14"/>
  <c r="N24" i="14"/>
  <c r="N256" i="14" s="1"/>
  <c r="M24" i="14"/>
  <c r="M179" i="14" s="1"/>
  <c r="L24" i="14"/>
  <c r="L256" i="14" s="1"/>
  <c r="K24" i="14"/>
  <c r="J24" i="14"/>
  <c r="J179" i="14" s="1"/>
  <c r="I24" i="14"/>
  <c r="H24" i="14"/>
  <c r="G24" i="14"/>
  <c r="G102" i="14" s="1"/>
  <c r="F24" i="14"/>
  <c r="E24" i="14"/>
  <c r="D24" i="14"/>
  <c r="D179" i="14" s="1"/>
  <c r="V23" i="14"/>
  <c r="V101" i="14" s="1"/>
  <c r="U23" i="14"/>
  <c r="U178" i="14" s="1"/>
  <c r="T23" i="14"/>
  <c r="T255" i="14" s="1"/>
  <c r="S23" i="14"/>
  <c r="S255" i="14" s="1"/>
  <c r="R23" i="14"/>
  <c r="Q23" i="14"/>
  <c r="Q255" i="14" s="1"/>
  <c r="P23" i="14"/>
  <c r="O23" i="14"/>
  <c r="O255" i="14" s="1"/>
  <c r="N23" i="14"/>
  <c r="M23" i="14"/>
  <c r="M178" i="14" s="1"/>
  <c r="L23" i="14"/>
  <c r="L178" i="14" s="1"/>
  <c r="K23" i="14"/>
  <c r="J23" i="14"/>
  <c r="J101" i="14" s="1"/>
  <c r="I23" i="14"/>
  <c r="I178" i="14" s="1"/>
  <c r="H23" i="14"/>
  <c r="G23" i="14"/>
  <c r="G178" i="14" s="1"/>
  <c r="F23" i="14"/>
  <c r="F101" i="14" s="1"/>
  <c r="E23" i="14"/>
  <c r="E178" i="14" s="1"/>
  <c r="D23" i="14"/>
  <c r="D255" i="14" s="1"/>
  <c r="V22" i="14"/>
  <c r="V254" i="14" s="1"/>
  <c r="U22" i="14"/>
  <c r="T22" i="14"/>
  <c r="T254" i="14" s="1"/>
  <c r="S22" i="14"/>
  <c r="S177" i="14" s="1"/>
  <c r="R22" i="14"/>
  <c r="R254" i="14" s="1"/>
  <c r="Q22" i="14"/>
  <c r="P22" i="14"/>
  <c r="P100" i="14" s="1"/>
  <c r="O22" i="14"/>
  <c r="O177" i="14" s="1"/>
  <c r="N22" i="14"/>
  <c r="M22" i="14"/>
  <c r="M100" i="14" s="1"/>
  <c r="L22" i="14"/>
  <c r="L177" i="14" s="1"/>
  <c r="K22" i="14"/>
  <c r="K254" i="14" s="1"/>
  <c r="J22" i="14"/>
  <c r="J177" i="14" s="1"/>
  <c r="I22" i="14"/>
  <c r="H22" i="14"/>
  <c r="G22" i="14"/>
  <c r="G254" i="14" s="1"/>
  <c r="F22" i="14"/>
  <c r="E22" i="14"/>
  <c r="D22" i="14"/>
  <c r="V21" i="14"/>
  <c r="U21" i="14"/>
  <c r="U253" i="14" s="1"/>
  <c r="T21" i="14"/>
  <c r="S21" i="14"/>
  <c r="R21" i="14"/>
  <c r="Q21" i="14"/>
  <c r="P21" i="14"/>
  <c r="P99" i="14" s="1"/>
  <c r="O21" i="14"/>
  <c r="O253" i="14" s="1"/>
  <c r="N21" i="14"/>
  <c r="N253" i="14" s="1"/>
  <c r="M21" i="14"/>
  <c r="M176" i="14" s="1"/>
  <c r="L21" i="14"/>
  <c r="K21" i="14"/>
  <c r="K253" i="14" s="1"/>
  <c r="J21" i="14"/>
  <c r="J253" i="14" s="1"/>
  <c r="I21" i="14"/>
  <c r="I253" i="14" s="1"/>
  <c r="H21" i="14"/>
  <c r="G21" i="14"/>
  <c r="F21" i="14"/>
  <c r="F176" i="14" s="1"/>
  <c r="E21" i="14"/>
  <c r="E253" i="14" s="1"/>
  <c r="D21" i="14"/>
  <c r="D176" i="14" s="1"/>
  <c r="V20" i="14"/>
  <c r="U20" i="14"/>
  <c r="T20" i="14"/>
  <c r="S20" i="14"/>
  <c r="R20" i="14"/>
  <c r="Q20" i="14"/>
  <c r="P20" i="14"/>
  <c r="O20" i="14"/>
  <c r="N20" i="14"/>
  <c r="N252" i="14" s="1"/>
  <c r="M20" i="14"/>
  <c r="L20" i="14"/>
  <c r="L252" i="14" s="1"/>
  <c r="K20" i="14"/>
  <c r="J20" i="14"/>
  <c r="I20" i="14"/>
  <c r="H20" i="14"/>
  <c r="H252" i="14" s="1"/>
  <c r="G20" i="14"/>
  <c r="G175" i="14" s="1"/>
  <c r="F20" i="14"/>
  <c r="F175" i="14" s="1"/>
  <c r="E20" i="14"/>
  <c r="E175" i="14" s="1"/>
  <c r="D20" i="14"/>
  <c r="V19" i="14"/>
  <c r="U19" i="14"/>
  <c r="T19" i="14"/>
  <c r="S19" i="14"/>
  <c r="S174" i="14" s="1"/>
  <c r="R19" i="14"/>
  <c r="R97" i="14" s="1"/>
  <c r="Q19" i="14"/>
  <c r="P19" i="14"/>
  <c r="P251" i="14" s="1"/>
  <c r="O19" i="14"/>
  <c r="O251" i="14" s="1"/>
  <c r="N19" i="14"/>
  <c r="M19" i="14"/>
  <c r="M251" i="14" s="1"/>
  <c r="L19" i="14"/>
  <c r="K19" i="14"/>
  <c r="K251" i="14" s="1"/>
  <c r="J19" i="14"/>
  <c r="J251" i="14" s="1"/>
  <c r="I19" i="14"/>
  <c r="I97" i="14" s="1"/>
  <c r="H19" i="14"/>
  <c r="H174" i="14" s="1"/>
  <c r="G19" i="14"/>
  <c r="F19" i="14"/>
  <c r="E19" i="14"/>
  <c r="D19" i="14"/>
  <c r="V18" i="14"/>
  <c r="V173" i="14" s="1"/>
  <c r="U18" i="14"/>
  <c r="T18" i="14"/>
  <c r="S18" i="14"/>
  <c r="S250" i="14" s="1"/>
  <c r="R18" i="14"/>
  <c r="R250" i="14" s="1"/>
  <c r="Q18" i="14"/>
  <c r="P18" i="14"/>
  <c r="P250" i="14" s="1"/>
  <c r="O18" i="14"/>
  <c r="N18" i="14"/>
  <c r="N250" i="14" s="1"/>
  <c r="M18" i="14"/>
  <c r="L18" i="14"/>
  <c r="L96" i="14" s="1"/>
  <c r="K18" i="14"/>
  <c r="K173" i="14" s="1"/>
  <c r="J18" i="14"/>
  <c r="I18" i="14"/>
  <c r="H18" i="14"/>
  <c r="G18" i="14"/>
  <c r="F18" i="14"/>
  <c r="F173" i="14" s="1"/>
  <c r="E18" i="14"/>
  <c r="E96" i="14" s="1"/>
  <c r="D18" i="14"/>
  <c r="V17" i="14"/>
  <c r="U17" i="14"/>
  <c r="T17" i="14"/>
  <c r="S17" i="14"/>
  <c r="R17" i="14"/>
  <c r="Q17" i="14"/>
  <c r="P17" i="14"/>
  <c r="O17" i="14"/>
  <c r="N17" i="14"/>
  <c r="M17" i="14"/>
  <c r="L17" i="14"/>
  <c r="K17" i="14"/>
  <c r="J17" i="14"/>
  <c r="I17" i="14"/>
  <c r="H17" i="14"/>
  <c r="G17" i="14"/>
  <c r="F17" i="14"/>
  <c r="E17" i="14"/>
  <c r="D17" i="14"/>
  <c r="V16" i="14"/>
  <c r="V248" i="14" s="1"/>
  <c r="U16" i="14"/>
  <c r="T16" i="14"/>
  <c r="T248" i="14" s="1"/>
  <c r="S16" i="14"/>
  <c r="S171" i="14" s="1"/>
  <c r="R16" i="14"/>
  <c r="R171" i="14" s="1"/>
  <c r="Q16" i="14"/>
  <c r="Q171" i="14" s="1"/>
  <c r="P16" i="14"/>
  <c r="O16" i="14"/>
  <c r="N16" i="14"/>
  <c r="N248" i="14" s="1"/>
  <c r="M16" i="14"/>
  <c r="L16" i="14"/>
  <c r="L171" i="14" s="1"/>
  <c r="K16" i="14"/>
  <c r="K94" i="14" s="1"/>
  <c r="J16" i="14"/>
  <c r="J171" i="14" s="1"/>
  <c r="I16" i="14"/>
  <c r="I171" i="14" s="1"/>
  <c r="H16" i="14"/>
  <c r="H248" i="14" s="1"/>
  <c r="G16" i="14"/>
  <c r="F16" i="14"/>
  <c r="E16" i="14"/>
  <c r="E171" i="14" s="1"/>
  <c r="D16" i="14"/>
  <c r="D248" i="14" s="1"/>
  <c r="V15" i="14"/>
  <c r="U15" i="14"/>
  <c r="T15" i="14"/>
  <c r="S15" i="14"/>
  <c r="R15" i="14"/>
  <c r="Q15" i="14"/>
  <c r="P15" i="14"/>
  <c r="O15" i="14"/>
  <c r="N15" i="14"/>
  <c r="M15" i="14"/>
  <c r="L15" i="14"/>
  <c r="L247" i="14" s="1"/>
  <c r="K15" i="14"/>
  <c r="J15" i="14"/>
  <c r="I15" i="14"/>
  <c r="H15" i="14"/>
  <c r="G15" i="14"/>
  <c r="G247" i="14" s="1"/>
  <c r="F15" i="14"/>
  <c r="E15" i="14"/>
  <c r="E93" i="14" s="1"/>
  <c r="D15" i="14"/>
  <c r="V14" i="14"/>
  <c r="U14" i="14"/>
  <c r="T14" i="14"/>
  <c r="S14" i="14"/>
  <c r="S246" i="14" s="1"/>
  <c r="R14" i="14"/>
  <c r="R169" i="14" s="1"/>
  <c r="Q14" i="14"/>
  <c r="Q246" i="14" s="1"/>
  <c r="P14" i="14"/>
  <c r="O14" i="14"/>
  <c r="O246" i="14" s="1"/>
  <c r="N14" i="14"/>
  <c r="N246" i="14" s="1"/>
  <c r="M14" i="14"/>
  <c r="L14" i="14"/>
  <c r="K14" i="14"/>
  <c r="K169" i="14" s="1"/>
  <c r="J14" i="14"/>
  <c r="J246" i="14" s="1"/>
  <c r="I14" i="14"/>
  <c r="H14" i="14"/>
  <c r="H92" i="14" s="1"/>
  <c r="G14" i="14"/>
  <c r="G169" i="14" s="1"/>
  <c r="F14" i="14"/>
  <c r="E14" i="14"/>
  <c r="D14" i="14"/>
  <c r="V13" i="14"/>
  <c r="V245" i="14" s="1"/>
  <c r="U13" i="14"/>
  <c r="T13" i="14"/>
  <c r="T245" i="14" s="1"/>
  <c r="S13" i="14"/>
  <c r="R13" i="14"/>
  <c r="Q13" i="14"/>
  <c r="P13" i="14"/>
  <c r="O13" i="14"/>
  <c r="N13" i="14"/>
  <c r="M13" i="14"/>
  <c r="M245" i="14" s="1"/>
  <c r="L13" i="14"/>
  <c r="K13" i="14"/>
  <c r="J13" i="14"/>
  <c r="I13" i="14"/>
  <c r="H13" i="14"/>
  <c r="G13" i="14"/>
  <c r="F13" i="14"/>
  <c r="E13" i="14"/>
  <c r="D13" i="14"/>
  <c r="D91" i="14" s="1"/>
  <c r="C297" i="13"/>
  <c r="I295" i="13"/>
  <c r="H295" i="13"/>
  <c r="H294" i="13"/>
  <c r="E294" i="13"/>
  <c r="I293" i="13"/>
  <c r="H293" i="13"/>
  <c r="J292" i="13"/>
  <c r="H292" i="13"/>
  <c r="I291" i="13"/>
  <c r="H291" i="13"/>
  <c r="F291" i="13"/>
  <c r="H290" i="13"/>
  <c r="I289" i="13"/>
  <c r="H289" i="13"/>
  <c r="H288" i="13"/>
  <c r="I287" i="13"/>
  <c r="J286" i="13"/>
  <c r="H286" i="13"/>
  <c r="I285" i="13"/>
  <c r="H285" i="13"/>
  <c r="J284" i="13"/>
  <c r="H284" i="13"/>
  <c r="I283" i="13"/>
  <c r="J282" i="13"/>
  <c r="H282" i="13"/>
  <c r="K281" i="13"/>
  <c r="I281" i="13"/>
  <c r="H281" i="13"/>
  <c r="J280" i="13"/>
  <c r="H280" i="13"/>
  <c r="I279" i="13"/>
  <c r="H279" i="13"/>
  <c r="H278" i="13"/>
  <c r="E278" i="13"/>
  <c r="I277" i="13"/>
  <c r="D277" i="13"/>
  <c r="J276" i="13"/>
  <c r="H276" i="13"/>
  <c r="I275" i="13"/>
  <c r="H274" i="13"/>
  <c r="K273" i="13"/>
  <c r="I273" i="13"/>
  <c r="H273" i="13"/>
  <c r="J272" i="13"/>
  <c r="H272" i="13"/>
  <c r="J270" i="13"/>
  <c r="H270" i="13"/>
  <c r="E270" i="13"/>
  <c r="H269" i="13"/>
  <c r="H268" i="13"/>
  <c r="I267" i="13"/>
  <c r="H266" i="13"/>
  <c r="C255" i="13"/>
  <c r="I254" i="13"/>
  <c r="K253" i="13"/>
  <c r="J253" i="13"/>
  <c r="I253" i="13"/>
  <c r="H253" i="13"/>
  <c r="G253" i="13"/>
  <c r="G295" i="13" s="1"/>
  <c r="F253" i="13"/>
  <c r="E253" i="13"/>
  <c r="E295" i="13" s="1"/>
  <c r="D253" i="13"/>
  <c r="D295" i="13" s="1"/>
  <c r="K252" i="13"/>
  <c r="J252" i="13"/>
  <c r="I252" i="13"/>
  <c r="H252" i="13"/>
  <c r="G252" i="13"/>
  <c r="F252" i="13"/>
  <c r="F294" i="13" s="1"/>
  <c r="E252" i="13"/>
  <c r="D252" i="13"/>
  <c r="K251" i="13"/>
  <c r="J251" i="13"/>
  <c r="I251" i="13"/>
  <c r="H251" i="13"/>
  <c r="G251" i="13"/>
  <c r="G293" i="13" s="1"/>
  <c r="F251" i="13"/>
  <c r="E251" i="13"/>
  <c r="E293" i="13" s="1"/>
  <c r="D251" i="13"/>
  <c r="D293" i="13" s="1"/>
  <c r="K250" i="13"/>
  <c r="J250" i="13"/>
  <c r="I250" i="13"/>
  <c r="H250" i="13"/>
  <c r="G250" i="13"/>
  <c r="F250" i="13"/>
  <c r="F292" i="13" s="1"/>
  <c r="E250" i="13"/>
  <c r="E292" i="13" s="1"/>
  <c r="D250" i="13"/>
  <c r="K249" i="13"/>
  <c r="J249" i="13"/>
  <c r="I249" i="13"/>
  <c r="H249" i="13"/>
  <c r="G249" i="13"/>
  <c r="G291" i="13" s="1"/>
  <c r="F249" i="13"/>
  <c r="E249" i="13"/>
  <c r="E291" i="13" s="1"/>
  <c r="D249" i="13"/>
  <c r="K248" i="13"/>
  <c r="J248" i="13"/>
  <c r="J290" i="13" s="1"/>
  <c r="I248" i="13"/>
  <c r="H248" i="13"/>
  <c r="G248" i="13"/>
  <c r="F248" i="13"/>
  <c r="F290" i="13" s="1"/>
  <c r="E248" i="13"/>
  <c r="E290" i="13" s="1"/>
  <c r="D248" i="13"/>
  <c r="K247" i="13"/>
  <c r="J247" i="13"/>
  <c r="I247" i="13"/>
  <c r="H247" i="13"/>
  <c r="G247" i="13"/>
  <c r="G289" i="13" s="1"/>
  <c r="F247" i="13"/>
  <c r="E247" i="13"/>
  <c r="E289" i="13" s="1"/>
  <c r="D247" i="13"/>
  <c r="K246" i="13"/>
  <c r="J246" i="13"/>
  <c r="I246" i="13"/>
  <c r="H246" i="13"/>
  <c r="G246" i="13"/>
  <c r="F246" i="13"/>
  <c r="F288" i="13" s="1"/>
  <c r="E246" i="13"/>
  <c r="E288" i="13" s="1"/>
  <c r="D246" i="13"/>
  <c r="K245" i="13"/>
  <c r="J245" i="13"/>
  <c r="I245" i="13"/>
  <c r="H245" i="13"/>
  <c r="G245" i="13"/>
  <c r="G287" i="13" s="1"/>
  <c r="F245" i="13"/>
  <c r="E245" i="13"/>
  <c r="E287" i="13" s="1"/>
  <c r="D245" i="13"/>
  <c r="K244" i="13"/>
  <c r="J244" i="13"/>
  <c r="I244" i="13"/>
  <c r="H244" i="13"/>
  <c r="G244" i="13"/>
  <c r="F244" i="13"/>
  <c r="F286" i="13" s="1"/>
  <c r="E244" i="13"/>
  <c r="E286" i="13" s="1"/>
  <c r="D244" i="13"/>
  <c r="K243" i="13"/>
  <c r="J243" i="13"/>
  <c r="I243" i="13"/>
  <c r="H243" i="13"/>
  <c r="G243" i="13"/>
  <c r="G285" i="13" s="1"/>
  <c r="F243" i="13"/>
  <c r="E243" i="13"/>
  <c r="E285" i="13" s="1"/>
  <c r="D243" i="13"/>
  <c r="D285" i="13" s="1"/>
  <c r="K242" i="13"/>
  <c r="J242" i="13"/>
  <c r="I242" i="13"/>
  <c r="H242" i="13"/>
  <c r="G242" i="13"/>
  <c r="F242" i="13"/>
  <c r="F284" i="13" s="1"/>
  <c r="E242" i="13"/>
  <c r="E284" i="13" s="1"/>
  <c r="D242" i="13"/>
  <c r="K241" i="13"/>
  <c r="J241" i="13"/>
  <c r="I241" i="13"/>
  <c r="H241" i="13"/>
  <c r="G241" i="13"/>
  <c r="G283" i="13" s="1"/>
  <c r="F241" i="13"/>
  <c r="E241" i="13"/>
  <c r="E283" i="13" s="1"/>
  <c r="D241" i="13"/>
  <c r="K240" i="13"/>
  <c r="J240" i="13"/>
  <c r="I240" i="13"/>
  <c r="H240" i="13"/>
  <c r="G240" i="13"/>
  <c r="F240" i="13"/>
  <c r="F282" i="13" s="1"/>
  <c r="E240" i="13"/>
  <c r="E282" i="13" s="1"/>
  <c r="D240" i="13"/>
  <c r="K239" i="13"/>
  <c r="J239" i="13"/>
  <c r="I239" i="13"/>
  <c r="H239" i="13"/>
  <c r="G239" i="13"/>
  <c r="G281" i="13" s="1"/>
  <c r="F239" i="13"/>
  <c r="E239" i="13"/>
  <c r="E281" i="13" s="1"/>
  <c r="D239" i="13"/>
  <c r="K238" i="13"/>
  <c r="J238" i="13"/>
  <c r="I238" i="13"/>
  <c r="H238" i="13"/>
  <c r="G238" i="13"/>
  <c r="F238" i="13"/>
  <c r="F280" i="13" s="1"/>
  <c r="E238" i="13"/>
  <c r="E280" i="13" s="1"/>
  <c r="D238" i="13"/>
  <c r="K237" i="13"/>
  <c r="J237" i="13"/>
  <c r="I237" i="13"/>
  <c r="H237" i="13"/>
  <c r="G237" i="13"/>
  <c r="G279" i="13" s="1"/>
  <c r="F237" i="13"/>
  <c r="E237" i="13"/>
  <c r="E279" i="13" s="1"/>
  <c r="D237" i="13"/>
  <c r="K236" i="13"/>
  <c r="J236" i="13"/>
  <c r="J278" i="13" s="1"/>
  <c r="I236" i="13"/>
  <c r="H236" i="13"/>
  <c r="G236" i="13"/>
  <c r="F236" i="13"/>
  <c r="F278" i="13" s="1"/>
  <c r="E236" i="13"/>
  <c r="D236" i="13"/>
  <c r="K235" i="13"/>
  <c r="J235" i="13"/>
  <c r="I235" i="13"/>
  <c r="H235" i="13"/>
  <c r="G235" i="13"/>
  <c r="G277" i="13" s="1"/>
  <c r="F235" i="13"/>
  <c r="F277" i="13" s="1"/>
  <c r="E235" i="13"/>
  <c r="E277" i="13" s="1"/>
  <c r="D235" i="13"/>
  <c r="K234" i="13"/>
  <c r="J234" i="13"/>
  <c r="I234" i="13"/>
  <c r="H234" i="13"/>
  <c r="G234" i="13"/>
  <c r="F234" i="13"/>
  <c r="F276" i="13" s="1"/>
  <c r="E234" i="13"/>
  <c r="E276" i="13" s="1"/>
  <c r="D234" i="13"/>
  <c r="K233" i="13"/>
  <c r="J233" i="13"/>
  <c r="I233" i="13"/>
  <c r="H233" i="13"/>
  <c r="G233" i="13"/>
  <c r="G275" i="13" s="1"/>
  <c r="F233" i="13"/>
  <c r="E233" i="13"/>
  <c r="E275" i="13" s="1"/>
  <c r="D233" i="13"/>
  <c r="K232" i="13"/>
  <c r="J232" i="13"/>
  <c r="I232" i="13"/>
  <c r="H232" i="13"/>
  <c r="G232" i="13"/>
  <c r="F232" i="13"/>
  <c r="F274" i="13" s="1"/>
  <c r="E232" i="13"/>
  <c r="E274" i="13" s="1"/>
  <c r="D232" i="13"/>
  <c r="K231" i="13"/>
  <c r="J231" i="13"/>
  <c r="I231" i="13"/>
  <c r="H231" i="13"/>
  <c r="G231" i="13"/>
  <c r="G273" i="13" s="1"/>
  <c r="F231" i="13"/>
  <c r="E231" i="13"/>
  <c r="E273" i="13" s="1"/>
  <c r="D231" i="13"/>
  <c r="K230" i="13"/>
  <c r="J230" i="13"/>
  <c r="I230" i="13"/>
  <c r="H230" i="13"/>
  <c r="G230" i="13"/>
  <c r="F230" i="13"/>
  <c r="F272" i="13" s="1"/>
  <c r="E230" i="13"/>
  <c r="E272" i="13" s="1"/>
  <c r="D230" i="13"/>
  <c r="K229" i="13"/>
  <c r="J229" i="13"/>
  <c r="I229" i="13"/>
  <c r="H229" i="13"/>
  <c r="G229" i="13"/>
  <c r="G271" i="13" s="1"/>
  <c r="F229" i="13"/>
  <c r="E229" i="13"/>
  <c r="E271" i="13" s="1"/>
  <c r="D229" i="13"/>
  <c r="K228" i="13"/>
  <c r="J228" i="13"/>
  <c r="I228" i="13"/>
  <c r="H228" i="13"/>
  <c r="G228" i="13"/>
  <c r="F228" i="13"/>
  <c r="F270" i="13" s="1"/>
  <c r="E228" i="13"/>
  <c r="D228" i="13"/>
  <c r="K227" i="13"/>
  <c r="J227" i="13"/>
  <c r="I227" i="13"/>
  <c r="H227" i="13"/>
  <c r="G227" i="13"/>
  <c r="G269" i="13" s="1"/>
  <c r="F227" i="13"/>
  <c r="E227" i="13"/>
  <c r="E269" i="13" s="1"/>
  <c r="D227" i="13"/>
  <c r="K226" i="13"/>
  <c r="J226" i="13"/>
  <c r="J268" i="13" s="1"/>
  <c r="I226" i="13"/>
  <c r="H226" i="13"/>
  <c r="G226" i="13"/>
  <c r="F226" i="13"/>
  <c r="F268" i="13" s="1"/>
  <c r="E226" i="13"/>
  <c r="E268" i="13" s="1"/>
  <c r="D226" i="13"/>
  <c r="K225" i="13"/>
  <c r="J225" i="13"/>
  <c r="I225" i="13"/>
  <c r="H225" i="13"/>
  <c r="G225" i="13"/>
  <c r="G267" i="13" s="1"/>
  <c r="F225" i="13"/>
  <c r="E225" i="13"/>
  <c r="E267" i="13" s="1"/>
  <c r="D225" i="13"/>
  <c r="K224" i="13"/>
  <c r="J224" i="13"/>
  <c r="J266" i="13" s="1"/>
  <c r="I224" i="13"/>
  <c r="H224" i="13"/>
  <c r="G224" i="13"/>
  <c r="F224" i="13"/>
  <c r="F266" i="13" s="1"/>
  <c r="E224" i="13"/>
  <c r="E266" i="13" s="1"/>
  <c r="D224" i="13"/>
  <c r="K223" i="13"/>
  <c r="K254" i="13" s="1"/>
  <c r="J223" i="13"/>
  <c r="I223" i="13"/>
  <c r="H223" i="13"/>
  <c r="H254" i="13" s="1"/>
  <c r="G223" i="13"/>
  <c r="G265" i="13" s="1"/>
  <c r="F223" i="13"/>
  <c r="E223" i="13"/>
  <c r="E254" i="13" s="1"/>
  <c r="D223" i="13"/>
  <c r="D254" i="13" s="1"/>
  <c r="C214" i="13"/>
  <c r="E212" i="13"/>
  <c r="J211" i="13"/>
  <c r="H211" i="13"/>
  <c r="G210" i="13"/>
  <c r="E210" i="13"/>
  <c r="J209" i="13"/>
  <c r="H209" i="13"/>
  <c r="F209" i="13"/>
  <c r="G208" i="13"/>
  <c r="E208" i="13"/>
  <c r="J207" i="13"/>
  <c r="H207" i="13"/>
  <c r="H206" i="13"/>
  <c r="G206" i="13"/>
  <c r="H205" i="13"/>
  <c r="F205" i="13"/>
  <c r="G204" i="13"/>
  <c r="E204" i="13"/>
  <c r="J203" i="13"/>
  <c r="H203" i="13"/>
  <c r="F203" i="13"/>
  <c r="E202" i="13"/>
  <c r="J201" i="13"/>
  <c r="H201" i="13"/>
  <c r="G200" i="13"/>
  <c r="E200" i="13"/>
  <c r="H199" i="13"/>
  <c r="F199" i="13"/>
  <c r="G198" i="13"/>
  <c r="E198" i="13"/>
  <c r="J197" i="13"/>
  <c r="F197" i="13"/>
  <c r="E196" i="13"/>
  <c r="J195" i="13"/>
  <c r="H195" i="13"/>
  <c r="G194" i="13"/>
  <c r="F194" i="13"/>
  <c r="E194" i="13"/>
  <c r="J193" i="13"/>
  <c r="H193" i="13"/>
  <c r="F193" i="13"/>
  <c r="G192" i="13"/>
  <c r="E192" i="13"/>
  <c r="J191" i="13"/>
  <c r="H191" i="13"/>
  <c r="G190" i="13"/>
  <c r="H189" i="13"/>
  <c r="F189" i="13"/>
  <c r="G188" i="13"/>
  <c r="E188" i="13"/>
  <c r="J187" i="13"/>
  <c r="H187" i="13"/>
  <c r="F187" i="13"/>
  <c r="E186" i="13"/>
  <c r="J185" i="13"/>
  <c r="H185" i="13"/>
  <c r="G184" i="13"/>
  <c r="E184" i="13"/>
  <c r="H183" i="13"/>
  <c r="F183" i="13"/>
  <c r="G182" i="13"/>
  <c r="E182" i="13"/>
  <c r="C172" i="13"/>
  <c r="F171" i="13"/>
  <c r="K170" i="13"/>
  <c r="K212" i="13" s="1"/>
  <c r="J170" i="13"/>
  <c r="I170" i="13"/>
  <c r="I212" i="13" s="1"/>
  <c r="H170" i="13"/>
  <c r="H212" i="13" s="1"/>
  <c r="G170" i="13"/>
  <c r="G212" i="13" s="1"/>
  <c r="F170" i="13"/>
  <c r="E170" i="13"/>
  <c r="D170" i="13"/>
  <c r="D212" i="13" s="1"/>
  <c r="K169" i="13"/>
  <c r="J169" i="13"/>
  <c r="I169" i="13"/>
  <c r="H169" i="13"/>
  <c r="G169" i="13"/>
  <c r="F169" i="13"/>
  <c r="F211" i="13" s="1"/>
  <c r="E169" i="13"/>
  <c r="D169" i="13"/>
  <c r="D211" i="13" s="1"/>
  <c r="K168" i="13"/>
  <c r="K210" i="13" s="1"/>
  <c r="J168" i="13"/>
  <c r="I168" i="13"/>
  <c r="I210" i="13" s="1"/>
  <c r="H168" i="13"/>
  <c r="H210" i="13" s="1"/>
  <c r="G168" i="13"/>
  <c r="F168" i="13"/>
  <c r="E168" i="13"/>
  <c r="D168" i="13"/>
  <c r="D210" i="13" s="1"/>
  <c r="K167" i="13"/>
  <c r="J167" i="13"/>
  <c r="I167" i="13"/>
  <c r="H167" i="13"/>
  <c r="G167" i="13"/>
  <c r="F167" i="13"/>
  <c r="E167" i="13"/>
  <c r="D167" i="13"/>
  <c r="K166" i="13"/>
  <c r="K208" i="13" s="1"/>
  <c r="J166" i="13"/>
  <c r="I166" i="13"/>
  <c r="I208" i="13" s="1"/>
  <c r="H166" i="13"/>
  <c r="H208" i="13" s="1"/>
  <c r="G166" i="13"/>
  <c r="F166" i="13"/>
  <c r="E166" i="13"/>
  <c r="D166" i="13"/>
  <c r="D208" i="13" s="1"/>
  <c r="K165" i="13"/>
  <c r="J165" i="13"/>
  <c r="I165" i="13"/>
  <c r="H165" i="13"/>
  <c r="G165" i="13"/>
  <c r="F165" i="13"/>
  <c r="F207" i="13" s="1"/>
  <c r="E165" i="13"/>
  <c r="D165" i="13"/>
  <c r="D207" i="13" s="1"/>
  <c r="K164" i="13"/>
  <c r="K206" i="13" s="1"/>
  <c r="J164" i="13"/>
  <c r="I164" i="13"/>
  <c r="I206" i="13" s="1"/>
  <c r="H164" i="13"/>
  <c r="G164" i="13"/>
  <c r="F164" i="13"/>
  <c r="E164" i="13"/>
  <c r="E206" i="13" s="1"/>
  <c r="D164" i="13"/>
  <c r="D206" i="13" s="1"/>
  <c r="K163" i="13"/>
  <c r="J163" i="13"/>
  <c r="I163" i="13"/>
  <c r="H163" i="13"/>
  <c r="G163" i="13"/>
  <c r="F163" i="13"/>
  <c r="E163" i="13"/>
  <c r="D163" i="13"/>
  <c r="D205" i="13" s="1"/>
  <c r="K162" i="13"/>
  <c r="K204" i="13" s="1"/>
  <c r="J162" i="13"/>
  <c r="I162" i="13"/>
  <c r="I204" i="13" s="1"/>
  <c r="H162" i="13"/>
  <c r="H204" i="13" s="1"/>
  <c r="G162" i="13"/>
  <c r="F162" i="13"/>
  <c r="E162" i="13"/>
  <c r="D162" i="13"/>
  <c r="D204" i="13" s="1"/>
  <c r="K161" i="13"/>
  <c r="J161" i="13"/>
  <c r="I161" i="13"/>
  <c r="H161" i="13"/>
  <c r="G161" i="13"/>
  <c r="F161" i="13"/>
  <c r="E161" i="13"/>
  <c r="D161" i="13"/>
  <c r="K160" i="13"/>
  <c r="K202" i="13" s="1"/>
  <c r="J160" i="13"/>
  <c r="I160" i="13"/>
  <c r="I202" i="13" s="1"/>
  <c r="H160" i="13"/>
  <c r="H202" i="13" s="1"/>
  <c r="G160" i="13"/>
  <c r="G202" i="13" s="1"/>
  <c r="F160" i="13"/>
  <c r="E160" i="13"/>
  <c r="D160" i="13"/>
  <c r="D202" i="13" s="1"/>
  <c r="K159" i="13"/>
  <c r="J159" i="13"/>
  <c r="I159" i="13"/>
  <c r="H159" i="13"/>
  <c r="G159" i="13"/>
  <c r="F159" i="13"/>
  <c r="F201" i="13" s="1"/>
  <c r="E159" i="13"/>
  <c r="D159" i="13"/>
  <c r="K158" i="13"/>
  <c r="K200" i="13" s="1"/>
  <c r="J158" i="13"/>
  <c r="I158" i="13"/>
  <c r="I200" i="13" s="1"/>
  <c r="H158" i="13"/>
  <c r="H200" i="13" s="1"/>
  <c r="G158" i="13"/>
  <c r="F158" i="13"/>
  <c r="E158" i="13"/>
  <c r="D158" i="13"/>
  <c r="D200" i="13" s="1"/>
  <c r="K157" i="13"/>
  <c r="J157" i="13"/>
  <c r="I157" i="13"/>
  <c r="H157" i="13"/>
  <c r="G157" i="13"/>
  <c r="F157" i="13"/>
  <c r="E157" i="13"/>
  <c r="D157" i="13"/>
  <c r="D199" i="13" s="1"/>
  <c r="K156" i="13"/>
  <c r="K198" i="13" s="1"/>
  <c r="J156" i="13"/>
  <c r="I156" i="13"/>
  <c r="I198" i="13" s="1"/>
  <c r="H156" i="13"/>
  <c r="H198" i="13" s="1"/>
  <c r="G156" i="13"/>
  <c r="F156" i="13"/>
  <c r="E156" i="13"/>
  <c r="D156" i="13"/>
  <c r="D198" i="13" s="1"/>
  <c r="K155" i="13"/>
  <c r="J155" i="13"/>
  <c r="I155" i="13"/>
  <c r="H155" i="13"/>
  <c r="H197" i="13" s="1"/>
  <c r="G155" i="13"/>
  <c r="F155" i="13"/>
  <c r="E155" i="13"/>
  <c r="D155" i="13"/>
  <c r="D197" i="13" s="1"/>
  <c r="K154" i="13"/>
  <c r="K196" i="13" s="1"/>
  <c r="J154" i="13"/>
  <c r="I154" i="13"/>
  <c r="I196" i="13" s="1"/>
  <c r="H154" i="13"/>
  <c r="H196" i="13" s="1"/>
  <c r="G154" i="13"/>
  <c r="G196" i="13" s="1"/>
  <c r="F154" i="13"/>
  <c r="E154" i="13"/>
  <c r="D154" i="13"/>
  <c r="D196" i="13" s="1"/>
  <c r="K153" i="13"/>
  <c r="J153" i="13"/>
  <c r="I153" i="13"/>
  <c r="H153" i="13"/>
  <c r="G153" i="13"/>
  <c r="F153" i="13"/>
  <c r="F195" i="13" s="1"/>
  <c r="E153" i="13"/>
  <c r="D153" i="13"/>
  <c r="D195" i="13" s="1"/>
  <c r="K152" i="13"/>
  <c r="K194" i="13" s="1"/>
  <c r="J152" i="13"/>
  <c r="I152" i="13"/>
  <c r="I194" i="13" s="1"/>
  <c r="H152" i="13"/>
  <c r="H194" i="13" s="1"/>
  <c r="G152" i="13"/>
  <c r="F152" i="13"/>
  <c r="E152" i="13"/>
  <c r="D152" i="13"/>
  <c r="D194" i="13" s="1"/>
  <c r="K151" i="13"/>
  <c r="J151" i="13"/>
  <c r="I151" i="13"/>
  <c r="H151" i="13"/>
  <c r="G151" i="13"/>
  <c r="F151" i="13"/>
  <c r="E151" i="13"/>
  <c r="D151" i="13"/>
  <c r="K150" i="13"/>
  <c r="K192" i="13" s="1"/>
  <c r="J150" i="13"/>
  <c r="I150" i="13"/>
  <c r="I192" i="13" s="1"/>
  <c r="H150" i="13"/>
  <c r="H192" i="13" s="1"/>
  <c r="G150" i="13"/>
  <c r="F150" i="13"/>
  <c r="E150" i="13"/>
  <c r="D150" i="13"/>
  <c r="D192" i="13" s="1"/>
  <c r="K149" i="13"/>
  <c r="J149" i="13"/>
  <c r="I149" i="13"/>
  <c r="H149" i="13"/>
  <c r="G149" i="13"/>
  <c r="F149" i="13"/>
  <c r="F191" i="13" s="1"/>
  <c r="E149" i="13"/>
  <c r="D149" i="13"/>
  <c r="D191" i="13" s="1"/>
  <c r="K148" i="13"/>
  <c r="K190" i="13" s="1"/>
  <c r="J148" i="13"/>
  <c r="I148" i="13"/>
  <c r="H148" i="13"/>
  <c r="H190" i="13" s="1"/>
  <c r="G148" i="13"/>
  <c r="F148" i="13"/>
  <c r="E148" i="13"/>
  <c r="E190" i="13" s="1"/>
  <c r="D148" i="13"/>
  <c r="D190" i="13" s="1"/>
  <c r="K147" i="13"/>
  <c r="J147" i="13"/>
  <c r="I147" i="13"/>
  <c r="H147" i="13"/>
  <c r="G147" i="13"/>
  <c r="F147" i="13"/>
  <c r="E147" i="13"/>
  <c r="D147" i="13"/>
  <c r="D189" i="13" s="1"/>
  <c r="K146" i="13"/>
  <c r="K188" i="13" s="1"/>
  <c r="J146" i="13"/>
  <c r="I146" i="13"/>
  <c r="H146" i="13"/>
  <c r="H188" i="13" s="1"/>
  <c r="G146" i="13"/>
  <c r="F146" i="13"/>
  <c r="E146" i="13"/>
  <c r="D146" i="13"/>
  <c r="D188" i="13" s="1"/>
  <c r="K145" i="13"/>
  <c r="J145" i="13"/>
  <c r="I145" i="13"/>
  <c r="H145" i="13"/>
  <c r="G145" i="13"/>
  <c r="F145" i="13"/>
  <c r="E145" i="13"/>
  <c r="D145" i="13"/>
  <c r="K144" i="13"/>
  <c r="K186" i="13" s="1"/>
  <c r="J144" i="13"/>
  <c r="I144" i="13"/>
  <c r="H144" i="13"/>
  <c r="H186" i="13" s="1"/>
  <c r="G144" i="13"/>
  <c r="G186" i="13" s="1"/>
  <c r="F144" i="13"/>
  <c r="E144" i="13"/>
  <c r="D144" i="13"/>
  <c r="D186" i="13" s="1"/>
  <c r="K143" i="13"/>
  <c r="J143" i="13"/>
  <c r="I143" i="13"/>
  <c r="H143" i="13"/>
  <c r="G143" i="13"/>
  <c r="F143" i="13"/>
  <c r="F185" i="13" s="1"/>
  <c r="E143" i="13"/>
  <c r="D143" i="13"/>
  <c r="K142" i="13"/>
  <c r="K184" i="13" s="1"/>
  <c r="J142" i="13"/>
  <c r="I142" i="13"/>
  <c r="H142" i="13"/>
  <c r="H184" i="13" s="1"/>
  <c r="G142" i="13"/>
  <c r="F142" i="13"/>
  <c r="E142" i="13"/>
  <c r="D142" i="13"/>
  <c r="D184" i="13" s="1"/>
  <c r="K141" i="13"/>
  <c r="J141" i="13"/>
  <c r="I141" i="13"/>
  <c r="H141" i="13"/>
  <c r="G141" i="13"/>
  <c r="F141" i="13"/>
  <c r="E141" i="13"/>
  <c r="D141" i="13"/>
  <c r="D183" i="13" s="1"/>
  <c r="K140" i="13"/>
  <c r="J140" i="13"/>
  <c r="J171" i="13" s="1"/>
  <c r="I140" i="13"/>
  <c r="H140" i="13"/>
  <c r="H171" i="13" s="1"/>
  <c r="G140" i="13"/>
  <c r="G171" i="13" s="1"/>
  <c r="F140" i="13"/>
  <c r="E140" i="13"/>
  <c r="E171" i="13" s="1"/>
  <c r="D140" i="13"/>
  <c r="D182" i="13" s="1"/>
  <c r="C130" i="13"/>
  <c r="J128" i="13"/>
  <c r="J127" i="13"/>
  <c r="H127" i="13"/>
  <c r="E127" i="13"/>
  <c r="D127" i="13"/>
  <c r="J126" i="13"/>
  <c r="H125" i="13"/>
  <c r="G125" i="13"/>
  <c r="D124" i="13"/>
  <c r="J123" i="13"/>
  <c r="H123" i="13"/>
  <c r="J122" i="13"/>
  <c r="H121" i="13"/>
  <c r="E121" i="13"/>
  <c r="H119" i="13"/>
  <c r="E119" i="13"/>
  <c r="J118" i="13"/>
  <c r="H118" i="13"/>
  <c r="D118" i="13"/>
  <c r="H117" i="13"/>
  <c r="J116" i="13"/>
  <c r="H115" i="13"/>
  <c r="G115" i="13"/>
  <c r="E115" i="13"/>
  <c r="H113" i="13"/>
  <c r="I112" i="13"/>
  <c r="H111" i="13"/>
  <c r="J110" i="13"/>
  <c r="G110" i="13"/>
  <c r="F110" i="13"/>
  <c r="D110" i="13"/>
  <c r="H109" i="13"/>
  <c r="H108" i="13"/>
  <c r="D108" i="13"/>
  <c r="H107" i="13"/>
  <c r="J106" i="13"/>
  <c r="H105" i="13"/>
  <c r="E105" i="13"/>
  <c r="J104" i="13"/>
  <c r="D104" i="13"/>
  <c r="H103" i="13"/>
  <c r="J102" i="13"/>
  <c r="H102" i="13"/>
  <c r="H101" i="13"/>
  <c r="J100" i="13"/>
  <c r="H99" i="13"/>
  <c r="G99" i="13"/>
  <c r="D98" i="13"/>
  <c r="C89" i="13"/>
  <c r="G88" i="13"/>
  <c r="K87" i="13"/>
  <c r="K128" i="13" s="1"/>
  <c r="J87" i="13"/>
  <c r="I87" i="13"/>
  <c r="I128" i="13" s="1"/>
  <c r="H87" i="13"/>
  <c r="H128" i="13" s="1"/>
  <c r="G87" i="13"/>
  <c r="F87" i="13"/>
  <c r="E87" i="13"/>
  <c r="E128" i="13" s="1"/>
  <c r="D87" i="13"/>
  <c r="K86" i="13"/>
  <c r="J86" i="13"/>
  <c r="I86" i="13"/>
  <c r="I127" i="13" s="1"/>
  <c r="H86" i="13"/>
  <c r="G86" i="13"/>
  <c r="F86" i="13"/>
  <c r="F127" i="13" s="1"/>
  <c r="E86" i="13"/>
  <c r="D86" i="13"/>
  <c r="K85" i="13"/>
  <c r="K126" i="13" s="1"/>
  <c r="J85" i="13"/>
  <c r="I85" i="13"/>
  <c r="I126" i="13" s="1"/>
  <c r="H85" i="13"/>
  <c r="H126" i="13" s="1"/>
  <c r="G85" i="13"/>
  <c r="F85" i="13"/>
  <c r="E85" i="13"/>
  <c r="E126" i="13" s="1"/>
  <c r="D85" i="13"/>
  <c r="K84" i="13"/>
  <c r="J84" i="13"/>
  <c r="J125" i="13" s="1"/>
  <c r="I84" i="13"/>
  <c r="I125" i="13" s="1"/>
  <c r="H84" i="13"/>
  <c r="G84" i="13"/>
  <c r="F84" i="13"/>
  <c r="F125" i="13" s="1"/>
  <c r="E84" i="13"/>
  <c r="E125" i="13" s="1"/>
  <c r="D84" i="13"/>
  <c r="K83" i="13"/>
  <c r="K124" i="13" s="1"/>
  <c r="J83" i="13"/>
  <c r="I83" i="13"/>
  <c r="I124" i="13" s="1"/>
  <c r="H83" i="13"/>
  <c r="H124" i="13" s="1"/>
  <c r="G83" i="13"/>
  <c r="F83" i="13"/>
  <c r="E83" i="13"/>
  <c r="E124" i="13" s="1"/>
  <c r="D83" i="13"/>
  <c r="K82" i="13"/>
  <c r="J82" i="13"/>
  <c r="I82" i="13"/>
  <c r="I123" i="13" s="1"/>
  <c r="H82" i="13"/>
  <c r="G82" i="13"/>
  <c r="F82" i="13"/>
  <c r="F123" i="13" s="1"/>
  <c r="E82" i="13"/>
  <c r="E123" i="13" s="1"/>
  <c r="D82" i="13"/>
  <c r="K81" i="13"/>
  <c r="K122" i="13" s="1"/>
  <c r="J81" i="13"/>
  <c r="I81" i="13"/>
  <c r="I122" i="13" s="1"/>
  <c r="H81" i="13"/>
  <c r="H122" i="13" s="1"/>
  <c r="G81" i="13"/>
  <c r="F81" i="13"/>
  <c r="E81" i="13"/>
  <c r="E122" i="13" s="1"/>
  <c r="D81" i="13"/>
  <c r="K80" i="13"/>
  <c r="J80" i="13"/>
  <c r="J121" i="13" s="1"/>
  <c r="I80" i="13"/>
  <c r="I121" i="13" s="1"/>
  <c r="H80" i="13"/>
  <c r="G80" i="13"/>
  <c r="F80" i="13"/>
  <c r="F121" i="13" s="1"/>
  <c r="E80" i="13"/>
  <c r="D80" i="13"/>
  <c r="K79" i="13"/>
  <c r="K120" i="13" s="1"/>
  <c r="J79" i="13"/>
  <c r="I79" i="13"/>
  <c r="I120" i="13" s="1"/>
  <c r="H79" i="13"/>
  <c r="H120" i="13" s="1"/>
  <c r="G79" i="13"/>
  <c r="F79" i="13"/>
  <c r="E79" i="13"/>
  <c r="E120" i="13" s="1"/>
  <c r="D79" i="13"/>
  <c r="K78" i="13"/>
  <c r="J78" i="13"/>
  <c r="J119" i="13" s="1"/>
  <c r="I78" i="13"/>
  <c r="I119" i="13" s="1"/>
  <c r="H78" i="13"/>
  <c r="G78" i="13"/>
  <c r="F78" i="13"/>
  <c r="F119" i="13" s="1"/>
  <c r="E78" i="13"/>
  <c r="D78" i="13"/>
  <c r="K77" i="13"/>
  <c r="K118" i="13" s="1"/>
  <c r="J77" i="13"/>
  <c r="I77" i="13"/>
  <c r="I118" i="13" s="1"/>
  <c r="H77" i="13"/>
  <c r="G77" i="13"/>
  <c r="F77" i="13"/>
  <c r="E77" i="13"/>
  <c r="E118" i="13" s="1"/>
  <c r="D77" i="13"/>
  <c r="K76" i="13"/>
  <c r="J76" i="13"/>
  <c r="J117" i="13" s="1"/>
  <c r="I76" i="13"/>
  <c r="I117" i="13" s="1"/>
  <c r="H76" i="13"/>
  <c r="G76" i="13"/>
  <c r="F76" i="13"/>
  <c r="F117" i="13" s="1"/>
  <c r="E76" i="13"/>
  <c r="E117" i="13" s="1"/>
  <c r="D76" i="13"/>
  <c r="K75" i="13"/>
  <c r="K116" i="13" s="1"/>
  <c r="J75" i="13"/>
  <c r="I75" i="13"/>
  <c r="I116" i="13" s="1"/>
  <c r="H75" i="13"/>
  <c r="H116" i="13" s="1"/>
  <c r="G75" i="13"/>
  <c r="F75" i="13"/>
  <c r="E75" i="13"/>
  <c r="E116" i="13" s="1"/>
  <c r="D75" i="13"/>
  <c r="K74" i="13"/>
  <c r="J74" i="13"/>
  <c r="J115" i="13" s="1"/>
  <c r="I74" i="13"/>
  <c r="I115" i="13" s="1"/>
  <c r="H74" i="13"/>
  <c r="G74" i="13"/>
  <c r="F74" i="13"/>
  <c r="F115" i="13" s="1"/>
  <c r="E74" i="13"/>
  <c r="D74" i="13"/>
  <c r="K73" i="13"/>
  <c r="K114" i="13" s="1"/>
  <c r="J73" i="13"/>
  <c r="J114" i="13" s="1"/>
  <c r="I73" i="13"/>
  <c r="I114" i="13" s="1"/>
  <c r="H73" i="13"/>
  <c r="H114" i="13" s="1"/>
  <c r="G73" i="13"/>
  <c r="F73" i="13"/>
  <c r="E73" i="13"/>
  <c r="E114" i="13" s="1"/>
  <c r="D73" i="13"/>
  <c r="K72" i="13"/>
  <c r="J72" i="13"/>
  <c r="J113" i="13" s="1"/>
  <c r="I72" i="13"/>
  <c r="I113" i="13" s="1"/>
  <c r="H72" i="13"/>
  <c r="G72" i="13"/>
  <c r="G113" i="13" s="1"/>
  <c r="F72" i="13"/>
  <c r="F113" i="13" s="1"/>
  <c r="E72" i="13"/>
  <c r="E113" i="13" s="1"/>
  <c r="D72" i="13"/>
  <c r="K71" i="13"/>
  <c r="K112" i="13" s="1"/>
  <c r="J71" i="13"/>
  <c r="J112" i="13" s="1"/>
  <c r="I71" i="13"/>
  <c r="H71" i="13"/>
  <c r="H112" i="13" s="1"/>
  <c r="G71" i="13"/>
  <c r="F71" i="13"/>
  <c r="E71" i="13"/>
  <c r="E112" i="13" s="1"/>
  <c r="D71" i="13"/>
  <c r="K70" i="13"/>
  <c r="J70" i="13"/>
  <c r="J111" i="13" s="1"/>
  <c r="I70" i="13"/>
  <c r="I111" i="13" s="1"/>
  <c r="H70" i="13"/>
  <c r="G70" i="13"/>
  <c r="F70" i="13"/>
  <c r="F111" i="13" s="1"/>
  <c r="E70" i="13"/>
  <c r="E111" i="13" s="1"/>
  <c r="D70" i="13"/>
  <c r="K69" i="13"/>
  <c r="K110" i="13" s="1"/>
  <c r="J69" i="13"/>
  <c r="I69" i="13"/>
  <c r="I110" i="13" s="1"/>
  <c r="H69" i="13"/>
  <c r="H110" i="13" s="1"/>
  <c r="G69" i="13"/>
  <c r="F69" i="13"/>
  <c r="E69" i="13"/>
  <c r="E110" i="13" s="1"/>
  <c r="D69" i="13"/>
  <c r="K68" i="13"/>
  <c r="J68" i="13"/>
  <c r="J109" i="13" s="1"/>
  <c r="I68" i="13"/>
  <c r="I109" i="13" s="1"/>
  <c r="H68" i="13"/>
  <c r="G68" i="13"/>
  <c r="F68" i="13"/>
  <c r="F109" i="13" s="1"/>
  <c r="E68" i="13"/>
  <c r="E109" i="13" s="1"/>
  <c r="D68" i="13"/>
  <c r="K67" i="13"/>
  <c r="K108" i="13" s="1"/>
  <c r="J67" i="13"/>
  <c r="I67" i="13"/>
  <c r="I108" i="13" s="1"/>
  <c r="H67" i="13"/>
  <c r="G67" i="13"/>
  <c r="F67" i="13"/>
  <c r="E67" i="13"/>
  <c r="E108" i="13" s="1"/>
  <c r="D67" i="13"/>
  <c r="K66" i="13"/>
  <c r="J66" i="13"/>
  <c r="J107" i="13" s="1"/>
  <c r="I66" i="13"/>
  <c r="I107" i="13" s="1"/>
  <c r="H66" i="13"/>
  <c r="G66" i="13"/>
  <c r="F66" i="13"/>
  <c r="F107" i="13" s="1"/>
  <c r="E66" i="13"/>
  <c r="E107" i="13" s="1"/>
  <c r="D66" i="13"/>
  <c r="K65" i="13"/>
  <c r="K106" i="13" s="1"/>
  <c r="J65" i="13"/>
  <c r="I65" i="13"/>
  <c r="I106" i="13" s="1"/>
  <c r="H65" i="13"/>
  <c r="H106" i="13" s="1"/>
  <c r="G65" i="13"/>
  <c r="F65" i="13"/>
  <c r="E65" i="13"/>
  <c r="E106" i="13" s="1"/>
  <c r="D65" i="13"/>
  <c r="K64" i="13"/>
  <c r="J64" i="13"/>
  <c r="J105" i="13" s="1"/>
  <c r="I64" i="13"/>
  <c r="I105" i="13" s="1"/>
  <c r="H64" i="13"/>
  <c r="G64" i="13"/>
  <c r="G105" i="13" s="1"/>
  <c r="F64" i="13"/>
  <c r="F105" i="13" s="1"/>
  <c r="E64" i="13"/>
  <c r="D64" i="13"/>
  <c r="K63" i="13"/>
  <c r="K104" i="13" s="1"/>
  <c r="J63" i="13"/>
  <c r="I63" i="13"/>
  <c r="I104" i="13" s="1"/>
  <c r="H63" i="13"/>
  <c r="H104" i="13" s="1"/>
  <c r="G63" i="13"/>
  <c r="F63" i="13"/>
  <c r="E63" i="13"/>
  <c r="E104" i="13" s="1"/>
  <c r="D63" i="13"/>
  <c r="K62" i="13"/>
  <c r="J62" i="13"/>
  <c r="J103" i="13" s="1"/>
  <c r="I62" i="13"/>
  <c r="I103" i="13" s="1"/>
  <c r="H62" i="13"/>
  <c r="G62" i="13"/>
  <c r="F62" i="13"/>
  <c r="F103" i="13" s="1"/>
  <c r="E62" i="13"/>
  <c r="E103" i="13" s="1"/>
  <c r="D62" i="13"/>
  <c r="K61" i="13"/>
  <c r="K102" i="13" s="1"/>
  <c r="J61" i="13"/>
  <c r="I61" i="13"/>
  <c r="I102" i="13" s="1"/>
  <c r="H61" i="13"/>
  <c r="G61" i="13"/>
  <c r="F61" i="13"/>
  <c r="E61" i="13"/>
  <c r="E102" i="13" s="1"/>
  <c r="D61" i="13"/>
  <c r="K60" i="13"/>
  <c r="J60" i="13"/>
  <c r="J101" i="13" s="1"/>
  <c r="I60" i="13"/>
  <c r="I101" i="13" s="1"/>
  <c r="H60" i="13"/>
  <c r="G60" i="13"/>
  <c r="F60" i="13"/>
  <c r="F101" i="13" s="1"/>
  <c r="E60" i="13"/>
  <c r="E101" i="13" s="1"/>
  <c r="D60" i="13"/>
  <c r="K59" i="13"/>
  <c r="K100" i="13" s="1"/>
  <c r="J59" i="13"/>
  <c r="I59" i="13"/>
  <c r="I100" i="13" s="1"/>
  <c r="H59" i="13"/>
  <c r="H100" i="13" s="1"/>
  <c r="G59" i="13"/>
  <c r="F59" i="13"/>
  <c r="E59" i="13"/>
  <c r="E100" i="13" s="1"/>
  <c r="D59" i="13"/>
  <c r="K58" i="13"/>
  <c r="J58" i="13"/>
  <c r="J99" i="13" s="1"/>
  <c r="I58" i="13"/>
  <c r="I99" i="13" s="1"/>
  <c r="H58" i="13"/>
  <c r="G58" i="13"/>
  <c r="F58" i="13"/>
  <c r="F99" i="13" s="1"/>
  <c r="E58" i="13"/>
  <c r="D58" i="13"/>
  <c r="K57" i="13"/>
  <c r="K98" i="13" s="1"/>
  <c r="J57" i="13"/>
  <c r="I57" i="13"/>
  <c r="H57" i="13"/>
  <c r="G57" i="13"/>
  <c r="F57" i="13"/>
  <c r="F88" i="13" s="1"/>
  <c r="E57" i="13"/>
  <c r="E98" i="13" s="1"/>
  <c r="D57" i="13"/>
  <c r="D88" i="13" s="1"/>
  <c r="C47" i="13"/>
  <c r="K45" i="13"/>
  <c r="K295" i="13" s="1"/>
  <c r="J45" i="13"/>
  <c r="J212" i="13" s="1"/>
  <c r="I45" i="13"/>
  <c r="H45" i="13"/>
  <c r="G45" i="13"/>
  <c r="G128" i="13" s="1"/>
  <c r="F45" i="13"/>
  <c r="F212" i="13" s="1"/>
  <c r="E45" i="13"/>
  <c r="D45" i="13"/>
  <c r="D128" i="13" s="1"/>
  <c r="K44" i="13"/>
  <c r="J44" i="13"/>
  <c r="J294" i="13" s="1"/>
  <c r="I44" i="13"/>
  <c r="H44" i="13"/>
  <c r="G44" i="13"/>
  <c r="G211" i="13" s="1"/>
  <c r="F44" i="13"/>
  <c r="E44" i="13"/>
  <c r="E211" i="13" s="1"/>
  <c r="D44" i="13"/>
  <c r="D294" i="13" s="1"/>
  <c r="K43" i="13"/>
  <c r="K293" i="13" s="1"/>
  <c r="J43" i="13"/>
  <c r="J210" i="13" s="1"/>
  <c r="I43" i="13"/>
  <c r="H43" i="13"/>
  <c r="G43" i="13"/>
  <c r="G126" i="13" s="1"/>
  <c r="F43" i="13"/>
  <c r="F210" i="13" s="1"/>
  <c r="E43" i="13"/>
  <c r="D43" i="13"/>
  <c r="D126" i="13" s="1"/>
  <c r="K42" i="13"/>
  <c r="K292" i="13" s="1"/>
  <c r="J42" i="13"/>
  <c r="I42" i="13"/>
  <c r="H42" i="13"/>
  <c r="G42" i="13"/>
  <c r="F42" i="13"/>
  <c r="E42" i="13"/>
  <c r="E209" i="13" s="1"/>
  <c r="D42" i="13"/>
  <c r="D292" i="13" s="1"/>
  <c r="K41" i="13"/>
  <c r="K291" i="13" s="1"/>
  <c r="J41" i="13"/>
  <c r="J208" i="13" s="1"/>
  <c r="I41" i="13"/>
  <c r="H41" i="13"/>
  <c r="G41" i="13"/>
  <c r="G124" i="13" s="1"/>
  <c r="F41" i="13"/>
  <c r="F124" i="13" s="1"/>
  <c r="E41" i="13"/>
  <c r="D41" i="13"/>
  <c r="D291" i="13" s="1"/>
  <c r="K40" i="13"/>
  <c r="J40" i="13"/>
  <c r="I40" i="13"/>
  <c r="H40" i="13"/>
  <c r="G40" i="13"/>
  <c r="G207" i="13" s="1"/>
  <c r="F40" i="13"/>
  <c r="E40" i="13"/>
  <c r="E207" i="13" s="1"/>
  <c r="D40" i="13"/>
  <c r="K39" i="13"/>
  <c r="K289" i="13" s="1"/>
  <c r="J39" i="13"/>
  <c r="J206" i="13" s="1"/>
  <c r="I39" i="13"/>
  <c r="H39" i="13"/>
  <c r="G39" i="13"/>
  <c r="G122" i="13" s="1"/>
  <c r="F39" i="13"/>
  <c r="F206" i="13" s="1"/>
  <c r="E39" i="13"/>
  <c r="D39" i="13"/>
  <c r="D289" i="13" s="1"/>
  <c r="K38" i="13"/>
  <c r="J38" i="13"/>
  <c r="J288" i="13" s="1"/>
  <c r="I38" i="13"/>
  <c r="H38" i="13"/>
  <c r="G38" i="13"/>
  <c r="G205" i="13" s="1"/>
  <c r="F38" i="13"/>
  <c r="E38" i="13"/>
  <c r="E205" i="13" s="1"/>
  <c r="D38" i="13"/>
  <c r="D288" i="13" s="1"/>
  <c r="K37" i="13"/>
  <c r="K287" i="13" s="1"/>
  <c r="J37" i="13"/>
  <c r="J204" i="13" s="1"/>
  <c r="I37" i="13"/>
  <c r="H37" i="13"/>
  <c r="H287" i="13" s="1"/>
  <c r="G37" i="13"/>
  <c r="G120" i="13" s="1"/>
  <c r="F37" i="13"/>
  <c r="F204" i="13" s="1"/>
  <c r="E37" i="13"/>
  <c r="D37" i="13"/>
  <c r="K36" i="13"/>
  <c r="J36" i="13"/>
  <c r="I36" i="13"/>
  <c r="H36" i="13"/>
  <c r="G36" i="13"/>
  <c r="G203" i="13" s="1"/>
  <c r="F36" i="13"/>
  <c r="E36" i="13"/>
  <c r="E203" i="13" s="1"/>
  <c r="D36" i="13"/>
  <c r="K35" i="13"/>
  <c r="K285" i="13" s="1"/>
  <c r="J35" i="13"/>
  <c r="J202" i="13" s="1"/>
  <c r="I35" i="13"/>
  <c r="H35" i="13"/>
  <c r="G35" i="13"/>
  <c r="G118" i="13" s="1"/>
  <c r="F35" i="13"/>
  <c r="F202" i="13" s="1"/>
  <c r="E35" i="13"/>
  <c r="D35" i="13"/>
  <c r="K34" i="13"/>
  <c r="K284" i="13" s="1"/>
  <c r="J34" i="13"/>
  <c r="I34" i="13"/>
  <c r="H34" i="13"/>
  <c r="G34" i="13"/>
  <c r="G201" i="13" s="1"/>
  <c r="F34" i="13"/>
  <c r="E34" i="13"/>
  <c r="E201" i="13" s="1"/>
  <c r="D34" i="13"/>
  <c r="D284" i="13" s="1"/>
  <c r="K33" i="13"/>
  <c r="K283" i="13" s="1"/>
  <c r="J33" i="13"/>
  <c r="J200" i="13" s="1"/>
  <c r="I33" i="13"/>
  <c r="H33" i="13"/>
  <c r="H283" i="13" s="1"/>
  <c r="G33" i="13"/>
  <c r="G116" i="13" s="1"/>
  <c r="F33" i="13"/>
  <c r="E33" i="13"/>
  <c r="D33" i="13"/>
  <c r="K32" i="13"/>
  <c r="J32" i="13"/>
  <c r="J199" i="13" s="1"/>
  <c r="I32" i="13"/>
  <c r="H32" i="13"/>
  <c r="G32" i="13"/>
  <c r="F32" i="13"/>
  <c r="E32" i="13"/>
  <c r="E199" i="13" s="1"/>
  <c r="D32" i="13"/>
  <c r="K31" i="13"/>
  <c r="J31" i="13"/>
  <c r="J198" i="13" s="1"/>
  <c r="I31" i="13"/>
  <c r="H31" i="13"/>
  <c r="G31" i="13"/>
  <c r="G114" i="13" s="1"/>
  <c r="F31" i="13"/>
  <c r="E31" i="13"/>
  <c r="D31" i="13"/>
  <c r="D114" i="13" s="1"/>
  <c r="K30" i="13"/>
  <c r="J30" i="13"/>
  <c r="I30" i="13"/>
  <c r="H30" i="13"/>
  <c r="G30" i="13"/>
  <c r="G197" i="13" s="1"/>
  <c r="F30" i="13"/>
  <c r="E30" i="13"/>
  <c r="E197" i="13" s="1"/>
  <c r="D30" i="13"/>
  <c r="K29" i="13"/>
  <c r="K279" i="13" s="1"/>
  <c r="J29" i="13"/>
  <c r="J196" i="13" s="1"/>
  <c r="I29" i="13"/>
  <c r="H29" i="13"/>
  <c r="G29" i="13"/>
  <c r="G112" i="13" s="1"/>
  <c r="F29" i="13"/>
  <c r="E29" i="13"/>
  <c r="D29" i="13"/>
  <c r="D112" i="13" s="1"/>
  <c r="K28" i="13"/>
  <c r="J28" i="13"/>
  <c r="I28" i="13"/>
  <c r="H28" i="13"/>
  <c r="G28" i="13"/>
  <c r="G195" i="13" s="1"/>
  <c r="F28" i="13"/>
  <c r="E28" i="13"/>
  <c r="E195" i="13" s="1"/>
  <c r="D28" i="13"/>
  <c r="D111" i="13" s="1"/>
  <c r="K27" i="13"/>
  <c r="K277" i="13" s="1"/>
  <c r="J27" i="13"/>
  <c r="J194" i="13" s="1"/>
  <c r="I27" i="13"/>
  <c r="H27" i="13"/>
  <c r="H277" i="13" s="1"/>
  <c r="G27" i="13"/>
  <c r="F27" i="13"/>
  <c r="E27" i="13"/>
  <c r="D27" i="13"/>
  <c r="K26" i="13"/>
  <c r="K276" i="13" s="1"/>
  <c r="J26" i="13"/>
  <c r="I26" i="13"/>
  <c r="H26" i="13"/>
  <c r="G26" i="13"/>
  <c r="F26" i="13"/>
  <c r="E26" i="13"/>
  <c r="E193" i="13" s="1"/>
  <c r="D26" i="13"/>
  <c r="D109" i="13" s="1"/>
  <c r="K25" i="13"/>
  <c r="K275" i="13" s="1"/>
  <c r="J25" i="13"/>
  <c r="J192" i="13" s="1"/>
  <c r="I25" i="13"/>
  <c r="H25" i="13"/>
  <c r="H275" i="13" s="1"/>
  <c r="G25" i="13"/>
  <c r="G108" i="13" s="1"/>
  <c r="F25" i="13"/>
  <c r="E25" i="13"/>
  <c r="D25" i="13"/>
  <c r="D275" i="13" s="1"/>
  <c r="K24" i="13"/>
  <c r="J24" i="13"/>
  <c r="J274" i="13" s="1"/>
  <c r="I24" i="13"/>
  <c r="H24" i="13"/>
  <c r="G24" i="13"/>
  <c r="G191" i="13" s="1"/>
  <c r="F24" i="13"/>
  <c r="E24" i="13"/>
  <c r="E191" i="13" s="1"/>
  <c r="D24" i="13"/>
  <c r="D274" i="13" s="1"/>
  <c r="K23" i="13"/>
  <c r="J23" i="13"/>
  <c r="J190" i="13" s="1"/>
  <c r="I23" i="13"/>
  <c r="H23" i="13"/>
  <c r="G23" i="13"/>
  <c r="G106" i="13" s="1"/>
  <c r="F23" i="13"/>
  <c r="F190" i="13" s="1"/>
  <c r="E23" i="13"/>
  <c r="D23" i="13"/>
  <c r="K22" i="13"/>
  <c r="J22" i="13"/>
  <c r="J189" i="13" s="1"/>
  <c r="I22" i="13"/>
  <c r="H22" i="13"/>
  <c r="G22" i="13"/>
  <c r="G189" i="13" s="1"/>
  <c r="F22" i="13"/>
  <c r="E22" i="13"/>
  <c r="E189" i="13" s="1"/>
  <c r="D22" i="13"/>
  <c r="K21" i="13"/>
  <c r="K271" i="13" s="1"/>
  <c r="J21" i="13"/>
  <c r="J188" i="13" s="1"/>
  <c r="I21" i="13"/>
  <c r="I271" i="13" s="1"/>
  <c r="H21" i="13"/>
  <c r="H271" i="13" s="1"/>
  <c r="G21" i="13"/>
  <c r="G104" i="13" s="1"/>
  <c r="F21" i="13"/>
  <c r="F188" i="13" s="1"/>
  <c r="E21" i="13"/>
  <c r="D21" i="13"/>
  <c r="D271" i="13" s="1"/>
  <c r="K20" i="13"/>
  <c r="J20" i="13"/>
  <c r="I20" i="13"/>
  <c r="H20" i="13"/>
  <c r="G20" i="13"/>
  <c r="G187" i="13" s="1"/>
  <c r="F20" i="13"/>
  <c r="E20" i="13"/>
  <c r="E187" i="13" s="1"/>
  <c r="D20" i="13"/>
  <c r="K19" i="13"/>
  <c r="K269" i="13" s="1"/>
  <c r="J19" i="13"/>
  <c r="J186" i="13" s="1"/>
  <c r="I19" i="13"/>
  <c r="I269" i="13" s="1"/>
  <c r="H19" i="13"/>
  <c r="G19" i="13"/>
  <c r="G102" i="13" s="1"/>
  <c r="F19" i="13"/>
  <c r="E19" i="13"/>
  <c r="D19" i="13"/>
  <c r="K18" i="13"/>
  <c r="J18" i="13"/>
  <c r="I18" i="13"/>
  <c r="H18" i="13"/>
  <c r="G18" i="13"/>
  <c r="G185" i="13" s="1"/>
  <c r="F18" i="13"/>
  <c r="E18" i="13"/>
  <c r="E185" i="13" s="1"/>
  <c r="D18" i="13"/>
  <c r="D268" i="13" s="1"/>
  <c r="K17" i="13"/>
  <c r="K267" i="13" s="1"/>
  <c r="J17" i="13"/>
  <c r="J184" i="13" s="1"/>
  <c r="I17" i="13"/>
  <c r="H17" i="13"/>
  <c r="H267" i="13" s="1"/>
  <c r="G17" i="13"/>
  <c r="G100" i="13" s="1"/>
  <c r="F17" i="13"/>
  <c r="F184" i="13" s="1"/>
  <c r="E17" i="13"/>
  <c r="D17" i="13"/>
  <c r="K16" i="13"/>
  <c r="J16" i="13"/>
  <c r="J183" i="13" s="1"/>
  <c r="I16" i="13"/>
  <c r="I46" i="13" s="1"/>
  <c r="H16" i="13"/>
  <c r="G16" i="13"/>
  <c r="F16" i="13"/>
  <c r="E16" i="13"/>
  <c r="E183" i="13" s="1"/>
  <c r="D16" i="13"/>
  <c r="D266" i="13" s="1"/>
  <c r="K15" i="13"/>
  <c r="J15" i="13"/>
  <c r="J182" i="13" s="1"/>
  <c r="I15" i="13"/>
  <c r="I265" i="13" s="1"/>
  <c r="H15" i="13"/>
  <c r="H46" i="13" s="1"/>
  <c r="G15" i="13"/>
  <c r="G98" i="13" s="1"/>
  <c r="F15" i="13"/>
  <c r="E15" i="13"/>
  <c r="E46" i="13" s="1"/>
  <c r="D15" i="13"/>
  <c r="D265" i="13" s="1"/>
  <c r="P272" i="12"/>
  <c r="I272" i="12"/>
  <c r="E272" i="12"/>
  <c r="H263" i="12"/>
  <c r="V259" i="12"/>
  <c r="U259" i="12"/>
  <c r="T259" i="12"/>
  <c r="S259" i="12"/>
  <c r="R259" i="12"/>
  <c r="Q259" i="12"/>
  <c r="P259" i="12"/>
  <c r="O259" i="12"/>
  <c r="N259" i="12"/>
  <c r="M259" i="12"/>
  <c r="L259" i="12"/>
  <c r="K259" i="12"/>
  <c r="J259" i="12"/>
  <c r="I259" i="12"/>
  <c r="H259" i="12"/>
  <c r="G259" i="12"/>
  <c r="F259" i="12"/>
  <c r="E259" i="12"/>
  <c r="D259" i="12"/>
  <c r="D250" i="12"/>
  <c r="V235" i="12"/>
  <c r="U235" i="12"/>
  <c r="T235" i="12"/>
  <c r="S235" i="12"/>
  <c r="R235" i="12"/>
  <c r="Q235" i="12"/>
  <c r="P235" i="12"/>
  <c r="O235" i="12"/>
  <c r="N235" i="12"/>
  <c r="M235" i="12"/>
  <c r="L235" i="12"/>
  <c r="L275" i="12" s="1"/>
  <c r="K235" i="12"/>
  <c r="J235" i="12"/>
  <c r="I235" i="12"/>
  <c r="H235" i="12"/>
  <c r="G235" i="12"/>
  <c r="F235" i="12"/>
  <c r="E235" i="12"/>
  <c r="D235" i="12"/>
  <c r="V234" i="12"/>
  <c r="U234" i="12"/>
  <c r="T234" i="12"/>
  <c r="S234" i="12"/>
  <c r="R234" i="12"/>
  <c r="Q234" i="12"/>
  <c r="P234" i="12"/>
  <c r="O234" i="12"/>
  <c r="O274" i="12" s="1"/>
  <c r="N234" i="12"/>
  <c r="M234" i="12"/>
  <c r="L234" i="12"/>
  <c r="K234" i="12"/>
  <c r="J234" i="12"/>
  <c r="I234" i="12"/>
  <c r="H234" i="12"/>
  <c r="G234" i="12"/>
  <c r="F234" i="12"/>
  <c r="E234" i="12"/>
  <c r="D234" i="12"/>
  <c r="V233" i="12"/>
  <c r="U233" i="12"/>
  <c r="T233" i="12"/>
  <c r="S233" i="12"/>
  <c r="R233" i="12"/>
  <c r="R273" i="12" s="1"/>
  <c r="Q233" i="12"/>
  <c r="P233" i="12"/>
  <c r="O233" i="12"/>
  <c r="N233" i="12"/>
  <c r="M233" i="12"/>
  <c r="L233" i="12"/>
  <c r="K233" i="12"/>
  <c r="J233" i="12"/>
  <c r="I233" i="12"/>
  <c r="H233" i="12"/>
  <c r="G233" i="12"/>
  <c r="F233" i="12"/>
  <c r="E233" i="12"/>
  <c r="D233" i="12"/>
  <c r="V232" i="12"/>
  <c r="U232" i="12"/>
  <c r="U272" i="12" s="1"/>
  <c r="T232" i="12"/>
  <c r="T272" i="12" s="1"/>
  <c r="S232" i="12"/>
  <c r="S272" i="12" s="1"/>
  <c r="R232" i="12"/>
  <c r="R272" i="12" s="1"/>
  <c r="Q232" i="12"/>
  <c r="Q272" i="12" s="1"/>
  <c r="P232" i="12"/>
  <c r="O232" i="12"/>
  <c r="O272" i="12" s="1"/>
  <c r="N232" i="12"/>
  <c r="N272" i="12" s="1"/>
  <c r="M232" i="12"/>
  <c r="M272" i="12" s="1"/>
  <c r="L232" i="12"/>
  <c r="L272" i="12" s="1"/>
  <c r="K232" i="12"/>
  <c r="K272" i="12" s="1"/>
  <c r="J232" i="12"/>
  <c r="J272" i="12" s="1"/>
  <c r="I232" i="12"/>
  <c r="H232" i="12"/>
  <c r="H272" i="12" s="1"/>
  <c r="G232" i="12"/>
  <c r="G272" i="12" s="1"/>
  <c r="F232" i="12"/>
  <c r="F272" i="12" s="1"/>
  <c r="E232" i="12"/>
  <c r="D232" i="12"/>
  <c r="D272" i="12" s="1"/>
  <c r="V231" i="12"/>
  <c r="U231" i="12"/>
  <c r="T231" i="12"/>
  <c r="S231" i="12"/>
  <c r="R231" i="12"/>
  <c r="Q231" i="12"/>
  <c r="P231" i="12"/>
  <c r="O231" i="12"/>
  <c r="N231" i="12"/>
  <c r="M231" i="12"/>
  <c r="L231" i="12"/>
  <c r="K231" i="12"/>
  <c r="J231" i="12"/>
  <c r="I231" i="12"/>
  <c r="H231" i="12"/>
  <c r="H271" i="12" s="1"/>
  <c r="G231" i="12"/>
  <c r="F231" i="12"/>
  <c r="E231" i="12"/>
  <c r="D231" i="12"/>
  <c r="V230" i="12"/>
  <c r="U230" i="12"/>
  <c r="T230" i="12"/>
  <c r="S230" i="12"/>
  <c r="S270" i="12" s="1"/>
  <c r="R230" i="12"/>
  <c r="Q230" i="12"/>
  <c r="P230" i="12"/>
  <c r="O230" i="12"/>
  <c r="N230" i="12"/>
  <c r="M230" i="12"/>
  <c r="L230" i="12"/>
  <c r="K230" i="12"/>
  <c r="K270" i="12" s="1"/>
  <c r="J230" i="12"/>
  <c r="I230" i="12"/>
  <c r="H230" i="12"/>
  <c r="G230" i="12"/>
  <c r="F230" i="12"/>
  <c r="E230" i="12"/>
  <c r="D230" i="12"/>
  <c r="V229" i="12"/>
  <c r="U229" i="12"/>
  <c r="T229" i="12"/>
  <c r="S229" i="12"/>
  <c r="R229" i="12"/>
  <c r="Q229" i="12"/>
  <c r="P229" i="12"/>
  <c r="O229" i="12"/>
  <c r="N229" i="12"/>
  <c r="N269" i="12" s="1"/>
  <c r="M229" i="12"/>
  <c r="L229" i="12"/>
  <c r="K229" i="12"/>
  <c r="J229" i="12"/>
  <c r="I229" i="12"/>
  <c r="H229" i="12"/>
  <c r="G229" i="12"/>
  <c r="F229" i="12"/>
  <c r="F269" i="12" s="1"/>
  <c r="E229" i="12"/>
  <c r="D229" i="12"/>
  <c r="V228" i="12"/>
  <c r="U228" i="12"/>
  <c r="T228" i="12"/>
  <c r="S228" i="12"/>
  <c r="R228" i="12"/>
  <c r="Q228" i="12"/>
  <c r="Q268" i="12" s="1"/>
  <c r="P228" i="12"/>
  <c r="O228" i="12"/>
  <c r="N228" i="12"/>
  <c r="M228" i="12"/>
  <c r="L228" i="12"/>
  <c r="K228" i="12"/>
  <c r="J228" i="12"/>
  <c r="I228" i="12"/>
  <c r="H228" i="12"/>
  <c r="G228" i="12"/>
  <c r="F228" i="12"/>
  <c r="E228" i="12"/>
  <c r="D228" i="12"/>
  <c r="V227" i="12"/>
  <c r="U227" i="12"/>
  <c r="T227" i="12"/>
  <c r="T267" i="12" s="1"/>
  <c r="S227" i="12"/>
  <c r="R227" i="12"/>
  <c r="Q227" i="12"/>
  <c r="P227" i="12"/>
  <c r="O227" i="12"/>
  <c r="N227" i="12"/>
  <c r="M227" i="12"/>
  <c r="L227" i="12"/>
  <c r="K227" i="12"/>
  <c r="J227" i="12"/>
  <c r="I227" i="12"/>
  <c r="H227" i="12"/>
  <c r="G227" i="12"/>
  <c r="F227" i="12"/>
  <c r="E227" i="12"/>
  <c r="D227" i="12"/>
  <c r="D267" i="12" s="1"/>
  <c r="V226" i="12"/>
  <c r="U226" i="12"/>
  <c r="T226" i="12"/>
  <c r="S226" i="12"/>
  <c r="R226" i="12"/>
  <c r="Q226" i="12"/>
  <c r="P226" i="12"/>
  <c r="O226" i="12"/>
  <c r="N226" i="12"/>
  <c r="M226" i="12"/>
  <c r="L226" i="12"/>
  <c r="K226" i="12"/>
  <c r="J226" i="12"/>
  <c r="I226" i="12"/>
  <c r="H226" i="12"/>
  <c r="G226" i="12"/>
  <c r="G266" i="12" s="1"/>
  <c r="F226" i="12"/>
  <c r="E226" i="12"/>
  <c r="D226" i="12"/>
  <c r="V225" i="12"/>
  <c r="U225" i="12"/>
  <c r="T225" i="12"/>
  <c r="S225" i="12"/>
  <c r="R225" i="12"/>
  <c r="R265" i="12" s="1"/>
  <c r="Q225" i="12"/>
  <c r="P225" i="12"/>
  <c r="O225" i="12"/>
  <c r="N225" i="12"/>
  <c r="M225" i="12"/>
  <c r="L225" i="12"/>
  <c r="K225" i="12"/>
  <c r="J225" i="12"/>
  <c r="J265" i="12" s="1"/>
  <c r="I225" i="12"/>
  <c r="H225" i="12"/>
  <c r="G225" i="12"/>
  <c r="F225" i="12"/>
  <c r="E225" i="12"/>
  <c r="D225" i="12"/>
  <c r="V224" i="12"/>
  <c r="U224" i="12"/>
  <c r="T224" i="12"/>
  <c r="S224" i="12"/>
  <c r="R224" i="12"/>
  <c r="Q224" i="12"/>
  <c r="P224" i="12"/>
  <c r="O224" i="12"/>
  <c r="N224" i="12"/>
  <c r="M224" i="12"/>
  <c r="M264" i="12" s="1"/>
  <c r="L224" i="12"/>
  <c r="K224" i="12"/>
  <c r="J224" i="12"/>
  <c r="I224" i="12"/>
  <c r="H224" i="12"/>
  <c r="G224" i="12"/>
  <c r="F224" i="12"/>
  <c r="E224" i="12"/>
  <c r="E264" i="12" s="1"/>
  <c r="D224" i="12"/>
  <c r="V223" i="12"/>
  <c r="U223" i="12"/>
  <c r="T223" i="12"/>
  <c r="S223" i="12"/>
  <c r="R223" i="12"/>
  <c r="Q223" i="12"/>
  <c r="P223" i="12"/>
  <c r="P263" i="12" s="1"/>
  <c r="O223" i="12"/>
  <c r="N223" i="12"/>
  <c r="M223" i="12"/>
  <c r="M263" i="12" s="1"/>
  <c r="L223" i="12"/>
  <c r="K223" i="12"/>
  <c r="J223" i="12"/>
  <c r="I223" i="12"/>
  <c r="H223" i="12"/>
  <c r="G223" i="12"/>
  <c r="F223" i="12"/>
  <c r="E223" i="12"/>
  <c r="D223" i="12"/>
  <c r="V222" i="12"/>
  <c r="U222" i="12"/>
  <c r="T222" i="12"/>
  <c r="S222" i="12"/>
  <c r="S262" i="12" s="1"/>
  <c r="R222" i="12"/>
  <c r="Q222" i="12"/>
  <c r="P222" i="12"/>
  <c r="O222" i="12"/>
  <c r="N222" i="12"/>
  <c r="M222" i="12"/>
  <c r="L222" i="12"/>
  <c r="K222" i="12"/>
  <c r="K262" i="12" s="1"/>
  <c r="J222" i="12"/>
  <c r="I222" i="12"/>
  <c r="H222" i="12"/>
  <c r="G222" i="12"/>
  <c r="F222" i="12"/>
  <c r="E222" i="12"/>
  <c r="D222" i="12"/>
  <c r="V221" i="12"/>
  <c r="V261" i="12" s="1"/>
  <c r="U221" i="12"/>
  <c r="T221" i="12"/>
  <c r="S221" i="12"/>
  <c r="R221" i="12"/>
  <c r="Q221" i="12"/>
  <c r="P221" i="12"/>
  <c r="O221" i="12"/>
  <c r="N221" i="12"/>
  <c r="N261" i="12" s="1"/>
  <c r="M221" i="12"/>
  <c r="L221" i="12"/>
  <c r="K221" i="12"/>
  <c r="J221" i="12"/>
  <c r="I221" i="12"/>
  <c r="H221" i="12"/>
  <c r="G221" i="12"/>
  <c r="F221" i="12"/>
  <c r="F261" i="12" s="1"/>
  <c r="E221" i="12"/>
  <c r="D221" i="12"/>
  <c r="V220" i="12"/>
  <c r="U220" i="12"/>
  <c r="T220" i="12"/>
  <c r="S220" i="12"/>
  <c r="R220" i="12"/>
  <c r="Q220" i="12"/>
  <c r="P220" i="12"/>
  <c r="O220" i="12"/>
  <c r="N220" i="12"/>
  <c r="M220" i="12"/>
  <c r="L220" i="12"/>
  <c r="K220" i="12"/>
  <c r="J220" i="12"/>
  <c r="I220" i="12"/>
  <c r="I260" i="12" s="1"/>
  <c r="H220" i="12"/>
  <c r="G220" i="12"/>
  <c r="F220" i="12"/>
  <c r="E220" i="12"/>
  <c r="D220" i="12"/>
  <c r="V218" i="12"/>
  <c r="U218" i="12"/>
  <c r="T218" i="12"/>
  <c r="T258" i="12" s="1"/>
  <c r="S218" i="12"/>
  <c r="R218" i="12"/>
  <c r="Q218" i="12"/>
  <c r="P218" i="12"/>
  <c r="O218" i="12"/>
  <c r="N218" i="12"/>
  <c r="M218" i="12"/>
  <c r="L218" i="12"/>
  <c r="L258" i="12" s="1"/>
  <c r="K218" i="12"/>
  <c r="J218" i="12"/>
  <c r="I218" i="12"/>
  <c r="H218" i="12"/>
  <c r="G218" i="12"/>
  <c r="F218" i="12"/>
  <c r="E218" i="12"/>
  <c r="D218" i="12"/>
  <c r="V217" i="12"/>
  <c r="U217" i="12"/>
  <c r="T217" i="12"/>
  <c r="S217" i="12"/>
  <c r="R217" i="12"/>
  <c r="Q217" i="12"/>
  <c r="P217" i="12"/>
  <c r="O217" i="12"/>
  <c r="O257" i="12" s="1"/>
  <c r="N217" i="12"/>
  <c r="M217" i="12"/>
  <c r="L217" i="12"/>
  <c r="K217" i="12"/>
  <c r="J217" i="12"/>
  <c r="I217" i="12"/>
  <c r="H217" i="12"/>
  <c r="G217" i="12"/>
  <c r="G257" i="12" s="1"/>
  <c r="F217" i="12"/>
  <c r="E217" i="12"/>
  <c r="D217" i="12"/>
  <c r="V216" i="12"/>
  <c r="U216" i="12"/>
  <c r="T216" i="12"/>
  <c r="S216" i="12"/>
  <c r="R216" i="12"/>
  <c r="R256" i="12" s="1"/>
  <c r="Q216" i="12"/>
  <c r="P216" i="12"/>
  <c r="O216" i="12"/>
  <c r="N216" i="12"/>
  <c r="M216" i="12"/>
  <c r="L216" i="12"/>
  <c r="K216" i="12"/>
  <c r="J216" i="12"/>
  <c r="I216" i="12"/>
  <c r="H216" i="12"/>
  <c r="G216" i="12"/>
  <c r="F216" i="12"/>
  <c r="E216" i="12"/>
  <c r="D216" i="12"/>
  <c r="V215" i="12"/>
  <c r="U215" i="12"/>
  <c r="U255" i="12" s="1"/>
  <c r="T215" i="12"/>
  <c r="S215" i="12"/>
  <c r="R215" i="12"/>
  <c r="Q215" i="12"/>
  <c r="P215" i="12"/>
  <c r="O215" i="12"/>
  <c r="N215" i="12"/>
  <c r="M215" i="12"/>
  <c r="L215" i="12"/>
  <c r="K215" i="12"/>
  <c r="J215" i="12"/>
  <c r="I215" i="12"/>
  <c r="H215" i="12"/>
  <c r="G215" i="12"/>
  <c r="F215" i="12"/>
  <c r="E215" i="12"/>
  <c r="E255" i="12" s="1"/>
  <c r="D215" i="12"/>
  <c r="V214" i="12"/>
  <c r="U214" i="12"/>
  <c r="T214" i="12"/>
  <c r="S214" i="12"/>
  <c r="R214" i="12"/>
  <c r="Q214" i="12"/>
  <c r="P214" i="12"/>
  <c r="O214" i="12"/>
  <c r="N214" i="12"/>
  <c r="M214" i="12"/>
  <c r="L214" i="12"/>
  <c r="K214" i="12"/>
  <c r="J214" i="12"/>
  <c r="I214" i="12"/>
  <c r="H214" i="12"/>
  <c r="H254" i="12" s="1"/>
  <c r="G214" i="12"/>
  <c r="F214" i="12"/>
  <c r="E214" i="12"/>
  <c r="D214" i="12"/>
  <c r="V213" i="12"/>
  <c r="U213" i="12"/>
  <c r="T213" i="12"/>
  <c r="S213" i="12"/>
  <c r="R213" i="12"/>
  <c r="Q213" i="12"/>
  <c r="P213" i="12"/>
  <c r="O213" i="12"/>
  <c r="N213" i="12"/>
  <c r="M213" i="12"/>
  <c r="L213" i="12"/>
  <c r="K213" i="12"/>
  <c r="K253" i="12" s="1"/>
  <c r="J213" i="12"/>
  <c r="I213" i="12"/>
  <c r="H213" i="12"/>
  <c r="G213" i="12"/>
  <c r="F213" i="12"/>
  <c r="E213" i="12"/>
  <c r="D213" i="12"/>
  <c r="V212" i="12"/>
  <c r="U212" i="12"/>
  <c r="T212" i="12"/>
  <c r="S212" i="12"/>
  <c r="R212" i="12"/>
  <c r="Q212" i="12"/>
  <c r="P212" i="12"/>
  <c r="O212" i="12"/>
  <c r="N212" i="12"/>
  <c r="N252" i="12" s="1"/>
  <c r="M212" i="12"/>
  <c r="L212" i="12"/>
  <c r="K212" i="12"/>
  <c r="K236" i="12" s="1"/>
  <c r="J212" i="12"/>
  <c r="I212" i="12"/>
  <c r="I252" i="12" s="1"/>
  <c r="H212" i="12"/>
  <c r="G212" i="12"/>
  <c r="F212" i="12"/>
  <c r="F252" i="12" s="1"/>
  <c r="E212" i="12"/>
  <c r="D212" i="12"/>
  <c r="V211" i="12"/>
  <c r="U211" i="12"/>
  <c r="T211" i="12"/>
  <c r="S211" i="12"/>
  <c r="R211" i="12"/>
  <c r="Q211" i="12"/>
  <c r="Q251" i="12" s="1"/>
  <c r="P211" i="12"/>
  <c r="O211" i="12"/>
  <c r="N211" i="12"/>
  <c r="M211" i="12"/>
  <c r="L211" i="12"/>
  <c r="K211" i="12"/>
  <c r="J211" i="12"/>
  <c r="I211" i="12"/>
  <c r="H211" i="12"/>
  <c r="G211" i="12"/>
  <c r="F211" i="12"/>
  <c r="E211" i="12"/>
  <c r="D211" i="12"/>
  <c r="V210" i="12"/>
  <c r="U210" i="12"/>
  <c r="T210" i="12"/>
  <c r="T250" i="12" s="1"/>
  <c r="S210" i="12"/>
  <c r="R210" i="12"/>
  <c r="Q210" i="12"/>
  <c r="P210" i="12"/>
  <c r="O210" i="12"/>
  <c r="N210" i="12"/>
  <c r="M210" i="12"/>
  <c r="L210" i="12"/>
  <c r="K210" i="12"/>
  <c r="J210" i="12"/>
  <c r="I210" i="12"/>
  <c r="H210" i="12"/>
  <c r="G210" i="12"/>
  <c r="F210" i="12"/>
  <c r="E210" i="12"/>
  <c r="D210" i="12"/>
  <c r="V209" i="12"/>
  <c r="U209" i="12"/>
  <c r="T209" i="12"/>
  <c r="S209" i="12"/>
  <c r="R209" i="12"/>
  <c r="Q209" i="12"/>
  <c r="P209" i="12"/>
  <c r="O209" i="12"/>
  <c r="O249" i="12" s="1"/>
  <c r="N209" i="12"/>
  <c r="M209" i="12"/>
  <c r="L209" i="12"/>
  <c r="K209" i="12"/>
  <c r="J209" i="12"/>
  <c r="I209" i="12"/>
  <c r="H209" i="12"/>
  <c r="G209" i="12"/>
  <c r="G249" i="12" s="1"/>
  <c r="F209" i="12"/>
  <c r="E209" i="12"/>
  <c r="D209" i="12"/>
  <c r="V208" i="12"/>
  <c r="U208" i="12"/>
  <c r="T208" i="12"/>
  <c r="S208" i="12"/>
  <c r="R208" i="12"/>
  <c r="Q208" i="12"/>
  <c r="P208" i="12"/>
  <c r="O208" i="12"/>
  <c r="N208" i="12"/>
  <c r="M208" i="12"/>
  <c r="L208" i="12"/>
  <c r="K208" i="12"/>
  <c r="J208" i="12"/>
  <c r="J248" i="12" s="1"/>
  <c r="I208" i="12"/>
  <c r="H208" i="12"/>
  <c r="G208" i="12"/>
  <c r="F208" i="12"/>
  <c r="E208" i="12"/>
  <c r="E248" i="12" s="1"/>
  <c r="D208" i="12"/>
  <c r="V207" i="12"/>
  <c r="U207" i="12"/>
  <c r="U247" i="12" s="1"/>
  <c r="T207" i="12"/>
  <c r="S207" i="12"/>
  <c r="R207" i="12"/>
  <c r="Q207" i="12"/>
  <c r="P207" i="12"/>
  <c r="O207" i="12"/>
  <c r="N207" i="12"/>
  <c r="M207" i="12"/>
  <c r="L207" i="12"/>
  <c r="K207" i="12"/>
  <c r="J207" i="12"/>
  <c r="I207" i="12"/>
  <c r="H207" i="12"/>
  <c r="G207" i="12"/>
  <c r="F207" i="12"/>
  <c r="E207" i="12"/>
  <c r="D207" i="12"/>
  <c r="T197" i="12"/>
  <c r="D197" i="12"/>
  <c r="E196" i="12"/>
  <c r="T194" i="12"/>
  <c r="R194" i="12"/>
  <c r="M194" i="12"/>
  <c r="K194" i="12"/>
  <c r="I194" i="12"/>
  <c r="E194" i="12"/>
  <c r="D194" i="12"/>
  <c r="U193" i="12"/>
  <c r="V191" i="12"/>
  <c r="N191" i="12"/>
  <c r="J190" i="12"/>
  <c r="T189" i="12"/>
  <c r="D189" i="12"/>
  <c r="P188" i="12"/>
  <c r="J187" i="12"/>
  <c r="D185" i="12"/>
  <c r="O183" i="12"/>
  <c r="J183" i="12"/>
  <c r="F183" i="12"/>
  <c r="O182" i="12"/>
  <c r="V181" i="12"/>
  <c r="U181" i="12"/>
  <c r="T181" i="12"/>
  <c r="S181" i="12"/>
  <c r="R181" i="12"/>
  <c r="Q181" i="12"/>
  <c r="P181" i="12"/>
  <c r="O181" i="12"/>
  <c r="N181" i="12"/>
  <c r="M181" i="12"/>
  <c r="L181" i="12"/>
  <c r="K181" i="12"/>
  <c r="J181" i="12"/>
  <c r="I181" i="12"/>
  <c r="H181" i="12"/>
  <c r="G181" i="12"/>
  <c r="F181" i="12"/>
  <c r="E181" i="12"/>
  <c r="D181" i="12"/>
  <c r="M180" i="12"/>
  <c r="T179" i="12"/>
  <c r="O179" i="12"/>
  <c r="S178" i="12"/>
  <c r="K178" i="12"/>
  <c r="E177" i="12"/>
  <c r="Q176" i="12"/>
  <c r="H176" i="12"/>
  <c r="N175" i="12"/>
  <c r="N174" i="12"/>
  <c r="G174" i="12"/>
  <c r="R173" i="12"/>
  <c r="T172" i="12"/>
  <c r="G172" i="12"/>
  <c r="D172" i="12"/>
  <c r="M169" i="12"/>
  <c r="F169" i="12"/>
  <c r="V158" i="12"/>
  <c r="U158" i="12"/>
  <c r="T158" i="12"/>
  <c r="S158" i="12"/>
  <c r="R158" i="12"/>
  <c r="Q158" i="12"/>
  <c r="P158" i="12"/>
  <c r="O158" i="12"/>
  <c r="N158" i="12"/>
  <c r="M158" i="12"/>
  <c r="L158" i="12"/>
  <c r="K158" i="12"/>
  <c r="J158" i="12"/>
  <c r="I158" i="12"/>
  <c r="H158" i="12"/>
  <c r="G158" i="12"/>
  <c r="F158" i="12"/>
  <c r="E158" i="12"/>
  <c r="E197" i="12" s="1"/>
  <c r="D158" i="12"/>
  <c r="V157" i="12"/>
  <c r="U157" i="12"/>
  <c r="T157" i="12"/>
  <c r="S157" i="12"/>
  <c r="R157" i="12"/>
  <c r="Q157" i="12"/>
  <c r="P157" i="12"/>
  <c r="O157" i="12"/>
  <c r="N157" i="12"/>
  <c r="M157" i="12"/>
  <c r="L157" i="12"/>
  <c r="K157" i="12"/>
  <c r="J157" i="12"/>
  <c r="I157" i="12"/>
  <c r="H157" i="12"/>
  <c r="G157" i="12"/>
  <c r="F157" i="12"/>
  <c r="E157" i="12"/>
  <c r="D157" i="12"/>
  <c r="V156" i="12"/>
  <c r="U156" i="12"/>
  <c r="T156" i="12"/>
  <c r="S156" i="12"/>
  <c r="R156" i="12"/>
  <c r="Q156" i="12"/>
  <c r="P156" i="12"/>
  <c r="P195" i="12" s="1"/>
  <c r="O156" i="12"/>
  <c r="N156" i="12"/>
  <c r="M156" i="12"/>
  <c r="L156" i="12"/>
  <c r="K156" i="12"/>
  <c r="J156" i="12"/>
  <c r="I156" i="12"/>
  <c r="H156" i="12"/>
  <c r="G156" i="12"/>
  <c r="F156" i="12"/>
  <c r="E156" i="12"/>
  <c r="D156" i="12"/>
  <c r="V155" i="12"/>
  <c r="U155" i="12"/>
  <c r="T155" i="12"/>
  <c r="S155" i="12"/>
  <c r="S194" i="12" s="1"/>
  <c r="R155" i="12"/>
  <c r="Q155" i="12"/>
  <c r="Q194" i="12" s="1"/>
  <c r="P155" i="12"/>
  <c r="P194" i="12" s="1"/>
  <c r="O155" i="12"/>
  <c r="O194" i="12" s="1"/>
  <c r="N155" i="12"/>
  <c r="N194" i="12" s="1"/>
  <c r="M155" i="12"/>
  <c r="L155" i="12"/>
  <c r="L194" i="12" s="1"/>
  <c r="K155" i="12"/>
  <c r="J155" i="12"/>
  <c r="J194" i="12" s="1"/>
  <c r="I155" i="12"/>
  <c r="H155" i="12"/>
  <c r="H194" i="12" s="1"/>
  <c r="G155" i="12"/>
  <c r="G194" i="12" s="1"/>
  <c r="F155" i="12"/>
  <c r="F194" i="12" s="1"/>
  <c r="E155" i="12"/>
  <c r="D155" i="12"/>
  <c r="V154" i="12"/>
  <c r="V193" i="12" s="1"/>
  <c r="U154" i="12"/>
  <c r="T154" i="12"/>
  <c r="S154" i="12"/>
  <c r="R154" i="12"/>
  <c r="Q154" i="12"/>
  <c r="P154" i="12"/>
  <c r="O154" i="12"/>
  <c r="N154" i="12"/>
  <c r="M154" i="12"/>
  <c r="L154" i="12"/>
  <c r="K154" i="12"/>
  <c r="J154" i="12"/>
  <c r="I154" i="12"/>
  <c r="H154" i="12"/>
  <c r="G154" i="12"/>
  <c r="F154" i="12"/>
  <c r="F193" i="12" s="1"/>
  <c r="E154" i="12"/>
  <c r="D154" i="12"/>
  <c r="V153" i="12"/>
  <c r="U153" i="12"/>
  <c r="T153" i="12"/>
  <c r="S153" i="12"/>
  <c r="R153" i="12"/>
  <c r="Q153" i="12"/>
  <c r="P153" i="12"/>
  <c r="O153" i="12"/>
  <c r="O192" i="12" s="1"/>
  <c r="N153" i="12"/>
  <c r="M153" i="12"/>
  <c r="L153" i="12"/>
  <c r="K153" i="12"/>
  <c r="J153" i="12"/>
  <c r="I153" i="12"/>
  <c r="H153" i="12"/>
  <c r="G153" i="12"/>
  <c r="F153" i="12"/>
  <c r="E153" i="12"/>
  <c r="D153" i="12"/>
  <c r="V152" i="12"/>
  <c r="U152" i="12"/>
  <c r="T152" i="12"/>
  <c r="S152" i="12"/>
  <c r="R152" i="12"/>
  <c r="R191" i="12" s="1"/>
  <c r="Q152" i="12"/>
  <c r="P152" i="12"/>
  <c r="O152" i="12"/>
  <c r="N152" i="12"/>
  <c r="M152" i="12"/>
  <c r="L152" i="12"/>
  <c r="L191" i="12" s="1"/>
  <c r="K152" i="12"/>
  <c r="J152" i="12"/>
  <c r="I152" i="12"/>
  <c r="H152" i="12"/>
  <c r="G152" i="12"/>
  <c r="F152" i="12"/>
  <c r="E152" i="12"/>
  <c r="D152" i="12"/>
  <c r="V151" i="12"/>
  <c r="U151" i="12"/>
  <c r="T151" i="12"/>
  <c r="S151" i="12"/>
  <c r="R151" i="12"/>
  <c r="Q151" i="12"/>
  <c r="P151" i="12"/>
  <c r="O151" i="12"/>
  <c r="N151" i="12"/>
  <c r="M151" i="12"/>
  <c r="L151" i="12"/>
  <c r="K151" i="12"/>
  <c r="J151" i="12"/>
  <c r="I151" i="12"/>
  <c r="H151" i="12"/>
  <c r="G151" i="12"/>
  <c r="F151" i="12"/>
  <c r="E151" i="12"/>
  <c r="D151" i="12"/>
  <c r="V150" i="12"/>
  <c r="U150" i="12"/>
  <c r="T150" i="12"/>
  <c r="S150" i="12"/>
  <c r="R150" i="12"/>
  <c r="Q150" i="12"/>
  <c r="P150" i="12"/>
  <c r="O150" i="12"/>
  <c r="N150" i="12"/>
  <c r="M150" i="12"/>
  <c r="M189" i="12" s="1"/>
  <c r="L150" i="12"/>
  <c r="K150" i="12"/>
  <c r="J150" i="12"/>
  <c r="I150" i="12"/>
  <c r="H150" i="12"/>
  <c r="G150" i="12"/>
  <c r="F150" i="12"/>
  <c r="E150" i="12"/>
  <c r="D150" i="12"/>
  <c r="V149" i="12"/>
  <c r="U149" i="12"/>
  <c r="U188" i="12" s="1"/>
  <c r="T149" i="12"/>
  <c r="S149" i="12"/>
  <c r="R149" i="12"/>
  <c r="Q149" i="12"/>
  <c r="P149" i="12"/>
  <c r="O149" i="12"/>
  <c r="N149" i="12"/>
  <c r="M149" i="12"/>
  <c r="L149" i="12"/>
  <c r="K149" i="12"/>
  <c r="J149" i="12"/>
  <c r="I149" i="12"/>
  <c r="H149" i="12"/>
  <c r="G149" i="12"/>
  <c r="F149" i="12"/>
  <c r="E149" i="12"/>
  <c r="D149" i="12"/>
  <c r="V148" i="12"/>
  <c r="U148" i="12"/>
  <c r="T148" i="12"/>
  <c r="S148" i="12"/>
  <c r="R148" i="12"/>
  <c r="Q148" i="12"/>
  <c r="P148" i="12"/>
  <c r="O148" i="12"/>
  <c r="N148" i="12"/>
  <c r="N187" i="12" s="1"/>
  <c r="M148" i="12"/>
  <c r="L148" i="12"/>
  <c r="K148" i="12"/>
  <c r="J148" i="12"/>
  <c r="I148" i="12"/>
  <c r="H148" i="12"/>
  <c r="H187" i="12" s="1"/>
  <c r="G148" i="12"/>
  <c r="F148" i="12"/>
  <c r="E148" i="12"/>
  <c r="D148" i="12"/>
  <c r="V147" i="12"/>
  <c r="U147" i="12"/>
  <c r="T147" i="12"/>
  <c r="S147" i="12"/>
  <c r="R147" i="12"/>
  <c r="Q147" i="12"/>
  <c r="P147" i="12"/>
  <c r="O147" i="12"/>
  <c r="N147" i="12"/>
  <c r="M147" i="12"/>
  <c r="L147" i="12"/>
  <c r="K147" i="12"/>
  <c r="J147" i="12"/>
  <c r="I147" i="12"/>
  <c r="H147" i="12"/>
  <c r="G147" i="12"/>
  <c r="F147" i="12"/>
  <c r="F186" i="12" s="1"/>
  <c r="E147" i="12"/>
  <c r="D147" i="12"/>
  <c r="V146" i="12"/>
  <c r="U146" i="12"/>
  <c r="T146" i="12"/>
  <c r="S146" i="12"/>
  <c r="R146" i="12"/>
  <c r="Q146" i="12"/>
  <c r="P146" i="12"/>
  <c r="O146" i="12"/>
  <c r="N146" i="12"/>
  <c r="N185" i="12" s="1"/>
  <c r="M146" i="12"/>
  <c r="L146" i="12"/>
  <c r="K146" i="12"/>
  <c r="J146" i="12"/>
  <c r="I146" i="12"/>
  <c r="H146" i="12"/>
  <c r="G146" i="12"/>
  <c r="F146" i="12"/>
  <c r="E146" i="12"/>
  <c r="D146" i="12"/>
  <c r="V145" i="12"/>
  <c r="U145" i="12"/>
  <c r="T145" i="12"/>
  <c r="S145" i="12"/>
  <c r="R145" i="12"/>
  <c r="Q145" i="12"/>
  <c r="Q184" i="12" s="1"/>
  <c r="P145" i="12"/>
  <c r="O145" i="12"/>
  <c r="N145" i="12"/>
  <c r="M145" i="12"/>
  <c r="L145" i="12"/>
  <c r="K145" i="12"/>
  <c r="J145" i="12"/>
  <c r="I145" i="12"/>
  <c r="H145" i="12"/>
  <c r="G145" i="12"/>
  <c r="G184" i="12" s="1"/>
  <c r="F145" i="12"/>
  <c r="E145" i="12"/>
  <c r="D145" i="12"/>
  <c r="V144" i="12"/>
  <c r="U144" i="12"/>
  <c r="T144" i="12"/>
  <c r="S144" i="12"/>
  <c r="R144" i="12"/>
  <c r="Q144" i="12"/>
  <c r="P144" i="12"/>
  <c r="O144" i="12"/>
  <c r="N144" i="12"/>
  <c r="M144" i="12"/>
  <c r="L144" i="12"/>
  <c r="K144" i="12"/>
  <c r="J144" i="12"/>
  <c r="I144" i="12"/>
  <c r="H144" i="12"/>
  <c r="G144" i="12"/>
  <c r="F144" i="12"/>
  <c r="E144" i="12"/>
  <c r="D144" i="12"/>
  <c r="V143" i="12"/>
  <c r="U143" i="12"/>
  <c r="T143" i="12"/>
  <c r="S143" i="12"/>
  <c r="R143" i="12"/>
  <c r="R182" i="12" s="1"/>
  <c r="Q143" i="12"/>
  <c r="P143" i="12"/>
  <c r="O143" i="12"/>
  <c r="N143" i="12"/>
  <c r="M143" i="12"/>
  <c r="L143" i="12"/>
  <c r="K143" i="12"/>
  <c r="J143" i="12"/>
  <c r="I143" i="12"/>
  <c r="H143" i="12"/>
  <c r="G143" i="12"/>
  <c r="F143" i="12"/>
  <c r="E143" i="12"/>
  <c r="D143" i="12"/>
  <c r="V141" i="12"/>
  <c r="V180" i="12" s="1"/>
  <c r="U141" i="12"/>
  <c r="U180" i="12" s="1"/>
  <c r="T141" i="12"/>
  <c r="S141" i="12"/>
  <c r="R141" i="12"/>
  <c r="Q141" i="12"/>
  <c r="P141" i="12"/>
  <c r="O141" i="12"/>
  <c r="N141" i="12"/>
  <c r="M141" i="12"/>
  <c r="L141" i="12"/>
  <c r="K141" i="12"/>
  <c r="J141" i="12"/>
  <c r="I141" i="12"/>
  <c r="H141" i="12"/>
  <c r="G141" i="12"/>
  <c r="F141" i="12"/>
  <c r="F180" i="12" s="1"/>
  <c r="E141" i="12"/>
  <c r="E180" i="12" s="1"/>
  <c r="D141" i="12"/>
  <c r="V140" i="12"/>
  <c r="U140" i="12"/>
  <c r="T140" i="12"/>
  <c r="S140" i="12"/>
  <c r="R140" i="12"/>
  <c r="Q140" i="12"/>
  <c r="P140" i="12"/>
  <c r="P179" i="12" s="1"/>
  <c r="O140" i="12"/>
  <c r="N140" i="12"/>
  <c r="M140" i="12"/>
  <c r="L140" i="12"/>
  <c r="K140" i="12"/>
  <c r="J140" i="12"/>
  <c r="I140" i="12"/>
  <c r="H140" i="12"/>
  <c r="G140" i="12"/>
  <c r="F140" i="12"/>
  <c r="E140" i="12"/>
  <c r="D140" i="12"/>
  <c r="V139" i="12"/>
  <c r="U139" i="12"/>
  <c r="U178" i="12" s="1"/>
  <c r="T139" i="12"/>
  <c r="S139" i="12"/>
  <c r="R139" i="12"/>
  <c r="Q139" i="12"/>
  <c r="P139" i="12"/>
  <c r="O139" i="12"/>
  <c r="N139" i="12"/>
  <c r="M139" i="12"/>
  <c r="L139" i="12"/>
  <c r="K139" i="12"/>
  <c r="J139" i="12"/>
  <c r="I139" i="12"/>
  <c r="H139" i="12"/>
  <c r="G139" i="12"/>
  <c r="F139" i="12"/>
  <c r="E139" i="12"/>
  <c r="D139" i="12"/>
  <c r="V138" i="12"/>
  <c r="U138" i="12"/>
  <c r="T138" i="12"/>
  <c r="S138" i="12"/>
  <c r="R138" i="12"/>
  <c r="Q138" i="12"/>
  <c r="P138" i="12"/>
  <c r="O138" i="12"/>
  <c r="N138" i="12"/>
  <c r="N177" i="12" s="1"/>
  <c r="M138" i="12"/>
  <c r="L138" i="12"/>
  <c r="K138" i="12"/>
  <c r="J138" i="12"/>
  <c r="I138" i="12"/>
  <c r="H138" i="12"/>
  <c r="G138" i="12"/>
  <c r="F138" i="12"/>
  <c r="E138" i="12"/>
  <c r="D138" i="12"/>
  <c r="V137" i="12"/>
  <c r="U137" i="12"/>
  <c r="T137" i="12"/>
  <c r="S137" i="12"/>
  <c r="R137" i="12"/>
  <c r="Q137" i="12"/>
  <c r="P137" i="12"/>
  <c r="O137" i="12"/>
  <c r="N137" i="12"/>
  <c r="M137" i="12"/>
  <c r="L137" i="12"/>
  <c r="K137" i="12"/>
  <c r="K176" i="12" s="1"/>
  <c r="J137" i="12"/>
  <c r="I137" i="12"/>
  <c r="I176" i="12" s="1"/>
  <c r="H137" i="12"/>
  <c r="G137" i="12"/>
  <c r="F137" i="12"/>
  <c r="E137" i="12"/>
  <c r="D137" i="12"/>
  <c r="V136" i="12"/>
  <c r="U136" i="12"/>
  <c r="T136" i="12"/>
  <c r="T175" i="12" s="1"/>
  <c r="S136" i="12"/>
  <c r="R136" i="12"/>
  <c r="Q136" i="12"/>
  <c r="P136" i="12"/>
  <c r="O136" i="12"/>
  <c r="N136" i="12"/>
  <c r="M136" i="12"/>
  <c r="L136" i="12"/>
  <c r="K136" i="12"/>
  <c r="J136" i="12"/>
  <c r="I136" i="12"/>
  <c r="H136" i="12"/>
  <c r="G136" i="12"/>
  <c r="F136" i="12"/>
  <c r="E136" i="12"/>
  <c r="E175" i="12" s="1"/>
  <c r="D136" i="12"/>
  <c r="V135" i="12"/>
  <c r="U135" i="12"/>
  <c r="T135" i="12"/>
  <c r="S135" i="12"/>
  <c r="R135" i="12"/>
  <c r="Q135" i="12"/>
  <c r="Q174" i="12" s="1"/>
  <c r="P135" i="12"/>
  <c r="O135" i="12"/>
  <c r="N135" i="12"/>
  <c r="M135" i="12"/>
  <c r="L135" i="12"/>
  <c r="K135" i="12"/>
  <c r="J135" i="12"/>
  <c r="I135" i="12"/>
  <c r="H135" i="12"/>
  <c r="H174" i="12" s="1"/>
  <c r="G135" i="12"/>
  <c r="F135" i="12"/>
  <c r="E135" i="12"/>
  <c r="D135" i="12"/>
  <c r="V134" i="12"/>
  <c r="U134" i="12"/>
  <c r="T134" i="12"/>
  <c r="S134" i="12"/>
  <c r="R134" i="12"/>
  <c r="Q134" i="12"/>
  <c r="P134" i="12"/>
  <c r="O134" i="12"/>
  <c r="N134" i="12"/>
  <c r="M134" i="12"/>
  <c r="L134" i="12"/>
  <c r="K134" i="12"/>
  <c r="J134" i="12"/>
  <c r="J173" i="12" s="1"/>
  <c r="I134" i="12"/>
  <c r="H134" i="12"/>
  <c r="G134" i="12"/>
  <c r="F134" i="12"/>
  <c r="E134" i="12"/>
  <c r="D134" i="12"/>
  <c r="V133" i="12"/>
  <c r="U133" i="12"/>
  <c r="T133" i="12"/>
  <c r="S133" i="12"/>
  <c r="R133" i="12"/>
  <c r="Q133" i="12"/>
  <c r="P133" i="12"/>
  <c r="O133" i="12"/>
  <c r="N133" i="12"/>
  <c r="M133" i="12"/>
  <c r="L133" i="12"/>
  <c r="K133" i="12"/>
  <c r="J133" i="12"/>
  <c r="I133" i="12"/>
  <c r="H133" i="12"/>
  <c r="G133" i="12"/>
  <c r="F133" i="12"/>
  <c r="E133" i="12"/>
  <c r="E172" i="12" s="1"/>
  <c r="D133" i="12"/>
  <c r="V132" i="12"/>
  <c r="U132" i="12"/>
  <c r="T132" i="12"/>
  <c r="S132" i="12"/>
  <c r="R132" i="12"/>
  <c r="Q132" i="12"/>
  <c r="P132" i="12"/>
  <c r="O132" i="12"/>
  <c r="N132" i="12"/>
  <c r="M132" i="12"/>
  <c r="L132" i="12"/>
  <c r="K132" i="12"/>
  <c r="J132" i="12"/>
  <c r="I132" i="12"/>
  <c r="H132" i="12"/>
  <c r="G132" i="12"/>
  <c r="F132" i="12"/>
  <c r="E132" i="12"/>
  <c r="E159" i="12" s="1"/>
  <c r="D132" i="12"/>
  <c r="V131" i="12"/>
  <c r="U131" i="12"/>
  <c r="T131" i="12"/>
  <c r="T170" i="12" s="1"/>
  <c r="S131" i="12"/>
  <c r="R131" i="12"/>
  <c r="Q131" i="12"/>
  <c r="P131" i="12"/>
  <c r="O131" i="12"/>
  <c r="N131" i="12"/>
  <c r="M131" i="12"/>
  <c r="L131" i="12"/>
  <c r="K131" i="12"/>
  <c r="J131" i="12"/>
  <c r="I131" i="12"/>
  <c r="H131" i="12"/>
  <c r="G131" i="12"/>
  <c r="F131" i="12"/>
  <c r="E131" i="12"/>
  <c r="D131" i="12"/>
  <c r="V130" i="12"/>
  <c r="V169" i="12" s="1"/>
  <c r="U130" i="12"/>
  <c r="T130" i="12"/>
  <c r="S130" i="12"/>
  <c r="R130" i="12"/>
  <c r="Q130" i="12"/>
  <c r="P130" i="12"/>
  <c r="O130" i="12"/>
  <c r="N130" i="12"/>
  <c r="M130" i="12"/>
  <c r="L130" i="12"/>
  <c r="K130" i="12"/>
  <c r="J130" i="12"/>
  <c r="I130" i="12"/>
  <c r="H130" i="12"/>
  <c r="G130" i="12"/>
  <c r="F130" i="12"/>
  <c r="E130" i="12"/>
  <c r="D130" i="12"/>
  <c r="P118" i="12"/>
  <c r="H118" i="12"/>
  <c r="S117" i="12"/>
  <c r="V116" i="12"/>
  <c r="O116" i="12"/>
  <c r="L116" i="12"/>
  <c r="V115" i="12"/>
  <c r="Q115" i="12"/>
  <c r="P115" i="12"/>
  <c r="G115" i="12"/>
  <c r="L114" i="12"/>
  <c r="D114" i="12"/>
  <c r="V112" i="12"/>
  <c r="U111" i="12"/>
  <c r="L111" i="12"/>
  <c r="H110" i="12"/>
  <c r="V108" i="12"/>
  <c r="M108" i="12"/>
  <c r="L106" i="12"/>
  <c r="G105" i="12"/>
  <c r="L104" i="12"/>
  <c r="V103" i="12"/>
  <c r="U103" i="12"/>
  <c r="T103" i="12"/>
  <c r="S103" i="12"/>
  <c r="R103" i="12"/>
  <c r="Q103" i="12"/>
  <c r="P103" i="12"/>
  <c r="O103" i="12"/>
  <c r="N103" i="12"/>
  <c r="M103" i="12"/>
  <c r="L103" i="12"/>
  <c r="K103" i="12"/>
  <c r="J103" i="12"/>
  <c r="I103" i="12"/>
  <c r="H103" i="12"/>
  <c r="G103" i="12"/>
  <c r="F103" i="12"/>
  <c r="E103" i="12"/>
  <c r="D103" i="12"/>
  <c r="G101" i="12"/>
  <c r="N99" i="12"/>
  <c r="P98" i="12"/>
  <c r="I98" i="12"/>
  <c r="T97" i="12"/>
  <c r="L97" i="12"/>
  <c r="V96" i="12"/>
  <c r="O96" i="12"/>
  <c r="J95" i="12"/>
  <c r="E95" i="12"/>
  <c r="U94" i="12"/>
  <c r="M94" i="12"/>
  <c r="V93" i="12"/>
  <c r="K93" i="12"/>
  <c r="H93" i="12"/>
  <c r="K92" i="12"/>
  <c r="U91" i="12"/>
  <c r="N91" i="12"/>
  <c r="F91" i="12"/>
  <c r="V80" i="12"/>
  <c r="U80" i="12"/>
  <c r="T80" i="12"/>
  <c r="T119" i="12" s="1"/>
  <c r="S80" i="12"/>
  <c r="R80" i="12"/>
  <c r="Q80" i="12"/>
  <c r="P80" i="12"/>
  <c r="O80" i="12"/>
  <c r="O119" i="12" s="1"/>
  <c r="N80" i="12"/>
  <c r="M80" i="12"/>
  <c r="M119" i="12" s="1"/>
  <c r="L80" i="12"/>
  <c r="L119" i="12" s="1"/>
  <c r="K80" i="12"/>
  <c r="K119" i="12" s="1"/>
  <c r="J80" i="12"/>
  <c r="J119" i="12" s="1"/>
  <c r="I80" i="12"/>
  <c r="H80" i="12"/>
  <c r="G80" i="12"/>
  <c r="G119" i="12" s="1"/>
  <c r="F80" i="12"/>
  <c r="E80" i="12"/>
  <c r="D80" i="12"/>
  <c r="D119" i="12" s="1"/>
  <c r="V79" i="12"/>
  <c r="U79" i="12"/>
  <c r="T79" i="12"/>
  <c r="T118" i="12" s="1"/>
  <c r="S79" i="12"/>
  <c r="R79" i="12"/>
  <c r="R118" i="12" s="1"/>
  <c r="Q79" i="12"/>
  <c r="P79" i="12"/>
  <c r="O79" i="12"/>
  <c r="O118" i="12" s="1"/>
  <c r="N79" i="12"/>
  <c r="N118" i="12" s="1"/>
  <c r="M79" i="12"/>
  <c r="L79" i="12"/>
  <c r="K79" i="12"/>
  <c r="J79" i="12"/>
  <c r="J118" i="12" s="1"/>
  <c r="I79" i="12"/>
  <c r="H79" i="12"/>
  <c r="G79" i="12"/>
  <c r="G118" i="12" s="1"/>
  <c r="F79" i="12"/>
  <c r="E79" i="12"/>
  <c r="D79" i="12"/>
  <c r="V78" i="12"/>
  <c r="U78" i="12"/>
  <c r="U117" i="12" s="1"/>
  <c r="T78" i="12"/>
  <c r="S78" i="12"/>
  <c r="R78" i="12"/>
  <c r="R117" i="12" s="1"/>
  <c r="Q78" i="12"/>
  <c r="P78" i="12"/>
  <c r="P117" i="12" s="1"/>
  <c r="O78" i="12"/>
  <c r="N78" i="12"/>
  <c r="M78" i="12"/>
  <c r="M117" i="12" s="1"/>
  <c r="L78" i="12"/>
  <c r="K78" i="12"/>
  <c r="J78" i="12"/>
  <c r="J117" i="12" s="1"/>
  <c r="I78" i="12"/>
  <c r="H78" i="12"/>
  <c r="G78" i="12"/>
  <c r="G117" i="12" s="1"/>
  <c r="F78" i="12"/>
  <c r="E78" i="12"/>
  <c r="E117" i="12" s="1"/>
  <c r="D78" i="12"/>
  <c r="V77" i="12"/>
  <c r="U77" i="12"/>
  <c r="U116" i="12" s="1"/>
  <c r="T77" i="12"/>
  <c r="T116" i="12" s="1"/>
  <c r="S77" i="12"/>
  <c r="S116" i="12" s="1"/>
  <c r="R77" i="12"/>
  <c r="R116" i="12" s="1"/>
  <c r="Q77" i="12"/>
  <c r="Q116" i="12" s="1"/>
  <c r="P77" i="12"/>
  <c r="P116" i="12" s="1"/>
  <c r="O77" i="12"/>
  <c r="N77" i="12"/>
  <c r="N116" i="12" s="1"/>
  <c r="M77" i="12"/>
  <c r="M116" i="12" s="1"/>
  <c r="L77" i="12"/>
  <c r="K77" i="12"/>
  <c r="K116" i="12" s="1"/>
  <c r="J77" i="12"/>
  <c r="J116" i="12" s="1"/>
  <c r="I77" i="12"/>
  <c r="I116" i="12" s="1"/>
  <c r="H77" i="12"/>
  <c r="H116" i="12" s="1"/>
  <c r="G77" i="12"/>
  <c r="G116" i="12" s="1"/>
  <c r="F77" i="12"/>
  <c r="F116" i="12" s="1"/>
  <c r="E77" i="12"/>
  <c r="E116" i="12" s="1"/>
  <c r="D77" i="12"/>
  <c r="D116" i="12" s="1"/>
  <c r="V76" i="12"/>
  <c r="U76" i="12"/>
  <c r="T76" i="12"/>
  <c r="S76" i="12"/>
  <c r="S115" i="12" s="1"/>
  <c r="R76" i="12"/>
  <c r="Q76" i="12"/>
  <c r="P76" i="12"/>
  <c r="O76" i="12"/>
  <c r="N76" i="12"/>
  <c r="M76" i="12"/>
  <c r="M115" i="12" s="1"/>
  <c r="L76" i="12"/>
  <c r="K76" i="12"/>
  <c r="K115" i="12" s="1"/>
  <c r="J76" i="12"/>
  <c r="I76" i="12"/>
  <c r="H76" i="12"/>
  <c r="H115" i="12" s="1"/>
  <c r="G76" i="12"/>
  <c r="F76" i="12"/>
  <c r="F115" i="12" s="1"/>
  <c r="E76" i="12"/>
  <c r="D76" i="12"/>
  <c r="V75" i="12"/>
  <c r="V114" i="12" s="1"/>
  <c r="U75" i="12"/>
  <c r="T75" i="12"/>
  <c r="S75" i="12"/>
  <c r="S114" i="12" s="1"/>
  <c r="R75" i="12"/>
  <c r="Q75" i="12"/>
  <c r="P75" i="12"/>
  <c r="P114" i="12" s="1"/>
  <c r="O75" i="12"/>
  <c r="N75" i="12"/>
  <c r="N114" i="12" s="1"/>
  <c r="M75" i="12"/>
  <c r="L75" i="12"/>
  <c r="K75" i="12"/>
  <c r="K114" i="12" s="1"/>
  <c r="J75" i="12"/>
  <c r="I75" i="12"/>
  <c r="I114" i="12" s="1"/>
  <c r="H75" i="12"/>
  <c r="G75" i="12"/>
  <c r="F75" i="12"/>
  <c r="F114" i="12" s="1"/>
  <c r="E75" i="12"/>
  <c r="D75" i="12"/>
  <c r="V74" i="12"/>
  <c r="V113" i="12" s="1"/>
  <c r="U74" i="12"/>
  <c r="T74" i="12"/>
  <c r="S74" i="12"/>
  <c r="S113" i="12" s="1"/>
  <c r="R74" i="12"/>
  <c r="Q74" i="12"/>
  <c r="Q113" i="12" s="1"/>
  <c r="P74" i="12"/>
  <c r="O74" i="12"/>
  <c r="O113" i="12" s="1"/>
  <c r="N74" i="12"/>
  <c r="N113" i="12" s="1"/>
  <c r="M74" i="12"/>
  <c r="M113" i="12" s="1"/>
  <c r="L74" i="12"/>
  <c r="K74" i="12"/>
  <c r="J74" i="12"/>
  <c r="I74" i="12"/>
  <c r="I113" i="12" s="1"/>
  <c r="H74" i="12"/>
  <c r="G74" i="12"/>
  <c r="F74" i="12"/>
  <c r="F113" i="12" s="1"/>
  <c r="E74" i="12"/>
  <c r="D74" i="12"/>
  <c r="V73" i="12"/>
  <c r="U73" i="12"/>
  <c r="T73" i="12"/>
  <c r="T112" i="12" s="1"/>
  <c r="S73" i="12"/>
  <c r="R73" i="12"/>
  <c r="R112" i="12" s="1"/>
  <c r="Q73" i="12"/>
  <c r="Q112" i="12" s="1"/>
  <c r="P73" i="12"/>
  <c r="P112" i="12" s="1"/>
  <c r="O73" i="12"/>
  <c r="O112" i="12" s="1"/>
  <c r="N73" i="12"/>
  <c r="M73" i="12"/>
  <c r="L73" i="12"/>
  <c r="L112" i="12" s="1"/>
  <c r="K73" i="12"/>
  <c r="J73" i="12"/>
  <c r="I73" i="12"/>
  <c r="I112" i="12" s="1"/>
  <c r="H73" i="12"/>
  <c r="G73" i="12"/>
  <c r="F73" i="12"/>
  <c r="F112" i="12" s="1"/>
  <c r="E73" i="12"/>
  <c r="D73" i="12"/>
  <c r="D112" i="12" s="1"/>
  <c r="V72" i="12"/>
  <c r="U72" i="12"/>
  <c r="T72" i="12"/>
  <c r="T111" i="12" s="1"/>
  <c r="S72" i="12"/>
  <c r="S111" i="12" s="1"/>
  <c r="R72" i="12"/>
  <c r="R111" i="12" s="1"/>
  <c r="Q72" i="12"/>
  <c r="P72" i="12"/>
  <c r="O72" i="12"/>
  <c r="O111" i="12" s="1"/>
  <c r="N72" i="12"/>
  <c r="M72" i="12"/>
  <c r="L72" i="12"/>
  <c r="K72" i="12"/>
  <c r="J72" i="12"/>
  <c r="I72" i="12"/>
  <c r="I111" i="12" s="1"/>
  <c r="H72" i="12"/>
  <c r="G72" i="12"/>
  <c r="G111" i="12" s="1"/>
  <c r="F72" i="12"/>
  <c r="E72" i="12"/>
  <c r="D72" i="12"/>
  <c r="D111" i="12" s="1"/>
  <c r="V71" i="12"/>
  <c r="V110" i="12" s="1"/>
  <c r="U71" i="12"/>
  <c r="U110" i="12" s="1"/>
  <c r="T71" i="12"/>
  <c r="S71" i="12"/>
  <c r="R71" i="12"/>
  <c r="R110" i="12" s="1"/>
  <c r="Q71" i="12"/>
  <c r="P71" i="12"/>
  <c r="O71" i="12"/>
  <c r="O110" i="12" s="1"/>
  <c r="N71" i="12"/>
  <c r="M71" i="12"/>
  <c r="L71" i="12"/>
  <c r="K71" i="12"/>
  <c r="J71" i="12"/>
  <c r="J110" i="12" s="1"/>
  <c r="I71" i="12"/>
  <c r="H71" i="12"/>
  <c r="G71" i="12"/>
  <c r="G110" i="12" s="1"/>
  <c r="F71" i="12"/>
  <c r="F110" i="12" s="1"/>
  <c r="E71" i="12"/>
  <c r="E110" i="12" s="1"/>
  <c r="D71" i="12"/>
  <c r="V70" i="12"/>
  <c r="U70" i="12"/>
  <c r="U109" i="12" s="1"/>
  <c r="T70" i="12"/>
  <c r="S70" i="12"/>
  <c r="R70" i="12"/>
  <c r="R109" i="12" s="1"/>
  <c r="Q70" i="12"/>
  <c r="P70" i="12"/>
  <c r="O70" i="12"/>
  <c r="N70" i="12"/>
  <c r="M70" i="12"/>
  <c r="M109" i="12" s="1"/>
  <c r="L70" i="12"/>
  <c r="K70" i="12"/>
  <c r="J70" i="12"/>
  <c r="J109" i="12" s="1"/>
  <c r="I70" i="12"/>
  <c r="I109" i="12" s="1"/>
  <c r="H70" i="12"/>
  <c r="G70" i="12"/>
  <c r="F70" i="12"/>
  <c r="E70" i="12"/>
  <c r="E109" i="12" s="1"/>
  <c r="D70" i="12"/>
  <c r="V69" i="12"/>
  <c r="U69" i="12"/>
  <c r="U108" i="12" s="1"/>
  <c r="T69" i="12"/>
  <c r="S69" i="12"/>
  <c r="R69" i="12"/>
  <c r="Q69" i="12"/>
  <c r="P69" i="12"/>
  <c r="P108" i="12" s="1"/>
  <c r="O69" i="12"/>
  <c r="N69" i="12"/>
  <c r="N108" i="12" s="1"/>
  <c r="M69" i="12"/>
  <c r="L69" i="12"/>
  <c r="L108" i="12" s="1"/>
  <c r="K69" i="12"/>
  <c r="K108" i="12" s="1"/>
  <c r="J69" i="12"/>
  <c r="I69" i="12"/>
  <c r="H69" i="12"/>
  <c r="H108" i="12" s="1"/>
  <c r="G69" i="12"/>
  <c r="F69" i="12"/>
  <c r="E69" i="12"/>
  <c r="E108" i="12" s="1"/>
  <c r="D69" i="12"/>
  <c r="V68" i="12"/>
  <c r="U68" i="12"/>
  <c r="U107" i="12" s="1"/>
  <c r="T68" i="12"/>
  <c r="S68" i="12"/>
  <c r="S107" i="12" s="1"/>
  <c r="R68" i="12"/>
  <c r="Q68" i="12"/>
  <c r="Q107" i="12" s="1"/>
  <c r="P68" i="12"/>
  <c r="P107" i="12" s="1"/>
  <c r="O68" i="12"/>
  <c r="N68" i="12"/>
  <c r="M68" i="12"/>
  <c r="L68" i="12"/>
  <c r="K68" i="12"/>
  <c r="K107" i="12" s="1"/>
  <c r="J68" i="12"/>
  <c r="I68" i="12"/>
  <c r="H68" i="12"/>
  <c r="H107" i="12" s="1"/>
  <c r="G68" i="12"/>
  <c r="F68" i="12"/>
  <c r="E68" i="12"/>
  <c r="E107" i="12" s="1"/>
  <c r="D68" i="12"/>
  <c r="V67" i="12"/>
  <c r="V106" i="12" s="1"/>
  <c r="U67" i="12"/>
  <c r="T67" i="12"/>
  <c r="T106" i="12" s="1"/>
  <c r="S67" i="12"/>
  <c r="S106" i="12" s="1"/>
  <c r="R67" i="12"/>
  <c r="Q67" i="12"/>
  <c r="Q106" i="12" s="1"/>
  <c r="P67" i="12"/>
  <c r="O67" i="12"/>
  <c r="N67" i="12"/>
  <c r="N106" i="12" s="1"/>
  <c r="M67" i="12"/>
  <c r="L67" i="12"/>
  <c r="K67" i="12"/>
  <c r="K106" i="12" s="1"/>
  <c r="J67" i="12"/>
  <c r="I67" i="12"/>
  <c r="H67" i="12"/>
  <c r="G67" i="12"/>
  <c r="F67" i="12"/>
  <c r="F106" i="12" s="1"/>
  <c r="E67" i="12"/>
  <c r="D67" i="12"/>
  <c r="V66" i="12"/>
  <c r="V105" i="12" s="1"/>
  <c r="U66" i="12"/>
  <c r="U105" i="12" s="1"/>
  <c r="T66" i="12"/>
  <c r="S66" i="12"/>
  <c r="R66" i="12"/>
  <c r="R105" i="12" s="1"/>
  <c r="Q66" i="12"/>
  <c r="Q105" i="12" s="1"/>
  <c r="P66" i="12"/>
  <c r="O66" i="12"/>
  <c r="O105" i="12" s="1"/>
  <c r="N66" i="12"/>
  <c r="N105" i="12" s="1"/>
  <c r="M66" i="12"/>
  <c r="L66" i="12"/>
  <c r="K66" i="12"/>
  <c r="J66" i="12"/>
  <c r="I66" i="12"/>
  <c r="I105" i="12" s="1"/>
  <c r="H66" i="12"/>
  <c r="G66" i="12"/>
  <c r="F66" i="12"/>
  <c r="F105" i="12" s="1"/>
  <c r="E66" i="12"/>
  <c r="D66" i="12"/>
  <c r="V65" i="12"/>
  <c r="U65" i="12"/>
  <c r="T65" i="12"/>
  <c r="T104" i="12" s="1"/>
  <c r="S65" i="12"/>
  <c r="R65" i="12"/>
  <c r="Q65" i="12"/>
  <c r="Q104" i="12" s="1"/>
  <c r="P65" i="12"/>
  <c r="O65" i="12"/>
  <c r="O104" i="12" s="1"/>
  <c r="N65" i="12"/>
  <c r="N104" i="12" s="1"/>
  <c r="M65" i="12"/>
  <c r="L65" i="12"/>
  <c r="K65" i="12"/>
  <c r="J65" i="12"/>
  <c r="J104" i="12" s="1"/>
  <c r="I65" i="12"/>
  <c r="I104" i="12" s="1"/>
  <c r="H65" i="12"/>
  <c r="H104" i="12" s="1"/>
  <c r="G65" i="12"/>
  <c r="F65" i="12"/>
  <c r="E65" i="12"/>
  <c r="D65" i="12"/>
  <c r="D104" i="12" s="1"/>
  <c r="V63" i="12"/>
  <c r="U63" i="12"/>
  <c r="T63" i="12"/>
  <c r="T102" i="12" s="1"/>
  <c r="S63" i="12"/>
  <c r="R63" i="12"/>
  <c r="Q63" i="12"/>
  <c r="P63" i="12"/>
  <c r="O63" i="12"/>
  <c r="O102" i="12" s="1"/>
  <c r="N63" i="12"/>
  <c r="M63" i="12"/>
  <c r="M102" i="12" s="1"/>
  <c r="L63" i="12"/>
  <c r="L102" i="12" s="1"/>
  <c r="K63" i="12"/>
  <c r="J63" i="12"/>
  <c r="I63" i="12"/>
  <c r="I102" i="12" s="1"/>
  <c r="H63" i="12"/>
  <c r="G63" i="12"/>
  <c r="G102" i="12" s="1"/>
  <c r="F63" i="12"/>
  <c r="E63" i="12"/>
  <c r="D63" i="12"/>
  <c r="D102" i="12" s="1"/>
  <c r="V62" i="12"/>
  <c r="U62" i="12"/>
  <c r="U101" i="12" s="1"/>
  <c r="T62" i="12"/>
  <c r="S62" i="12"/>
  <c r="R62" i="12"/>
  <c r="R101" i="12" s="1"/>
  <c r="Q62" i="12"/>
  <c r="P62" i="12"/>
  <c r="P101" i="12" s="1"/>
  <c r="O62" i="12"/>
  <c r="O101" i="12" s="1"/>
  <c r="N62" i="12"/>
  <c r="N101" i="12" s="1"/>
  <c r="M62" i="12"/>
  <c r="L62" i="12"/>
  <c r="K62" i="12"/>
  <c r="J62" i="12"/>
  <c r="J101" i="12" s="1"/>
  <c r="I62" i="12"/>
  <c r="H62" i="12"/>
  <c r="G62" i="12"/>
  <c r="F62" i="12"/>
  <c r="E62" i="12"/>
  <c r="E101" i="12" s="1"/>
  <c r="D62" i="12"/>
  <c r="V61" i="12"/>
  <c r="U61" i="12"/>
  <c r="U100" i="12" s="1"/>
  <c r="T61" i="12"/>
  <c r="S61" i="12"/>
  <c r="R61" i="12"/>
  <c r="R100" i="12" s="1"/>
  <c r="Q61" i="12"/>
  <c r="P61" i="12"/>
  <c r="O61" i="12"/>
  <c r="N61" i="12"/>
  <c r="M61" i="12"/>
  <c r="M100" i="12" s="1"/>
  <c r="L61" i="12"/>
  <c r="K61" i="12"/>
  <c r="J61" i="12"/>
  <c r="J100" i="12" s="1"/>
  <c r="I61" i="12"/>
  <c r="H61" i="12"/>
  <c r="G61" i="12"/>
  <c r="F61" i="12"/>
  <c r="E61" i="12"/>
  <c r="E100" i="12" s="1"/>
  <c r="D61" i="12"/>
  <c r="V60" i="12"/>
  <c r="U60" i="12"/>
  <c r="U99" i="12" s="1"/>
  <c r="T60" i="12"/>
  <c r="T99" i="12" s="1"/>
  <c r="S60" i="12"/>
  <c r="R60" i="12"/>
  <c r="Q60" i="12"/>
  <c r="P60" i="12"/>
  <c r="P99" i="12" s="1"/>
  <c r="O60" i="12"/>
  <c r="N60" i="12"/>
  <c r="M60" i="12"/>
  <c r="M99" i="12" s="1"/>
  <c r="L60" i="12"/>
  <c r="K60" i="12"/>
  <c r="K99" i="12" s="1"/>
  <c r="J60" i="12"/>
  <c r="I60" i="12"/>
  <c r="I99" i="12" s="1"/>
  <c r="H60" i="12"/>
  <c r="H99" i="12" s="1"/>
  <c r="G60" i="12"/>
  <c r="F60" i="12"/>
  <c r="F99" i="12" s="1"/>
  <c r="E60" i="12"/>
  <c r="E99" i="12" s="1"/>
  <c r="D60" i="12"/>
  <c r="V59" i="12"/>
  <c r="U59" i="12"/>
  <c r="T59" i="12"/>
  <c r="S59" i="12"/>
  <c r="S98" i="12" s="1"/>
  <c r="R59" i="12"/>
  <c r="Q59" i="12"/>
  <c r="P59" i="12"/>
  <c r="O59" i="12"/>
  <c r="N59" i="12"/>
  <c r="N98" i="12" s="1"/>
  <c r="M59" i="12"/>
  <c r="L59" i="12"/>
  <c r="L98" i="12" s="1"/>
  <c r="K59" i="12"/>
  <c r="K98" i="12" s="1"/>
  <c r="J59" i="12"/>
  <c r="I59" i="12"/>
  <c r="H59" i="12"/>
  <c r="H98" i="12" s="1"/>
  <c r="G59" i="12"/>
  <c r="G98" i="12" s="1"/>
  <c r="F59" i="12"/>
  <c r="E59" i="12"/>
  <c r="D59" i="12"/>
  <c r="V58" i="12"/>
  <c r="V97" i="12" s="1"/>
  <c r="U58" i="12"/>
  <c r="T58" i="12"/>
  <c r="S58" i="12"/>
  <c r="S97" i="12" s="1"/>
  <c r="R58" i="12"/>
  <c r="Q58" i="12"/>
  <c r="P58" i="12"/>
  <c r="O58" i="12"/>
  <c r="N58" i="12"/>
  <c r="N97" i="12" s="1"/>
  <c r="M58" i="12"/>
  <c r="L58" i="12"/>
  <c r="K58" i="12"/>
  <c r="K97" i="12" s="1"/>
  <c r="J58" i="12"/>
  <c r="J97" i="12" s="1"/>
  <c r="I58" i="12"/>
  <c r="H58" i="12"/>
  <c r="G58" i="12"/>
  <c r="F58" i="12"/>
  <c r="F97" i="12" s="1"/>
  <c r="E58" i="12"/>
  <c r="D58" i="12"/>
  <c r="V57" i="12"/>
  <c r="U57" i="12"/>
  <c r="T57" i="12"/>
  <c r="S57" i="12"/>
  <c r="R57" i="12"/>
  <c r="R96" i="12" s="1"/>
  <c r="Q57" i="12"/>
  <c r="Q96" i="12" s="1"/>
  <c r="P57" i="12"/>
  <c r="O57" i="12"/>
  <c r="N57" i="12"/>
  <c r="N96" i="12" s="1"/>
  <c r="M57" i="12"/>
  <c r="M96" i="12" s="1"/>
  <c r="L57" i="12"/>
  <c r="K57" i="12"/>
  <c r="K96" i="12" s="1"/>
  <c r="J57" i="12"/>
  <c r="I57" i="12"/>
  <c r="I81" i="12" s="1"/>
  <c r="H57" i="12"/>
  <c r="G57" i="12"/>
  <c r="G96" i="12" s="1"/>
  <c r="F57" i="12"/>
  <c r="F96" i="12" s="1"/>
  <c r="E57" i="12"/>
  <c r="D57" i="12"/>
  <c r="D96" i="12" s="1"/>
  <c r="V56" i="12"/>
  <c r="U56" i="12"/>
  <c r="T56" i="12"/>
  <c r="T95" i="12" s="1"/>
  <c r="S56" i="12"/>
  <c r="R56" i="12"/>
  <c r="R95" i="12" s="1"/>
  <c r="Q56" i="12"/>
  <c r="Q95" i="12" s="1"/>
  <c r="P56" i="12"/>
  <c r="O56" i="12"/>
  <c r="N56" i="12"/>
  <c r="N95" i="12" s="1"/>
  <c r="M56" i="12"/>
  <c r="L56" i="12"/>
  <c r="K56" i="12"/>
  <c r="J56" i="12"/>
  <c r="I56" i="12"/>
  <c r="I95" i="12" s="1"/>
  <c r="H56" i="12"/>
  <c r="G56" i="12"/>
  <c r="G95" i="12" s="1"/>
  <c r="F56" i="12"/>
  <c r="E56" i="12"/>
  <c r="D56" i="12"/>
  <c r="D95" i="12" s="1"/>
  <c r="V55" i="12"/>
  <c r="U55" i="12"/>
  <c r="T55" i="12"/>
  <c r="T94" i="12" s="1"/>
  <c r="S55" i="12"/>
  <c r="S94" i="12" s="1"/>
  <c r="R55" i="12"/>
  <c r="Q55" i="12"/>
  <c r="P55" i="12"/>
  <c r="O55" i="12"/>
  <c r="O94" i="12" s="1"/>
  <c r="N55" i="12"/>
  <c r="M55" i="12"/>
  <c r="L55" i="12"/>
  <c r="L94" i="12" s="1"/>
  <c r="K55" i="12"/>
  <c r="J55" i="12"/>
  <c r="I55" i="12"/>
  <c r="H55" i="12"/>
  <c r="G55" i="12"/>
  <c r="G94" i="12" s="1"/>
  <c r="F55" i="12"/>
  <c r="E55" i="12"/>
  <c r="E94" i="12" s="1"/>
  <c r="D55" i="12"/>
  <c r="D94" i="12" s="1"/>
  <c r="V54" i="12"/>
  <c r="U54" i="12"/>
  <c r="T54" i="12"/>
  <c r="T93" i="12" s="1"/>
  <c r="S54" i="12"/>
  <c r="R54" i="12"/>
  <c r="R93" i="12" s="1"/>
  <c r="Q54" i="12"/>
  <c r="P54" i="12"/>
  <c r="O54" i="12"/>
  <c r="O93" i="12" s="1"/>
  <c r="N54" i="12"/>
  <c r="M54" i="12"/>
  <c r="M93" i="12" s="1"/>
  <c r="L54" i="12"/>
  <c r="K54" i="12"/>
  <c r="J54" i="12"/>
  <c r="J93" i="12" s="1"/>
  <c r="I54" i="12"/>
  <c r="H54" i="12"/>
  <c r="G54" i="12"/>
  <c r="F54" i="12"/>
  <c r="F93" i="12" s="1"/>
  <c r="E54" i="12"/>
  <c r="D54" i="12"/>
  <c r="D93" i="12" s="1"/>
  <c r="V53" i="12"/>
  <c r="U53" i="12"/>
  <c r="U92" i="12" s="1"/>
  <c r="T53" i="12"/>
  <c r="S53" i="12"/>
  <c r="S92" i="12" s="1"/>
  <c r="R53" i="12"/>
  <c r="R92" i="12" s="1"/>
  <c r="Q53" i="12"/>
  <c r="P53" i="12"/>
  <c r="P92" i="12" s="1"/>
  <c r="O53" i="12"/>
  <c r="N53" i="12"/>
  <c r="M53" i="12"/>
  <c r="M92" i="12" s="1"/>
  <c r="L53" i="12"/>
  <c r="K53" i="12"/>
  <c r="J53" i="12"/>
  <c r="J92" i="12" s="1"/>
  <c r="I53" i="12"/>
  <c r="I92" i="12" s="1"/>
  <c r="H53" i="12"/>
  <c r="G53" i="12"/>
  <c r="F53" i="12"/>
  <c r="E53" i="12"/>
  <c r="E92" i="12" s="1"/>
  <c r="D53" i="12"/>
  <c r="V52" i="12"/>
  <c r="U52" i="12"/>
  <c r="T52" i="12"/>
  <c r="S52" i="12"/>
  <c r="S91" i="12" s="1"/>
  <c r="R52" i="12"/>
  <c r="Q52" i="12"/>
  <c r="P52" i="12"/>
  <c r="O52" i="12"/>
  <c r="N52" i="12"/>
  <c r="M52" i="12"/>
  <c r="L52" i="12"/>
  <c r="L91" i="12" s="1"/>
  <c r="K52" i="12"/>
  <c r="J52" i="12"/>
  <c r="J91" i="12" s="1"/>
  <c r="I52" i="12"/>
  <c r="H52" i="12"/>
  <c r="G52" i="12"/>
  <c r="F52" i="12"/>
  <c r="E52" i="12"/>
  <c r="E91" i="12" s="1"/>
  <c r="D52" i="12"/>
  <c r="V41" i="12"/>
  <c r="V119" i="12" s="1"/>
  <c r="U41" i="12"/>
  <c r="U119" i="12" s="1"/>
  <c r="T41" i="12"/>
  <c r="S41" i="12"/>
  <c r="S119" i="12" s="1"/>
  <c r="R41" i="12"/>
  <c r="Q41" i="12"/>
  <c r="P41" i="12"/>
  <c r="O41" i="12"/>
  <c r="N41" i="12"/>
  <c r="N275" i="12" s="1"/>
  <c r="M41" i="12"/>
  <c r="M275" i="12" s="1"/>
  <c r="L41" i="12"/>
  <c r="L197" i="12" s="1"/>
  <c r="K41" i="12"/>
  <c r="K197" i="12" s="1"/>
  <c r="J41" i="12"/>
  <c r="J275" i="12" s="1"/>
  <c r="I41" i="12"/>
  <c r="I197" i="12" s="1"/>
  <c r="H41" i="12"/>
  <c r="H275" i="12" s="1"/>
  <c r="G41" i="12"/>
  <c r="F41" i="12"/>
  <c r="F119" i="12" s="1"/>
  <c r="E41" i="12"/>
  <c r="E119" i="12" s="1"/>
  <c r="D41" i="12"/>
  <c r="D275" i="12" s="1"/>
  <c r="V40" i="12"/>
  <c r="V118" i="12" s="1"/>
  <c r="U40" i="12"/>
  <c r="U196" i="12" s="1"/>
  <c r="T40" i="12"/>
  <c r="T274" i="12" s="1"/>
  <c r="S40" i="12"/>
  <c r="S274" i="12" s="1"/>
  <c r="R40" i="12"/>
  <c r="R274" i="12" s="1"/>
  <c r="Q40" i="12"/>
  <c r="P40" i="12"/>
  <c r="O40" i="12"/>
  <c r="O196" i="12" s="1"/>
  <c r="N40" i="12"/>
  <c r="N196" i="12" s="1"/>
  <c r="M40" i="12"/>
  <c r="M274" i="12" s="1"/>
  <c r="L40" i="12"/>
  <c r="L196" i="12" s="1"/>
  <c r="K40" i="12"/>
  <c r="K274" i="12" s="1"/>
  <c r="J40" i="12"/>
  <c r="I40" i="12"/>
  <c r="I118" i="12" s="1"/>
  <c r="H40" i="12"/>
  <c r="G40" i="12"/>
  <c r="F40" i="12"/>
  <c r="F118" i="12" s="1"/>
  <c r="E40" i="12"/>
  <c r="E274" i="12" s="1"/>
  <c r="D40" i="12"/>
  <c r="D274" i="12" s="1"/>
  <c r="V39" i="12"/>
  <c r="V273" i="12" s="1"/>
  <c r="U39" i="12"/>
  <c r="U273" i="12" s="1"/>
  <c r="T39" i="12"/>
  <c r="S39" i="12"/>
  <c r="R39" i="12"/>
  <c r="R195" i="12" s="1"/>
  <c r="Q39" i="12"/>
  <c r="Q195" i="12" s="1"/>
  <c r="P39" i="12"/>
  <c r="O39" i="12"/>
  <c r="O195" i="12" s="1"/>
  <c r="N39" i="12"/>
  <c r="N273" i="12" s="1"/>
  <c r="M39" i="12"/>
  <c r="M273" i="12" s="1"/>
  <c r="L39" i="12"/>
  <c r="L117" i="12" s="1"/>
  <c r="K39" i="12"/>
  <c r="K117" i="12" s="1"/>
  <c r="J39" i="12"/>
  <c r="I39" i="12"/>
  <c r="H39" i="12"/>
  <c r="H195" i="12" s="1"/>
  <c r="G39" i="12"/>
  <c r="G273" i="12" s="1"/>
  <c r="F39" i="12"/>
  <c r="F273" i="12" s="1"/>
  <c r="E39" i="12"/>
  <c r="E273" i="12" s="1"/>
  <c r="D39" i="12"/>
  <c r="V38" i="12"/>
  <c r="U38" i="12"/>
  <c r="U194" i="12" s="1"/>
  <c r="T38" i="12"/>
  <c r="S38" i="12"/>
  <c r="R38" i="12"/>
  <c r="Q38" i="12"/>
  <c r="P38" i="12"/>
  <c r="O38" i="12"/>
  <c r="N38" i="12"/>
  <c r="M38" i="12"/>
  <c r="L38" i="12"/>
  <c r="K38" i="12"/>
  <c r="J38" i="12"/>
  <c r="I38" i="12"/>
  <c r="H38" i="12"/>
  <c r="G38" i="12"/>
  <c r="F38" i="12"/>
  <c r="E38" i="12"/>
  <c r="D38" i="12"/>
  <c r="V37" i="12"/>
  <c r="U37" i="12"/>
  <c r="T37" i="12"/>
  <c r="S37" i="12"/>
  <c r="S271" i="12" s="1"/>
  <c r="R37" i="12"/>
  <c r="R115" i="12" s="1"/>
  <c r="Q37" i="12"/>
  <c r="P37" i="12"/>
  <c r="P193" i="12" s="1"/>
  <c r="O37" i="12"/>
  <c r="N37" i="12"/>
  <c r="M37" i="12"/>
  <c r="M271" i="12" s="1"/>
  <c r="L37" i="12"/>
  <c r="L271" i="12" s="1"/>
  <c r="K37" i="12"/>
  <c r="J37" i="12"/>
  <c r="I37" i="12"/>
  <c r="H37" i="12"/>
  <c r="G37" i="12"/>
  <c r="G193" i="12" s="1"/>
  <c r="F37" i="12"/>
  <c r="F271" i="12" s="1"/>
  <c r="E37" i="12"/>
  <c r="E193" i="12" s="1"/>
  <c r="D37" i="12"/>
  <c r="V36" i="12"/>
  <c r="U36" i="12"/>
  <c r="U114" i="12" s="1"/>
  <c r="T36" i="12"/>
  <c r="T192" i="12" s="1"/>
  <c r="S36" i="12"/>
  <c r="R36" i="12"/>
  <c r="Q36" i="12"/>
  <c r="Q192" i="12" s="1"/>
  <c r="P36" i="12"/>
  <c r="P270" i="12" s="1"/>
  <c r="O36" i="12"/>
  <c r="O270" i="12" s="1"/>
  <c r="N36" i="12"/>
  <c r="N270" i="12" s="1"/>
  <c r="M36" i="12"/>
  <c r="L36" i="12"/>
  <c r="K36" i="12"/>
  <c r="K192" i="12" s="1"/>
  <c r="J36" i="12"/>
  <c r="J192" i="12" s="1"/>
  <c r="I36" i="12"/>
  <c r="I270" i="12" s="1"/>
  <c r="H36" i="12"/>
  <c r="H192" i="12" s="1"/>
  <c r="G36" i="12"/>
  <c r="G270" i="12" s="1"/>
  <c r="F36" i="12"/>
  <c r="F270" i="12" s="1"/>
  <c r="E36" i="12"/>
  <c r="D36" i="12"/>
  <c r="V35" i="12"/>
  <c r="V269" i="12" s="1"/>
  <c r="U35" i="12"/>
  <c r="T35" i="12"/>
  <c r="T191" i="12" s="1"/>
  <c r="S35" i="12"/>
  <c r="S269" i="12" s="1"/>
  <c r="R35" i="12"/>
  <c r="R269" i="12" s="1"/>
  <c r="Q35" i="12"/>
  <c r="Q269" i="12" s="1"/>
  <c r="P35" i="12"/>
  <c r="P269" i="12" s="1"/>
  <c r="O35" i="12"/>
  <c r="N35" i="12"/>
  <c r="M35" i="12"/>
  <c r="M191" i="12" s="1"/>
  <c r="L35" i="12"/>
  <c r="L113" i="12" s="1"/>
  <c r="K35" i="12"/>
  <c r="K191" i="12" s="1"/>
  <c r="J35" i="12"/>
  <c r="J269" i="12" s="1"/>
  <c r="I35" i="12"/>
  <c r="I269" i="12" s="1"/>
  <c r="H35" i="12"/>
  <c r="H113" i="12" s="1"/>
  <c r="G35" i="12"/>
  <c r="G191" i="12" s="1"/>
  <c r="F35" i="12"/>
  <c r="F191" i="12" s="1"/>
  <c r="E35" i="12"/>
  <c r="D35" i="12"/>
  <c r="D191" i="12" s="1"/>
  <c r="V34" i="12"/>
  <c r="V268" i="12" s="1"/>
  <c r="U34" i="12"/>
  <c r="U268" i="12" s="1"/>
  <c r="T34" i="12"/>
  <c r="T268" i="12" s="1"/>
  <c r="S34" i="12"/>
  <c r="R34" i="12"/>
  <c r="Q34" i="12"/>
  <c r="Q190" i="12" s="1"/>
  <c r="P34" i="12"/>
  <c r="P190" i="12" s="1"/>
  <c r="O34" i="12"/>
  <c r="O268" i="12" s="1"/>
  <c r="N34" i="12"/>
  <c r="N190" i="12" s="1"/>
  <c r="M34" i="12"/>
  <c r="M268" i="12" s="1"/>
  <c r="L34" i="12"/>
  <c r="K34" i="12"/>
  <c r="K112" i="12" s="1"/>
  <c r="J34" i="12"/>
  <c r="I34" i="12"/>
  <c r="I190" i="12" s="1"/>
  <c r="H34" i="12"/>
  <c r="H112" i="12" s="1"/>
  <c r="G34" i="12"/>
  <c r="G190" i="12" s="1"/>
  <c r="F34" i="12"/>
  <c r="F268" i="12" s="1"/>
  <c r="E34" i="12"/>
  <c r="E268" i="12" s="1"/>
  <c r="D34" i="12"/>
  <c r="D268" i="12" s="1"/>
  <c r="V33" i="12"/>
  <c r="U33" i="12"/>
  <c r="T33" i="12"/>
  <c r="S33" i="12"/>
  <c r="S189" i="12" s="1"/>
  <c r="R33" i="12"/>
  <c r="R267" i="12" s="1"/>
  <c r="Q33" i="12"/>
  <c r="Q189" i="12" s="1"/>
  <c r="P33" i="12"/>
  <c r="P267" i="12" s="1"/>
  <c r="O33" i="12"/>
  <c r="N33" i="12"/>
  <c r="N111" i="12" s="1"/>
  <c r="M33" i="12"/>
  <c r="M111" i="12" s="1"/>
  <c r="L33" i="12"/>
  <c r="K33" i="12"/>
  <c r="J33" i="12"/>
  <c r="J267" i="12" s="1"/>
  <c r="I33" i="12"/>
  <c r="I267" i="12" s="1"/>
  <c r="H33" i="12"/>
  <c r="H267" i="12" s="1"/>
  <c r="G33" i="12"/>
  <c r="G267" i="12" s="1"/>
  <c r="F33" i="12"/>
  <c r="E33" i="12"/>
  <c r="D33" i="12"/>
  <c r="V32" i="12"/>
  <c r="V266" i="12" s="1"/>
  <c r="U32" i="12"/>
  <c r="T32" i="12"/>
  <c r="T188" i="12" s="1"/>
  <c r="S32" i="12"/>
  <c r="S266" i="12" s="1"/>
  <c r="R32" i="12"/>
  <c r="R266" i="12" s="1"/>
  <c r="Q32" i="12"/>
  <c r="Q110" i="12" s="1"/>
  <c r="P32" i="12"/>
  <c r="O32" i="12"/>
  <c r="N32" i="12"/>
  <c r="M32" i="12"/>
  <c r="M188" i="12" s="1"/>
  <c r="L32" i="12"/>
  <c r="L266" i="12" s="1"/>
  <c r="K32" i="12"/>
  <c r="K266" i="12" s="1"/>
  <c r="J32" i="12"/>
  <c r="J266" i="12" s="1"/>
  <c r="I32" i="12"/>
  <c r="H32" i="12"/>
  <c r="G32" i="12"/>
  <c r="G188" i="12" s="1"/>
  <c r="F32" i="12"/>
  <c r="F188" i="12" s="1"/>
  <c r="E32" i="12"/>
  <c r="D32" i="12"/>
  <c r="D188" i="12" s="1"/>
  <c r="V31" i="12"/>
  <c r="U31" i="12"/>
  <c r="U265" i="12" s="1"/>
  <c r="T31" i="12"/>
  <c r="S31" i="12"/>
  <c r="S109" i="12" s="1"/>
  <c r="R31" i="12"/>
  <c r="R187" i="12" s="1"/>
  <c r="Q31" i="12"/>
  <c r="Q187" i="12" s="1"/>
  <c r="P31" i="12"/>
  <c r="P187" i="12" s="1"/>
  <c r="O31" i="12"/>
  <c r="O109" i="12" s="1"/>
  <c r="N31" i="12"/>
  <c r="N265" i="12" s="1"/>
  <c r="M31" i="12"/>
  <c r="L31" i="12"/>
  <c r="K31" i="12"/>
  <c r="J31" i="12"/>
  <c r="I31" i="12"/>
  <c r="I187" i="12" s="1"/>
  <c r="H31" i="12"/>
  <c r="G31" i="12"/>
  <c r="G187" i="12" s="1"/>
  <c r="F31" i="12"/>
  <c r="F109" i="12" s="1"/>
  <c r="E31" i="12"/>
  <c r="D31" i="12"/>
  <c r="V30" i="12"/>
  <c r="U30" i="12"/>
  <c r="U186" i="12" s="1"/>
  <c r="T30" i="12"/>
  <c r="S30" i="12"/>
  <c r="S186" i="12" s="1"/>
  <c r="R30" i="12"/>
  <c r="R264" i="12" s="1"/>
  <c r="Q30" i="12"/>
  <c r="Q264" i="12" s="1"/>
  <c r="P30" i="12"/>
  <c r="O30" i="12"/>
  <c r="N30" i="12"/>
  <c r="M30" i="12"/>
  <c r="L30" i="12"/>
  <c r="L186" i="12" s="1"/>
  <c r="K30" i="12"/>
  <c r="K264" i="12" s="1"/>
  <c r="J30" i="12"/>
  <c r="J186" i="12" s="1"/>
  <c r="I30" i="12"/>
  <c r="H30" i="12"/>
  <c r="H264" i="12" s="1"/>
  <c r="G30" i="12"/>
  <c r="G108" i="12" s="1"/>
  <c r="F30" i="12"/>
  <c r="E30" i="12"/>
  <c r="D30" i="12"/>
  <c r="V29" i="12"/>
  <c r="V185" i="12" s="1"/>
  <c r="U29" i="12"/>
  <c r="U263" i="12" s="1"/>
  <c r="T29" i="12"/>
  <c r="T263" i="12" s="1"/>
  <c r="S29" i="12"/>
  <c r="S263" i="12" s="1"/>
  <c r="R29" i="12"/>
  <c r="Q29" i="12"/>
  <c r="P29" i="12"/>
  <c r="P185" i="12" s="1"/>
  <c r="O29" i="12"/>
  <c r="O185" i="12" s="1"/>
  <c r="N29" i="12"/>
  <c r="N263" i="12" s="1"/>
  <c r="M29" i="12"/>
  <c r="M185" i="12" s="1"/>
  <c r="L29" i="12"/>
  <c r="L263" i="12" s="1"/>
  <c r="K29" i="12"/>
  <c r="J29" i="12"/>
  <c r="I29" i="12"/>
  <c r="I107" i="12" s="1"/>
  <c r="H29" i="12"/>
  <c r="H185" i="12" s="1"/>
  <c r="G29" i="12"/>
  <c r="G107" i="12" s="1"/>
  <c r="F29" i="12"/>
  <c r="F185" i="12" s="1"/>
  <c r="E29" i="12"/>
  <c r="E263" i="12" s="1"/>
  <c r="D29" i="12"/>
  <c r="D263" i="12" s="1"/>
  <c r="V28" i="12"/>
  <c r="V262" i="12" s="1"/>
  <c r="U28" i="12"/>
  <c r="T28" i="12"/>
  <c r="S28" i="12"/>
  <c r="S184" i="12" s="1"/>
  <c r="R28" i="12"/>
  <c r="R184" i="12" s="1"/>
  <c r="Q28" i="12"/>
  <c r="P28" i="12"/>
  <c r="P184" i="12" s="1"/>
  <c r="O28" i="12"/>
  <c r="O262" i="12" s="1"/>
  <c r="N28" i="12"/>
  <c r="M28" i="12"/>
  <c r="L28" i="12"/>
  <c r="L262" i="12" s="1"/>
  <c r="K28" i="12"/>
  <c r="K184" i="12" s="1"/>
  <c r="J28" i="12"/>
  <c r="I28" i="12"/>
  <c r="I184" i="12" s="1"/>
  <c r="H28" i="12"/>
  <c r="H262" i="12" s="1"/>
  <c r="G28" i="12"/>
  <c r="G262" i="12" s="1"/>
  <c r="F28" i="12"/>
  <c r="F262" i="12" s="1"/>
  <c r="E28" i="12"/>
  <c r="D28" i="12"/>
  <c r="V27" i="12"/>
  <c r="V183" i="12" s="1"/>
  <c r="U27" i="12"/>
  <c r="U261" i="12" s="1"/>
  <c r="T27" i="12"/>
  <c r="T261" i="12" s="1"/>
  <c r="S27" i="12"/>
  <c r="S183" i="12" s="1"/>
  <c r="R27" i="12"/>
  <c r="R261" i="12" s="1"/>
  <c r="Q27" i="12"/>
  <c r="P27" i="12"/>
  <c r="O27" i="12"/>
  <c r="N27" i="12"/>
  <c r="N183" i="12" s="1"/>
  <c r="M27" i="12"/>
  <c r="L27" i="12"/>
  <c r="L183" i="12" s="1"/>
  <c r="K27" i="12"/>
  <c r="K261" i="12" s="1"/>
  <c r="J27" i="12"/>
  <c r="J261" i="12" s="1"/>
  <c r="I27" i="12"/>
  <c r="I261" i="12" s="1"/>
  <c r="H27" i="12"/>
  <c r="G27" i="12"/>
  <c r="F27" i="12"/>
  <c r="E27" i="12"/>
  <c r="E105" i="12" s="1"/>
  <c r="D27" i="12"/>
  <c r="D261" i="12" s="1"/>
  <c r="V26" i="12"/>
  <c r="V182" i="12" s="1"/>
  <c r="U26" i="12"/>
  <c r="U260" i="12" s="1"/>
  <c r="T26" i="12"/>
  <c r="S26" i="12"/>
  <c r="S104" i="12" s="1"/>
  <c r="R26" i="12"/>
  <c r="Q26" i="12"/>
  <c r="P26" i="12"/>
  <c r="P260" i="12" s="1"/>
  <c r="O26" i="12"/>
  <c r="O260" i="12" s="1"/>
  <c r="N26" i="12"/>
  <c r="N260" i="12" s="1"/>
  <c r="M26" i="12"/>
  <c r="M260" i="12" s="1"/>
  <c r="L26" i="12"/>
  <c r="K26" i="12"/>
  <c r="J26" i="12"/>
  <c r="I26" i="12"/>
  <c r="I182" i="12" s="1"/>
  <c r="H26" i="12"/>
  <c r="H182" i="12" s="1"/>
  <c r="G26" i="12"/>
  <c r="G260" i="12" s="1"/>
  <c r="F26" i="12"/>
  <c r="F182" i="12" s="1"/>
  <c r="E26" i="12"/>
  <c r="E260" i="12" s="1"/>
  <c r="D26" i="12"/>
  <c r="V24" i="12"/>
  <c r="V258" i="12" s="1"/>
  <c r="U24" i="12"/>
  <c r="U258" i="12" s="1"/>
  <c r="T24" i="12"/>
  <c r="S24" i="12"/>
  <c r="R24" i="12"/>
  <c r="R102" i="12" s="1"/>
  <c r="Q24" i="12"/>
  <c r="Q180" i="12" s="1"/>
  <c r="P24" i="12"/>
  <c r="P258" i="12" s="1"/>
  <c r="O24" i="12"/>
  <c r="O258" i="12" s="1"/>
  <c r="N24" i="12"/>
  <c r="M24" i="12"/>
  <c r="L24" i="12"/>
  <c r="K24" i="12"/>
  <c r="J24" i="12"/>
  <c r="J258" i="12" s="1"/>
  <c r="I24" i="12"/>
  <c r="I180" i="12" s="1"/>
  <c r="H24" i="12"/>
  <c r="H180" i="12" s="1"/>
  <c r="G24" i="12"/>
  <c r="G180" i="12" s="1"/>
  <c r="F24" i="12"/>
  <c r="E24" i="12"/>
  <c r="D24" i="12"/>
  <c r="D258" i="12" s="1"/>
  <c r="V23" i="12"/>
  <c r="U23" i="12"/>
  <c r="U257" i="12" s="1"/>
  <c r="T23" i="12"/>
  <c r="T257" i="12" s="1"/>
  <c r="S23" i="12"/>
  <c r="S257" i="12" s="1"/>
  <c r="R23" i="12"/>
  <c r="Q23" i="12"/>
  <c r="P23" i="12"/>
  <c r="O23" i="12"/>
  <c r="N23" i="12"/>
  <c r="M23" i="12"/>
  <c r="L23" i="12"/>
  <c r="L179" i="12" s="1"/>
  <c r="K23" i="12"/>
  <c r="K257" i="12" s="1"/>
  <c r="J23" i="12"/>
  <c r="J179" i="12" s="1"/>
  <c r="I23" i="12"/>
  <c r="I257" i="12" s="1"/>
  <c r="H23" i="12"/>
  <c r="H101" i="12" s="1"/>
  <c r="G23" i="12"/>
  <c r="F23" i="12"/>
  <c r="E23" i="12"/>
  <c r="E257" i="12" s="1"/>
  <c r="D23" i="12"/>
  <c r="V22" i="12"/>
  <c r="U22" i="12"/>
  <c r="U256" i="12" s="1"/>
  <c r="T22" i="12"/>
  <c r="T100" i="12" s="1"/>
  <c r="S22" i="12"/>
  <c r="R22" i="12"/>
  <c r="R178" i="12" s="1"/>
  <c r="Q22" i="12"/>
  <c r="Q100" i="12" s="1"/>
  <c r="P22" i="12"/>
  <c r="P256" i="12" s="1"/>
  <c r="O22" i="12"/>
  <c r="O178" i="12" s="1"/>
  <c r="N22" i="12"/>
  <c r="N256" i="12" s="1"/>
  <c r="M22" i="12"/>
  <c r="M178" i="12" s="1"/>
  <c r="L22" i="12"/>
  <c r="K22" i="12"/>
  <c r="J22" i="12"/>
  <c r="I22" i="12"/>
  <c r="H22" i="12"/>
  <c r="H256" i="12" s="1"/>
  <c r="G22" i="12"/>
  <c r="G256" i="12" s="1"/>
  <c r="F22" i="12"/>
  <c r="F256" i="12" s="1"/>
  <c r="E22" i="12"/>
  <c r="D22" i="12"/>
  <c r="V21" i="12"/>
  <c r="U21" i="12"/>
  <c r="U177" i="12" s="1"/>
  <c r="T21" i="12"/>
  <c r="S21" i="12"/>
  <c r="S255" i="12" s="1"/>
  <c r="R21" i="12"/>
  <c r="R177" i="12" s="1"/>
  <c r="Q21" i="12"/>
  <c r="Q255" i="12" s="1"/>
  <c r="P21" i="12"/>
  <c r="P177" i="12" s="1"/>
  <c r="O21" i="12"/>
  <c r="N21" i="12"/>
  <c r="M21" i="12"/>
  <c r="L21" i="12"/>
  <c r="K21" i="12"/>
  <c r="K255" i="12" s="1"/>
  <c r="J21" i="12"/>
  <c r="J255" i="12" s="1"/>
  <c r="I21" i="12"/>
  <c r="I255" i="12" s="1"/>
  <c r="H21" i="12"/>
  <c r="H255" i="12" s="1"/>
  <c r="G21" i="12"/>
  <c r="F21" i="12"/>
  <c r="E21" i="12"/>
  <c r="D21" i="12"/>
  <c r="D99" i="12" s="1"/>
  <c r="V20" i="12"/>
  <c r="U20" i="12"/>
  <c r="U176" i="12" s="1"/>
  <c r="T20" i="12"/>
  <c r="S20" i="12"/>
  <c r="S176" i="12" s="1"/>
  <c r="R20" i="12"/>
  <c r="R254" i="12" s="1"/>
  <c r="Q20" i="12"/>
  <c r="Q98" i="12" s="1"/>
  <c r="P20" i="12"/>
  <c r="O20" i="12"/>
  <c r="N20" i="12"/>
  <c r="M20" i="12"/>
  <c r="M176" i="12" s="1"/>
  <c r="L20" i="12"/>
  <c r="L254" i="12" s="1"/>
  <c r="K20" i="12"/>
  <c r="K254" i="12" s="1"/>
  <c r="J20" i="12"/>
  <c r="J98" i="12" s="1"/>
  <c r="I20" i="12"/>
  <c r="H20" i="12"/>
  <c r="G20" i="12"/>
  <c r="F20" i="12"/>
  <c r="F254" i="12" s="1"/>
  <c r="E20" i="12"/>
  <c r="E176" i="12" s="1"/>
  <c r="D20" i="12"/>
  <c r="D176" i="12" s="1"/>
  <c r="V19" i="12"/>
  <c r="V175" i="12" s="1"/>
  <c r="U19" i="12"/>
  <c r="U253" i="12" s="1"/>
  <c r="T19" i="12"/>
  <c r="S19" i="12"/>
  <c r="R19" i="12"/>
  <c r="Q19" i="12"/>
  <c r="P19" i="12"/>
  <c r="P253" i="12" s="1"/>
  <c r="O19" i="12"/>
  <c r="O253" i="12" s="1"/>
  <c r="N19" i="12"/>
  <c r="N253" i="12" s="1"/>
  <c r="M19" i="12"/>
  <c r="L19" i="12"/>
  <c r="K19" i="12"/>
  <c r="K175" i="12" s="1"/>
  <c r="J19" i="12"/>
  <c r="J253" i="12" s="1"/>
  <c r="I19" i="12"/>
  <c r="H19" i="12"/>
  <c r="H175" i="12" s="1"/>
  <c r="G19" i="12"/>
  <c r="F19" i="12"/>
  <c r="F175" i="12" s="1"/>
  <c r="E19" i="12"/>
  <c r="D19" i="12"/>
  <c r="D97" i="12" s="1"/>
  <c r="V18" i="12"/>
  <c r="V252" i="12" s="1"/>
  <c r="U18" i="12"/>
  <c r="T18" i="12"/>
  <c r="S18" i="12"/>
  <c r="S252" i="12" s="1"/>
  <c r="R18" i="12"/>
  <c r="Q18" i="12"/>
  <c r="Q252" i="12" s="1"/>
  <c r="P18" i="12"/>
  <c r="O18" i="12"/>
  <c r="N18" i="12"/>
  <c r="M18" i="12"/>
  <c r="L18" i="12"/>
  <c r="L252" i="12" s="1"/>
  <c r="K18" i="12"/>
  <c r="K174" i="12" s="1"/>
  <c r="J18" i="12"/>
  <c r="I18" i="12"/>
  <c r="I174" i="12" s="1"/>
  <c r="H18" i="12"/>
  <c r="G18" i="12"/>
  <c r="F18" i="12"/>
  <c r="E18" i="12"/>
  <c r="D18" i="12"/>
  <c r="V17" i="12"/>
  <c r="V173" i="12" s="1"/>
  <c r="U17" i="12"/>
  <c r="U95" i="12" s="1"/>
  <c r="T17" i="12"/>
  <c r="S17" i="12"/>
  <c r="R17" i="12"/>
  <c r="Q17" i="12"/>
  <c r="P17" i="12"/>
  <c r="P95" i="12" s="1"/>
  <c r="O17" i="12"/>
  <c r="N17" i="12"/>
  <c r="N173" i="12" s="1"/>
  <c r="M17" i="12"/>
  <c r="M251" i="12" s="1"/>
  <c r="L17" i="12"/>
  <c r="L173" i="12" s="1"/>
  <c r="K17" i="12"/>
  <c r="K173" i="12" s="1"/>
  <c r="J17" i="12"/>
  <c r="I17" i="12"/>
  <c r="I251" i="12" s="1"/>
  <c r="H17" i="12"/>
  <c r="G17" i="12"/>
  <c r="G251" i="12" s="1"/>
  <c r="F17" i="12"/>
  <c r="E17" i="12"/>
  <c r="D17" i="12"/>
  <c r="V16" i="12"/>
  <c r="U16" i="12"/>
  <c r="U172" i="12" s="1"/>
  <c r="T16" i="12"/>
  <c r="S16" i="12"/>
  <c r="R16" i="12"/>
  <c r="R250" i="12" s="1"/>
  <c r="Q16" i="12"/>
  <c r="P16" i="12"/>
  <c r="P94" i="12" s="1"/>
  <c r="O16" i="12"/>
  <c r="O172" i="12" s="1"/>
  <c r="N16" i="12"/>
  <c r="M16" i="12"/>
  <c r="L16" i="12"/>
  <c r="K16" i="12"/>
  <c r="J16" i="12"/>
  <c r="J250" i="12" s="1"/>
  <c r="I16" i="12"/>
  <c r="H16" i="12"/>
  <c r="H250" i="12" s="1"/>
  <c r="G16" i="12"/>
  <c r="F16" i="12"/>
  <c r="E16" i="12"/>
  <c r="D16" i="12"/>
  <c r="V15" i="12"/>
  <c r="U15" i="12"/>
  <c r="T15" i="12"/>
  <c r="T171" i="12" s="1"/>
  <c r="S15" i="12"/>
  <c r="R15" i="12"/>
  <c r="R171" i="12" s="1"/>
  <c r="Q15" i="12"/>
  <c r="P15" i="12"/>
  <c r="P171" i="12" s="1"/>
  <c r="O15" i="12"/>
  <c r="N15" i="12"/>
  <c r="M15" i="12"/>
  <c r="M249" i="12" s="1"/>
  <c r="L15" i="12"/>
  <c r="K15" i="12"/>
  <c r="K249" i="12" s="1"/>
  <c r="J15" i="12"/>
  <c r="J249" i="12" s="1"/>
  <c r="I15" i="12"/>
  <c r="I171" i="12" s="1"/>
  <c r="H15" i="12"/>
  <c r="G15" i="12"/>
  <c r="G171" i="12" s="1"/>
  <c r="F15" i="12"/>
  <c r="E15" i="12"/>
  <c r="D15" i="12"/>
  <c r="D171" i="12" s="1"/>
  <c r="V14" i="12"/>
  <c r="U14" i="12"/>
  <c r="U170" i="12" s="1"/>
  <c r="T14" i="12"/>
  <c r="S14" i="12"/>
  <c r="S170" i="12" s="1"/>
  <c r="R14" i="12"/>
  <c r="Q14" i="12"/>
  <c r="P14" i="12"/>
  <c r="O14" i="12"/>
  <c r="N14" i="12"/>
  <c r="N248" i="12" s="1"/>
  <c r="M14" i="12"/>
  <c r="M248" i="12" s="1"/>
  <c r="L14" i="12"/>
  <c r="K14" i="12"/>
  <c r="J14" i="12"/>
  <c r="J170" i="12" s="1"/>
  <c r="I14" i="12"/>
  <c r="H14" i="12"/>
  <c r="G14" i="12"/>
  <c r="F14" i="12"/>
  <c r="E14" i="12"/>
  <c r="E170" i="12" s="1"/>
  <c r="D14" i="12"/>
  <c r="D248" i="12" s="1"/>
  <c r="V13" i="12"/>
  <c r="V91" i="12" s="1"/>
  <c r="U13" i="12"/>
  <c r="T13" i="12"/>
  <c r="S13" i="12"/>
  <c r="S247" i="12" s="1"/>
  <c r="R13" i="12"/>
  <c r="Q13" i="12"/>
  <c r="Q247" i="12" s="1"/>
  <c r="P13" i="12"/>
  <c r="P247" i="12" s="1"/>
  <c r="O13" i="12"/>
  <c r="N13" i="12"/>
  <c r="N169" i="12" s="1"/>
  <c r="M13" i="12"/>
  <c r="L13" i="12"/>
  <c r="K13" i="12"/>
  <c r="J13" i="12"/>
  <c r="I13" i="12"/>
  <c r="H13" i="12"/>
  <c r="H169" i="12" s="1"/>
  <c r="G13" i="12"/>
  <c r="F13" i="12"/>
  <c r="E13" i="12"/>
  <c r="D13" i="12"/>
  <c r="C297" i="11"/>
  <c r="K295" i="11"/>
  <c r="H295" i="11"/>
  <c r="E295" i="11"/>
  <c r="H294" i="11"/>
  <c r="K293" i="11"/>
  <c r="H293" i="11"/>
  <c r="E293" i="11"/>
  <c r="K291" i="11"/>
  <c r="H291" i="11"/>
  <c r="E291" i="11"/>
  <c r="H290" i="11"/>
  <c r="K289" i="11"/>
  <c r="H289" i="11"/>
  <c r="E289" i="11"/>
  <c r="K287" i="11"/>
  <c r="H287" i="11"/>
  <c r="E287" i="11"/>
  <c r="H286" i="11"/>
  <c r="K285" i="11"/>
  <c r="H285" i="11"/>
  <c r="E285" i="11"/>
  <c r="K283" i="11"/>
  <c r="H283" i="11"/>
  <c r="E283" i="11"/>
  <c r="H282" i="11"/>
  <c r="K281" i="11"/>
  <c r="H281" i="11"/>
  <c r="E281" i="11"/>
  <c r="K279" i="11"/>
  <c r="H279" i="11"/>
  <c r="E279" i="11"/>
  <c r="H278" i="11"/>
  <c r="E278" i="11"/>
  <c r="H277" i="11"/>
  <c r="G277" i="11"/>
  <c r="E276" i="11"/>
  <c r="H275" i="11"/>
  <c r="E275" i="11"/>
  <c r="E274" i="11"/>
  <c r="H273" i="11"/>
  <c r="E272" i="11"/>
  <c r="J271" i="11"/>
  <c r="H271" i="11"/>
  <c r="E271" i="11"/>
  <c r="E270" i="11"/>
  <c r="H269" i="11"/>
  <c r="E269" i="11"/>
  <c r="D268" i="11"/>
  <c r="H267" i="11"/>
  <c r="E267" i="11"/>
  <c r="E266" i="11"/>
  <c r="K265" i="11"/>
  <c r="H265" i="11"/>
  <c r="E265" i="11"/>
  <c r="C255" i="11"/>
  <c r="K254" i="11"/>
  <c r="I254" i="11"/>
  <c r="K253" i="11"/>
  <c r="J253" i="11"/>
  <c r="I253" i="11"/>
  <c r="H253" i="11"/>
  <c r="G253" i="11"/>
  <c r="F253" i="11"/>
  <c r="E253" i="11"/>
  <c r="D253" i="11"/>
  <c r="D295" i="11" s="1"/>
  <c r="K252" i="11"/>
  <c r="K294" i="11" s="1"/>
  <c r="J252" i="11"/>
  <c r="I252" i="11"/>
  <c r="H252" i="11"/>
  <c r="G252" i="11"/>
  <c r="G294" i="11" s="1"/>
  <c r="F252" i="11"/>
  <c r="E252" i="11"/>
  <c r="E294" i="11" s="1"/>
  <c r="D252" i="11"/>
  <c r="D294" i="11" s="1"/>
  <c r="K251" i="11"/>
  <c r="J251" i="11"/>
  <c r="I251" i="11"/>
  <c r="H251" i="11"/>
  <c r="G251" i="11"/>
  <c r="F251" i="11"/>
  <c r="E251" i="11"/>
  <c r="D251" i="11"/>
  <c r="D293" i="11" s="1"/>
  <c r="K250" i="11"/>
  <c r="K292" i="11" s="1"/>
  <c r="J250" i="11"/>
  <c r="I250" i="11"/>
  <c r="H250" i="11"/>
  <c r="G250" i="11"/>
  <c r="G292" i="11" s="1"/>
  <c r="F250" i="11"/>
  <c r="E250" i="11"/>
  <c r="E292" i="11" s="1"/>
  <c r="D250" i="11"/>
  <c r="D292" i="11" s="1"/>
  <c r="K249" i="11"/>
  <c r="J249" i="11"/>
  <c r="I249" i="11"/>
  <c r="H249" i="11"/>
  <c r="G249" i="11"/>
  <c r="F249" i="11"/>
  <c r="E249" i="11"/>
  <c r="D249" i="11"/>
  <c r="D291" i="11" s="1"/>
  <c r="K248" i="11"/>
  <c r="K290" i="11" s="1"/>
  <c r="J248" i="11"/>
  <c r="I248" i="11"/>
  <c r="H248" i="11"/>
  <c r="G248" i="11"/>
  <c r="G290" i="11" s="1"/>
  <c r="F248" i="11"/>
  <c r="E248" i="11"/>
  <c r="E290" i="11" s="1"/>
  <c r="D248" i="11"/>
  <c r="D290" i="11" s="1"/>
  <c r="K247" i="11"/>
  <c r="J247" i="11"/>
  <c r="I247" i="11"/>
  <c r="H247" i="11"/>
  <c r="G247" i="11"/>
  <c r="F247" i="11"/>
  <c r="E247" i="11"/>
  <c r="D247" i="11"/>
  <c r="D289" i="11" s="1"/>
  <c r="K246" i="11"/>
  <c r="K288" i="11" s="1"/>
  <c r="J246" i="11"/>
  <c r="I246" i="11"/>
  <c r="H246" i="11"/>
  <c r="G246" i="11"/>
  <c r="G288" i="11" s="1"/>
  <c r="F246" i="11"/>
  <c r="E246" i="11"/>
  <c r="E288" i="11" s="1"/>
  <c r="D246" i="11"/>
  <c r="D288" i="11" s="1"/>
  <c r="K245" i="11"/>
  <c r="J245" i="11"/>
  <c r="I245" i="11"/>
  <c r="H245" i="11"/>
  <c r="G245" i="11"/>
  <c r="F245" i="11"/>
  <c r="E245" i="11"/>
  <c r="D245" i="11"/>
  <c r="D287" i="11" s="1"/>
  <c r="K244" i="11"/>
  <c r="K286" i="11" s="1"/>
  <c r="J244" i="11"/>
  <c r="I244" i="11"/>
  <c r="H244" i="11"/>
  <c r="G244" i="11"/>
  <c r="G286" i="11" s="1"/>
  <c r="F244" i="11"/>
  <c r="E244" i="11"/>
  <c r="E286" i="11" s="1"/>
  <c r="D244" i="11"/>
  <c r="D286" i="11" s="1"/>
  <c r="K243" i="11"/>
  <c r="J243" i="11"/>
  <c r="I243" i="11"/>
  <c r="H243" i="11"/>
  <c r="G243" i="11"/>
  <c r="F243" i="11"/>
  <c r="F285" i="11" s="1"/>
  <c r="E243" i="11"/>
  <c r="D243" i="11"/>
  <c r="D285" i="11" s="1"/>
  <c r="K242" i="11"/>
  <c r="K284" i="11" s="1"/>
  <c r="J242" i="11"/>
  <c r="I242" i="11"/>
  <c r="H242" i="11"/>
  <c r="G242" i="11"/>
  <c r="G284" i="11" s="1"/>
  <c r="F242" i="11"/>
  <c r="E242" i="11"/>
  <c r="E284" i="11" s="1"/>
  <c r="D242" i="11"/>
  <c r="D284" i="11" s="1"/>
  <c r="K241" i="11"/>
  <c r="J241" i="11"/>
  <c r="I241" i="11"/>
  <c r="H241" i="11"/>
  <c r="G241" i="11"/>
  <c r="F241" i="11"/>
  <c r="F283" i="11" s="1"/>
  <c r="E241" i="11"/>
  <c r="D241" i="11"/>
  <c r="D283" i="11" s="1"/>
  <c r="K240" i="11"/>
  <c r="K282" i="11" s="1"/>
  <c r="J240" i="11"/>
  <c r="I240" i="11"/>
  <c r="H240" i="11"/>
  <c r="G240" i="11"/>
  <c r="G282" i="11" s="1"/>
  <c r="F240" i="11"/>
  <c r="E240" i="11"/>
  <c r="E282" i="11" s="1"/>
  <c r="D240" i="11"/>
  <c r="D282" i="11" s="1"/>
  <c r="K239" i="11"/>
  <c r="J239" i="11"/>
  <c r="I239" i="11"/>
  <c r="H239" i="11"/>
  <c r="G239" i="11"/>
  <c r="F239" i="11"/>
  <c r="F281" i="11" s="1"/>
  <c r="E239" i="11"/>
  <c r="D239" i="11"/>
  <c r="D281" i="11" s="1"/>
  <c r="K238" i="11"/>
  <c r="K280" i="11" s="1"/>
  <c r="J238" i="11"/>
  <c r="I238" i="11"/>
  <c r="H238" i="11"/>
  <c r="G238" i="11"/>
  <c r="G280" i="11" s="1"/>
  <c r="F238" i="11"/>
  <c r="E238" i="11"/>
  <c r="E280" i="11" s="1"/>
  <c r="D238" i="11"/>
  <c r="D280" i="11" s="1"/>
  <c r="K237" i="11"/>
  <c r="J237" i="11"/>
  <c r="I237" i="11"/>
  <c r="H237" i="11"/>
  <c r="G237" i="11"/>
  <c r="F237" i="11"/>
  <c r="F279" i="11" s="1"/>
  <c r="E237" i="11"/>
  <c r="D237" i="11"/>
  <c r="D279" i="11" s="1"/>
  <c r="K236" i="11"/>
  <c r="K278" i="11" s="1"/>
  <c r="J236" i="11"/>
  <c r="I236" i="11"/>
  <c r="H236" i="11"/>
  <c r="G236" i="11"/>
  <c r="G278" i="11" s="1"/>
  <c r="F236" i="11"/>
  <c r="E236" i="11"/>
  <c r="D236" i="11"/>
  <c r="K235" i="11"/>
  <c r="J235" i="11"/>
  <c r="I235" i="11"/>
  <c r="H235" i="11"/>
  <c r="G235" i="11"/>
  <c r="F235" i="11"/>
  <c r="F277" i="11" s="1"/>
  <c r="E235" i="11"/>
  <c r="E277" i="11" s="1"/>
  <c r="D235" i="11"/>
  <c r="D277" i="11" s="1"/>
  <c r="K234" i="11"/>
  <c r="K276" i="11" s="1"/>
  <c r="J234" i="11"/>
  <c r="I234" i="11"/>
  <c r="H234" i="11"/>
  <c r="G234" i="11"/>
  <c r="G276" i="11" s="1"/>
  <c r="F234" i="11"/>
  <c r="E234" i="11"/>
  <c r="D234" i="11"/>
  <c r="K233" i="11"/>
  <c r="J233" i="11"/>
  <c r="I233" i="11"/>
  <c r="H233" i="11"/>
  <c r="G233" i="11"/>
  <c r="F233" i="11"/>
  <c r="F275" i="11" s="1"/>
  <c r="E233" i="11"/>
  <c r="D233" i="11"/>
  <c r="D275" i="11" s="1"/>
  <c r="K232" i="11"/>
  <c r="J232" i="11"/>
  <c r="I232" i="11"/>
  <c r="H232" i="11"/>
  <c r="G232" i="11"/>
  <c r="G274" i="11" s="1"/>
  <c r="F232" i="11"/>
  <c r="E232" i="11"/>
  <c r="D232" i="11"/>
  <c r="K231" i="11"/>
  <c r="J231" i="11"/>
  <c r="I231" i="11"/>
  <c r="H231" i="11"/>
  <c r="G231" i="11"/>
  <c r="F231" i="11"/>
  <c r="F273" i="11" s="1"/>
  <c r="E231" i="11"/>
  <c r="E273" i="11" s="1"/>
  <c r="D231" i="11"/>
  <c r="D273" i="11" s="1"/>
  <c r="K230" i="11"/>
  <c r="J230" i="11"/>
  <c r="I230" i="11"/>
  <c r="H230" i="11"/>
  <c r="G230" i="11"/>
  <c r="G272" i="11" s="1"/>
  <c r="F230" i="11"/>
  <c r="E230" i="11"/>
  <c r="D230" i="11"/>
  <c r="K229" i="11"/>
  <c r="J229" i="11"/>
  <c r="I229" i="11"/>
  <c r="H229" i="11"/>
  <c r="G229" i="11"/>
  <c r="F229" i="11"/>
  <c r="F271" i="11" s="1"/>
  <c r="E229" i="11"/>
  <c r="D229" i="11"/>
  <c r="D271" i="11" s="1"/>
  <c r="K228" i="11"/>
  <c r="J228" i="11"/>
  <c r="I228" i="11"/>
  <c r="H228" i="11"/>
  <c r="G228" i="11"/>
  <c r="G270" i="11" s="1"/>
  <c r="F228" i="11"/>
  <c r="E228" i="11"/>
  <c r="D228" i="11"/>
  <c r="D270" i="11" s="1"/>
  <c r="K227" i="11"/>
  <c r="J227" i="11"/>
  <c r="I227" i="11"/>
  <c r="H227" i="11"/>
  <c r="G227" i="11"/>
  <c r="F227" i="11"/>
  <c r="F269" i="11" s="1"/>
  <c r="E227" i="11"/>
  <c r="D227" i="11"/>
  <c r="D269" i="11" s="1"/>
  <c r="K226" i="11"/>
  <c r="J226" i="11"/>
  <c r="I226" i="11"/>
  <c r="H226" i="11"/>
  <c r="G226" i="11"/>
  <c r="G268" i="11" s="1"/>
  <c r="F226" i="11"/>
  <c r="E226" i="11"/>
  <c r="E268" i="11" s="1"/>
  <c r="D226" i="11"/>
  <c r="K225" i="11"/>
  <c r="J225" i="11"/>
  <c r="I225" i="11"/>
  <c r="H225" i="11"/>
  <c r="G225" i="11"/>
  <c r="F225" i="11"/>
  <c r="F267" i="11" s="1"/>
  <c r="E225" i="11"/>
  <c r="D225" i="11"/>
  <c r="D267" i="11" s="1"/>
  <c r="K224" i="11"/>
  <c r="J224" i="11"/>
  <c r="I224" i="11"/>
  <c r="H224" i="11"/>
  <c r="H254" i="11" s="1"/>
  <c r="H296" i="11" s="1"/>
  <c r="G224" i="11"/>
  <c r="G266" i="11" s="1"/>
  <c r="F224" i="11"/>
  <c r="E224" i="11"/>
  <c r="D224" i="11"/>
  <c r="D266" i="11" s="1"/>
  <c r="K223" i="11"/>
  <c r="J223" i="11"/>
  <c r="J254" i="11" s="1"/>
  <c r="I223" i="11"/>
  <c r="H223" i="11"/>
  <c r="G223" i="11"/>
  <c r="F223" i="11"/>
  <c r="F265" i="11" s="1"/>
  <c r="E223" i="11"/>
  <c r="E254" i="11" s="1"/>
  <c r="D223" i="11"/>
  <c r="C214" i="11"/>
  <c r="E212" i="11"/>
  <c r="D212" i="11"/>
  <c r="G211" i="11"/>
  <c r="G210" i="11"/>
  <c r="E210" i="11"/>
  <c r="D210" i="11"/>
  <c r="G209" i="11"/>
  <c r="F208" i="11"/>
  <c r="E208" i="11"/>
  <c r="D208" i="11"/>
  <c r="G207" i="11"/>
  <c r="E207" i="11"/>
  <c r="E206" i="11"/>
  <c r="D206" i="11"/>
  <c r="J204" i="11"/>
  <c r="E204" i="11"/>
  <c r="D204" i="11"/>
  <c r="G203" i="11"/>
  <c r="F202" i="11"/>
  <c r="E202" i="11"/>
  <c r="D202" i="11"/>
  <c r="F200" i="11"/>
  <c r="E200" i="11"/>
  <c r="D200" i="11"/>
  <c r="G199" i="11"/>
  <c r="E198" i="11"/>
  <c r="D198" i="11"/>
  <c r="J197" i="11"/>
  <c r="G197" i="11"/>
  <c r="F196" i="11"/>
  <c r="E196" i="11"/>
  <c r="D196" i="11"/>
  <c r="G195" i="11"/>
  <c r="E194" i="11"/>
  <c r="D194" i="11"/>
  <c r="G193" i="11"/>
  <c r="J192" i="11"/>
  <c r="F192" i="11"/>
  <c r="E192" i="11"/>
  <c r="D192" i="11"/>
  <c r="G191" i="11"/>
  <c r="F190" i="11"/>
  <c r="E190" i="11"/>
  <c r="D190" i="11"/>
  <c r="F189" i="11"/>
  <c r="E188" i="11"/>
  <c r="D188" i="11"/>
  <c r="E186" i="11"/>
  <c r="D186" i="11"/>
  <c r="J185" i="11"/>
  <c r="F184" i="11"/>
  <c r="E184" i="11"/>
  <c r="D184" i="11"/>
  <c r="G183" i="11"/>
  <c r="E182" i="11"/>
  <c r="D182" i="11"/>
  <c r="C172" i="11"/>
  <c r="F171" i="11"/>
  <c r="K170" i="11"/>
  <c r="K212" i="11" s="1"/>
  <c r="J170" i="11"/>
  <c r="I170" i="11"/>
  <c r="H170" i="11"/>
  <c r="H212" i="11" s="1"/>
  <c r="G170" i="11"/>
  <c r="G212" i="11" s="1"/>
  <c r="F170" i="11"/>
  <c r="F212" i="11" s="1"/>
  <c r="E170" i="11"/>
  <c r="D170" i="11"/>
  <c r="K169" i="11"/>
  <c r="J169" i="11"/>
  <c r="I169" i="11"/>
  <c r="H169" i="11"/>
  <c r="G169" i="11"/>
  <c r="F169" i="11"/>
  <c r="E169" i="11"/>
  <c r="E211" i="11" s="1"/>
  <c r="D169" i="11"/>
  <c r="K168" i="11"/>
  <c r="K210" i="11" s="1"/>
  <c r="J168" i="11"/>
  <c r="I168" i="11"/>
  <c r="H168" i="11"/>
  <c r="H210" i="11" s="1"/>
  <c r="G168" i="11"/>
  <c r="F168" i="11"/>
  <c r="F210" i="11" s="1"/>
  <c r="E168" i="11"/>
  <c r="D168" i="11"/>
  <c r="K167" i="11"/>
  <c r="J167" i="11"/>
  <c r="I167" i="11"/>
  <c r="H167" i="11"/>
  <c r="G167" i="11"/>
  <c r="F167" i="11"/>
  <c r="E167" i="11"/>
  <c r="E209" i="11" s="1"/>
  <c r="D167" i="11"/>
  <c r="K166" i="11"/>
  <c r="K208" i="11" s="1"/>
  <c r="J166" i="11"/>
  <c r="I166" i="11"/>
  <c r="H166" i="11"/>
  <c r="H208" i="11" s="1"/>
  <c r="G166" i="11"/>
  <c r="G208" i="11" s="1"/>
  <c r="F166" i="11"/>
  <c r="E166" i="11"/>
  <c r="D166" i="11"/>
  <c r="K165" i="11"/>
  <c r="J165" i="11"/>
  <c r="I165" i="11"/>
  <c r="H165" i="11"/>
  <c r="G165" i="11"/>
  <c r="F165" i="11"/>
  <c r="E165" i="11"/>
  <c r="D165" i="11"/>
  <c r="K164" i="11"/>
  <c r="K206" i="11" s="1"/>
  <c r="J164" i="11"/>
  <c r="I164" i="11"/>
  <c r="H164" i="11"/>
  <c r="H206" i="11" s="1"/>
  <c r="G164" i="11"/>
  <c r="G206" i="11" s="1"/>
  <c r="F164" i="11"/>
  <c r="F206" i="11" s="1"/>
  <c r="E164" i="11"/>
  <c r="D164" i="11"/>
  <c r="K163" i="11"/>
  <c r="J163" i="11"/>
  <c r="I163" i="11"/>
  <c r="H163" i="11"/>
  <c r="G163" i="11"/>
  <c r="G205" i="11" s="1"/>
  <c r="F163" i="11"/>
  <c r="E163" i="11"/>
  <c r="E205" i="11" s="1"/>
  <c r="D163" i="11"/>
  <c r="K162" i="11"/>
  <c r="K204" i="11" s="1"/>
  <c r="J162" i="11"/>
  <c r="I162" i="11"/>
  <c r="H162" i="11"/>
  <c r="H204" i="11" s="1"/>
  <c r="G162" i="11"/>
  <c r="G204" i="11" s="1"/>
  <c r="F162" i="11"/>
  <c r="E162" i="11"/>
  <c r="D162" i="11"/>
  <c r="K161" i="11"/>
  <c r="J161" i="11"/>
  <c r="I161" i="11"/>
  <c r="H161" i="11"/>
  <c r="G161" i="11"/>
  <c r="F161" i="11"/>
  <c r="E161" i="11"/>
  <c r="E203" i="11" s="1"/>
  <c r="D161" i="11"/>
  <c r="K160" i="11"/>
  <c r="K202" i="11" s="1"/>
  <c r="J160" i="11"/>
  <c r="I160" i="11"/>
  <c r="H160" i="11"/>
  <c r="H202" i="11" s="1"/>
  <c r="G160" i="11"/>
  <c r="G202" i="11" s="1"/>
  <c r="F160" i="11"/>
  <c r="E160" i="11"/>
  <c r="D160" i="11"/>
  <c r="K159" i="11"/>
  <c r="J159" i="11"/>
  <c r="I159" i="11"/>
  <c r="H159" i="11"/>
  <c r="G159" i="11"/>
  <c r="G201" i="11" s="1"/>
  <c r="F159" i="11"/>
  <c r="E159" i="11"/>
  <c r="E201" i="11" s="1"/>
  <c r="D159" i="11"/>
  <c r="K158" i="11"/>
  <c r="K200" i="11" s="1"/>
  <c r="J158" i="11"/>
  <c r="I158" i="11"/>
  <c r="H158" i="11"/>
  <c r="H200" i="11" s="1"/>
  <c r="G158" i="11"/>
  <c r="G200" i="11" s="1"/>
  <c r="F158" i="11"/>
  <c r="E158" i="11"/>
  <c r="D158" i="11"/>
  <c r="K157" i="11"/>
  <c r="J157" i="11"/>
  <c r="I157" i="11"/>
  <c r="H157" i="11"/>
  <c r="G157" i="11"/>
  <c r="F157" i="11"/>
  <c r="E157" i="11"/>
  <c r="E199" i="11" s="1"/>
  <c r="D157" i="11"/>
  <c r="K156" i="11"/>
  <c r="K198" i="11" s="1"/>
  <c r="J156" i="11"/>
  <c r="I156" i="11"/>
  <c r="H156" i="11"/>
  <c r="H198" i="11" s="1"/>
  <c r="G156" i="11"/>
  <c r="G198" i="11" s="1"/>
  <c r="F156" i="11"/>
  <c r="F198" i="11" s="1"/>
  <c r="E156" i="11"/>
  <c r="D156" i="11"/>
  <c r="K155" i="11"/>
  <c r="J155" i="11"/>
  <c r="I155" i="11"/>
  <c r="H155" i="11"/>
  <c r="G155" i="11"/>
  <c r="F155" i="11"/>
  <c r="E155" i="11"/>
  <c r="E197" i="11" s="1"/>
  <c r="D155" i="11"/>
  <c r="K154" i="11"/>
  <c r="K196" i="11" s="1"/>
  <c r="J154" i="11"/>
  <c r="I154" i="11"/>
  <c r="H154" i="11"/>
  <c r="H196" i="11" s="1"/>
  <c r="G154" i="11"/>
  <c r="G196" i="11" s="1"/>
  <c r="F154" i="11"/>
  <c r="E154" i="11"/>
  <c r="D154" i="11"/>
  <c r="K153" i="11"/>
  <c r="J153" i="11"/>
  <c r="I153" i="11"/>
  <c r="H153" i="11"/>
  <c r="G153" i="11"/>
  <c r="F153" i="11"/>
  <c r="E153" i="11"/>
  <c r="E195" i="11" s="1"/>
  <c r="D153" i="11"/>
  <c r="K152" i="11"/>
  <c r="K194" i="11" s="1"/>
  <c r="J152" i="11"/>
  <c r="I152" i="11"/>
  <c r="H152" i="11"/>
  <c r="H194" i="11" s="1"/>
  <c r="G152" i="11"/>
  <c r="G194" i="11" s="1"/>
  <c r="F152" i="11"/>
  <c r="F194" i="11" s="1"/>
  <c r="E152" i="11"/>
  <c r="D152" i="11"/>
  <c r="K151" i="11"/>
  <c r="J151" i="11"/>
  <c r="I151" i="11"/>
  <c r="H151" i="11"/>
  <c r="G151" i="11"/>
  <c r="F151" i="11"/>
  <c r="E151" i="11"/>
  <c r="E193" i="11" s="1"/>
  <c r="D151" i="11"/>
  <c r="K150" i="11"/>
  <c r="K192" i="11" s="1"/>
  <c r="J150" i="11"/>
  <c r="I150" i="11"/>
  <c r="H150" i="11"/>
  <c r="H192" i="11" s="1"/>
  <c r="G150" i="11"/>
  <c r="G192" i="11" s="1"/>
  <c r="F150" i="11"/>
  <c r="E150" i="11"/>
  <c r="D150" i="11"/>
  <c r="K149" i="11"/>
  <c r="J149" i="11"/>
  <c r="I149" i="11"/>
  <c r="H149" i="11"/>
  <c r="G149" i="11"/>
  <c r="F149" i="11"/>
  <c r="E149" i="11"/>
  <c r="E191" i="11" s="1"/>
  <c r="D149" i="11"/>
  <c r="K148" i="11"/>
  <c r="K190" i="11" s="1"/>
  <c r="J148" i="11"/>
  <c r="I148" i="11"/>
  <c r="H148" i="11"/>
  <c r="H190" i="11" s="1"/>
  <c r="G148" i="11"/>
  <c r="G190" i="11" s="1"/>
  <c r="F148" i="11"/>
  <c r="E148" i="11"/>
  <c r="D148" i="11"/>
  <c r="K147" i="11"/>
  <c r="J147" i="11"/>
  <c r="I147" i="11"/>
  <c r="H147" i="11"/>
  <c r="G147" i="11"/>
  <c r="G189" i="11" s="1"/>
  <c r="F147" i="11"/>
  <c r="E147" i="11"/>
  <c r="E189" i="11" s="1"/>
  <c r="D147" i="11"/>
  <c r="K146" i="11"/>
  <c r="K188" i="11" s="1"/>
  <c r="J146" i="11"/>
  <c r="I146" i="11"/>
  <c r="H146" i="11"/>
  <c r="H188" i="11" s="1"/>
  <c r="G146" i="11"/>
  <c r="G188" i="11" s="1"/>
  <c r="F146" i="11"/>
  <c r="E146" i="11"/>
  <c r="D146" i="11"/>
  <c r="K145" i="11"/>
  <c r="J145" i="11"/>
  <c r="I145" i="11"/>
  <c r="H145" i="11"/>
  <c r="G145" i="11"/>
  <c r="G187" i="11" s="1"/>
  <c r="F145" i="11"/>
  <c r="E145" i="11"/>
  <c r="E187" i="11" s="1"/>
  <c r="D145" i="11"/>
  <c r="K144" i="11"/>
  <c r="K186" i="11" s="1"/>
  <c r="J144" i="11"/>
  <c r="I144" i="11"/>
  <c r="H144" i="11"/>
  <c r="H186" i="11" s="1"/>
  <c r="G144" i="11"/>
  <c r="G186" i="11" s="1"/>
  <c r="F144" i="11"/>
  <c r="E144" i="11"/>
  <c r="D144" i="11"/>
  <c r="K143" i="11"/>
  <c r="J143" i="11"/>
  <c r="I143" i="11"/>
  <c r="H143" i="11"/>
  <c r="G143" i="11"/>
  <c r="G185" i="11" s="1"/>
  <c r="F143" i="11"/>
  <c r="E143" i="11"/>
  <c r="E185" i="11" s="1"/>
  <c r="D143" i="11"/>
  <c r="K142" i="11"/>
  <c r="K184" i="11" s="1"/>
  <c r="J142" i="11"/>
  <c r="I142" i="11"/>
  <c r="H142" i="11"/>
  <c r="H184" i="11" s="1"/>
  <c r="G142" i="11"/>
  <c r="G184" i="11" s="1"/>
  <c r="F142" i="11"/>
  <c r="E142" i="11"/>
  <c r="D142" i="11"/>
  <c r="K141" i="11"/>
  <c r="J141" i="11"/>
  <c r="I141" i="11"/>
  <c r="H141" i="11"/>
  <c r="G141" i="11"/>
  <c r="F141" i="11"/>
  <c r="E141" i="11"/>
  <c r="E171" i="11" s="1"/>
  <c r="D141" i="11"/>
  <c r="K140" i="11"/>
  <c r="K182" i="11" s="1"/>
  <c r="J140" i="11"/>
  <c r="J171" i="11" s="1"/>
  <c r="I140" i="11"/>
  <c r="H140" i="11"/>
  <c r="H182" i="11" s="1"/>
  <c r="G140" i="11"/>
  <c r="F140" i="11"/>
  <c r="F182" i="11" s="1"/>
  <c r="E140" i="11"/>
  <c r="D140" i="11"/>
  <c r="D171" i="11" s="1"/>
  <c r="C130" i="11"/>
  <c r="I128" i="11"/>
  <c r="G128" i="11"/>
  <c r="D128" i="11"/>
  <c r="G127" i="11"/>
  <c r="G126" i="11"/>
  <c r="D126" i="11"/>
  <c r="G125" i="11"/>
  <c r="G124" i="11"/>
  <c r="D124" i="11"/>
  <c r="I123" i="11"/>
  <c r="G123" i="11"/>
  <c r="G122" i="11"/>
  <c r="D122" i="11"/>
  <c r="G121" i="11"/>
  <c r="G120" i="11"/>
  <c r="D120" i="11"/>
  <c r="G119" i="11"/>
  <c r="D118" i="11"/>
  <c r="G117" i="11"/>
  <c r="I116" i="11"/>
  <c r="G116" i="11"/>
  <c r="D116" i="11"/>
  <c r="G115" i="11"/>
  <c r="H114" i="11"/>
  <c r="G114" i="11"/>
  <c r="D114" i="11"/>
  <c r="G113" i="11"/>
  <c r="F113" i="11"/>
  <c r="G112" i="11"/>
  <c r="D112" i="11"/>
  <c r="G111" i="11"/>
  <c r="D111" i="11"/>
  <c r="G110" i="11"/>
  <c r="D110" i="11"/>
  <c r="G109" i="11"/>
  <c r="G108" i="11"/>
  <c r="D108" i="11"/>
  <c r="G107" i="11"/>
  <c r="G106" i="11"/>
  <c r="D106" i="11"/>
  <c r="G105" i="11"/>
  <c r="G104" i="11"/>
  <c r="D104" i="11"/>
  <c r="I103" i="11"/>
  <c r="G103" i="11"/>
  <c r="H102" i="11"/>
  <c r="G102" i="11"/>
  <c r="D102" i="11"/>
  <c r="G101" i="11"/>
  <c r="G100" i="11"/>
  <c r="D100" i="11"/>
  <c r="G99" i="11"/>
  <c r="D99" i="11"/>
  <c r="D98" i="11"/>
  <c r="C89" i="11"/>
  <c r="I88" i="11"/>
  <c r="K87" i="11"/>
  <c r="J87" i="11"/>
  <c r="J128" i="11" s="1"/>
  <c r="I87" i="11"/>
  <c r="H87" i="11"/>
  <c r="H128" i="11" s="1"/>
  <c r="G87" i="11"/>
  <c r="F87" i="11"/>
  <c r="F128" i="11" s="1"/>
  <c r="E87" i="11"/>
  <c r="E128" i="11" s="1"/>
  <c r="D87" i="11"/>
  <c r="K86" i="11"/>
  <c r="J86" i="11"/>
  <c r="I86" i="11"/>
  <c r="H86" i="11"/>
  <c r="H127" i="11" s="1"/>
  <c r="G86" i="11"/>
  <c r="F86" i="11"/>
  <c r="E86" i="11"/>
  <c r="E127" i="11" s="1"/>
  <c r="D86" i="11"/>
  <c r="K85" i="11"/>
  <c r="J85" i="11"/>
  <c r="J126" i="11" s="1"/>
  <c r="I85" i="11"/>
  <c r="I126" i="11" s="1"/>
  <c r="H85" i="11"/>
  <c r="H126" i="11" s="1"/>
  <c r="G85" i="11"/>
  <c r="F85" i="11"/>
  <c r="F126" i="11" s="1"/>
  <c r="E85" i="11"/>
  <c r="E126" i="11" s="1"/>
  <c r="D85" i="11"/>
  <c r="K84" i="11"/>
  <c r="J84" i="11"/>
  <c r="I84" i="11"/>
  <c r="H84" i="11"/>
  <c r="H125" i="11" s="1"/>
  <c r="G84" i="11"/>
  <c r="F84" i="11"/>
  <c r="E84" i="11"/>
  <c r="E125" i="11" s="1"/>
  <c r="D84" i="11"/>
  <c r="K83" i="11"/>
  <c r="J83" i="11"/>
  <c r="J124" i="11" s="1"/>
  <c r="I83" i="11"/>
  <c r="H83" i="11"/>
  <c r="H124" i="11" s="1"/>
  <c r="G83" i="11"/>
  <c r="F83" i="11"/>
  <c r="F124" i="11" s="1"/>
  <c r="E83" i="11"/>
  <c r="E124" i="11" s="1"/>
  <c r="D83" i="11"/>
  <c r="K82" i="11"/>
  <c r="J82" i="11"/>
  <c r="I82" i="11"/>
  <c r="H82" i="11"/>
  <c r="H123" i="11" s="1"/>
  <c r="G82" i="11"/>
  <c r="F82" i="11"/>
  <c r="E82" i="11"/>
  <c r="E123" i="11" s="1"/>
  <c r="D82" i="11"/>
  <c r="K81" i="11"/>
  <c r="J81" i="11"/>
  <c r="J122" i="11" s="1"/>
  <c r="I81" i="11"/>
  <c r="H81" i="11"/>
  <c r="H122" i="11" s="1"/>
  <c r="G81" i="11"/>
  <c r="F81" i="11"/>
  <c r="F122" i="11" s="1"/>
  <c r="E81" i="11"/>
  <c r="E122" i="11" s="1"/>
  <c r="D81" i="11"/>
  <c r="K80" i="11"/>
  <c r="J80" i="11"/>
  <c r="I80" i="11"/>
  <c r="I121" i="11" s="1"/>
  <c r="H80" i="11"/>
  <c r="H121" i="11" s="1"/>
  <c r="G80" i="11"/>
  <c r="F80" i="11"/>
  <c r="E80" i="11"/>
  <c r="E121" i="11" s="1"/>
  <c r="D80" i="11"/>
  <c r="K79" i="11"/>
  <c r="J79" i="11"/>
  <c r="J120" i="11" s="1"/>
  <c r="I79" i="11"/>
  <c r="H79" i="11"/>
  <c r="H120" i="11" s="1"/>
  <c r="G79" i="11"/>
  <c r="F79" i="11"/>
  <c r="F120" i="11" s="1"/>
  <c r="E79" i="11"/>
  <c r="E120" i="11" s="1"/>
  <c r="D79" i="11"/>
  <c r="K78" i="11"/>
  <c r="J78" i="11"/>
  <c r="I78" i="11"/>
  <c r="H78" i="11"/>
  <c r="H119" i="11" s="1"/>
  <c r="G78" i="11"/>
  <c r="F78" i="11"/>
  <c r="E78" i="11"/>
  <c r="E119" i="11" s="1"/>
  <c r="D78" i="11"/>
  <c r="K77" i="11"/>
  <c r="J77" i="11"/>
  <c r="J118" i="11" s="1"/>
  <c r="I77" i="11"/>
  <c r="I118" i="11" s="1"/>
  <c r="H77" i="11"/>
  <c r="H118" i="11" s="1"/>
  <c r="G77" i="11"/>
  <c r="G118" i="11" s="1"/>
  <c r="F77" i="11"/>
  <c r="F118" i="11" s="1"/>
  <c r="E77" i="11"/>
  <c r="E118" i="11" s="1"/>
  <c r="D77" i="11"/>
  <c r="K76" i="11"/>
  <c r="J76" i="11"/>
  <c r="I76" i="11"/>
  <c r="H76" i="11"/>
  <c r="H117" i="11" s="1"/>
  <c r="G76" i="11"/>
  <c r="F76" i="11"/>
  <c r="E76" i="11"/>
  <c r="E117" i="11" s="1"/>
  <c r="D76" i="11"/>
  <c r="K75" i="11"/>
  <c r="J75" i="11"/>
  <c r="J116" i="11" s="1"/>
  <c r="I75" i="11"/>
  <c r="H75" i="11"/>
  <c r="H116" i="11" s="1"/>
  <c r="G75" i="11"/>
  <c r="F75" i="11"/>
  <c r="F116" i="11" s="1"/>
  <c r="E75" i="11"/>
  <c r="E116" i="11" s="1"/>
  <c r="D75" i="11"/>
  <c r="K74" i="11"/>
  <c r="J74" i="11"/>
  <c r="I74" i="11"/>
  <c r="H74" i="11"/>
  <c r="H115" i="11" s="1"/>
  <c r="G74" i="11"/>
  <c r="F74" i="11"/>
  <c r="E74" i="11"/>
  <c r="E115" i="11" s="1"/>
  <c r="D74" i="11"/>
  <c r="K73" i="11"/>
  <c r="J73" i="11"/>
  <c r="J114" i="11" s="1"/>
  <c r="I73" i="11"/>
  <c r="I114" i="11" s="1"/>
  <c r="H73" i="11"/>
  <c r="G73" i="11"/>
  <c r="F73" i="11"/>
  <c r="F114" i="11" s="1"/>
  <c r="E73" i="11"/>
  <c r="E114" i="11" s="1"/>
  <c r="D73" i="11"/>
  <c r="K72" i="11"/>
  <c r="J72" i="11"/>
  <c r="I72" i="11"/>
  <c r="H72" i="11"/>
  <c r="H113" i="11" s="1"/>
  <c r="G72" i="11"/>
  <c r="F72" i="11"/>
  <c r="E72" i="11"/>
  <c r="E113" i="11" s="1"/>
  <c r="D72" i="11"/>
  <c r="K71" i="11"/>
  <c r="J71" i="11"/>
  <c r="J112" i="11" s="1"/>
  <c r="I71" i="11"/>
  <c r="H71" i="11"/>
  <c r="H112" i="11" s="1"/>
  <c r="G71" i="11"/>
  <c r="F71" i="11"/>
  <c r="F112" i="11" s="1"/>
  <c r="E71" i="11"/>
  <c r="E112" i="11" s="1"/>
  <c r="D71" i="11"/>
  <c r="K70" i="11"/>
  <c r="J70" i="11"/>
  <c r="I70" i="11"/>
  <c r="H70" i="11"/>
  <c r="H111" i="11" s="1"/>
  <c r="G70" i="11"/>
  <c r="F70" i="11"/>
  <c r="E70" i="11"/>
  <c r="E111" i="11" s="1"/>
  <c r="D70" i="11"/>
  <c r="K69" i="11"/>
  <c r="J69" i="11"/>
  <c r="J110" i="11" s="1"/>
  <c r="I69" i="11"/>
  <c r="H69" i="11"/>
  <c r="H110" i="11" s="1"/>
  <c r="G69" i="11"/>
  <c r="F69" i="11"/>
  <c r="F110" i="11" s="1"/>
  <c r="E69" i="11"/>
  <c r="E110" i="11" s="1"/>
  <c r="D69" i="11"/>
  <c r="K68" i="11"/>
  <c r="J68" i="11"/>
  <c r="I68" i="11"/>
  <c r="H68" i="11"/>
  <c r="H109" i="11" s="1"/>
  <c r="G68" i="11"/>
  <c r="F68" i="11"/>
  <c r="E68" i="11"/>
  <c r="E109" i="11" s="1"/>
  <c r="D68" i="11"/>
  <c r="K67" i="11"/>
  <c r="J67" i="11"/>
  <c r="J108" i="11" s="1"/>
  <c r="I67" i="11"/>
  <c r="H67" i="11"/>
  <c r="H108" i="11" s="1"/>
  <c r="G67" i="11"/>
  <c r="F67" i="11"/>
  <c r="F108" i="11" s="1"/>
  <c r="E67" i="11"/>
  <c r="E108" i="11" s="1"/>
  <c r="D67" i="11"/>
  <c r="K66" i="11"/>
  <c r="J66" i="11"/>
  <c r="I66" i="11"/>
  <c r="H66" i="11"/>
  <c r="H107" i="11" s="1"/>
  <c r="G66" i="11"/>
  <c r="F66" i="11"/>
  <c r="E66" i="11"/>
  <c r="E107" i="11" s="1"/>
  <c r="D66" i="11"/>
  <c r="K65" i="11"/>
  <c r="J65" i="11"/>
  <c r="J106" i="11" s="1"/>
  <c r="I65" i="11"/>
  <c r="H65" i="11"/>
  <c r="H106" i="11" s="1"/>
  <c r="G65" i="11"/>
  <c r="F65" i="11"/>
  <c r="F106" i="11" s="1"/>
  <c r="E65" i="11"/>
  <c r="E106" i="11" s="1"/>
  <c r="D65" i="11"/>
  <c r="K64" i="11"/>
  <c r="J64" i="11"/>
  <c r="I64" i="11"/>
  <c r="H64" i="11"/>
  <c r="H105" i="11" s="1"/>
  <c r="G64" i="11"/>
  <c r="F64" i="11"/>
  <c r="E64" i="11"/>
  <c r="E105" i="11" s="1"/>
  <c r="D64" i="11"/>
  <c r="K63" i="11"/>
  <c r="J63" i="11"/>
  <c r="J104" i="11" s="1"/>
  <c r="I63" i="11"/>
  <c r="H63" i="11"/>
  <c r="H104" i="11" s="1"/>
  <c r="G63" i="11"/>
  <c r="F63" i="11"/>
  <c r="F104" i="11" s="1"/>
  <c r="E63" i="11"/>
  <c r="E104" i="11" s="1"/>
  <c r="D63" i="11"/>
  <c r="K62" i="11"/>
  <c r="J62" i="11"/>
  <c r="I62" i="11"/>
  <c r="H62" i="11"/>
  <c r="H103" i="11" s="1"/>
  <c r="G62" i="11"/>
  <c r="F62" i="11"/>
  <c r="E62" i="11"/>
  <c r="E103" i="11" s="1"/>
  <c r="D62" i="11"/>
  <c r="K61" i="11"/>
  <c r="J61" i="11"/>
  <c r="J102" i="11" s="1"/>
  <c r="I61" i="11"/>
  <c r="I102" i="11" s="1"/>
  <c r="H61" i="11"/>
  <c r="G61" i="11"/>
  <c r="F61" i="11"/>
  <c r="F102" i="11" s="1"/>
  <c r="E61" i="11"/>
  <c r="E102" i="11" s="1"/>
  <c r="D61" i="11"/>
  <c r="K60" i="11"/>
  <c r="J60" i="11"/>
  <c r="I60" i="11"/>
  <c r="H60" i="11"/>
  <c r="H101" i="11" s="1"/>
  <c r="G60" i="11"/>
  <c r="F60" i="11"/>
  <c r="E60" i="11"/>
  <c r="E101" i="11" s="1"/>
  <c r="D60" i="11"/>
  <c r="K59" i="11"/>
  <c r="J59" i="11"/>
  <c r="J100" i="11" s="1"/>
  <c r="I59" i="11"/>
  <c r="I100" i="11" s="1"/>
  <c r="H59" i="11"/>
  <c r="H100" i="11" s="1"/>
  <c r="G59" i="11"/>
  <c r="F59" i="11"/>
  <c r="F100" i="11" s="1"/>
  <c r="E59" i="11"/>
  <c r="E100" i="11" s="1"/>
  <c r="D59" i="11"/>
  <c r="K58" i="11"/>
  <c r="J58" i="11"/>
  <c r="I58" i="11"/>
  <c r="H58" i="11"/>
  <c r="H99" i="11" s="1"/>
  <c r="G58" i="11"/>
  <c r="F58" i="11"/>
  <c r="E58" i="11"/>
  <c r="E99" i="11" s="1"/>
  <c r="D58" i="11"/>
  <c r="K57" i="11"/>
  <c r="J57" i="11"/>
  <c r="I57" i="11"/>
  <c r="I98" i="11" s="1"/>
  <c r="H57" i="11"/>
  <c r="H98" i="11" s="1"/>
  <c r="G57" i="11"/>
  <c r="G88" i="11" s="1"/>
  <c r="G129" i="11" s="1"/>
  <c r="F57" i="11"/>
  <c r="F98" i="11" s="1"/>
  <c r="E57" i="11"/>
  <c r="E98" i="11" s="1"/>
  <c r="D57" i="11"/>
  <c r="D88" i="11" s="1"/>
  <c r="D129" i="11" s="1"/>
  <c r="C47" i="11"/>
  <c r="H46" i="11"/>
  <c r="K45" i="11"/>
  <c r="K128" i="11" s="1"/>
  <c r="J45" i="11"/>
  <c r="J212" i="11" s="1"/>
  <c r="I45" i="11"/>
  <c r="H45" i="11"/>
  <c r="G45" i="11"/>
  <c r="G295" i="11" s="1"/>
  <c r="F45" i="11"/>
  <c r="E45" i="11"/>
  <c r="D45" i="11"/>
  <c r="K44" i="11"/>
  <c r="J44" i="11"/>
  <c r="J211" i="11" s="1"/>
  <c r="I44" i="11"/>
  <c r="I211" i="11" s="1"/>
  <c r="H44" i="11"/>
  <c r="G44" i="11"/>
  <c r="F44" i="11"/>
  <c r="E44" i="11"/>
  <c r="D44" i="11"/>
  <c r="D127" i="11" s="1"/>
  <c r="K43" i="11"/>
  <c r="K126" i="11" s="1"/>
  <c r="J43" i="11"/>
  <c r="J293" i="11" s="1"/>
  <c r="I43" i="11"/>
  <c r="H43" i="11"/>
  <c r="G43" i="11"/>
  <c r="G293" i="11" s="1"/>
  <c r="F43" i="11"/>
  <c r="E43" i="11"/>
  <c r="D43" i="11"/>
  <c r="K42" i="11"/>
  <c r="J42" i="11"/>
  <c r="J209" i="11" s="1"/>
  <c r="I42" i="11"/>
  <c r="I209" i="11" s="1"/>
  <c r="H42" i="11"/>
  <c r="H292" i="11" s="1"/>
  <c r="G42" i="11"/>
  <c r="F42" i="11"/>
  <c r="E42" i="11"/>
  <c r="D42" i="11"/>
  <c r="D125" i="11" s="1"/>
  <c r="K41" i="11"/>
  <c r="K124" i="11" s="1"/>
  <c r="J41" i="11"/>
  <c r="J208" i="11" s="1"/>
  <c r="I41" i="11"/>
  <c r="I124" i="11" s="1"/>
  <c r="H41" i="11"/>
  <c r="G41" i="11"/>
  <c r="G291" i="11" s="1"/>
  <c r="F41" i="11"/>
  <c r="E41" i="11"/>
  <c r="D41" i="11"/>
  <c r="K40" i="11"/>
  <c r="J40" i="11"/>
  <c r="J207" i="11" s="1"/>
  <c r="I40" i="11"/>
  <c r="I207" i="11" s="1"/>
  <c r="H40" i="11"/>
  <c r="G40" i="11"/>
  <c r="F40" i="11"/>
  <c r="E40" i="11"/>
  <c r="D40" i="11"/>
  <c r="D123" i="11" s="1"/>
  <c r="K39" i="11"/>
  <c r="K122" i="11" s="1"/>
  <c r="J39" i="11"/>
  <c r="J206" i="11" s="1"/>
  <c r="I39" i="11"/>
  <c r="I122" i="11" s="1"/>
  <c r="H39" i="11"/>
  <c r="G39" i="11"/>
  <c r="G289" i="11" s="1"/>
  <c r="F39" i="11"/>
  <c r="E39" i="11"/>
  <c r="D39" i="11"/>
  <c r="K38" i="11"/>
  <c r="J38" i="11"/>
  <c r="J205" i="11" s="1"/>
  <c r="I38" i="11"/>
  <c r="I205" i="11" s="1"/>
  <c r="H38" i="11"/>
  <c r="H288" i="11" s="1"/>
  <c r="G38" i="11"/>
  <c r="F38" i="11"/>
  <c r="E38" i="11"/>
  <c r="D38" i="11"/>
  <c r="D121" i="11" s="1"/>
  <c r="K37" i="11"/>
  <c r="K120" i="11" s="1"/>
  <c r="J37" i="11"/>
  <c r="J287" i="11" s="1"/>
  <c r="I37" i="11"/>
  <c r="I120" i="11" s="1"/>
  <c r="H37" i="11"/>
  <c r="G37" i="11"/>
  <c r="G287" i="11" s="1"/>
  <c r="F37" i="11"/>
  <c r="F204" i="11" s="1"/>
  <c r="E37" i="11"/>
  <c r="D37" i="11"/>
  <c r="K36" i="11"/>
  <c r="J36" i="11"/>
  <c r="J203" i="11" s="1"/>
  <c r="I36" i="11"/>
  <c r="I203" i="11" s="1"/>
  <c r="H36" i="11"/>
  <c r="G36" i="11"/>
  <c r="F36" i="11"/>
  <c r="E36" i="11"/>
  <c r="D36" i="11"/>
  <c r="D119" i="11" s="1"/>
  <c r="K35" i="11"/>
  <c r="K118" i="11" s="1"/>
  <c r="J35" i="11"/>
  <c r="J285" i="11" s="1"/>
  <c r="I35" i="11"/>
  <c r="H35" i="11"/>
  <c r="G35" i="11"/>
  <c r="G285" i="11" s="1"/>
  <c r="F35" i="11"/>
  <c r="E35" i="11"/>
  <c r="D35" i="11"/>
  <c r="K34" i="11"/>
  <c r="J34" i="11"/>
  <c r="J201" i="11" s="1"/>
  <c r="I34" i="11"/>
  <c r="I201" i="11" s="1"/>
  <c r="H34" i="11"/>
  <c r="H284" i="11" s="1"/>
  <c r="G34" i="11"/>
  <c r="F34" i="11"/>
  <c r="E34" i="11"/>
  <c r="D34" i="11"/>
  <c r="D117" i="11" s="1"/>
  <c r="K33" i="11"/>
  <c r="K116" i="11" s="1"/>
  <c r="J33" i="11"/>
  <c r="J283" i="11" s="1"/>
  <c r="I33" i="11"/>
  <c r="H33" i="11"/>
  <c r="G33" i="11"/>
  <c r="G283" i="11" s="1"/>
  <c r="F33" i="11"/>
  <c r="E33" i="11"/>
  <c r="D33" i="11"/>
  <c r="K32" i="11"/>
  <c r="J32" i="11"/>
  <c r="J199" i="11" s="1"/>
  <c r="I32" i="11"/>
  <c r="I199" i="11" s="1"/>
  <c r="H32" i="11"/>
  <c r="G32" i="11"/>
  <c r="F32" i="11"/>
  <c r="E32" i="11"/>
  <c r="D32" i="11"/>
  <c r="D115" i="11" s="1"/>
  <c r="K31" i="11"/>
  <c r="K114" i="11" s="1"/>
  <c r="J31" i="11"/>
  <c r="J281" i="11" s="1"/>
  <c r="I31" i="11"/>
  <c r="H31" i="11"/>
  <c r="G31" i="11"/>
  <c r="G281" i="11" s="1"/>
  <c r="F31" i="11"/>
  <c r="E31" i="11"/>
  <c r="D31" i="11"/>
  <c r="K30" i="11"/>
  <c r="J30" i="11"/>
  <c r="I30" i="11"/>
  <c r="I197" i="11" s="1"/>
  <c r="H30" i="11"/>
  <c r="H280" i="11" s="1"/>
  <c r="G30" i="11"/>
  <c r="F30" i="11"/>
  <c r="F197" i="11" s="1"/>
  <c r="E30" i="11"/>
  <c r="D30" i="11"/>
  <c r="D113" i="11" s="1"/>
  <c r="K29" i="11"/>
  <c r="K112" i="11" s="1"/>
  <c r="J29" i="11"/>
  <c r="J279" i="11" s="1"/>
  <c r="I29" i="11"/>
  <c r="I112" i="11" s="1"/>
  <c r="H29" i="11"/>
  <c r="G29" i="11"/>
  <c r="G279" i="11" s="1"/>
  <c r="F29" i="11"/>
  <c r="E29" i="11"/>
  <c r="D29" i="11"/>
  <c r="K28" i="11"/>
  <c r="J28" i="11"/>
  <c r="J195" i="11" s="1"/>
  <c r="I28" i="11"/>
  <c r="I195" i="11" s="1"/>
  <c r="H28" i="11"/>
  <c r="G28" i="11"/>
  <c r="F28" i="11"/>
  <c r="E28" i="11"/>
  <c r="D28" i="11"/>
  <c r="D278" i="11" s="1"/>
  <c r="K27" i="11"/>
  <c r="K110" i="11" s="1"/>
  <c r="J27" i="11"/>
  <c r="J277" i="11" s="1"/>
  <c r="I27" i="11"/>
  <c r="I110" i="11" s="1"/>
  <c r="H27" i="11"/>
  <c r="G27" i="11"/>
  <c r="F27" i="11"/>
  <c r="E27" i="11"/>
  <c r="D27" i="11"/>
  <c r="K26" i="11"/>
  <c r="J26" i="11"/>
  <c r="J193" i="11" s="1"/>
  <c r="I26" i="11"/>
  <c r="I193" i="11" s="1"/>
  <c r="H26" i="11"/>
  <c r="H276" i="11" s="1"/>
  <c r="G26" i="11"/>
  <c r="F26" i="11"/>
  <c r="E26" i="11"/>
  <c r="D26" i="11"/>
  <c r="D109" i="11" s="1"/>
  <c r="K25" i="11"/>
  <c r="K108" i="11" s="1"/>
  <c r="J25" i="11"/>
  <c r="J275" i="11" s="1"/>
  <c r="I25" i="11"/>
  <c r="I108" i="11" s="1"/>
  <c r="H25" i="11"/>
  <c r="G25" i="11"/>
  <c r="G275" i="11" s="1"/>
  <c r="F25" i="11"/>
  <c r="E25" i="11"/>
  <c r="D25" i="11"/>
  <c r="K24" i="11"/>
  <c r="K274" i="11" s="1"/>
  <c r="J24" i="11"/>
  <c r="J191" i="11" s="1"/>
  <c r="I24" i="11"/>
  <c r="I191" i="11" s="1"/>
  <c r="H24" i="11"/>
  <c r="H274" i="11" s="1"/>
  <c r="G24" i="11"/>
  <c r="F24" i="11"/>
  <c r="E24" i="11"/>
  <c r="D24" i="11"/>
  <c r="D274" i="11" s="1"/>
  <c r="K23" i="11"/>
  <c r="K106" i="11" s="1"/>
  <c r="J23" i="11"/>
  <c r="J273" i="11" s="1"/>
  <c r="I23" i="11"/>
  <c r="I106" i="11" s="1"/>
  <c r="H23" i="11"/>
  <c r="G23" i="11"/>
  <c r="G273" i="11" s="1"/>
  <c r="F23" i="11"/>
  <c r="E23" i="11"/>
  <c r="D23" i="11"/>
  <c r="K22" i="11"/>
  <c r="K272" i="11" s="1"/>
  <c r="J22" i="11"/>
  <c r="J189" i="11" s="1"/>
  <c r="I22" i="11"/>
  <c r="I189" i="11" s="1"/>
  <c r="H22" i="11"/>
  <c r="H272" i="11" s="1"/>
  <c r="G22" i="11"/>
  <c r="F22" i="11"/>
  <c r="F105" i="11" s="1"/>
  <c r="E22" i="11"/>
  <c r="D22" i="11"/>
  <c r="D105" i="11" s="1"/>
  <c r="K21" i="11"/>
  <c r="K104" i="11" s="1"/>
  <c r="J21" i="11"/>
  <c r="J188" i="11" s="1"/>
  <c r="I21" i="11"/>
  <c r="I104" i="11" s="1"/>
  <c r="H21" i="11"/>
  <c r="G21" i="11"/>
  <c r="G271" i="11" s="1"/>
  <c r="F21" i="11"/>
  <c r="F188" i="11" s="1"/>
  <c r="E21" i="11"/>
  <c r="D21" i="11"/>
  <c r="K20" i="11"/>
  <c r="K270" i="11" s="1"/>
  <c r="J20" i="11"/>
  <c r="J187" i="11" s="1"/>
  <c r="I20" i="11"/>
  <c r="I187" i="11" s="1"/>
  <c r="H20" i="11"/>
  <c r="H270" i="11" s="1"/>
  <c r="G20" i="11"/>
  <c r="F20" i="11"/>
  <c r="F103" i="11" s="1"/>
  <c r="E20" i="11"/>
  <c r="D20" i="11"/>
  <c r="D103" i="11" s="1"/>
  <c r="K19" i="11"/>
  <c r="K102" i="11" s="1"/>
  <c r="J19" i="11"/>
  <c r="J269" i="11" s="1"/>
  <c r="I19" i="11"/>
  <c r="H19" i="11"/>
  <c r="G19" i="11"/>
  <c r="G269" i="11" s="1"/>
  <c r="F19" i="11"/>
  <c r="F186" i="11" s="1"/>
  <c r="E19" i="11"/>
  <c r="D19" i="11"/>
  <c r="K18" i="11"/>
  <c r="K268" i="11" s="1"/>
  <c r="J18" i="11"/>
  <c r="I18" i="11"/>
  <c r="I185" i="11" s="1"/>
  <c r="H18" i="11"/>
  <c r="H268" i="11" s="1"/>
  <c r="G18" i="11"/>
  <c r="F18" i="11"/>
  <c r="E18" i="11"/>
  <c r="D18" i="11"/>
  <c r="D101" i="11" s="1"/>
  <c r="K17" i="11"/>
  <c r="K100" i="11" s="1"/>
  <c r="J17" i="11"/>
  <c r="J267" i="11" s="1"/>
  <c r="I17" i="11"/>
  <c r="H17" i="11"/>
  <c r="G17" i="11"/>
  <c r="G267" i="11" s="1"/>
  <c r="F17" i="11"/>
  <c r="E17" i="11"/>
  <c r="D17" i="11"/>
  <c r="K16" i="11"/>
  <c r="K266" i="11" s="1"/>
  <c r="J16" i="11"/>
  <c r="J183" i="11" s="1"/>
  <c r="I16" i="11"/>
  <c r="I183" i="11" s="1"/>
  <c r="H16" i="11"/>
  <c r="H266" i="11" s="1"/>
  <c r="G16" i="11"/>
  <c r="F16" i="11"/>
  <c r="E16" i="11"/>
  <c r="E46" i="11" s="1"/>
  <c r="D16" i="11"/>
  <c r="D46" i="11" s="1"/>
  <c r="K15" i="11"/>
  <c r="K98" i="11" s="1"/>
  <c r="J15" i="11"/>
  <c r="J265" i="11" s="1"/>
  <c r="I15" i="11"/>
  <c r="I46" i="11" s="1"/>
  <c r="H15" i="11"/>
  <c r="G15" i="11"/>
  <c r="G46" i="11" s="1"/>
  <c r="F15" i="11"/>
  <c r="E15" i="11"/>
  <c r="D15" i="11"/>
  <c r="Q271" i="10"/>
  <c r="O271" i="10"/>
  <c r="N271" i="10"/>
  <c r="M271" i="10"/>
  <c r="K271" i="10"/>
  <c r="S269" i="10"/>
  <c r="V268" i="10"/>
  <c r="G268" i="10"/>
  <c r="O265" i="10"/>
  <c r="F263" i="10"/>
  <c r="R262" i="10"/>
  <c r="K261" i="10"/>
  <c r="E261" i="10"/>
  <c r="P260" i="10"/>
  <c r="N260" i="10"/>
  <c r="J259" i="10"/>
  <c r="V258" i="10"/>
  <c r="U258" i="10"/>
  <c r="T258" i="10"/>
  <c r="S258" i="10"/>
  <c r="R258" i="10"/>
  <c r="Q258" i="10"/>
  <c r="P258" i="10"/>
  <c r="O258" i="10"/>
  <c r="N258" i="10"/>
  <c r="M258" i="10"/>
  <c r="L258" i="10"/>
  <c r="K258" i="10"/>
  <c r="J258" i="10"/>
  <c r="I258" i="10"/>
  <c r="H258" i="10"/>
  <c r="G258" i="10"/>
  <c r="F258" i="10"/>
  <c r="E258" i="10"/>
  <c r="D258" i="10"/>
  <c r="E257" i="10"/>
  <c r="J254" i="10"/>
  <c r="U246" i="10"/>
  <c r="V235" i="10"/>
  <c r="V274" i="10" s="1"/>
  <c r="U235" i="10"/>
  <c r="T235" i="10"/>
  <c r="S235" i="10"/>
  <c r="R235" i="10"/>
  <c r="Q235" i="10"/>
  <c r="P235" i="10"/>
  <c r="O235" i="10"/>
  <c r="N235" i="10"/>
  <c r="M235" i="10"/>
  <c r="L235" i="10"/>
  <c r="L274" i="10" s="1"/>
  <c r="K235" i="10"/>
  <c r="J235" i="10"/>
  <c r="I235" i="10"/>
  <c r="H235" i="10"/>
  <c r="G235" i="10"/>
  <c r="G274" i="10" s="1"/>
  <c r="F235" i="10"/>
  <c r="E235" i="10"/>
  <c r="D235" i="10"/>
  <c r="V234" i="10"/>
  <c r="U234" i="10"/>
  <c r="T234" i="10"/>
  <c r="S234" i="10"/>
  <c r="R234" i="10"/>
  <c r="Q234" i="10"/>
  <c r="P234" i="10"/>
  <c r="O234" i="10"/>
  <c r="O273" i="10" s="1"/>
  <c r="N234" i="10"/>
  <c r="M234" i="10"/>
  <c r="L234" i="10"/>
  <c r="K234" i="10"/>
  <c r="J234" i="10"/>
  <c r="J273" i="10" s="1"/>
  <c r="I234" i="10"/>
  <c r="I273" i="10" s="1"/>
  <c r="H234" i="10"/>
  <c r="G234" i="10"/>
  <c r="F234" i="10"/>
  <c r="E234" i="10"/>
  <c r="D234" i="10"/>
  <c r="V233" i="10"/>
  <c r="U233" i="10"/>
  <c r="T233" i="10"/>
  <c r="S233" i="10"/>
  <c r="R233" i="10"/>
  <c r="R272" i="10" s="1"/>
  <c r="Q233" i="10"/>
  <c r="P233" i="10"/>
  <c r="O233" i="10"/>
  <c r="N233" i="10"/>
  <c r="M233" i="10"/>
  <c r="M272" i="10" s="1"/>
  <c r="L233" i="10"/>
  <c r="L272" i="10" s="1"/>
  <c r="K233" i="10"/>
  <c r="J233" i="10"/>
  <c r="I233" i="10"/>
  <c r="H233" i="10"/>
  <c r="G233" i="10"/>
  <c r="G272" i="10" s="1"/>
  <c r="F233" i="10"/>
  <c r="E233" i="10"/>
  <c r="D233" i="10"/>
  <c r="V232" i="10"/>
  <c r="U232" i="10"/>
  <c r="U271" i="10" s="1"/>
  <c r="T232" i="10"/>
  <c r="T271" i="10" s="1"/>
  <c r="S232" i="10"/>
  <c r="S271" i="10" s="1"/>
  <c r="R232" i="10"/>
  <c r="R271" i="10" s="1"/>
  <c r="Q232" i="10"/>
  <c r="P232" i="10"/>
  <c r="P271" i="10" s="1"/>
  <c r="O232" i="10"/>
  <c r="N232" i="10"/>
  <c r="M232" i="10"/>
  <c r="L232" i="10"/>
  <c r="L271" i="10" s="1"/>
  <c r="K232" i="10"/>
  <c r="J232" i="10"/>
  <c r="J271" i="10" s="1"/>
  <c r="I232" i="10"/>
  <c r="I271" i="10" s="1"/>
  <c r="H232" i="10"/>
  <c r="H271" i="10" s="1"/>
  <c r="G232" i="10"/>
  <c r="G271" i="10" s="1"/>
  <c r="F232" i="10"/>
  <c r="F271" i="10" s="1"/>
  <c r="E232" i="10"/>
  <c r="E271" i="10" s="1"/>
  <c r="D232" i="10"/>
  <c r="D271" i="10" s="1"/>
  <c r="V231" i="10"/>
  <c r="U231" i="10"/>
  <c r="T231" i="10"/>
  <c r="S231" i="10"/>
  <c r="S270" i="10" s="1"/>
  <c r="R231" i="10"/>
  <c r="R270" i="10" s="1"/>
  <c r="Q231" i="10"/>
  <c r="P231" i="10"/>
  <c r="O231" i="10"/>
  <c r="N231" i="10"/>
  <c r="M231" i="10"/>
  <c r="L231" i="10"/>
  <c r="K231" i="10"/>
  <c r="J231" i="10"/>
  <c r="I231" i="10"/>
  <c r="H231" i="10"/>
  <c r="H270" i="10" s="1"/>
  <c r="G231" i="10"/>
  <c r="F231" i="10"/>
  <c r="E231" i="10"/>
  <c r="D231" i="10"/>
  <c r="V230" i="10"/>
  <c r="V269" i="10" s="1"/>
  <c r="U230" i="10"/>
  <c r="U269" i="10" s="1"/>
  <c r="T230" i="10"/>
  <c r="S230" i="10"/>
  <c r="R230" i="10"/>
  <c r="Q230" i="10"/>
  <c r="P230" i="10"/>
  <c r="O230" i="10"/>
  <c r="N230" i="10"/>
  <c r="M230" i="10"/>
  <c r="L230" i="10"/>
  <c r="K230" i="10"/>
  <c r="K269" i="10" s="1"/>
  <c r="J230" i="10"/>
  <c r="I230" i="10"/>
  <c r="H230" i="10"/>
  <c r="G230" i="10"/>
  <c r="F230" i="10"/>
  <c r="F269" i="10" s="1"/>
  <c r="E230" i="10"/>
  <c r="E269" i="10" s="1"/>
  <c r="D230" i="10"/>
  <c r="V229" i="10"/>
  <c r="U229" i="10"/>
  <c r="T229" i="10"/>
  <c r="S229" i="10"/>
  <c r="R229" i="10"/>
  <c r="Q229" i="10"/>
  <c r="P229" i="10"/>
  <c r="O229" i="10"/>
  <c r="N229" i="10"/>
  <c r="N268" i="10" s="1"/>
  <c r="M229" i="10"/>
  <c r="L229" i="10"/>
  <c r="K229" i="10"/>
  <c r="J229" i="10"/>
  <c r="I229" i="10"/>
  <c r="I268" i="10" s="1"/>
  <c r="H229" i="10"/>
  <c r="H268" i="10" s="1"/>
  <c r="G229" i="10"/>
  <c r="F229" i="10"/>
  <c r="E229" i="10"/>
  <c r="D229" i="10"/>
  <c r="V228" i="10"/>
  <c r="U228" i="10"/>
  <c r="T228" i="10"/>
  <c r="S228" i="10"/>
  <c r="R228" i="10"/>
  <c r="Q228" i="10"/>
  <c r="Q267" i="10" s="1"/>
  <c r="P228" i="10"/>
  <c r="O228" i="10"/>
  <c r="N228" i="10"/>
  <c r="M228" i="10"/>
  <c r="L228" i="10"/>
  <c r="L267" i="10" s="1"/>
  <c r="K228" i="10"/>
  <c r="K267" i="10" s="1"/>
  <c r="J228" i="10"/>
  <c r="I228" i="10"/>
  <c r="H228" i="10"/>
  <c r="G228" i="10"/>
  <c r="F228" i="10"/>
  <c r="E228" i="10"/>
  <c r="D228" i="10"/>
  <c r="V227" i="10"/>
  <c r="U227" i="10"/>
  <c r="T227" i="10"/>
  <c r="T266" i="10" s="1"/>
  <c r="S227" i="10"/>
  <c r="R227" i="10"/>
  <c r="Q227" i="10"/>
  <c r="P227" i="10"/>
  <c r="O227" i="10"/>
  <c r="O266" i="10" s="1"/>
  <c r="N227" i="10"/>
  <c r="N266" i="10" s="1"/>
  <c r="M227" i="10"/>
  <c r="L227" i="10"/>
  <c r="K227" i="10"/>
  <c r="J227" i="10"/>
  <c r="I227" i="10"/>
  <c r="H227" i="10"/>
  <c r="G227" i="10"/>
  <c r="F227" i="10"/>
  <c r="E227" i="10"/>
  <c r="D227" i="10"/>
  <c r="D266" i="10" s="1"/>
  <c r="V226" i="10"/>
  <c r="U226" i="10"/>
  <c r="T226" i="10"/>
  <c r="S226" i="10"/>
  <c r="R226" i="10"/>
  <c r="R265" i="10" s="1"/>
  <c r="Q226" i="10"/>
  <c r="Q265" i="10" s="1"/>
  <c r="P226" i="10"/>
  <c r="O226" i="10"/>
  <c r="N226" i="10"/>
  <c r="M226" i="10"/>
  <c r="L226" i="10"/>
  <c r="K226" i="10"/>
  <c r="J226" i="10"/>
  <c r="I226" i="10"/>
  <c r="H226" i="10"/>
  <c r="G226" i="10"/>
  <c r="G265" i="10" s="1"/>
  <c r="F226" i="10"/>
  <c r="E226" i="10"/>
  <c r="D226" i="10"/>
  <c r="V225" i="10"/>
  <c r="U225" i="10"/>
  <c r="U264" i="10" s="1"/>
  <c r="T225" i="10"/>
  <c r="T264" i="10" s="1"/>
  <c r="S225" i="10"/>
  <c r="R225" i="10"/>
  <c r="Q225" i="10"/>
  <c r="P225" i="10"/>
  <c r="O225" i="10"/>
  <c r="N225" i="10"/>
  <c r="M225" i="10"/>
  <c r="M264" i="10" s="1"/>
  <c r="L225" i="10"/>
  <c r="K225" i="10"/>
  <c r="J225" i="10"/>
  <c r="J264" i="10" s="1"/>
  <c r="I225" i="10"/>
  <c r="H225" i="10"/>
  <c r="G225" i="10"/>
  <c r="F225" i="10"/>
  <c r="E225" i="10"/>
  <c r="E264" i="10" s="1"/>
  <c r="D225" i="10"/>
  <c r="D264" i="10" s="1"/>
  <c r="V224" i="10"/>
  <c r="U224" i="10"/>
  <c r="T224" i="10"/>
  <c r="S224" i="10"/>
  <c r="R224" i="10"/>
  <c r="R263" i="10" s="1"/>
  <c r="Q224" i="10"/>
  <c r="P224" i="10"/>
  <c r="O224" i="10"/>
  <c r="O263" i="10" s="1"/>
  <c r="N224" i="10"/>
  <c r="M224" i="10"/>
  <c r="M263" i="10" s="1"/>
  <c r="L224" i="10"/>
  <c r="K224" i="10"/>
  <c r="J224" i="10"/>
  <c r="I224" i="10"/>
  <c r="H224" i="10"/>
  <c r="H263" i="10" s="1"/>
  <c r="G224" i="10"/>
  <c r="G263" i="10" s="1"/>
  <c r="F224" i="10"/>
  <c r="E224" i="10"/>
  <c r="D224" i="10"/>
  <c r="V223" i="10"/>
  <c r="U223" i="10"/>
  <c r="T223" i="10"/>
  <c r="S223" i="10"/>
  <c r="R223" i="10"/>
  <c r="Q223" i="10"/>
  <c r="P223" i="10"/>
  <c r="P262" i="10" s="1"/>
  <c r="O223" i="10"/>
  <c r="N223" i="10"/>
  <c r="M223" i="10"/>
  <c r="L223" i="10"/>
  <c r="K223" i="10"/>
  <c r="K262" i="10" s="1"/>
  <c r="J223" i="10"/>
  <c r="J262" i="10" s="1"/>
  <c r="I223" i="10"/>
  <c r="H223" i="10"/>
  <c r="G223" i="10"/>
  <c r="F223" i="10"/>
  <c r="E223" i="10"/>
  <c r="E262" i="10" s="1"/>
  <c r="D223" i="10"/>
  <c r="V222" i="10"/>
  <c r="U222" i="10"/>
  <c r="T222" i="10"/>
  <c r="S222" i="10"/>
  <c r="S261" i="10" s="1"/>
  <c r="R222" i="10"/>
  <c r="Q222" i="10"/>
  <c r="P222" i="10"/>
  <c r="O222" i="10"/>
  <c r="N222" i="10"/>
  <c r="N261" i="10" s="1"/>
  <c r="M222" i="10"/>
  <c r="M261" i="10" s="1"/>
  <c r="L222" i="10"/>
  <c r="K222" i="10"/>
  <c r="J222" i="10"/>
  <c r="I222" i="10"/>
  <c r="H222" i="10"/>
  <c r="G222" i="10"/>
  <c r="F222" i="10"/>
  <c r="E222" i="10"/>
  <c r="D222" i="10"/>
  <c r="V221" i="10"/>
  <c r="V260" i="10" s="1"/>
  <c r="U221" i="10"/>
  <c r="T221" i="10"/>
  <c r="S221" i="10"/>
  <c r="R221" i="10"/>
  <c r="Q221" i="10"/>
  <c r="Q260" i="10" s="1"/>
  <c r="P221" i="10"/>
  <c r="O221" i="10"/>
  <c r="N221" i="10"/>
  <c r="M221" i="10"/>
  <c r="L221" i="10"/>
  <c r="K221" i="10"/>
  <c r="J221" i="10"/>
  <c r="I221" i="10"/>
  <c r="H221" i="10"/>
  <c r="H260" i="10" s="1"/>
  <c r="G221" i="10"/>
  <c r="F221" i="10"/>
  <c r="F260" i="10" s="1"/>
  <c r="E221" i="10"/>
  <c r="D221" i="10"/>
  <c r="V220" i="10"/>
  <c r="U220" i="10"/>
  <c r="T220" i="10"/>
  <c r="T259" i="10" s="1"/>
  <c r="S220" i="10"/>
  <c r="S259" i="10" s="1"/>
  <c r="R220" i="10"/>
  <c r="Q220" i="10"/>
  <c r="P220" i="10"/>
  <c r="O220" i="10"/>
  <c r="N220" i="10"/>
  <c r="M220" i="10"/>
  <c r="L220" i="10"/>
  <c r="K220" i="10"/>
  <c r="J220" i="10"/>
  <c r="I220" i="10"/>
  <c r="I259" i="10" s="1"/>
  <c r="H220" i="10"/>
  <c r="G220" i="10"/>
  <c r="F220" i="10"/>
  <c r="E220" i="10"/>
  <c r="D220" i="10"/>
  <c r="D259" i="10" s="1"/>
  <c r="V218" i="10"/>
  <c r="U218" i="10"/>
  <c r="T218" i="10"/>
  <c r="S218" i="10"/>
  <c r="R218" i="10"/>
  <c r="Q218" i="10"/>
  <c r="P218" i="10"/>
  <c r="O218" i="10"/>
  <c r="N218" i="10"/>
  <c r="M218" i="10"/>
  <c r="L218" i="10"/>
  <c r="L257" i="10" s="1"/>
  <c r="K218" i="10"/>
  <c r="J218" i="10"/>
  <c r="I218" i="10"/>
  <c r="H218" i="10"/>
  <c r="G218" i="10"/>
  <c r="G257" i="10" s="1"/>
  <c r="F218" i="10"/>
  <c r="E218" i="10"/>
  <c r="D218" i="10"/>
  <c r="V217" i="10"/>
  <c r="U217" i="10"/>
  <c r="T217" i="10"/>
  <c r="S217" i="10"/>
  <c r="R217" i="10"/>
  <c r="Q217" i="10"/>
  <c r="P217" i="10"/>
  <c r="O217" i="10"/>
  <c r="O256" i="10" s="1"/>
  <c r="N217" i="10"/>
  <c r="M217" i="10"/>
  <c r="L217" i="10"/>
  <c r="K217" i="10"/>
  <c r="J217" i="10"/>
  <c r="J256" i="10" s="1"/>
  <c r="I217" i="10"/>
  <c r="H217" i="10"/>
  <c r="G217" i="10"/>
  <c r="F217" i="10"/>
  <c r="E217" i="10"/>
  <c r="D217" i="10"/>
  <c r="V216" i="10"/>
  <c r="U216" i="10"/>
  <c r="T216" i="10"/>
  <c r="S216" i="10"/>
  <c r="R216" i="10"/>
  <c r="R255" i="10" s="1"/>
  <c r="Q216" i="10"/>
  <c r="P216" i="10"/>
  <c r="O216" i="10"/>
  <c r="N216" i="10"/>
  <c r="M216" i="10"/>
  <c r="M255" i="10" s="1"/>
  <c r="L216" i="10"/>
  <c r="K216" i="10"/>
  <c r="J216" i="10"/>
  <c r="I216" i="10"/>
  <c r="H216" i="10"/>
  <c r="G216" i="10"/>
  <c r="F216" i="10"/>
  <c r="E216" i="10"/>
  <c r="D216" i="10"/>
  <c r="V215" i="10"/>
  <c r="U215" i="10"/>
  <c r="U254" i="10" s="1"/>
  <c r="T215" i="10"/>
  <c r="S215" i="10"/>
  <c r="R215" i="10"/>
  <c r="Q215" i="10"/>
  <c r="P215" i="10"/>
  <c r="P254" i="10" s="1"/>
  <c r="O215" i="10"/>
  <c r="O254" i="10" s="1"/>
  <c r="N215" i="10"/>
  <c r="M215" i="10"/>
  <c r="L215" i="10"/>
  <c r="K215" i="10"/>
  <c r="J215" i="10"/>
  <c r="I215" i="10"/>
  <c r="H215" i="10"/>
  <c r="G215" i="10"/>
  <c r="F215" i="10"/>
  <c r="E215" i="10"/>
  <c r="E254" i="10" s="1"/>
  <c r="D215" i="10"/>
  <c r="V214" i="10"/>
  <c r="U214" i="10"/>
  <c r="T214" i="10"/>
  <c r="S214" i="10"/>
  <c r="S253" i="10" s="1"/>
  <c r="R214" i="10"/>
  <c r="R253" i="10" s="1"/>
  <c r="Q214" i="10"/>
  <c r="P214" i="10"/>
  <c r="O214" i="10"/>
  <c r="N214" i="10"/>
  <c r="M214" i="10"/>
  <c r="M253" i="10" s="1"/>
  <c r="L214" i="10"/>
  <c r="K214" i="10"/>
  <c r="J214" i="10"/>
  <c r="I214" i="10"/>
  <c r="H214" i="10"/>
  <c r="H253" i="10" s="1"/>
  <c r="G214" i="10"/>
  <c r="F214" i="10"/>
  <c r="E214" i="10"/>
  <c r="D214" i="10"/>
  <c r="V213" i="10"/>
  <c r="V252" i="10" s="1"/>
  <c r="U213" i="10"/>
  <c r="U252" i="10" s="1"/>
  <c r="T213" i="10"/>
  <c r="S213" i="10"/>
  <c r="R213" i="10"/>
  <c r="Q213" i="10"/>
  <c r="P213" i="10"/>
  <c r="O213" i="10"/>
  <c r="N213" i="10"/>
  <c r="M213" i="10"/>
  <c r="L213" i="10"/>
  <c r="K213" i="10"/>
  <c r="K252" i="10" s="1"/>
  <c r="J213" i="10"/>
  <c r="I213" i="10"/>
  <c r="H213" i="10"/>
  <c r="G213" i="10"/>
  <c r="F213" i="10"/>
  <c r="F252" i="10" s="1"/>
  <c r="E213" i="10"/>
  <c r="E252" i="10" s="1"/>
  <c r="D213" i="10"/>
  <c r="V212" i="10"/>
  <c r="U212" i="10"/>
  <c r="T212" i="10"/>
  <c r="S212" i="10"/>
  <c r="R212" i="10"/>
  <c r="Q212" i="10"/>
  <c r="P212" i="10"/>
  <c r="O212" i="10"/>
  <c r="N212" i="10"/>
  <c r="N251" i="10" s="1"/>
  <c r="M212" i="10"/>
  <c r="L212" i="10"/>
  <c r="K212" i="10"/>
  <c r="J212" i="10"/>
  <c r="I212" i="10"/>
  <c r="I251" i="10" s="1"/>
  <c r="H212" i="10"/>
  <c r="H251" i="10" s="1"/>
  <c r="G212" i="10"/>
  <c r="F212" i="10"/>
  <c r="E212" i="10"/>
  <c r="D212" i="10"/>
  <c r="V211" i="10"/>
  <c r="U211" i="10"/>
  <c r="T211" i="10"/>
  <c r="S211" i="10"/>
  <c r="R211" i="10"/>
  <c r="Q211" i="10"/>
  <c r="Q250" i="10" s="1"/>
  <c r="P211" i="10"/>
  <c r="O211" i="10"/>
  <c r="N211" i="10"/>
  <c r="M211" i="10"/>
  <c r="L211" i="10"/>
  <c r="L250" i="10" s="1"/>
  <c r="K211" i="10"/>
  <c r="K250" i="10" s="1"/>
  <c r="J211" i="10"/>
  <c r="I211" i="10"/>
  <c r="H211" i="10"/>
  <c r="G211" i="10"/>
  <c r="F211" i="10"/>
  <c r="E211" i="10"/>
  <c r="D211" i="10"/>
  <c r="V210" i="10"/>
  <c r="U210" i="10"/>
  <c r="T210" i="10"/>
  <c r="T249" i="10" s="1"/>
  <c r="S210" i="10"/>
  <c r="R210" i="10"/>
  <c r="Q210" i="10"/>
  <c r="P210" i="10"/>
  <c r="O210" i="10"/>
  <c r="O249" i="10" s="1"/>
  <c r="N210" i="10"/>
  <c r="N249" i="10" s="1"/>
  <c r="M210" i="10"/>
  <c r="L210" i="10"/>
  <c r="K210" i="10"/>
  <c r="J210" i="10"/>
  <c r="I210" i="10"/>
  <c r="H210" i="10"/>
  <c r="G210" i="10"/>
  <c r="F210" i="10"/>
  <c r="E210" i="10"/>
  <c r="D210" i="10"/>
  <c r="D249" i="10" s="1"/>
  <c r="V209" i="10"/>
  <c r="U209" i="10"/>
  <c r="T209" i="10"/>
  <c r="S209" i="10"/>
  <c r="R209" i="10"/>
  <c r="R248" i="10" s="1"/>
  <c r="Q209" i="10"/>
  <c r="Q248" i="10" s="1"/>
  <c r="P209" i="10"/>
  <c r="O209" i="10"/>
  <c r="N209" i="10"/>
  <c r="M209" i="10"/>
  <c r="L209" i="10"/>
  <c r="K209" i="10"/>
  <c r="J209" i="10"/>
  <c r="I209" i="10"/>
  <c r="H209" i="10"/>
  <c r="G209" i="10"/>
  <c r="G248" i="10" s="1"/>
  <c r="F209" i="10"/>
  <c r="F236" i="10" s="1"/>
  <c r="E209" i="10"/>
  <c r="D209" i="10"/>
  <c r="V208" i="10"/>
  <c r="U208" i="10"/>
  <c r="T208" i="10"/>
  <c r="T247" i="10" s="1"/>
  <c r="S208" i="10"/>
  <c r="R208" i="10"/>
  <c r="Q208" i="10"/>
  <c r="P208" i="10"/>
  <c r="O208" i="10"/>
  <c r="N208" i="10"/>
  <c r="M208" i="10"/>
  <c r="L208" i="10"/>
  <c r="K208" i="10"/>
  <c r="J208" i="10"/>
  <c r="I208" i="10"/>
  <c r="H208" i="10"/>
  <c r="G208" i="10"/>
  <c r="F208" i="10"/>
  <c r="E208" i="10"/>
  <c r="D208" i="10"/>
  <c r="V207" i="10"/>
  <c r="U207" i="10"/>
  <c r="T207" i="10"/>
  <c r="S207" i="10"/>
  <c r="R207" i="10"/>
  <c r="Q207" i="10"/>
  <c r="P207" i="10"/>
  <c r="O207" i="10"/>
  <c r="N207" i="10"/>
  <c r="M207" i="10"/>
  <c r="L207" i="10"/>
  <c r="K207" i="10"/>
  <c r="J207" i="10"/>
  <c r="I207" i="10"/>
  <c r="H207" i="10"/>
  <c r="G207" i="10"/>
  <c r="F207" i="10"/>
  <c r="E207" i="10"/>
  <c r="D207" i="10"/>
  <c r="Q197" i="10"/>
  <c r="Q196" i="10"/>
  <c r="P196" i="10"/>
  <c r="D196" i="10"/>
  <c r="T195" i="10"/>
  <c r="K195" i="10"/>
  <c r="D195" i="10"/>
  <c r="T194" i="10"/>
  <c r="S194" i="10"/>
  <c r="R194" i="10"/>
  <c r="Q194" i="10"/>
  <c r="P194" i="10"/>
  <c r="O194" i="10"/>
  <c r="N194" i="10"/>
  <c r="M194" i="10"/>
  <c r="L194" i="10"/>
  <c r="K194" i="10"/>
  <c r="J194" i="10"/>
  <c r="I194" i="10"/>
  <c r="H194" i="10"/>
  <c r="G194" i="10"/>
  <c r="F194" i="10"/>
  <c r="E194" i="10"/>
  <c r="D194" i="10"/>
  <c r="Q193" i="10"/>
  <c r="P193" i="10"/>
  <c r="M193" i="10"/>
  <c r="F192" i="10"/>
  <c r="V191" i="10"/>
  <c r="K191" i="10"/>
  <c r="F191" i="10"/>
  <c r="N190" i="10"/>
  <c r="U189" i="10"/>
  <c r="O189" i="10"/>
  <c r="M189" i="10"/>
  <c r="L189" i="10"/>
  <c r="L188" i="10"/>
  <c r="H188" i="10"/>
  <c r="O187" i="10"/>
  <c r="K187" i="10"/>
  <c r="U186" i="10"/>
  <c r="R186" i="10"/>
  <c r="O186" i="10"/>
  <c r="N186" i="10"/>
  <c r="G186" i="10"/>
  <c r="H185" i="10"/>
  <c r="E185" i="10"/>
  <c r="L184" i="10"/>
  <c r="K184" i="10"/>
  <c r="T182" i="10"/>
  <c r="Q182" i="10"/>
  <c r="F182" i="10"/>
  <c r="V181" i="10"/>
  <c r="U181" i="10"/>
  <c r="T181" i="10"/>
  <c r="S181" i="10"/>
  <c r="Q181" i="10"/>
  <c r="P181" i="10"/>
  <c r="O181" i="10"/>
  <c r="N181" i="10"/>
  <c r="M181" i="10"/>
  <c r="L181" i="10"/>
  <c r="K181" i="10"/>
  <c r="J181" i="10"/>
  <c r="I181" i="10"/>
  <c r="H181" i="10"/>
  <c r="G181" i="10"/>
  <c r="F181" i="10"/>
  <c r="E181" i="10"/>
  <c r="D181" i="10"/>
  <c r="T180" i="10"/>
  <c r="Q180" i="10"/>
  <c r="D180" i="10"/>
  <c r="H179" i="10"/>
  <c r="G179" i="10"/>
  <c r="L178" i="10"/>
  <c r="K178" i="10"/>
  <c r="U177" i="10"/>
  <c r="R177" i="10"/>
  <c r="J177" i="10"/>
  <c r="E177" i="10"/>
  <c r="R176" i="10"/>
  <c r="U175" i="10"/>
  <c r="K175" i="10"/>
  <c r="H175" i="10"/>
  <c r="O174" i="10"/>
  <c r="N174" i="10"/>
  <c r="N173" i="10"/>
  <c r="K173" i="10"/>
  <c r="U172" i="10"/>
  <c r="T172" i="10"/>
  <c r="E172" i="10"/>
  <c r="G171" i="10"/>
  <c r="J170" i="10"/>
  <c r="V158" i="10"/>
  <c r="V197" i="10" s="1"/>
  <c r="U158" i="10"/>
  <c r="T158" i="10"/>
  <c r="T197" i="10" s="1"/>
  <c r="S158" i="10"/>
  <c r="R158" i="10"/>
  <c r="Q158" i="10"/>
  <c r="P158" i="10"/>
  <c r="O158" i="10"/>
  <c r="N158" i="10"/>
  <c r="N197" i="10" s="1"/>
  <c r="M158" i="10"/>
  <c r="M197" i="10" s="1"/>
  <c r="L158" i="10"/>
  <c r="K158" i="10"/>
  <c r="J158" i="10"/>
  <c r="I158" i="10"/>
  <c r="I197" i="10" s="1"/>
  <c r="H158" i="10"/>
  <c r="G158" i="10"/>
  <c r="G197" i="10" s="1"/>
  <c r="F158" i="10"/>
  <c r="F197" i="10" s="1"/>
  <c r="E158" i="10"/>
  <c r="E197" i="10" s="1"/>
  <c r="D158" i="10"/>
  <c r="D197" i="10" s="1"/>
  <c r="V157" i="10"/>
  <c r="U157" i="10"/>
  <c r="T157" i="10"/>
  <c r="S157" i="10"/>
  <c r="R157" i="10"/>
  <c r="Q157" i="10"/>
  <c r="P157" i="10"/>
  <c r="O157" i="10"/>
  <c r="N157" i="10"/>
  <c r="M157" i="10"/>
  <c r="L157" i="10"/>
  <c r="K157" i="10"/>
  <c r="J157" i="10"/>
  <c r="J196" i="10" s="1"/>
  <c r="I157" i="10"/>
  <c r="I196" i="10" s="1"/>
  <c r="H157" i="10"/>
  <c r="G157" i="10"/>
  <c r="G196" i="10" s="1"/>
  <c r="F157" i="10"/>
  <c r="E157" i="10"/>
  <c r="D157" i="10"/>
  <c r="V156" i="10"/>
  <c r="U156" i="10"/>
  <c r="T156" i="10"/>
  <c r="S156" i="10"/>
  <c r="S195" i="10" s="1"/>
  <c r="R156" i="10"/>
  <c r="Q156" i="10"/>
  <c r="P156" i="10"/>
  <c r="O156" i="10"/>
  <c r="N156" i="10"/>
  <c r="M156" i="10"/>
  <c r="M195" i="10" s="1"/>
  <c r="L156" i="10"/>
  <c r="L195" i="10" s="1"/>
  <c r="K156" i="10"/>
  <c r="J156" i="10"/>
  <c r="J195" i="10" s="1"/>
  <c r="I156" i="10"/>
  <c r="H156" i="10"/>
  <c r="G156" i="10"/>
  <c r="F156" i="10"/>
  <c r="E156" i="10"/>
  <c r="E195" i="10" s="1"/>
  <c r="D156" i="10"/>
  <c r="V155" i="10"/>
  <c r="V194" i="10" s="1"/>
  <c r="U155" i="10"/>
  <c r="V154" i="10"/>
  <c r="U154" i="10"/>
  <c r="U193" i="10" s="1"/>
  <c r="T154" i="10"/>
  <c r="S154" i="10"/>
  <c r="S193" i="10" s="1"/>
  <c r="R154" i="10"/>
  <c r="R193" i="10" s="1"/>
  <c r="Q154" i="10"/>
  <c r="P154" i="10"/>
  <c r="O154" i="10"/>
  <c r="N154" i="10"/>
  <c r="M154" i="10"/>
  <c r="L154" i="10"/>
  <c r="K154" i="10"/>
  <c r="K193" i="10" s="1"/>
  <c r="J154" i="10"/>
  <c r="J193" i="10" s="1"/>
  <c r="I154" i="10"/>
  <c r="H154" i="10"/>
  <c r="H193" i="10" s="1"/>
  <c r="G154" i="10"/>
  <c r="F154" i="10"/>
  <c r="E154" i="10"/>
  <c r="E193" i="10" s="1"/>
  <c r="D154" i="10"/>
  <c r="V153" i="10"/>
  <c r="V192" i="10" s="1"/>
  <c r="U153" i="10"/>
  <c r="U192" i="10" s="1"/>
  <c r="T153" i="10"/>
  <c r="T192" i="10" s="1"/>
  <c r="S153" i="10"/>
  <c r="S192" i="10" s="1"/>
  <c r="R153" i="10"/>
  <c r="Q153" i="10"/>
  <c r="P153" i="10"/>
  <c r="O153" i="10"/>
  <c r="N153" i="10"/>
  <c r="N192" i="10" s="1"/>
  <c r="M153" i="10"/>
  <c r="M192" i="10" s="1"/>
  <c r="L153" i="10"/>
  <c r="L192" i="10" s="1"/>
  <c r="K153" i="10"/>
  <c r="K192" i="10" s="1"/>
  <c r="J153" i="10"/>
  <c r="I153" i="10"/>
  <c r="H153" i="10"/>
  <c r="G153" i="10"/>
  <c r="F153" i="10"/>
  <c r="E153" i="10"/>
  <c r="E192" i="10" s="1"/>
  <c r="D153" i="10"/>
  <c r="D192" i="10" s="1"/>
  <c r="V152" i="10"/>
  <c r="U152" i="10"/>
  <c r="T152" i="10"/>
  <c r="S152" i="10"/>
  <c r="S191" i="10" s="1"/>
  <c r="R152" i="10"/>
  <c r="Q152" i="10"/>
  <c r="Q191" i="10" s="1"/>
  <c r="P152" i="10"/>
  <c r="P191" i="10" s="1"/>
  <c r="O152" i="10"/>
  <c r="O191" i="10" s="1"/>
  <c r="N152" i="10"/>
  <c r="N191" i="10" s="1"/>
  <c r="M152" i="10"/>
  <c r="L152" i="10"/>
  <c r="K152" i="10"/>
  <c r="J152" i="10"/>
  <c r="I152" i="10"/>
  <c r="I191" i="10" s="1"/>
  <c r="H152" i="10"/>
  <c r="H191" i="10" s="1"/>
  <c r="G152" i="10"/>
  <c r="G191" i="10" s="1"/>
  <c r="F152" i="10"/>
  <c r="E152" i="10"/>
  <c r="D152" i="10"/>
  <c r="V151" i="10"/>
  <c r="U151" i="10"/>
  <c r="T151" i="10"/>
  <c r="T190" i="10" s="1"/>
  <c r="S151" i="10"/>
  <c r="S190" i="10" s="1"/>
  <c r="R151" i="10"/>
  <c r="Q151" i="10"/>
  <c r="Q190" i="10" s="1"/>
  <c r="P151" i="10"/>
  <c r="O151" i="10"/>
  <c r="N151" i="10"/>
  <c r="M151" i="10"/>
  <c r="L151" i="10"/>
  <c r="L190" i="10" s="1"/>
  <c r="K151" i="10"/>
  <c r="K190" i="10" s="1"/>
  <c r="J151" i="10"/>
  <c r="J190" i="10" s="1"/>
  <c r="I151" i="10"/>
  <c r="H151" i="10"/>
  <c r="G151" i="10"/>
  <c r="F151" i="10"/>
  <c r="F190" i="10" s="1"/>
  <c r="E151" i="10"/>
  <c r="D151" i="10"/>
  <c r="D190" i="10" s="1"/>
  <c r="V150" i="10"/>
  <c r="V189" i="10" s="1"/>
  <c r="U150" i="10"/>
  <c r="T150" i="10"/>
  <c r="T189" i="10" s="1"/>
  <c r="S150" i="10"/>
  <c r="R150" i="10"/>
  <c r="Q150" i="10"/>
  <c r="P150" i="10"/>
  <c r="O150" i="10"/>
  <c r="N150" i="10"/>
  <c r="N189" i="10" s="1"/>
  <c r="M150" i="10"/>
  <c r="L150" i="10"/>
  <c r="K150" i="10"/>
  <c r="J150" i="10"/>
  <c r="I150" i="10"/>
  <c r="I189" i="10" s="1"/>
  <c r="H150" i="10"/>
  <c r="G150" i="10"/>
  <c r="G189" i="10" s="1"/>
  <c r="F150" i="10"/>
  <c r="F189" i="10" s="1"/>
  <c r="E150" i="10"/>
  <c r="D150" i="10"/>
  <c r="D189" i="10" s="1"/>
  <c r="V149" i="10"/>
  <c r="U149" i="10"/>
  <c r="T149" i="10"/>
  <c r="S149" i="10"/>
  <c r="R149" i="10"/>
  <c r="R188" i="10" s="1"/>
  <c r="Q149" i="10"/>
  <c r="Q188" i="10" s="1"/>
  <c r="P149" i="10"/>
  <c r="P188" i="10" s="1"/>
  <c r="O149" i="10"/>
  <c r="O188" i="10" s="1"/>
  <c r="N149" i="10"/>
  <c r="M149" i="10"/>
  <c r="L149" i="10"/>
  <c r="K149" i="10"/>
  <c r="J149" i="10"/>
  <c r="J188" i="10" s="1"/>
  <c r="I149" i="10"/>
  <c r="I188" i="10" s="1"/>
  <c r="H149" i="10"/>
  <c r="G149" i="10"/>
  <c r="G188" i="10" s="1"/>
  <c r="F149" i="10"/>
  <c r="E149" i="10"/>
  <c r="D149" i="10"/>
  <c r="V148" i="10"/>
  <c r="U148" i="10"/>
  <c r="U187" i="10" s="1"/>
  <c r="T148" i="10"/>
  <c r="T187" i="10" s="1"/>
  <c r="S148" i="10"/>
  <c r="S187" i="10" s="1"/>
  <c r="R148" i="10"/>
  <c r="Q148" i="10"/>
  <c r="P148" i="10"/>
  <c r="O148" i="10"/>
  <c r="N148" i="10"/>
  <c r="M148" i="10"/>
  <c r="M187" i="10" s="1"/>
  <c r="L148" i="10"/>
  <c r="L187" i="10" s="1"/>
  <c r="K148" i="10"/>
  <c r="J148" i="10"/>
  <c r="J187" i="10" s="1"/>
  <c r="I148" i="10"/>
  <c r="H148" i="10"/>
  <c r="G148" i="10"/>
  <c r="G187" i="10" s="1"/>
  <c r="F148" i="10"/>
  <c r="E148" i="10"/>
  <c r="E187" i="10" s="1"/>
  <c r="D148" i="10"/>
  <c r="D187" i="10" s="1"/>
  <c r="V147" i="10"/>
  <c r="V186" i="10" s="1"/>
  <c r="U147" i="10"/>
  <c r="T147" i="10"/>
  <c r="S147" i="10"/>
  <c r="R147" i="10"/>
  <c r="Q147" i="10"/>
  <c r="P147" i="10"/>
  <c r="P186" i="10" s="1"/>
  <c r="O147" i="10"/>
  <c r="N147" i="10"/>
  <c r="M147" i="10"/>
  <c r="M186" i="10" s="1"/>
  <c r="L147" i="10"/>
  <c r="K147" i="10"/>
  <c r="J147" i="10"/>
  <c r="J186" i="10" s="1"/>
  <c r="I147" i="10"/>
  <c r="H147" i="10"/>
  <c r="H186" i="10" s="1"/>
  <c r="G147" i="10"/>
  <c r="F147" i="10"/>
  <c r="F186" i="10" s="1"/>
  <c r="E147" i="10"/>
  <c r="E186" i="10" s="1"/>
  <c r="D147" i="10"/>
  <c r="V146" i="10"/>
  <c r="U146" i="10"/>
  <c r="T146" i="10"/>
  <c r="S146" i="10"/>
  <c r="S185" i="10" s="1"/>
  <c r="R146" i="10"/>
  <c r="R185" i="10" s="1"/>
  <c r="Q146" i="10"/>
  <c r="Q185" i="10" s="1"/>
  <c r="P146" i="10"/>
  <c r="P185" i="10" s="1"/>
  <c r="O146" i="10"/>
  <c r="N146" i="10"/>
  <c r="M146" i="10"/>
  <c r="L146" i="10"/>
  <c r="K146" i="10"/>
  <c r="K185" i="10" s="1"/>
  <c r="J146" i="10"/>
  <c r="J185" i="10" s="1"/>
  <c r="I146" i="10"/>
  <c r="I185" i="10" s="1"/>
  <c r="H146" i="10"/>
  <c r="G146" i="10"/>
  <c r="F146" i="10"/>
  <c r="E146" i="10"/>
  <c r="D146" i="10"/>
  <c r="V145" i="10"/>
  <c r="V184" i="10" s="1"/>
  <c r="U145" i="10"/>
  <c r="U184" i="10" s="1"/>
  <c r="T145" i="10"/>
  <c r="T184" i="10" s="1"/>
  <c r="S145" i="10"/>
  <c r="S184" i="10" s="1"/>
  <c r="R145" i="10"/>
  <c r="Q145" i="10"/>
  <c r="P145" i="10"/>
  <c r="P184" i="10" s="1"/>
  <c r="O145" i="10"/>
  <c r="N145" i="10"/>
  <c r="N184" i="10" s="1"/>
  <c r="M145" i="10"/>
  <c r="M184" i="10" s="1"/>
  <c r="L145" i="10"/>
  <c r="K145" i="10"/>
  <c r="J145" i="10"/>
  <c r="I145" i="10"/>
  <c r="H145" i="10"/>
  <c r="G145" i="10"/>
  <c r="F145" i="10"/>
  <c r="F184" i="10" s="1"/>
  <c r="E145" i="10"/>
  <c r="E184" i="10" s="1"/>
  <c r="D145" i="10"/>
  <c r="V144" i="10"/>
  <c r="V183" i="10" s="1"/>
  <c r="U144" i="10"/>
  <c r="T144" i="10"/>
  <c r="S144" i="10"/>
  <c r="S183" i="10" s="1"/>
  <c r="R144" i="10"/>
  <c r="Q144" i="10"/>
  <c r="Q183" i="10" s="1"/>
  <c r="P144" i="10"/>
  <c r="P183" i="10" s="1"/>
  <c r="O144" i="10"/>
  <c r="O183" i="10" s="1"/>
  <c r="N144" i="10"/>
  <c r="M144" i="10"/>
  <c r="L144" i="10"/>
  <c r="K144" i="10"/>
  <c r="K183" i="10" s="1"/>
  <c r="J144" i="10"/>
  <c r="I144" i="10"/>
  <c r="I183" i="10" s="1"/>
  <c r="H144" i="10"/>
  <c r="H183" i="10" s="1"/>
  <c r="G144" i="10"/>
  <c r="G183" i="10" s="1"/>
  <c r="F144" i="10"/>
  <c r="F183" i="10" s="1"/>
  <c r="E144" i="10"/>
  <c r="D144" i="10"/>
  <c r="V143" i="10"/>
  <c r="U143" i="10"/>
  <c r="T143" i="10"/>
  <c r="S143" i="10"/>
  <c r="S182" i="10" s="1"/>
  <c r="R143" i="10"/>
  <c r="R182" i="10" s="1"/>
  <c r="Q143" i="10"/>
  <c r="P143" i="10"/>
  <c r="O143" i="10"/>
  <c r="N143" i="10"/>
  <c r="N182" i="10" s="1"/>
  <c r="M143" i="10"/>
  <c r="L143" i="10"/>
  <c r="L182" i="10" s="1"/>
  <c r="K143" i="10"/>
  <c r="K182" i="10" s="1"/>
  <c r="J143" i="10"/>
  <c r="I143" i="10"/>
  <c r="I182" i="10" s="1"/>
  <c r="H143" i="10"/>
  <c r="G143" i="10"/>
  <c r="F143" i="10"/>
  <c r="E143" i="10"/>
  <c r="D143" i="10"/>
  <c r="D182" i="10" s="1"/>
  <c r="R142" i="10"/>
  <c r="R181" i="10" s="1"/>
  <c r="V141" i="10"/>
  <c r="V180" i="10" s="1"/>
  <c r="U141" i="10"/>
  <c r="T141" i="10"/>
  <c r="S141" i="10"/>
  <c r="R141" i="10"/>
  <c r="Q141" i="10"/>
  <c r="P141" i="10"/>
  <c r="O141" i="10"/>
  <c r="N141" i="10"/>
  <c r="N180" i="10" s="1"/>
  <c r="M141" i="10"/>
  <c r="M180" i="10" s="1"/>
  <c r="L141" i="10"/>
  <c r="L180" i="10" s="1"/>
  <c r="K141" i="10"/>
  <c r="J141" i="10"/>
  <c r="I141" i="10"/>
  <c r="H141" i="10"/>
  <c r="G141" i="10"/>
  <c r="G180" i="10" s="1"/>
  <c r="F141" i="10"/>
  <c r="F180" i="10" s="1"/>
  <c r="E141" i="10"/>
  <c r="E180" i="10" s="1"/>
  <c r="D141" i="10"/>
  <c r="V140" i="10"/>
  <c r="V179" i="10" s="1"/>
  <c r="U140" i="10"/>
  <c r="T140" i="10"/>
  <c r="S140" i="10"/>
  <c r="R140" i="10"/>
  <c r="Q140" i="10"/>
  <c r="Q179" i="10" s="1"/>
  <c r="P140" i="10"/>
  <c r="P179" i="10" s="1"/>
  <c r="O140" i="10"/>
  <c r="N140" i="10"/>
  <c r="M140" i="10"/>
  <c r="L140" i="10"/>
  <c r="K140" i="10"/>
  <c r="J140" i="10"/>
  <c r="J179" i="10" s="1"/>
  <c r="I140" i="10"/>
  <c r="I179" i="10" s="1"/>
  <c r="H140" i="10"/>
  <c r="G140" i="10"/>
  <c r="F140" i="10"/>
  <c r="E140" i="10"/>
  <c r="D140" i="10"/>
  <c r="V139" i="10"/>
  <c r="U139" i="10"/>
  <c r="T139" i="10"/>
  <c r="S139" i="10"/>
  <c r="S178" i="10" s="1"/>
  <c r="R139" i="10"/>
  <c r="Q139" i="10"/>
  <c r="P139" i="10"/>
  <c r="O139" i="10"/>
  <c r="O178" i="10" s="1"/>
  <c r="N139" i="10"/>
  <c r="M139" i="10"/>
  <c r="M178" i="10" s="1"/>
  <c r="L139" i="10"/>
  <c r="K139" i="10"/>
  <c r="J139" i="10"/>
  <c r="I139" i="10"/>
  <c r="I178" i="10" s="1"/>
  <c r="H139" i="10"/>
  <c r="G139" i="10"/>
  <c r="F139" i="10"/>
  <c r="E139" i="10"/>
  <c r="D139" i="10"/>
  <c r="V138" i="10"/>
  <c r="V177" i="10" s="1"/>
  <c r="U138" i="10"/>
  <c r="T138" i="10"/>
  <c r="S138" i="10"/>
  <c r="R138" i="10"/>
  <c r="Q138" i="10"/>
  <c r="P138" i="10"/>
  <c r="P177" i="10" s="1"/>
  <c r="O138" i="10"/>
  <c r="O177" i="10" s="1"/>
  <c r="N138" i="10"/>
  <c r="N177" i="10" s="1"/>
  <c r="M138" i="10"/>
  <c r="M177" i="10" s="1"/>
  <c r="L138" i="10"/>
  <c r="L177" i="10" s="1"/>
  <c r="K138" i="10"/>
  <c r="J138" i="10"/>
  <c r="I138" i="10"/>
  <c r="H138" i="10"/>
  <c r="G138" i="10"/>
  <c r="F138" i="10"/>
  <c r="F177" i="10" s="1"/>
  <c r="E138" i="10"/>
  <c r="D138" i="10"/>
  <c r="V137" i="10"/>
  <c r="U137" i="10"/>
  <c r="U176" i="10" s="1"/>
  <c r="T137" i="10"/>
  <c r="S137" i="10"/>
  <c r="S176" i="10" s="1"/>
  <c r="R137" i="10"/>
  <c r="Q137" i="10"/>
  <c r="P137" i="10"/>
  <c r="O137" i="10"/>
  <c r="N137" i="10"/>
  <c r="M137" i="10"/>
  <c r="L137" i="10"/>
  <c r="K137" i="10"/>
  <c r="J137" i="10"/>
  <c r="I137" i="10"/>
  <c r="I176" i="10" s="1"/>
  <c r="H137" i="10"/>
  <c r="G137" i="10"/>
  <c r="F137" i="10"/>
  <c r="E137" i="10"/>
  <c r="D137" i="10"/>
  <c r="V136" i="10"/>
  <c r="V175" i="10" s="1"/>
  <c r="U136" i="10"/>
  <c r="T136" i="10"/>
  <c r="S136" i="10"/>
  <c r="R136" i="10"/>
  <c r="Q136" i="10"/>
  <c r="P136" i="10"/>
  <c r="O136" i="10"/>
  <c r="N136" i="10"/>
  <c r="M136" i="10"/>
  <c r="L136" i="10"/>
  <c r="L175" i="10" s="1"/>
  <c r="K136" i="10"/>
  <c r="J136" i="10"/>
  <c r="I136" i="10"/>
  <c r="H136" i="10"/>
  <c r="G136" i="10"/>
  <c r="F136" i="10"/>
  <c r="F175" i="10" s="1"/>
  <c r="E136" i="10"/>
  <c r="E175" i="10" s="1"/>
  <c r="D136" i="10"/>
  <c r="V135" i="10"/>
  <c r="U135" i="10"/>
  <c r="U174" i="10" s="1"/>
  <c r="T135" i="10"/>
  <c r="S135" i="10"/>
  <c r="R135" i="10"/>
  <c r="Q135" i="10"/>
  <c r="P135" i="10"/>
  <c r="O135" i="10"/>
  <c r="N135" i="10"/>
  <c r="M135" i="10"/>
  <c r="L135" i="10"/>
  <c r="K135" i="10"/>
  <c r="K174" i="10" s="1"/>
  <c r="J135" i="10"/>
  <c r="I135" i="10"/>
  <c r="I174" i="10" s="1"/>
  <c r="H135" i="10"/>
  <c r="H174" i="10" s="1"/>
  <c r="G135" i="10"/>
  <c r="F135" i="10"/>
  <c r="E135" i="10"/>
  <c r="D135" i="10"/>
  <c r="V134" i="10"/>
  <c r="U134" i="10"/>
  <c r="T134" i="10"/>
  <c r="S134" i="10"/>
  <c r="R134" i="10"/>
  <c r="R173" i="10" s="1"/>
  <c r="Q134" i="10"/>
  <c r="P134" i="10"/>
  <c r="O134" i="10"/>
  <c r="N134" i="10"/>
  <c r="M134" i="10"/>
  <c r="L134" i="10"/>
  <c r="L173" i="10" s="1"/>
  <c r="K134" i="10"/>
  <c r="J134" i="10"/>
  <c r="I134" i="10"/>
  <c r="H134" i="10"/>
  <c r="H173" i="10" s="1"/>
  <c r="G134" i="10"/>
  <c r="F134" i="10"/>
  <c r="E134" i="10"/>
  <c r="D134" i="10"/>
  <c r="D173" i="10" s="1"/>
  <c r="V133" i="10"/>
  <c r="U133" i="10"/>
  <c r="T133" i="10"/>
  <c r="S133" i="10"/>
  <c r="R133" i="10"/>
  <c r="Q133" i="10"/>
  <c r="Q172" i="10" s="1"/>
  <c r="P133" i="10"/>
  <c r="O133" i="10"/>
  <c r="O172" i="10" s="1"/>
  <c r="N133" i="10"/>
  <c r="N172" i="10" s="1"/>
  <c r="M133" i="10"/>
  <c r="L133" i="10"/>
  <c r="K133" i="10"/>
  <c r="J133" i="10"/>
  <c r="I133" i="10"/>
  <c r="H133" i="10"/>
  <c r="G133" i="10"/>
  <c r="F133" i="10"/>
  <c r="E133" i="10"/>
  <c r="D133" i="10"/>
  <c r="V132" i="10"/>
  <c r="U132" i="10"/>
  <c r="T132" i="10"/>
  <c r="T171" i="10" s="1"/>
  <c r="S132" i="10"/>
  <c r="R132" i="10"/>
  <c r="R171" i="10" s="1"/>
  <c r="Q132" i="10"/>
  <c r="Q171" i="10" s="1"/>
  <c r="P132" i="10"/>
  <c r="O132" i="10"/>
  <c r="N132" i="10"/>
  <c r="M132" i="10"/>
  <c r="L132" i="10"/>
  <c r="K132" i="10"/>
  <c r="J132" i="10"/>
  <c r="I132" i="10"/>
  <c r="H132" i="10"/>
  <c r="H171" i="10" s="1"/>
  <c r="G132" i="10"/>
  <c r="F132" i="10"/>
  <c r="E132" i="10"/>
  <c r="D132" i="10"/>
  <c r="D171" i="10" s="1"/>
  <c r="V131" i="10"/>
  <c r="U131" i="10"/>
  <c r="U170" i="10" s="1"/>
  <c r="T131" i="10"/>
  <c r="S131" i="10"/>
  <c r="R131" i="10"/>
  <c r="Q131" i="10"/>
  <c r="Q170" i="10" s="1"/>
  <c r="P131" i="10"/>
  <c r="O131" i="10"/>
  <c r="N131" i="10"/>
  <c r="M131" i="10"/>
  <c r="M170" i="10" s="1"/>
  <c r="L131" i="10"/>
  <c r="K131" i="10"/>
  <c r="K170" i="10" s="1"/>
  <c r="J131" i="10"/>
  <c r="I131" i="10"/>
  <c r="H131" i="10"/>
  <c r="G131" i="10"/>
  <c r="G170" i="10" s="1"/>
  <c r="F131" i="10"/>
  <c r="E131" i="10"/>
  <c r="E170" i="10" s="1"/>
  <c r="D131" i="10"/>
  <c r="D159" i="10" s="1"/>
  <c r="V130" i="10"/>
  <c r="U130" i="10"/>
  <c r="T130" i="10"/>
  <c r="S130" i="10"/>
  <c r="R130" i="10"/>
  <c r="Q130" i="10"/>
  <c r="Q159" i="10" s="1"/>
  <c r="P130" i="10"/>
  <c r="O130" i="10"/>
  <c r="N130" i="10"/>
  <c r="M130" i="10"/>
  <c r="L130" i="10"/>
  <c r="K130" i="10"/>
  <c r="J130" i="10"/>
  <c r="I130" i="10"/>
  <c r="H130" i="10"/>
  <c r="G130" i="10"/>
  <c r="F130" i="10"/>
  <c r="E130" i="10"/>
  <c r="D130" i="10"/>
  <c r="D169" i="10" s="1"/>
  <c r="O119" i="10"/>
  <c r="N119" i="10"/>
  <c r="M119" i="10"/>
  <c r="F119" i="10"/>
  <c r="D119" i="10"/>
  <c r="T118" i="10"/>
  <c r="Q118" i="10"/>
  <c r="J118" i="10"/>
  <c r="I118" i="10"/>
  <c r="U117" i="10"/>
  <c r="T117" i="10"/>
  <c r="L117" i="10"/>
  <c r="G117" i="10"/>
  <c r="D117" i="10"/>
  <c r="T116" i="10"/>
  <c r="S116" i="10"/>
  <c r="R116" i="10"/>
  <c r="Q116" i="10"/>
  <c r="P116" i="10"/>
  <c r="O116" i="10"/>
  <c r="N116" i="10"/>
  <c r="M116" i="10"/>
  <c r="L116" i="10"/>
  <c r="K116" i="10"/>
  <c r="J116" i="10"/>
  <c r="I116" i="10"/>
  <c r="H116" i="10"/>
  <c r="G116" i="10"/>
  <c r="F116" i="10"/>
  <c r="E116" i="10"/>
  <c r="D116" i="10"/>
  <c r="T115" i="10"/>
  <c r="M115" i="10"/>
  <c r="J115" i="10"/>
  <c r="D115" i="10"/>
  <c r="V114" i="10"/>
  <c r="U114" i="10"/>
  <c r="M114" i="10"/>
  <c r="V113" i="10"/>
  <c r="S113" i="10"/>
  <c r="I113" i="10"/>
  <c r="H113" i="10"/>
  <c r="T112" i="10"/>
  <c r="S112" i="10"/>
  <c r="L112" i="10"/>
  <c r="K112" i="10"/>
  <c r="I112" i="10"/>
  <c r="F112" i="10"/>
  <c r="Q111" i="10"/>
  <c r="L111" i="10"/>
  <c r="I111" i="10"/>
  <c r="F111" i="10"/>
  <c r="S110" i="10"/>
  <c r="R110" i="10"/>
  <c r="Q110" i="10"/>
  <c r="J110" i="10"/>
  <c r="I110" i="10"/>
  <c r="T109" i="10"/>
  <c r="R109" i="10"/>
  <c r="O109" i="10"/>
  <c r="L109" i="10"/>
  <c r="E109" i="10"/>
  <c r="R108" i="10"/>
  <c r="O108" i="10"/>
  <c r="H108" i="10"/>
  <c r="E108" i="10"/>
  <c r="R107" i="10"/>
  <c r="V106" i="10"/>
  <c r="N106" i="10"/>
  <c r="F106" i="10"/>
  <c r="E106" i="10"/>
  <c r="Q105" i="10"/>
  <c r="P105" i="10"/>
  <c r="Q104" i="10"/>
  <c r="N104" i="10"/>
  <c r="K104" i="10"/>
  <c r="V103" i="10"/>
  <c r="U103" i="10"/>
  <c r="T103" i="10"/>
  <c r="S103" i="10"/>
  <c r="Q103" i="10"/>
  <c r="P103" i="10"/>
  <c r="O103" i="10"/>
  <c r="N103" i="10"/>
  <c r="M103" i="10"/>
  <c r="L103" i="10"/>
  <c r="K103" i="10"/>
  <c r="J103" i="10"/>
  <c r="I103" i="10"/>
  <c r="H103" i="10"/>
  <c r="G103" i="10"/>
  <c r="F103" i="10"/>
  <c r="E103" i="10"/>
  <c r="D103" i="10"/>
  <c r="Q102" i="10"/>
  <c r="M102" i="10"/>
  <c r="G102" i="10"/>
  <c r="V101" i="10"/>
  <c r="P101" i="10"/>
  <c r="O101" i="10"/>
  <c r="O100" i="10"/>
  <c r="M100" i="10"/>
  <c r="U99" i="10"/>
  <c r="P99" i="10"/>
  <c r="E99" i="10"/>
  <c r="U98" i="10"/>
  <c r="M98" i="10"/>
  <c r="L97" i="10"/>
  <c r="K97" i="10"/>
  <c r="F97" i="10"/>
  <c r="U96" i="10"/>
  <c r="O96" i="10"/>
  <c r="N96" i="10"/>
  <c r="E96" i="10"/>
  <c r="V95" i="10"/>
  <c r="F95" i="10"/>
  <c r="U94" i="10"/>
  <c r="Q94" i="10"/>
  <c r="O94" i="10"/>
  <c r="D94" i="10"/>
  <c r="R93" i="10"/>
  <c r="N93" i="10"/>
  <c r="H93" i="10"/>
  <c r="G93" i="10"/>
  <c r="D93" i="10"/>
  <c r="Q92" i="10"/>
  <c r="O92" i="10"/>
  <c r="E92" i="10"/>
  <c r="R91" i="10"/>
  <c r="V81" i="10"/>
  <c r="U81" i="10"/>
  <c r="U119" i="10" s="1"/>
  <c r="T81" i="10"/>
  <c r="T119" i="10" s="1"/>
  <c r="S81" i="10"/>
  <c r="S119" i="10" s="1"/>
  <c r="R81" i="10"/>
  <c r="Q81" i="10"/>
  <c r="Q119" i="10" s="1"/>
  <c r="P81" i="10"/>
  <c r="O81" i="10"/>
  <c r="N81" i="10"/>
  <c r="M81" i="10"/>
  <c r="L81" i="10"/>
  <c r="L119" i="10" s="1"/>
  <c r="K81" i="10"/>
  <c r="J81" i="10"/>
  <c r="I81" i="10"/>
  <c r="I119" i="10" s="1"/>
  <c r="H81" i="10"/>
  <c r="G81" i="10"/>
  <c r="G119" i="10" s="1"/>
  <c r="F81" i="10"/>
  <c r="E81" i="10"/>
  <c r="E119" i="10" s="1"/>
  <c r="D81" i="10"/>
  <c r="V80" i="10"/>
  <c r="V118" i="10" s="1"/>
  <c r="U80" i="10"/>
  <c r="T80" i="10"/>
  <c r="S80" i="10"/>
  <c r="R80" i="10"/>
  <c r="R118" i="10" s="1"/>
  <c r="Q80" i="10"/>
  <c r="P80" i="10"/>
  <c r="P118" i="10" s="1"/>
  <c r="O80" i="10"/>
  <c r="O118" i="10" s="1"/>
  <c r="N80" i="10"/>
  <c r="M80" i="10"/>
  <c r="L80" i="10"/>
  <c r="L118" i="10" s="1"/>
  <c r="K80" i="10"/>
  <c r="J80" i="10"/>
  <c r="I80" i="10"/>
  <c r="H80" i="10"/>
  <c r="H118" i="10" s="1"/>
  <c r="G80" i="10"/>
  <c r="G118" i="10" s="1"/>
  <c r="F80" i="10"/>
  <c r="F118" i="10" s="1"/>
  <c r="E80" i="10"/>
  <c r="D80" i="10"/>
  <c r="D118" i="10" s="1"/>
  <c r="V79" i="10"/>
  <c r="U79" i="10"/>
  <c r="T79" i="10"/>
  <c r="S79" i="10"/>
  <c r="S117" i="10" s="1"/>
  <c r="R79" i="10"/>
  <c r="R117" i="10" s="1"/>
  <c r="Q79" i="10"/>
  <c r="P79" i="10"/>
  <c r="O79" i="10"/>
  <c r="O117" i="10" s="1"/>
  <c r="N79" i="10"/>
  <c r="M79" i="10"/>
  <c r="M117" i="10" s="1"/>
  <c r="L79" i="10"/>
  <c r="K79" i="10"/>
  <c r="K117" i="10" s="1"/>
  <c r="J79" i="10"/>
  <c r="J117" i="10" s="1"/>
  <c r="I79" i="10"/>
  <c r="I117" i="10" s="1"/>
  <c r="H79" i="10"/>
  <c r="G79" i="10"/>
  <c r="F79" i="10"/>
  <c r="E79" i="10"/>
  <c r="E117" i="10" s="1"/>
  <c r="D79" i="10"/>
  <c r="V78" i="10"/>
  <c r="V116" i="10" s="1"/>
  <c r="U78" i="10"/>
  <c r="U116" i="10" s="1"/>
  <c r="R78" i="10"/>
  <c r="V77" i="10"/>
  <c r="U77" i="10"/>
  <c r="U115" i="10" s="1"/>
  <c r="T77" i="10"/>
  <c r="S77" i="10"/>
  <c r="S115" i="10" s="1"/>
  <c r="R77" i="10"/>
  <c r="Q77" i="10"/>
  <c r="Q115" i="10" s="1"/>
  <c r="P77" i="10"/>
  <c r="P115" i="10" s="1"/>
  <c r="O77" i="10"/>
  <c r="O115" i="10" s="1"/>
  <c r="N77" i="10"/>
  <c r="M77" i="10"/>
  <c r="L77" i="10"/>
  <c r="K77" i="10"/>
  <c r="K115" i="10" s="1"/>
  <c r="J77" i="10"/>
  <c r="I77" i="10"/>
  <c r="I115" i="10" s="1"/>
  <c r="H77" i="10"/>
  <c r="H115" i="10" s="1"/>
  <c r="G77" i="10"/>
  <c r="F77" i="10"/>
  <c r="E77" i="10"/>
  <c r="E115" i="10" s="1"/>
  <c r="D77" i="10"/>
  <c r="V76" i="10"/>
  <c r="U76" i="10"/>
  <c r="T76" i="10"/>
  <c r="T114" i="10" s="1"/>
  <c r="S76" i="10"/>
  <c r="S114" i="10" s="1"/>
  <c r="R76" i="10"/>
  <c r="R114" i="10" s="1"/>
  <c r="Q76" i="10"/>
  <c r="P76" i="10"/>
  <c r="P114" i="10" s="1"/>
  <c r="O76" i="10"/>
  <c r="N76" i="10"/>
  <c r="N114" i="10" s="1"/>
  <c r="M76" i="10"/>
  <c r="L76" i="10"/>
  <c r="L114" i="10" s="1"/>
  <c r="K76" i="10"/>
  <c r="K114" i="10" s="1"/>
  <c r="J76" i="10"/>
  <c r="I76" i="10"/>
  <c r="H76" i="10"/>
  <c r="H114" i="10" s="1"/>
  <c r="G76" i="10"/>
  <c r="G114" i="10" s="1"/>
  <c r="F76" i="10"/>
  <c r="F114" i="10" s="1"/>
  <c r="E76" i="10"/>
  <c r="D76" i="10"/>
  <c r="D114" i="10" s="1"/>
  <c r="V75" i="10"/>
  <c r="U75" i="10"/>
  <c r="U113" i="10" s="1"/>
  <c r="T75" i="10"/>
  <c r="S75" i="10"/>
  <c r="R75" i="10"/>
  <c r="Q75" i="10"/>
  <c r="Q113" i="10" s="1"/>
  <c r="P75" i="10"/>
  <c r="P113" i="10" s="1"/>
  <c r="O75" i="10"/>
  <c r="O113" i="10" s="1"/>
  <c r="N75" i="10"/>
  <c r="N113" i="10" s="1"/>
  <c r="M75" i="10"/>
  <c r="L75" i="10"/>
  <c r="K75" i="10"/>
  <c r="K113" i="10" s="1"/>
  <c r="J75" i="10"/>
  <c r="I75" i="10"/>
  <c r="H75" i="10"/>
  <c r="G75" i="10"/>
  <c r="G113" i="10" s="1"/>
  <c r="F75" i="10"/>
  <c r="F113" i="10" s="1"/>
  <c r="E75" i="10"/>
  <c r="E113" i="10" s="1"/>
  <c r="D75" i="10"/>
  <c r="V74" i="10"/>
  <c r="V112" i="10" s="1"/>
  <c r="U74" i="10"/>
  <c r="T74" i="10"/>
  <c r="S74" i="10"/>
  <c r="R74" i="10"/>
  <c r="R112" i="10" s="1"/>
  <c r="Q74" i="10"/>
  <c r="Q112" i="10" s="1"/>
  <c r="P74" i="10"/>
  <c r="O74" i="10"/>
  <c r="N74" i="10"/>
  <c r="N112" i="10" s="1"/>
  <c r="M74" i="10"/>
  <c r="M112" i="10" s="1"/>
  <c r="L74" i="10"/>
  <c r="K74" i="10"/>
  <c r="J74" i="10"/>
  <c r="J112" i="10" s="1"/>
  <c r="I74" i="10"/>
  <c r="H74" i="10"/>
  <c r="H112" i="10" s="1"/>
  <c r="G74" i="10"/>
  <c r="F74" i="10"/>
  <c r="E74" i="10"/>
  <c r="D74" i="10"/>
  <c r="D112" i="10" s="1"/>
  <c r="V73" i="10"/>
  <c r="V111" i="10" s="1"/>
  <c r="U73" i="10"/>
  <c r="U111" i="10" s="1"/>
  <c r="T73" i="10"/>
  <c r="T111" i="10" s="1"/>
  <c r="S73" i="10"/>
  <c r="R73" i="10"/>
  <c r="Q73" i="10"/>
  <c r="P73" i="10"/>
  <c r="O73" i="10"/>
  <c r="O111" i="10" s="1"/>
  <c r="N73" i="10"/>
  <c r="M73" i="10"/>
  <c r="M111" i="10" s="1"/>
  <c r="L73" i="10"/>
  <c r="K73" i="10"/>
  <c r="K111" i="10" s="1"/>
  <c r="J73" i="10"/>
  <c r="I73" i="10"/>
  <c r="H73" i="10"/>
  <c r="G73" i="10"/>
  <c r="F73" i="10"/>
  <c r="E73" i="10"/>
  <c r="E111" i="10" s="1"/>
  <c r="D73" i="10"/>
  <c r="D111" i="10" s="1"/>
  <c r="V72" i="10"/>
  <c r="U72" i="10"/>
  <c r="T72" i="10"/>
  <c r="T110" i="10" s="1"/>
  <c r="S72" i="10"/>
  <c r="R72" i="10"/>
  <c r="Q72" i="10"/>
  <c r="P72" i="10"/>
  <c r="P110" i="10" s="1"/>
  <c r="O72" i="10"/>
  <c r="O110" i="10" s="1"/>
  <c r="N72" i="10"/>
  <c r="N110" i="10" s="1"/>
  <c r="M72" i="10"/>
  <c r="L72" i="10"/>
  <c r="K72" i="10"/>
  <c r="J72" i="10"/>
  <c r="I72" i="10"/>
  <c r="H72" i="10"/>
  <c r="H110" i="10" s="1"/>
  <c r="G72" i="10"/>
  <c r="G110" i="10" s="1"/>
  <c r="F72" i="10"/>
  <c r="E72" i="10"/>
  <c r="D72" i="10"/>
  <c r="D110" i="10" s="1"/>
  <c r="V71" i="10"/>
  <c r="U71" i="10"/>
  <c r="U109" i="10" s="1"/>
  <c r="T71" i="10"/>
  <c r="S71" i="10"/>
  <c r="S109" i="10" s="1"/>
  <c r="R71" i="10"/>
  <c r="Q71" i="10"/>
  <c r="Q109" i="10" s="1"/>
  <c r="P71" i="10"/>
  <c r="O71" i="10"/>
  <c r="N71" i="10"/>
  <c r="M71" i="10"/>
  <c r="M109" i="10" s="1"/>
  <c r="L71" i="10"/>
  <c r="K71" i="10"/>
  <c r="K109" i="10" s="1"/>
  <c r="J71" i="10"/>
  <c r="J109" i="10" s="1"/>
  <c r="I71" i="10"/>
  <c r="H71" i="10"/>
  <c r="G71" i="10"/>
  <c r="G109" i="10" s="1"/>
  <c r="F71" i="10"/>
  <c r="E71" i="10"/>
  <c r="D71" i="10"/>
  <c r="V70" i="10"/>
  <c r="V108" i="10" s="1"/>
  <c r="U70" i="10"/>
  <c r="U108" i="10" s="1"/>
  <c r="T70" i="10"/>
  <c r="T108" i="10" s="1"/>
  <c r="S70" i="10"/>
  <c r="R70" i="10"/>
  <c r="Q70" i="10"/>
  <c r="P70" i="10"/>
  <c r="O70" i="10"/>
  <c r="N70" i="10"/>
  <c r="N108" i="10" s="1"/>
  <c r="M70" i="10"/>
  <c r="M108" i="10" s="1"/>
  <c r="L70" i="10"/>
  <c r="K70" i="10"/>
  <c r="J70" i="10"/>
  <c r="J108" i="10" s="1"/>
  <c r="I70" i="10"/>
  <c r="H70" i="10"/>
  <c r="G70" i="10"/>
  <c r="F70" i="10"/>
  <c r="F108" i="10" s="1"/>
  <c r="E70" i="10"/>
  <c r="D70" i="10"/>
  <c r="D108" i="10" s="1"/>
  <c r="V69" i="10"/>
  <c r="U69" i="10"/>
  <c r="U107" i="10" s="1"/>
  <c r="T69" i="10"/>
  <c r="S69" i="10"/>
  <c r="S107" i="10" s="1"/>
  <c r="R69" i="10"/>
  <c r="Q69" i="10"/>
  <c r="Q107" i="10" s="1"/>
  <c r="P69" i="10"/>
  <c r="P107" i="10" s="1"/>
  <c r="O69" i="10"/>
  <c r="N69" i="10"/>
  <c r="M69" i="10"/>
  <c r="M107" i="10" s="1"/>
  <c r="L69" i="10"/>
  <c r="L107" i="10" s="1"/>
  <c r="K69" i="10"/>
  <c r="K107" i="10" s="1"/>
  <c r="J69" i="10"/>
  <c r="I69" i="10"/>
  <c r="I107" i="10" s="1"/>
  <c r="H69" i="10"/>
  <c r="H107" i="10" s="1"/>
  <c r="G69" i="10"/>
  <c r="G107" i="10" s="1"/>
  <c r="F69" i="10"/>
  <c r="E69" i="10"/>
  <c r="E107" i="10" s="1"/>
  <c r="D69" i="10"/>
  <c r="V68" i="10"/>
  <c r="U68" i="10"/>
  <c r="U106" i="10" s="1"/>
  <c r="T68" i="10"/>
  <c r="T106" i="10" s="1"/>
  <c r="S68" i="10"/>
  <c r="S106" i="10" s="1"/>
  <c r="R68" i="10"/>
  <c r="Q68" i="10"/>
  <c r="P68" i="10"/>
  <c r="P106" i="10" s="1"/>
  <c r="O68" i="10"/>
  <c r="N68" i="10"/>
  <c r="M68" i="10"/>
  <c r="L68" i="10"/>
  <c r="L106" i="10" s="1"/>
  <c r="K68" i="10"/>
  <c r="K106" i="10" s="1"/>
  <c r="J68" i="10"/>
  <c r="J106" i="10" s="1"/>
  <c r="I68" i="10"/>
  <c r="H68" i="10"/>
  <c r="H106" i="10" s="1"/>
  <c r="G68" i="10"/>
  <c r="F68" i="10"/>
  <c r="E68" i="10"/>
  <c r="D68" i="10"/>
  <c r="D106" i="10" s="1"/>
  <c r="V67" i="10"/>
  <c r="V105" i="10" s="1"/>
  <c r="U67" i="10"/>
  <c r="T67" i="10"/>
  <c r="S67" i="10"/>
  <c r="S105" i="10" s="1"/>
  <c r="R67" i="10"/>
  <c r="R105" i="10" s="1"/>
  <c r="Q67" i="10"/>
  <c r="P67" i="10"/>
  <c r="O67" i="10"/>
  <c r="O105" i="10" s="1"/>
  <c r="N67" i="10"/>
  <c r="N105" i="10" s="1"/>
  <c r="M67" i="10"/>
  <c r="M105" i="10" s="1"/>
  <c r="L67" i="10"/>
  <c r="K67" i="10"/>
  <c r="K105" i="10" s="1"/>
  <c r="J67" i="10"/>
  <c r="I67" i="10"/>
  <c r="I105" i="10" s="1"/>
  <c r="H67" i="10"/>
  <c r="H105" i="10" s="1"/>
  <c r="G67" i="10"/>
  <c r="G105" i="10" s="1"/>
  <c r="F67" i="10"/>
  <c r="F105" i="10" s="1"/>
  <c r="E67" i="10"/>
  <c r="D67" i="10"/>
  <c r="V66" i="10"/>
  <c r="V104" i="10" s="1"/>
  <c r="U66" i="10"/>
  <c r="T66" i="10"/>
  <c r="T104" i="10" s="1"/>
  <c r="S66" i="10"/>
  <c r="R66" i="10"/>
  <c r="R104" i="10" s="1"/>
  <c r="Q66" i="10"/>
  <c r="P66" i="10"/>
  <c r="P104" i="10" s="1"/>
  <c r="O66" i="10"/>
  <c r="N66" i="10"/>
  <c r="M66" i="10"/>
  <c r="L66" i="10"/>
  <c r="K66" i="10"/>
  <c r="J66" i="10"/>
  <c r="J104" i="10" s="1"/>
  <c r="I66" i="10"/>
  <c r="I104" i="10" s="1"/>
  <c r="H66" i="10"/>
  <c r="G66" i="10"/>
  <c r="F66" i="10"/>
  <c r="F104" i="10" s="1"/>
  <c r="E66" i="10"/>
  <c r="D66" i="10"/>
  <c r="D104" i="10" s="1"/>
  <c r="R65" i="10"/>
  <c r="R103" i="10" s="1"/>
  <c r="V64" i="10"/>
  <c r="V102" i="10" s="1"/>
  <c r="U64" i="10"/>
  <c r="U102" i="10" s="1"/>
  <c r="T64" i="10"/>
  <c r="T102" i="10" s="1"/>
  <c r="S64" i="10"/>
  <c r="R64" i="10"/>
  <c r="Q64" i="10"/>
  <c r="P64" i="10"/>
  <c r="O64" i="10"/>
  <c r="N64" i="10"/>
  <c r="N102" i="10" s="1"/>
  <c r="M64" i="10"/>
  <c r="L64" i="10"/>
  <c r="L102" i="10" s="1"/>
  <c r="K64" i="10"/>
  <c r="J64" i="10"/>
  <c r="I64" i="10"/>
  <c r="I102" i="10" s="1"/>
  <c r="H64" i="10"/>
  <c r="G64" i="10"/>
  <c r="F64" i="10"/>
  <c r="F102" i="10" s="1"/>
  <c r="E64" i="10"/>
  <c r="E102" i="10" s="1"/>
  <c r="D64" i="10"/>
  <c r="D102" i="10" s="1"/>
  <c r="V63" i="10"/>
  <c r="U63" i="10"/>
  <c r="T63" i="10"/>
  <c r="T101" i="10" s="1"/>
  <c r="S63" i="10"/>
  <c r="R63" i="10"/>
  <c r="Q63" i="10"/>
  <c r="Q101" i="10" s="1"/>
  <c r="P63" i="10"/>
  <c r="O63" i="10"/>
  <c r="N63" i="10"/>
  <c r="M63" i="10"/>
  <c r="L63" i="10"/>
  <c r="K63" i="10"/>
  <c r="K101" i="10" s="1"/>
  <c r="J63" i="10"/>
  <c r="I63" i="10"/>
  <c r="I101" i="10" s="1"/>
  <c r="H63" i="10"/>
  <c r="H101" i="10" s="1"/>
  <c r="G63" i="10"/>
  <c r="G101" i="10" s="1"/>
  <c r="F63" i="10"/>
  <c r="F101" i="10" s="1"/>
  <c r="E63" i="10"/>
  <c r="D63" i="10"/>
  <c r="V62" i="10"/>
  <c r="U62" i="10"/>
  <c r="T62" i="10"/>
  <c r="T100" i="10" s="1"/>
  <c r="S62" i="10"/>
  <c r="R62" i="10"/>
  <c r="R100" i="10" s="1"/>
  <c r="Q62" i="10"/>
  <c r="P62" i="10"/>
  <c r="O62" i="10"/>
  <c r="N62" i="10"/>
  <c r="M62" i="10"/>
  <c r="L62" i="10"/>
  <c r="L100" i="10" s="1"/>
  <c r="K62" i="10"/>
  <c r="K100" i="10" s="1"/>
  <c r="J62" i="10"/>
  <c r="J100" i="10" s="1"/>
  <c r="I62" i="10"/>
  <c r="H62" i="10"/>
  <c r="G62" i="10"/>
  <c r="G100" i="10" s="1"/>
  <c r="F62" i="10"/>
  <c r="E62" i="10"/>
  <c r="D62" i="10"/>
  <c r="D100" i="10" s="1"/>
  <c r="V61" i="10"/>
  <c r="U61" i="10"/>
  <c r="T61" i="10"/>
  <c r="S61" i="10"/>
  <c r="R61" i="10"/>
  <c r="Q61" i="10"/>
  <c r="Q99" i="10" s="1"/>
  <c r="P61" i="10"/>
  <c r="O61" i="10"/>
  <c r="O99" i="10" s="1"/>
  <c r="N61" i="10"/>
  <c r="N99" i="10" s="1"/>
  <c r="M61" i="10"/>
  <c r="M99" i="10" s="1"/>
  <c r="L61" i="10"/>
  <c r="K61" i="10"/>
  <c r="J61" i="10"/>
  <c r="J99" i="10" s="1"/>
  <c r="I61" i="10"/>
  <c r="H61" i="10"/>
  <c r="G61" i="10"/>
  <c r="G99" i="10" s="1"/>
  <c r="F61" i="10"/>
  <c r="E61" i="10"/>
  <c r="D61" i="10"/>
  <c r="V60" i="10"/>
  <c r="U60" i="10"/>
  <c r="T60" i="10"/>
  <c r="S60" i="10"/>
  <c r="R60" i="10"/>
  <c r="R98" i="10" s="1"/>
  <c r="Q60" i="10"/>
  <c r="Q98" i="10" s="1"/>
  <c r="P60" i="10"/>
  <c r="P98" i="10" s="1"/>
  <c r="O60" i="10"/>
  <c r="N60" i="10"/>
  <c r="M60" i="10"/>
  <c r="L60" i="10"/>
  <c r="K60" i="10"/>
  <c r="J60" i="10"/>
  <c r="J98" i="10" s="1"/>
  <c r="I60" i="10"/>
  <c r="H60" i="10"/>
  <c r="H98" i="10" s="1"/>
  <c r="G60" i="10"/>
  <c r="F60" i="10"/>
  <c r="E60" i="10"/>
  <c r="D60" i="10"/>
  <c r="V59" i="10"/>
  <c r="U59" i="10"/>
  <c r="U97" i="10" s="1"/>
  <c r="T59" i="10"/>
  <c r="T97" i="10" s="1"/>
  <c r="S59" i="10"/>
  <c r="S97" i="10" s="1"/>
  <c r="R59" i="10"/>
  <c r="Q59" i="10"/>
  <c r="P59" i="10"/>
  <c r="P97" i="10" s="1"/>
  <c r="O59" i="10"/>
  <c r="N59" i="10"/>
  <c r="M59" i="10"/>
  <c r="M97" i="10" s="1"/>
  <c r="L59" i="10"/>
  <c r="K59" i="10"/>
  <c r="J59" i="10"/>
  <c r="I59" i="10"/>
  <c r="H59" i="10"/>
  <c r="G59" i="10"/>
  <c r="G97" i="10" s="1"/>
  <c r="F59" i="10"/>
  <c r="E59" i="10"/>
  <c r="E97" i="10" s="1"/>
  <c r="D59" i="10"/>
  <c r="D97" i="10" s="1"/>
  <c r="V58" i="10"/>
  <c r="V96" i="10" s="1"/>
  <c r="U58" i="10"/>
  <c r="T58" i="10"/>
  <c r="S58" i="10"/>
  <c r="S96" i="10" s="1"/>
  <c r="R58" i="10"/>
  <c r="Q58" i="10"/>
  <c r="P58" i="10"/>
  <c r="P96" i="10" s="1"/>
  <c r="O58" i="10"/>
  <c r="N58" i="10"/>
  <c r="M58" i="10"/>
  <c r="L58" i="10"/>
  <c r="K58" i="10"/>
  <c r="J58" i="10"/>
  <c r="J96" i="10" s="1"/>
  <c r="I58" i="10"/>
  <c r="H58" i="10"/>
  <c r="H96" i="10" s="1"/>
  <c r="G58" i="10"/>
  <c r="G96" i="10" s="1"/>
  <c r="F58" i="10"/>
  <c r="F96" i="10" s="1"/>
  <c r="E58" i="10"/>
  <c r="D58" i="10"/>
  <c r="V57" i="10"/>
  <c r="U57" i="10"/>
  <c r="T57" i="10"/>
  <c r="S57" i="10"/>
  <c r="S95" i="10" s="1"/>
  <c r="R57" i="10"/>
  <c r="Q57" i="10"/>
  <c r="Q95" i="10" s="1"/>
  <c r="P57" i="10"/>
  <c r="O57" i="10"/>
  <c r="N57" i="10"/>
  <c r="M57" i="10"/>
  <c r="L57" i="10"/>
  <c r="K57" i="10"/>
  <c r="K95" i="10" s="1"/>
  <c r="J57" i="10"/>
  <c r="J95" i="10" s="1"/>
  <c r="I57" i="10"/>
  <c r="I95" i="10" s="1"/>
  <c r="H57" i="10"/>
  <c r="G57" i="10"/>
  <c r="F57" i="10"/>
  <c r="E57" i="10"/>
  <c r="D57" i="10"/>
  <c r="V56" i="10"/>
  <c r="V94" i="10" s="1"/>
  <c r="U56" i="10"/>
  <c r="T56" i="10"/>
  <c r="T94" i="10" s="1"/>
  <c r="S56" i="10"/>
  <c r="R56" i="10"/>
  <c r="Q56" i="10"/>
  <c r="P56" i="10"/>
  <c r="O56" i="10"/>
  <c r="N56" i="10"/>
  <c r="N94" i="10" s="1"/>
  <c r="M56" i="10"/>
  <c r="M94" i="10" s="1"/>
  <c r="L56" i="10"/>
  <c r="L94" i="10" s="1"/>
  <c r="K56" i="10"/>
  <c r="J56" i="10"/>
  <c r="I56" i="10"/>
  <c r="I94" i="10" s="1"/>
  <c r="H56" i="10"/>
  <c r="G56" i="10"/>
  <c r="F56" i="10"/>
  <c r="F94" i="10" s="1"/>
  <c r="E56" i="10"/>
  <c r="D56" i="10"/>
  <c r="V55" i="10"/>
  <c r="U55" i="10"/>
  <c r="T55" i="10"/>
  <c r="S55" i="10"/>
  <c r="S93" i="10" s="1"/>
  <c r="R55" i="10"/>
  <c r="Q55" i="10"/>
  <c r="Q93" i="10" s="1"/>
  <c r="P55" i="10"/>
  <c r="P93" i="10" s="1"/>
  <c r="O55" i="10"/>
  <c r="O93" i="10" s="1"/>
  <c r="N55" i="10"/>
  <c r="M55" i="10"/>
  <c r="L55" i="10"/>
  <c r="L93" i="10" s="1"/>
  <c r="K55" i="10"/>
  <c r="J55" i="10"/>
  <c r="I55" i="10"/>
  <c r="I93" i="10" s="1"/>
  <c r="H55" i="10"/>
  <c r="G55" i="10"/>
  <c r="F55" i="10"/>
  <c r="E55" i="10"/>
  <c r="D55" i="10"/>
  <c r="V54" i="10"/>
  <c r="V92" i="10" s="1"/>
  <c r="U54" i="10"/>
  <c r="T54" i="10"/>
  <c r="S54" i="10"/>
  <c r="S92" i="10" s="1"/>
  <c r="R54" i="10"/>
  <c r="Q54" i="10"/>
  <c r="P54" i="10"/>
  <c r="O54" i="10"/>
  <c r="N54" i="10"/>
  <c r="M54" i="10"/>
  <c r="L54" i="10"/>
  <c r="L92" i="10" s="1"/>
  <c r="K54" i="10"/>
  <c r="J54" i="10"/>
  <c r="J92" i="10" s="1"/>
  <c r="I54" i="10"/>
  <c r="H54" i="10"/>
  <c r="G54" i="10"/>
  <c r="F54" i="10"/>
  <c r="E54" i="10"/>
  <c r="D54" i="10"/>
  <c r="D92" i="10" s="1"/>
  <c r="V53" i="10"/>
  <c r="U53" i="10"/>
  <c r="T53" i="10"/>
  <c r="S53" i="10"/>
  <c r="R53" i="10"/>
  <c r="Q53" i="10"/>
  <c r="P53" i="10"/>
  <c r="O53" i="10"/>
  <c r="O91" i="10" s="1"/>
  <c r="N53" i="10"/>
  <c r="M53" i="10"/>
  <c r="M91" i="10" s="1"/>
  <c r="L53" i="10"/>
  <c r="K53" i="10"/>
  <c r="J53" i="10"/>
  <c r="I53" i="10"/>
  <c r="H53" i="10"/>
  <c r="G53" i="10"/>
  <c r="F53" i="10"/>
  <c r="F91" i="10" s="1"/>
  <c r="E53" i="10"/>
  <c r="D53" i="10"/>
  <c r="V42" i="10"/>
  <c r="V119" i="10" s="1"/>
  <c r="U42" i="10"/>
  <c r="T42" i="10"/>
  <c r="T274" i="10" s="1"/>
  <c r="S42" i="10"/>
  <c r="R42" i="10"/>
  <c r="Q42" i="10"/>
  <c r="P42" i="10"/>
  <c r="O42" i="10"/>
  <c r="N42" i="10"/>
  <c r="M42" i="10"/>
  <c r="L42" i="10"/>
  <c r="K42" i="10"/>
  <c r="K119" i="10" s="1"/>
  <c r="J42" i="10"/>
  <c r="I42" i="10"/>
  <c r="H42" i="10"/>
  <c r="H274" i="10" s="1"/>
  <c r="G42" i="10"/>
  <c r="F42" i="10"/>
  <c r="F274" i="10" s="1"/>
  <c r="E42" i="10"/>
  <c r="E274" i="10" s="1"/>
  <c r="D42" i="10"/>
  <c r="D274" i="10" s="1"/>
  <c r="V41" i="10"/>
  <c r="U41" i="10"/>
  <c r="T41" i="10"/>
  <c r="S41" i="10"/>
  <c r="R41" i="10"/>
  <c r="Q41" i="10"/>
  <c r="P41" i="10"/>
  <c r="O41" i="10"/>
  <c r="N41" i="10"/>
  <c r="N118" i="10" s="1"/>
  <c r="M41" i="10"/>
  <c r="M118" i="10" s="1"/>
  <c r="L41" i="10"/>
  <c r="K41" i="10"/>
  <c r="K273" i="10" s="1"/>
  <c r="J41" i="10"/>
  <c r="I41" i="10"/>
  <c r="H41" i="10"/>
  <c r="G41" i="10"/>
  <c r="G273" i="10" s="1"/>
  <c r="F41" i="10"/>
  <c r="E41" i="10"/>
  <c r="D41" i="10"/>
  <c r="V40" i="10"/>
  <c r="U40" i="10"/>
  <c r="T40" i="10"/>
  <c r="S40" i="10"/>
  <c r="S272" i="10" s="1"/>
  <c r="R40" i="10"/>
  <c r="Q40" i="10"/>
  <c r="P40" i="10"/>
  <c r="O40" i="10"/>
  <c r="N40" i="10"/>
  <c r="N272" i="10" s="1"/>
  <c r="M40" i="10"/>
  <c r="L40" i="10"/>
  <c r="K40" i="10"/>
  <c r="K272" i="10" s="1"/>
  <c r="J40" i="10"/>
  <c r="J272" i="10" s="1"/>
  <c r="I40" i="10"/>
  <c r="H40" i="10"/>
  <c r="H195" i="10" s="1"/>
  <c r="G40" i="10"/>
  <c r="F40" i="10"/>
  <c r="E40" i="10"/>
  <c r="D40" i="10"/>
  <c r="V39" i="10"/>
  <c r="U39" i="10"/>
  <c r="T39" i="10"/>
  <c r="S39" i="10"/>
  <c r="R39" i="10"/>
  <c r="Q39" i="10"/>
  <c r="P39" i="10"/>
  <c r="O39" i="10"/>
  <c r="N39" i="10"/>
  <c r="M39" i="10"/>
  <c r="L39" i="10"/>
  <c r="K39" i="10"/>
  <c r="J39" i="10"/>
  <c r="I39" i="10"/>
  <c r="H39" i="10"/>
  <c r="G39" i="10"/>
  <c r="F39" i="10"/>
  <c r="E39" i="10"/>
  <c r="D39" i="10"/>
  <c r="V38" i="10"/>
  <c r="V193" i="10" s="1"/>
  <c r="U38" i="10"/>
  <c r="U270" i="10" s="1"/>
  <c r="T38" i="10"/>
  <c r="T270" i="10" s="1"/>
  <c r="S38" i="10"/>
  <c r="R38" i="10"/>
  <c r="R115" i="10" s="1"/>
  <c r="Q38" i="10"/>
  <c r="Q270" i="10" s="1"/>
  <c r="P38" i="10"/>
  <c r="P270" i="10" s="1"/>
  <c r="O38" i="10"/>
  <c r="N38" i="10"/>
  <c r="N270" i="10" s="1"/>
  <c r="M38" i="10"/>
  <c r="L38" i="10"/>
  <c r="K38" i="10"/>
  <c r="J38" i="10"/>
  <c r="I38" i="10"/>
  <c r="I193" i="10" s="1"/>
  <c r="H38" i="10"/>
  <c r="G38" i="10"/>
  <c r="F38" i="10"/>
  <c r="F193" i="10" s="1"/>
  <c r="E38" i="10"/>
  <c r="E270" i="10" s="1"/>
  <c r="D38" i="10"/>
  <c r="D270" i="10" s="1"/>
  <c r="V37" i="10"/>
  <c r="U37" i="10"/>
  <c r="T37" i="10"/>
  <c r="T269" i="10" s="1"/>
  <c r="S37" i="10"/>
  <c r="R37" i="10"/>
  <c r="R192" i="10" s="1"/>
  <c r="Q37" i="10"/>
  <c r="P37" i="10"/>
  <c r="O37" i="10"/>
  <c r="N37" i="10"/>
  <c r="M37" i="10"/>
  <c r="L37" i="10"/>
  <c r="K37" i="10"/>
  <c r="J37" i="10"/>
  <c r="I37" i="10"/>
  <c r="H37" i="10"/>
  <c r="H269" i="10" s="1"/>
  <c r="G37" i="10"/>
  <c r="G269" i="10" s="1"/>
  <c r="F37" i="10"/>
  <c r="E37" i="10"/>
  <c r="E114" i="10" s="1"/>
  <c r="D37" i="10"/>
  <c r="D269" i="10" s="1"/>
  <c r="V36" i="10"/>
  <c r="U36" i="10"/>
  <c r="T36" i="10"/>
  <c r="T268" i="10" s="1"/>
  <c r="S36" i="10"/>
  <c r="R36" i="10"/>
  <c r="Q36" i="10"/>
  <c r="P36" i="10"/>
  <c r="O36" i="10"/>
  <c r="O268" i="10" s="1"/>
  <c r="N36" i="10"/>
  <c r="M36" i="10"/>
  <c r="L36" i="10"/>
  <c r="L113" i="10" s="1"/>
  <c r="K36" i="10"/>
  <c r="K268" i="10" s="1"/>
  <c r="J36" i="10"/>
  <c r="I36" i="10"/>
  <c r="H36" i="10"/>
  <c r="G36" i="10"/>
  <c r="F36" i="10"/>
  <c r="F268" i="10" s="1"/>
  <c r="E36" i="10"/>
  <c r="D36" i="10"/>
  <c r="V35" i="10"/>
  <c r="U35" i="10"/>
  <c r="T35" i="10"/>
  <c r="S35" i="10"/>
  <c r="R35" i="10"/>
  <c r="Q35" i="10"/>
  <c r="P35" i="10"/>
  <c r="O35" i="10"/>
  <c r="O190" i="10" s="1"/>
  <c r="N35" i="10"/>
  <c r="M35" i="10"/>
  <c r="L35" i="10"/>
  <c r="K35" i="10"/>
  <c r="J35" i="10"/>
  <c r="J267" i="10" s="1"/>
  <c r="I35" i="10"/>
  <c r="I190" i="10" s="1"/>
  <c r="H35" i="10"/>
  <c r="G35" i="10"/>
  <c r="F35" i="10"/>
  <c r="E35" i="10"/>
  <c r="D35" i="10"/>
  <c r="V34" i="10"/>
  <c r="U34" i="10"/>
  <c r="T34" i="10"/>
  <c r="S34" i="10"/>
  <c r="S111" i="10" s="1"/>
  <c r="R34" i="10"/>
  <c r="Q34" i="10"/>
  <c r="Q266" i="10" s="1"/>
  <c r="P34" i="10"/>
  <c r="O34" i="10"/>
  <c r="N34" i="10"/>
  <c r="N111" i="10" s="1"/>
  <c r="M34" i="10"/>
  <c r="M266" i="10" s="1"/>
  <c r="L34" i="10"/>
  <c r="L266" i="10" s="1"/>
  <c r="K34" i="10"/>
  <c r="J34" i="10"/>
  <c r="J266" i="10" s="1"/>
  <c r="I34" i="10"/>
  <c r="H34" i="10"/>
  <c r="G34" i="10"/>
  <c r="G111" i="10" s="1"/>
  <c r="F34" i="10"/>
  <c r="E34" i="10"/>
  <c r="D34" i="10"/>
  <c r="V33" i="10"/>
  <c r="U33" i="10"/>
  <c r="T33" i="10"/>
  <c r="S33" i="10"/>
  <c r="S265" i="10" s="1"/>
  <c r="R33" i="10"/>
  <c r="Q33" i="10"/>
  <c r="P33" i="10"/>
  <c r="P265" i="10" s="1"/>
  <c r="O33" i="10"/>
  <c r="N33" i="10"/>
  <c r="N188" i="10" s="1"/>
  <c r="M33" i="10"/>
  <c r="M265" i="10" s="1"/>
  <c r="L33" i="10"/>
  <c r="L110" i="10" s="1"/>
  <c r="K33" i="10"/>
  <c r="J33" i="10"/>
  <c r="I33" i="10"/>
  <c r="H33" i="10"/>
  <c r="H265" i="10" s="1"/>
  <c r="G33" i="10"/>
  <c r="F33" i="10"/>
  <c r="F110" i="10" s="1"/>
  <c r="E33" i="10"/>
  <c r="E188" i="10" s="1"/>
  <c r="D33" i="10"/>
  <c r="D265" i="10" s="1"/>
  <c r="V32" i="10"/>
  <c r="U32" i="10"/>
  <c r="T32" i="10"/>
  <c r="S32" i="10"/>
  <c r="S264" i="10" s="1"/>
  <c r="R32" i="10"/>
  <c r="R264" i="10" s="1"/>
  <c r="Q32" i="10"/>
  <c r="P32" i="10"/>
  <c r="P264" i="10" s="1"/>
  <c r="O32" i="10"/>
  <c r="N32" i="10"/>
  <c r="M32" i="10"/>
  <c r="L32" i="10"/>
  <c r="L264" i="10" s="1"/>
  <c r="K32" i="10"/>
  <c r="J32" i="10"/>
  <c r="I32" i="10"/>
  <c r="I109" i="10" s="1"/>
  <c r="H32" i="10"/>
  <c r="H187" i="10" s="1"/>
  <c r="G32" i="10"/>
  <c r="F32" i="10"/>
  <c r="F109" i="10" s="1"/>
  <c r="E32" i="10"/>
  <c r="D32" i="10"/>
  <c r="D109" i="10" s="1"/>
  <c r="V31" i="10"/>
  <c r="V263" i="10" s="1"/>
  <c r="U31" i="10"/>
  <c r="U263" i="10" s="1"/>
  <c r="T31" i="10"/>
  <c r="S31" i="10"/>
  <c r="R31" i="10"/>
  <c r="Q31" i="10"/>
  <c r="Q108" i="10" s="1"/>
  <c r="P31" i="10"/>
  <c r="P108" i="10" s="1"/>
  <c r="O31" i="10"/>
  <c r="N31" i="10"/>
  <c r="M31" i="10"/>
  <c r="L31" i="10"/>
  <c r="K31" i="10"/>
  <c r="K186" i="10" s="1"/>
  <c r="J31" i="10"/>
  <c r="J263" i="10" s="1"/>
  <c r="I31" i="10"/>
  <c r="I263" i="10" s="1"/>
  <c r="H31" i="10"/>
  <c r="G31" i="10"/>
  <c r="G108" i="10" s="1"/>
  <c r="F31" i="10"/>
  <c r="E31" i="10"/>
  <c r="E263" i="10" s="1"/>
  <c r="D31" i="10"/>
  <c r="D186" i="10" s="1"/>
  <c r="V30" i="10"/>
  <c r="U30" i="10"/>
  <c r="T30" i="10"/>
  <c r="S30" i="10"/>
  <c r="R30" i="10"/>
  <c r="Q30" i="10"/>
  <c r="P30" i="10"/>
  <c r="O30" i="10"/>
  <c r="O107" i="10" s="1"/>
  <c r="N30" i="10"/>
  <c r="M30" i="10"/>
  <c r="M185" i="10" s="1"/>
  <c r="L30" i="10"/>
  <c r="L262" i="10" s="1"/>
  <c r="K30" i="10"/>
  <c r="J30" i="10"/>
  <c r="J107" i="10" s="1"/>
  <c r="I30" i="10"/>
  <c r="I262" i="10" s="1"/>
  <c r="H30" i="10"/>
  <c r="H262" i="10" s="1"/>
  <c r="G30" i="10"/>
  <c r="F30" i="10"/>
  <c r="E30" i="10"/>
  <c r="D30" i="10"/>
  <c r="V29" i="10"/>
  <c r="U29" i="10"/>
  <c r="U261" i="10" s="1"/>
  <c r="T29" i="10"/>
  <c r="S29" i="10"/>
  <c r="R29" i="10"/>
  <c r="Q29" i="10"/>
  <c r="Q106" i="10" s="1"/>
  <c r="P29" i="10"/>
  <c r="P261" i="10" s="1"/>
  <c r="O29" i="10"/>
  <c r="O261" i="10" s="1"/>
  <c r="N29" i="10"/>
  <c r="M29" i="10"/>
  <c r="M106" i="10" s="1"/>
  <c r="L29" i="10"/>
  <c r="L261" i="10" s="1"/>
  <c r="K29" i="10"/>
  <c r="J29" i="10"/>
  <c r="J184" i="10" s="1"/>
  <c r="I29" i="10"/>
  <c r="I261" i="10" s="1"/>
  <c r="H29" i="10"/>
  <c r="G29" i="10"/>
  <c r="G106" i="10" s="1"/>
  <c r="F29" i="10"/>
  <c r="E29" i="10"/>
  <c r="D29" i="10"/>
  <c r="V28" i="10"/>
  <c r="U28" i="10"/>
  <c r="U105" i="10" s="1"/>
  <c r="T28" i="10"/>
  <c r="T183" i="10" s="1"/>
  <c r="S28" i="10"/>
  <c r="S260" i="10" s="1"/>
  <c r="R28" i="10"/>
  <c r="R260" i="10" s="1"/>
  <c r="Q28" i="10"/>
  <c r="P28" i="10"/>
  <c r="O28" i="10"/>
  <c r="O260" i="10" s="1"/>
  <c r="N28" i="10"/>
  <c r="N183" i="10" s="1"/>
  <c r="M28" i="10"/>
  <c r="M183" i="10" s="1"/>
  <c r="L28" i="10"/>
  <c r="K28" i="10"/>
  <c r="J28" i="10"/>
  <c r="I28" i="10"/>
  <c r="H28" i="10"/>
  <c r="G28" i="10"/>
  <c r="F28" i="10"/>
  <c r="E28" i="10"/>
  <c r="E105" i="10" s="1"/>
  <c r="D28" i="10"/>
  <c r="D183" i="10" s="1"/>
  <c r="V27" i="10"/>
  <c r="V259" i="10" s="1"/>
  <c r="U27" i="10"/>
  <c r="U259" i="10" s="1"/>
  <c r="T27" i="10"/>
  <c r="S27" i="10"/>
  <c r="S104" i="10" s="1"/>
  <c r="R27" i="10"/>
  <c r="R259" i="10" s="1"/>
  <c r="Q27" i="10"/>
  <c r="Q259" i="10" s="1"/>
  <c r="P27" i="10"/>
  <c r="O27" i="10"/>
  <c r="O259" i="10" s="1"/>
  <c r="N27" i="10"/>
  <c r="M27" i="10"/>
  <c r="L27" i="10"/>
  <c r="L104" i="10" s="1"/>
  <c r="K27" i="10"/>
  <c r="K259" i="10" s="1"/>
  <c r="J27" i="10"/>
  <c r="I27" i="10"/>
  <c r="H27" i="10"/>
  <c r="G27" i="10"/>
  <c r="F27" i="10"/>
  <c r="E27" i="10"/>
  <c r="E259" i="10" s="1"/>
  <c r="D27" i="10"/>
  <c r="V25" i="10"/>
  <c r="U25" i="10"/>
  <c r="U257" i="10" s="1"/>
  <c r="T25" i="10"/>
  <c r="T257" i="10" s="1"/>
  <c r="S25" i="10"/>
  <c r="R25" i="10"/>
  <c r="Q25" i="10"/>
  <c r="P25" i="10"/>
  <c r="O25" i="10"/>
  <c r="N25" i="10"/>
  <c r="M25" i="10"/>
  <c r="L25" i="10"/>
  <c r="K25" i="10"/>
  <c r="K257" i="10" s="1"/>
  <c r="J25" i="10"/>
  <c r="I25" i="10"/>
  <c r="I180" i="10" s="1"/>
  <c r="H25" i="10"/>
  <c r="H257" i="10" s="1"/>
  <c r="G25" i="10"/>
  <c r="F25" i="10"/>
  <c r="E25" i="10"/>
  <c r="D25" i="10"/>
  <c r="D257" i="10" s="1"/>
  <c r="V24" i="10"/>
  <c r="U24" i="10"/>
  <c r="T24" i="10"/>
  <c r="S24" i="10"/>
  <c r="R24" i="10"/>
  <c r="Q24" i="10"/>
  <c r="P24" i="10"/>
  <c r="O24" i="10"/>
  <c r="O179" i="10" s="1"/>
  <c r="N24" i="10"/>
  <c r="M24" i="10"/>
  <c r="L24" i="10"/>
  <c r="K24" i="10"/>
  <c r="K256" i="10" s="1"/>
  <c r="J24" i="10"/>
  <c r="J101" i="10" s="1"/>
  <c r="I24" i="10"/>
  <c r="H24" i="10"/>
  <c r="H256" i="10" s="1"/>
  <c r="G24" i="10"/>
  <c r="G256" i="10" s="1"/>
  <c r="F24" i="10"/>
  <c r="E24" i="10"/>
  <c r="D24" i="10"/>
  <c r="D101" i="10" s="1"/>
  <c r="V23" i="10"/>
  <c r="V100" i="10" s="1"/>
  <c r="U23" i="10"/>
  <c r="T23" i="10"/>
  <c r="S23" i="10"/>
  <c r="S100" i="10" s="1"/>
  <c r="R23" i="10"/>
  <c r="R178" i="10" s="1"/>
  <c r="Q23" i="10"/>
  <c r="Q178" i="10" s="1"/>
  <c r="P23" i="10"/>
  <c r="O23" i="10"/>
  <c r="O255" i="10" s="1"/>
  <c r="N23" i="10"/>
  <c r="N255" i="10" s="1"/>
  <c r="M23" i="10"/>
  <c r="L23" i="10"/>
  <c r="K23" i="10"/>
  <c r="K255" i="10" s="1"/>
  <c r="J23" i="10"/>
  <c r="J255" i="10" s="1"/>
  <c r="I23" i="10"/>
  <c r="H23" i="10"/>
  <c r="G23" i="10"/>
  <c r="F23" i="10"/>
  <c r="F100" i="10" s="1"/>
  <c r="E23" i="10"/>
  <c r="E255" i="10" s="1"/>
  <c r="D23" i="10"/>
  <c r="V22" i="10"/>
  <c r="V99" i="10" s="1"/>
  <c r="U22" i="10"/>
  <c r="T22" i="10"/>
  <c r="S22" i="10"/>
  <c r="S177" i="10" s="1"/>
  <c r="R22" i="10"/>
  <c r="Q22" i="10"/>
  <c r="P22" i="10"/>
  <c r="O22" i="10"/>
  <c r="N22" i="10"/>
  <c r="N254" i="10" s="1"/>
  <c r="M22" i="10"/>
  <c r="M254" i="10" s="1"/>
  <c r="L22" i="10"/>
  <c r="L99" i="10" s="1"/>
  <c r="K22" i="10"/>
  <c r="J22" i="10"/>
  <c r="I22" i="10"/>
  <c r="H22" i="10"/>
  <c r="G22" i="10"/>
  <c r="F22" i="10"/>
  <c r="F99" i="10" s="1"/>
  <c r="E22" i="10"/>
  <c r="D22" i="10"/>
  <c r="V21" i="10"/>
  <c r="V253" i="10" s="1"/>
  <c r="U21" i="10"/>
  <c r="U253" i="10" s="1"/>
  <c r="T21" i="10"/>
  <c r="T253" i="10" s="1"/>
  <c r="S21" i="10"/>
  <c r="S98" i="10" s="1"/>
  <c r="R21" i="10"/>
  <c r="Q21" i="10"/>
  <c r="P21" i="10"/>
  <c r="P253" i="10" s="1"/>
  <c r="O21" i="10"/>
  <c r="O176" i="10" s="1"/>
  <c r="N21" i="10"/>
  <c r="M21" i="10"/>
  <c r="M176" i="10" s="1"/>
  <c r="L21" i="10"/>
  <c r="L98" i="10" s="1"/>
  <c r="K21" i="10"/>
  <c r="J21" i="10"/>
  <c r="I21" i="10"/>
  <c r="I98" i="10" s="1"/>
  <c r="H21" i="10"/>
  <c r="H176" i="10" s="1"/>
  <c r="G21" i="10"/>
  <c r="G176" i="10" s="1"/>
  <c r="F21" i="10"/>
  <c r="E21" i="10"/>
  <c r="E176" i="10" s="1"/>
  <c r="D21" i="10"/>
  <c r="D176" i="10" s="1"/>
  <c r="V20" i="10"/>
  <c r="V97" i="10" s="1"/>
  <c r="U20" i="10"/>
  <c r="T20" i="10"/>
  <c r="S20" i="10"/>
  <c r="S252" i="10" s="1"/>
  <c r="R20" i="10"/>
  <c r="R175" i="10" s="1"/>
  <c r="Q20" i="10"/>
  <c r="Q252" i="10" s="1"/>
  <c r="P20" i="10"/>
  <c r="P175" i="10" s="1"/>
  <c r="O20" i="10"/>
  <c r="N20" i="10"/>
  <c r="M20" i="10"/>
  <c r="L20" i="10"/>
  <c r="K20" i="10"/>
  <c r="J20" i="10"/>
  <c r="J175" i="10" s="1"/>
  <c r="I20" i="10"/>
  <c r="H20" i="10"/>
  <c r="G20" i="10"/>
  <c r="G252" i="10" s="1"/>
  <c r="F20" i="10"/>
  <c r="E20" i="10"/>
  <c r="D20" i="10"/>
  <c r="V19" i="10"/>
  <c r="V251" i="10" s="1"/>
  <c r="U19" i="10"/>
  <c r="T19" i="10"/>
  <c r="S19" i="10"/>
  <c r="S174" i="10" s="1"/>
  <c r="R19" i="10"/>
  <c r="Q19" i="10"/>
  <c r="P19" i="10"/>
  <c r="O19" i="10"/>
  <c r="N19" i="10"/>
  <c r="M19" i="10"/>
  <c r="M174" i="10" s="1"/>
  <c r="L19" i="10"/>
  <c r="K19" i="10"/>
  <c r="J19" i="10"/>
  <c r="J251" i="10" s="1"/>
  <c r="I19" i="10"/>
  <c r="I96" i="10" s="1"/>
  <c r="H19" i="10"/>
  <c r="G19" i="10"/>
  <c r="G174" i="10" s="1"/>
  <c r="F19" i="10"/>
  <c r="F251" i="10" s="1"/>
  <c r="E19" i="10"/>
  <c r="E174" i="10" s="1"/>
  <c r="D19" i="10"/>
  <c r="V18" i="10"/>
  <c r="V173" i="10" s="1"/>
  <c r="U18" i="10"/>
  <c r="T18" i="10"/>
  <c r="S18" i="10"/>
  <c r="R18" i="10"/>
  <c r="R95" i="10" s="1"/>
  <c r="Q18" i="10"/>
  <c r="Q173" i="10" s="1"/>
  <c r="P18" i="10"/>
  <c r="P173" i="10" s="1"/>
  <c r="O18" i="10"/>
  <c r="N18" i="10"/>
  <c r="N95" i="10" s="1"/>
  <c r="M18" i="10"/>
  <c r="M250" i="10" s="1"/>
  <c r="L18" i="10"/>
  <c r="L95" i="10" s="1"/>
  <c r="K18" i="10"/>
  <c r="J18" i="10"/>
  <c r="J173" i="10" s="1"/>
  <c r="I18" i="10"/>
  <c r="I250" i="10" s="1"/>
  <c r="H18" i="10"/>
  <c r="G18" i="10"/>
  <c r="F18" i="10"/>
  <c r="F173" i="10" s="1"/>
  <c r="E18" i="10"/>
  <c r="D18" i="10"/>
  <c r="V17" i="10"/>
  <c r="U17" i="10"/>
  <c r="T17" i="10"/>
  <c r="S17" i="10"/>
  <c r="S172" i="10" s="1"/>
  <c r="R17" i="10"/>
  <c r="R43" i="10" s="1"/>
  <c r="Q17" i="10"/>
  <c r="Q249" i="10" s="1"/>
  <c r="P17" i="10"/>
  <c r="P249" i="10" s="1"/>
  <c r="O17" i="10"/>
  <c r="N17" i="10"/>
  <c r="M17" i="10"/>
  <c r="L17" i="10"/>
  <c r="L249" i="10" s="1"/>
  <c r="K17" i="10"/>
  <c r="K172" i="10" s="1"/>
  <c r="J17" i="10"/>
  <c r="I17" i="10"/>
  <c r="I172" i="10" s="1"/>
  <c r="H17" i="10"/>
  <c r="H94" i="10" s="1"/>
  <c r="G17" i="10"/>
  <c r="G172" i="10" s="1"/>
  <c r="F17" i="10"/>
  <c r="E17" i="10"/>
  <c r="E94" i="10" s="1"/>
  <c r="D17" i="10"/>
  <c r="D172" i="10" s="1"/>
  <c r="V16" i="10"/>
  <c r="U16" i="10"/>
  <c r="T16" i="10"/>
  <c r="T93" i="10" s="1"/>
  <c r="S16" i="10"/>
  <c r="S248" i="10" s="1"/>
  <c r="R16" i="10"/>
  <c r="Q16" i="10"/>
  <c r="P16" i="10"/>
  <c r="O16" i="10"/>
  <c r="O248" i="10" s="1"/>
  <c r="N16" i="10"/>
  <c r="N171" i="10" s="1"/>
  <c r="M16" i="10"/>
  <c r="L16" i="10"/>
  <c r="L171" i="10" s="1"/>
  <c r="K16" i="10"/>
  <c r="K248" i="10" s="1"/>
  <c r="J16" i="10"/>
  <c r="I16" i="10"/>
  <c r="H16" i="10"/>
  <c r="G16" i="10"/>
  <c r="F16" i="10"/>
  <c r="F171" i="10" s="1"/>
  <c r="E16" i="10"/>
  <c r="E43" i="10" s="1"/>
  <c r="D16" i="10"/>
  <c r="V15" i="10"/>
  <c r="V247" i="10" s="1"/>
  <c r="U15" i="10"/>
  <c r="U92" i="10" s="1"/>
  <c r="T15" i="10"/>
  <c r="S15" i="10"/>
  <c r="R15" i="10"/>
  <c r="R247" i="10" s="1"/>
  <c r="Q15" i="10"/>
  <c r="P15" i="10"/>
  <c r="O15" i="10"/>
  <c r="O170" i="10" s="1"/>
  <c r="N15" i="10"/>
  <c r="M15" i="10"/>
  <c r="L15" i="10"/>
  <c r="K15" i="10"/>
  <c r="K92" i="10" s="1"/>
  <c r="J15" i="10"/>
  <c r="I15" i="10"/>
  <c r="I170" i="10" s="1"/>
  <c r="H15" i="10"/>
  <c r="H43" i="10" s="1"/>
  <c r="G15" i="10"/>
  <c r="F15" i="10"/>
  <c r="F247" i="10" s="1"/>
  <c r="E15" i="10"/>
  <c r="D15" i="10"/>
  <c r="V14" i="10"/>
  <c r="U14" i="10"/>
  <c r="T14" i="10"/>
  <c r="T169" i="10" s="1"/>
  <c r="S14" i="10"/>
  <c r="R14" i="10"/>
  <c r="R169" i="10" s="1"/>
  <c r="Q14" i="10"/>
  <c r="P14" i="10"/>
  <c r="P169" i="10" s="1"/>
  <c r="O14" i="10"/>
  <c r="N14" i="10"/>
  <c r="N91" i="10" s="1"/>
  <c r="M14" i="10"/>
  <c r="M169" i="10" s="1"/>
  <c r="L14" i="10"/>
  <c r="K14" i="10"/>
  <c r="K43" i="10" s="1"/>
  <c r="J14" i="10"/>
  <c r="J91" i="10" s="1"/>
  <c r="I14" i="10"/>
  <c r="I91" i="10" s="1"/>
  <c r="H14" i="10"/>
  <c r="H91" i="10" s="1"/>
  <c r="G14" i="10"/>
  <c r="F14" i="10"/>
  <c r="E14" i="10"/>
  <c r="E246" i="10" s="1"/>
  <c r="D14" i="10"/>
  <c r="B133" i="9"/>
  <c r="S130" i="9"/>
  <c r="R130" i="9"/>
  <c r="K130" i="9"/>
  <c r="T130" i="9" s="1"/>
  <c r="J130" i="9"/>
  <c r="I130" i="9"/>
  <c r="H130" i="9"/>
  <c r="G130" i="9"/>
  <c r="F130" i="9"/>
  <c r="E130" i="9"/>
  <c r="D130" i="9"/>
  <c r="M130" i="9" s="1"/>
  <c r="R129" i="9"/>
  <c r="K129" i="9"/>
  <c r="T129" i="9" s="1"/>
  <c r="J129" i="9"/>
  <c r="I129" i="9"/>
  <c r="H129" i="9"/>
  <c r="Q129" i="9" s="1"/>
  <c r="G129" i="9"/>
  <c r="F129" i="9"/>
  <c r="E129" i="9"/>
  <c r="D129" i="9"/>
  <c r="M129" i="9" s="1"/>
  <c r="R128" i="9"/>
  <c r="M128" i="9"/>
  <c r="K128" i="9"/>
  <c r="T128" i="9" s="1"/>
  <c r="J128" i="9"/>
  <c r="S128" i="9" s="1"/>
  <c r="I128" i="9"/>
  <c r="H128" i="9"/>
  <c r="G128" i="9"/>
  <c r="F128" i="9"/>
  <c r="O128" i="9" s="1"/>
  <c r="E128" i="9"/>
  <c r="D128" i="9"/>
  <c r="R127" i="9"/>
  <c r="K127" i="9"/>
  <c r="T127" i="9" s="1"/>
  <c r="J127" i="9"/>
  <c r="I127" i="9"/>
  <c r="H127" i="9"/>
  <c r="Q127" i="9" s="1"/>
  <c r="G127" i="9"/>
  <c r="F127" i="9"/>
  <c r="E127" i="9"/>
  <c r="D127" i="9"/>
  <c r="M127" i="9" s="1"/>
  <c r="S126" i="9"/>
  <c r="R126" i="9"/>
  <c r="K126" i="9"/>
  <c r="T126" i="9" s="1"/>
  <c r="J126" i="9"/>
  <c r="I126" i="9"/>
  <c r="H126" i="9"/>
  <c r="G126" i="9"/>
  <c r="F126" i="9"/>
  <c r="O126" i="9" s="1"/>
  <c r="E126" i="9"/>
  <c r="N126" i="9" s="1"/>
  <c r="D126" i="9"/>
  <c r="M126" i="9" s="1"/>
  <c r="R125" i="9"/>
  <c r="I125" i="9"/>
  <c r="H125" i="9"/>
  <c r="G125" i="9"/>
  <c r="F125" i="9"/>
  <c r="R124" i="9"/>
  <c r="M124" i="9"/>
  <c r="E124" i="9"/>
  <c r="D124" i="9"/>
  <c r="R123" i="9"/>
  <c r="P123" i="9"/>
  <c r="O123" i="9"/>
  <c r="M123" i="9"/>
  <c r="E123" i="9"/>
  <c r="D123" i="9"/>
  <c r="R122" i="9"/>
  <c r="E122" i="9"/>
  <c r="D122" i="9"/>
  <c r="T121" i="9"/>
  <c r="D121" i="9"/>
  <c r="I120" i="9"/>
  <c r="R120" i="9" s="1"/>
  <c r="T119" i="9"/>
  <c r="K119" i="9"/>
  <c r="J119" i="9"/>
  <c r="S119" i="9" s="1"/>
  <c r="I119" i="9"/>
  <c r="R119" i="9" s="1"/>
  <c r="H119" i="9"/>
  <c r="G119" i="9"/>
  <c r="F119" i="9"/>
  <c r="E119" i="9"/>
  <c r="D119" i="9"/>
  <c r="M119" i="9" s="1"/>
  <c r="T118" i="9"/>
  <c r="S118" i="9"/>
  <c r="K118" i="9"/>
  <c r="J118" i="9"/>
  <c r="I118" i="9"/>
  <c r="R118" i="9" s="1"/>
  <c r="H118" i="9"/>
  <c r="G118" i="9"/>
  <c r="F118" i="9"/>
  <c r="E118" i="9"/>
  <c r="E112" i="9" s="1"/>
  <c r="D118" i="9"/>
  <c r="T117" i="9"/>
  <c r="S117" i="9"/>
  <c r="K117" i="9"/>
  <c r="J117" i="9"/>
  <c r="I117" i="9"/>
  <c r="H117" i="9"/>
  <c r="G117" i="9"/>
  <c r="F117" i="9"/>
  <c r="E117" i="9"/>
  <c r="D117" i="9"/>
  <c r="M117" i="9" s="1"/>
  <c r="S116" i="9"/>
  <c r="K116" i="9"/>
  <c r="J116" i="9"/>
  <c r="I116" i="9"/>
  <c r="I112" i="9" s="1"/>
  <c r="H116" i="9"/>
  <c r="G116" i="9"/>
  <c r="F116" i="9"/>
  <c r="E116" i="9"/>
  <c r="D116" i="9"/>
  <c r="P115" i="9"/>
  <c r="N115" i="9"/>
  <c r="M115" i="9"/>
  <c r="K115" i="9"/>
  <c r="J115" i="9"/>
  <c r="I115" i="9"/>
  <c r="H115" i="9"/>
  <c r="G115" i="9"/>
  <c r="F115" i="9"/>
  <c r="E115" i="9"/>
  <c r="D115" i="9"/>
  <c r="S114" i="9"/>
  <c r="K114" i="9"/>
  <c r="J114" i="9"/>
  <c r="I114" i="9"/>
  <c r="H114" i="9"/>
  <c r="G114" i="9"/>
  <c r="F114" i="9"/>
  <c r="E114" i="9"/>
  <c r="D114" i="9"/>
  <c r="K113" i="9"/>
  <c r="J113" i="9"/>
  <c r="S113" i="9" s="1"/>
  <c r="I113" i="9"/>
  <c r="H113" i="9"/>
  <c r="G113" i="9"/>
  <c r="F113" i="9"/>
  <c r="E113" i="9"/>
  <c r="D113" i="9"/>
  <c r="K112" i="9"/>
  <c r="H112" i="9"/>
  <c r="G112" i="9"/>
  <c r="F112" i="9"/>
  <c r="B100" i="9"/>
  <c r="K98" i="9"/>
  <c r="F98" i="9"/>
  <c r="E98" i="9"/>
  <c r="T97" i="9"/>
  <c r="K97" i="9"/>
  <c r="J97" i="9"/>
  <c r="S97" i="9" s="1"/>
  <c r="I97" i="9"/>
  <c r="H97" i="9"/>
  <c r="G97" i="9"/>
  <c r="F97" i="9"/>
  <c r="E97" i="9"/>
  <c r="D97" i="9"/>
  <c r="M97" i="9" s="1"/>
  <c r="Q96" i="9"/>
  <c r="K96" i="9"/>
  <c r="T96" i="9" s="1"/>
  <c r="J96" i="9"/>
  <c r="I96" i="9"/>
  <c r="H96" i="9"/>
  <c r="G96" i="9"/>
  <c r="F96" i="9"/>
  <c r="E96" i="9"/>
  <c r="D96" i="9"/>
  <c r="M96" i="9" s="1"/>
  <c r="K95" i="9"/>
  <c r="T95" i="9" s="1"/>
  <c r="J95" i="9"/>
  <c r="S95" i="9" s="1"/>
  <c r="I95" i="9"/>
  <c r="H95" i="9"/>
  <c r="G95" i="9"/>
  <c r="F95" i="9"/>
  <c r="O95" i="9" s="1"/>
  <c r="E95" i="9"/>
  <c r="E92" i="9" s="1"/>
  <c r="D95" i="9"/>
  <c r="M95" i="9" s="1"/>
  <c r="Q94" i="9"/>
  <c r="K94" i="9"/>
  <c r="T94" i="9" s="1"/>
  <c r="J94" i="9"/>
  <c r="I94" i="9"/>
  <c r="H94" i="9"/>
  <c r="G94" i="9"/>
  <c r="F94" i="9"/>
  <c r="E94" i="9"/>
  <c r="D94" i="9"/>
  <c r="M94" i="9" s="1"/>
  <c r="T93" i="9"/>
  <c r="O93" i="9"/>
  <c r="K93" i="9"/>
  <c r="J93" i="9"/>
  <c r="S93" i="9" s="1"/>
  <c r="I93" i="9"/>
  <c r="H93" i="9"/>
  <c r="G93" i="9"/>
  <c r="F93" i="9"/>
  <c r="F92" i="9" s="1"/>
  <c r="E93" i="9"/>
  <c r="D93" i="9"/>
  <c r="M93" i="9" s="1"/>
  <c r="K92" i="9"/>
  <c r="T92" i="9" s="1"/>
  <c r="I92" i="9"/>
  <c r="H92" i="9"/>
  <c r="G92" i="9"/>
  <c r="Q91" i="9"/>
  <c r="K91" i="9"/>
  <c r="T91" i="9" s="1"/>
  <c r="J91" i="9"/>
  <c r="S91" i="9" s="1"/>
  <c r="I91" i="9"/>
  <c r="E91" i="9"/>
  <c r="D91" i="9"/>
  <c r="T90" i="9"/>
  <c r="R90" i="9"/>
  <c r="K90" i="9"/>
  <c r="J90" i="9"/>
  <c r="S90" i="9" s="1"/>
  <c r="I90" i="9"/>
  <c r="E90" i="9"/>
  <c r="N90" i="9" s="1"/>
  <c r="D90" i="9"/>
  <c r="M90" i="9" s="1"/>
  <c r="K89" i="9"/>
  <c r="T89" i="9" s="1"/>
  <c r="J89" i="9"/>
  <c r="S89" i="9" s="1"/>
  <c r="I89" i="9"/>
  <c r="R89" i="9" s="1"/>
  <c r="E89" i="9"/>
  <c r="D89" i="9"/>
  <c r="M89" i="9" s="1"/>
  <c r="R88" i="9"/>
  <c r="K88" i="9"/>
  <c r="J88" i="9"/>
  <c r="I88" i="9"/>
  <c r="D88" i="9"/>
  <c r="R87" i="9"/>
  <c r="I87" i="9"/>
  <c r="H87" i="9"/>
  <c r="G87" i="9"/>
  <c r="K86" i="9"/>
  <c r="J86" i="9"/>
  <c r="I86" i="9"/>
  <c r="R86" i="9" s="1"/>
  <c r="H86" i="9"/>
  <c r="Q86" i="9" s="1"/>
  <c r="G86" i="9"/>
  <c r="P86" i="9" s="1"/>
  <c r="F86" i="9"/>
  <c r="E86" i="9"/>
  <c r="D86" i="9"/>
  <c r="M86" i="9" s="1"/>
  <c r="S85" i="9"/>
  <c r="R85" i="9"/>
  <c r="K85" i="9"/>
  <c r="J85" i="9"/>
  <c r="I85" i="9"/>
  <c r="H85" i="9"/>
  <c r="G85" i="9"/>
  <c r="F85" i="9"/>
  <c r="E85" i="9"/>
  <c r="N85" i="9" s="1"/>
  <c r="D85" i="9"/>
  <c r="S84" i="9"/>
  <c r="K84" i="9"/>
  <c r="J84" i="9"/>
  <c r="I84" i="9"/>
  <c r="R84" i="9" s="1"/>
  <c r="H84" i="9"/>
  <c r="G84" i="9"/>
  <c r="F84" i="9"/>
  <c r="E84" i="9"/>
  <c r="N84" i="9" s="1"/>
  <c r="D84" i="9"/>
  <c r="M84" i="9" s="1"/>
  <c r="P83" i="9"/>
  <c r="O83" i="9"/>
  <c r="K83" i="9"/>
  <c r="J83" i="9"/>
  <c r="I83" i="9"/>
  <c r="R83" i="9" s="1"/>
  <c r="H83" i="9"/>
  <c r="Q83" i="9" s="1"/>
  <c r="G83" i="9"/>
  <c r="F83" i="9"/>
  <c r="E83" i="9"/>
  <c r="D83" i="9"/>
  <c r="O82" i="9"/>
  <c r="K82" i="9"/>
  <c r="J82" i="9"/>
  <c r="I82" i="9"/>
  <c r="R82" i="9" s="1"/>
  <c r="H82" i="9"/>
  <c r="G82" i="9"/>
  <c r="P82" i="9" s="1"/>
  <c r="F82" i="9"/>
  <c r="E82" i="9"/>
  <c r="D82" i="9"/>
  <c r="M82" i="9" s="1"/>
  <c r="R81" i="9"/>
  <c r="K81" i="9"/>
  <c r="J81" i="9"/>
  <c r="I81" i="9"/>
  <c r="H81" i="9"/>
  <c r="G81" i="9"/>
  <c r="F81" i="9"/>
  <c r="E81" i="9"/>
  <c r="D81" i="9"/>
  <c r="M81" i="9" s="1"/>
  <c r="R80" i="9"/>
  <c r="K80" i="9"/>
  <c r="J80" i="9"/>
  <c r="I80" i="9"/>
  <c r="H80" i="9"/>
  <c r="G80" i="9"/>
  <c r="F80" i="9"/>
  <c r="E80" i="9"/>
  <c r="D80" i="9"/>
  <c r="K79" i="9"/>
  <c r="H79" i="9"/>
  <c r="F79" i="9"/>
  <c r="E79" i="9"/>
  <c r="B68" i="9"/>
  <c r="I67" i="9"/>
  <c r="I66" i="9"/>
  <c r="H66" i="9"/>
  <c r="R65" i="9"/>
  <c r="K65" i="9"/>
  <c r="T65" i="9" s="1"/>
  <c r="J65" i="9"/>
  <c r="I65" i="9"/>
  <c r="H65" i="9"/>
  <c r="G65" i="9"/>
  <c r="F65" i="9"/>
  <c r="E65" i="9"/>
  <c r="D65" i="9"/>
  <c r="M65" i="9" s="1"/>
  <c r="T64" i="9"/>
  <c r="R64" i="9"/>
  <c r="K64" i="9"/>
  <c r="J64" i="9"/>
  <c r="I64" i="9"/>
  <c r="H64" i="9"/>
  <c r="Q64" i="9" s="1"/>
  <c r="G64" i="9"/>
  <c r="F64" i="9"/>
  <c r="E64" i="9"/>
  <c r="D64" i="9"/>
  <c r="S63" i="9"/>
  <c r="M63" i="9"/>
  <c r="K63" i="9"/>
  <c r="J63" i="9"/>
  <c r="I63" i="9"/>
  <c r="H63" i="9"/>
  <c r="G63" i="9"/>
  <c r="F63" i="9"/>
  <c r="O63" i="9" s="1"/>
  <c r="E63" i="9"/>
  <c r="D63" i="9"/>
  <c r="Q62" i="9"/>
  <c r="M62" i="9"/>
  <c r="K62" i="9"/>
  <c r="J62" i="9"/>
  <c r="J60" i="9" s="1"/>
  <c r="I62" i="9"/>
  <c r="H62" i="9"/>
  <c r="G62" i="9"/>
  <c r="F62" i="9"/>
  <c r="E62" i="9"/>
  <c r="D62" i="9"/>
  <c r="S61" i="9"/>
  <c r="M61" i="9"/>
  <c r="K61" i="9"/>
  <c r="T61" i="9" s="1"/>
  <c r="J61" i="9"/>
  <c r="I61" i="9"/>
  <c r="R61" i="9" s="1"/>
  <c r="H61" i="9"/>
  <c r="G61" i="9"/>
  <c r="F61" i="9"/>
  <c r="E61" i="9"/>
  <c r="D61" i="9"/>
  <c r="D60" i="9" s="1"/>
  <c r="M60" i="9" s="1"/>
  <c r="R60" i="9"/>
  <c r="I60" i="9"/>
  <c r="E60" i="9"/>
  <c r="R59" i="9"/>
  <c r="P59" i="9"/>
  <c r="O59" i="9"/>
  <c r="K59" i="9"/>
  <c r="T59" i="9" s="1"/>
  <c r="J59" i="9"/>
  <c r="I59" i="9"/>
  <c r="H59" i="9"/>
  <c r="G59" i="9"/>
  <c r="F59" i="9"/>
  <c r="E59" i="9"/>
  <c r="N59" i="9" s="1"/>
  <c r="D59" i="9"/>
  <c r="M59" i="9" s="1"/>
  <c r="R58" i="9"/>
  <c r="M58" i="9"/>
  <c r="K58" i="9"/>
  <c r="T58" i="9" s="1"/>
  <c r="J58" i="9"/>
  <c r="I58" i="9"/>
  <c r="H58" i="9"/>
  <c r="G58" i="9"/>
  <c r="P58" i="9" s="1"/>
  <c r="F58" i="9"/>
  <c r="O58" i="9" s="1"/>
  <c r="E58" i="9"/>
  <c r="N58" i="9" s="1"/>
  <c r="D58" i="9"/>
  <c r="R57" i="9"/>
  <c r="O57" i="9"/>
  <c r="M57" i="9"/>
  <c r="K57" i="9"/>
  <c r="T57" i="9" s="1"/>
  <c r="J57" i="9"/>
  <c r="I57" i="9"/>
  <c r="H57" i="9"/>
  <c r="G57" i="9"/>
  <c r="F57" i="9"/>
  <c r="E57" i="9"/>
  <c r="D57" i="9"/>
  <c r="R56" i="9"/>
  <c r="K56" i="9"/>
  <c r="J56" i="9"/>
  <c r="I56" i="9"/>
  <c r="H56" i="9"/>
  <c r="G56" i="9"/>
  <c r="F56" i="9"/>
  <c r="E56" i="9"/>
  <c r="D56" i="9"/>
  <c r="R55" i="9"/>
  <c r="I55" i="9"/>
  <c r="R54" i="9"/>
  <c r="K54" i="9"/>
  <c r="T54" i="9" s="1"/>
  <c r="J54" i="9"/>
  <c r="I54" i="9"/>
  <c r="H54" i="9"/>
  <c r="G54" i="9"/>
  <c r="F54" i="9"/>
  <c r="E54" i="9"/>
  <c r="D54" i="9"/>
  <c r="M54" i="9" s="1"/>
  <c r="R53" i="9"/>
  <c r="P53" i="9"/>
  <c r="K53" i="9"/>
  <c r="T53" i="9" s="1"/>
  <c r="J53" i="9"/>
  <c r="I53" i="9"/>
  <c r="H53" i="9"/>
  <c r="G53" i="9"/>
  <c r="F53" i="9"/>
  <c r="F47" i="9" s="1"/>
  <c r="E53" i="9"/>
  <c r="D53" i="9"/>
  <c r="K52" i="9"/>
  <c r="T52" i="9" s="1"/>
  <c r="J52" i="9"/>
  <c r="I52" i="9"/>
  <c r="H52" i="9"/>
  <c r="G52" i="9"/>
  <c r="F52" i="9"/>
  <c r="E52" i="9"/>
  <c r="N52" i="9" s="1"/>
  <c r="D52" i="9"/>
  <c r="M52" i="9" s="1"/>
  <c r="P51" i="9"/>
  <c r="O51" i="9"/>
  <c r="K51" i="9"/>
  <c r="J51" i="9"/>
  <c r="I51" i="9"/>
  <c r="H51" i="9"/>
  <c r="G51" i="9"/>
  <c r="F51" i="9"/>
  <c r="E51" i="9"/>
  <c r="D51" i="9"/>
  <c r="N50" i="9"/>
  <c r="M50" i="9"/>
  <c r="K50" i="9"/>
  <c r="J50" i="9"/>
  <c r="I50" i="9"/>
  <c r="H50" i="9"/>
  <c r="G50" i="9"/>
  <c r="P50" i="9" s="1"/>
  <c r="F50" i="9"/>
  <c r="O50" i="9" s="1"/>
  <c r="E50" i="9"/>
  <c r="D50" i="9"/>
  <c r="K49" i="9"/>
  <c r="T49" i="9" s="1"/>
  <c r="J49" i="9"/>
  <c r="I49" i="9"/>
  <c r="H49" i="9"/>
  <c r="G49" i="9"/>
  <c r="F49" i="9"/>
  <c r="E49" i="9"/>
  <c r="D49" i="9"/>
  <c r="D47" i="9" s="1"/>
  <c r="R48" i="9"/>
  <c r="K48" i="9"/>
  <c r="J48" i="9"/>
  <c r="I48" i="9"/>
  <c r="H48" i="9"/>
  <c r="G48" i="9"/>
  <c r="F48" i="9"/>
  <c r="O48" i="9" s="1"/>
  <c r="E48" i="9"/>
  <c r="N48" i="9" s="1"/>
  <c r="D48" i="9"/>
  <c r="J47" i="9"/>
  <c r="I47" i="9"/>
  <c r="H47" i="9"/>
  <c r="B35" i="9"/>
  <c r="K32" i="9"/>
  <c r="J32" i="9"/>
  <c r="I32" i="9"/>
  <c r="R97" i="9" s="1"/>
  <c r="H32" i="9"/>
  <c r="Q97" i="9" s="1"/>
  <c r="G32" i="9"/>
  <c r="F32" i="9"/>
  <c r="E32" i="9"/>
  <c r="N97" i="9" s="1"/>
  <c r="D32" i="9"/>
  <c r="K31" i="9"/>
  <c r="J31" i="9"/>
  <c r="S64" i="9" s="1"/>
  <c r="I31" i="9"/>
  <c r="R96" i="9" s="1"/>
  <c r="H31" i="9"/>
  <c r="G31" i="9"/>
  <c r="P96" i="9" s="1"/>
  <c r="F31" i="9"/>
  <c r="E31" i="9"/>
  <c r="N96" i="9" s="1"/>
  <c r="D31" i="9"/>
  <c r="K30" i="9"/>
  <c r="T63" i="9" s="1"/>
  <c r="J30" i="9"/>
  <c r="I30" i="9"/>
  <c r="R95" i="9" s="1"/>
  <c r="H30" i="9"/>
  <c r="G30" i="9"/>
  <c r="F30" i="9"/>
  <c r="E30" i="9"/>
  <c r="N128" i="9" s="1"/>
  <c r="D30" i="9"/>
  <c r="K29" i="9"/>
  <c r="T62" i="9" s="1"/>
  <c r="J29" i="9"/>
  <c r="I29" i="9"/>
  <c r="R94" i="9" s="1"/>
  <c r="H29" i="9"/>
  <c r="G29" i="9"/>
  <c r="P94" i="9" s="1"/>
  <c r="F29" i="9"/>
  <c r="E29" i="9"/>
  <c r="D29" i="9"/>
  <c r="K28" i="9"/>
  <c r="J28" i="9"/>
  <c r="J27" i="9" s="1"/>
  <c r="I28" i="9"/>
  <c r="R93" i="9" s="1"/>
  <c r="H28" i="9"/>
  <c r="G28" i="9"/>
  <c r="P93" i="9" s="1"/>
  <c r="F28" i="9"/>
  <c r="E28" i="9"/>
  <c r="N61" i="9" s="1"/>
  <c r="D28" i="9"/>
  <c r="K27" i="9"/>
  <c r="I27" i="9"/>
  <c r="R92" i="9" s="1"/>
  <c r="D27" i="9"/>
  <c r="K26" i="9"/>
  <c r="T124" i="9" s="1"/>
  <c r="J26" i="9"/>
  <c r="I26" i="9"/>
  <c r="R91" i="9" s="1"/>
  <c r="H26" i="9"/>
  <c r="G26" i="9"/>
  <c r="F26" i="9"/>
  <c r="O124" i="9" s="1"/>
  <c r="E26" i="9"/>
  <c r="N91" i="9" s="1"/>
  <c r="D26" i="9"/>
  <c r="M91" i="9" s="1"/>
  <c r="K25" i="9"/>
  <c r="T123" i="9" s="1"/>
  <c r="J25" i="9"/>
  <c r="I25" i="9"/>
  <c r="H25" i="9"/>
  <c r="G25" i="9"/>
  <c r="P90" i="9" s="1"/>
  <c r="F25" i="9"/>
  <c r="O90" i="9" s="1"/>
  <c r="E25" i="9"/>
  <c r="D25" i="9"/>
  <c r="K24" i="9"/>
  <c r="T122" i="9" s="1"/>
  <c r="J24" i="9"/>
  <c r="I24" i="9"/>
  <c r="H24" i="9"/>
  <c r="Q89" i="9" s="1"/>
  <c r="G24" i="9"/>
  <c r="F24" i="9"/>
  <c r="O89" i="9" s="1"/>
  <c r="E24" i="9"/>
  <c r="D24" i="9"/>
  <c r="M122" i="9" s="1"/>
  <c r="K23" i="9"/>
  <c r="I23" i="9"/>
  <c r="R121" i="9" s="1"/>
  <c r="D23" i="9"/>
  <c r="K22" i="9"/>
  <c r="I22" i="9"/>
  <c r="D22" i="9"/>
  <c r="K21" i="9"/>
  <c r="J21" i="9"/>
  <c r="I21" i="9"/>
  <c r="H21" i="9"/>
  <c r="G21" i="9"/>
  <c r="F21" i="9"/>
  <c r="O54" i="9" s="1"/>
  <c r="E21" i="9"/>
  <c r="N54" i="9" s="1"/>
  <c r="D21" i="9"/>
  <c r="K20" i="9"/>
  <c r="J20" i="9"/>
  <c r="S53" i="9" s="1"/>
  <c r="I20" i="9"/>
  <c r="H20" i="9"/>
  <c r="G20" i="9"/>
  <c r="P118" i="9" s="1"/>
  <c r="F20" i="9"/>
  <c r="O118" i="9" s="1"/>
  <c r="E20" i="9"/>
  <c r="D20" i="9"/>
  <c r="M53" i="9" s="1"/>
  <c r="K19" i="9"/>
  <c r="J19" i="9"/>
  <c r="S52" i="9" s="1"/>
  <c r="I19" i="9"/>
  <c r="H19" i="9"/>
  <c r="G19" i="9"/>
  <c r="F19" i="9"/>
  <c r="E19" i="9"/>
  <c r="N117" i="9" s="1"/>
  <c r="D19" i="9"/>
  <c r="K18" i="9"/>
  <c r="J18" i="9"/>
  <c r="I18" i="9"/>
  <c r="H18" i="9"/>
  <c r="G18" i="9"/>
  <c r="P116" i="9" s="1"/>
  <c r="F18" i="9"/>
  <c r="O116" i="9" s="1"/>
  <c r="E18" i="9"/>
  <c r="D18" i="9"/>
  <c r="M116" i="9" s="1"/>
  <c r="K17" i="9"/>
  <c r="J17" i="9"/>
  <c r="J14" i="9" s="1"/>
  <c r="I17" i="9"/>
  <c r="H17" i="9"/>
  <c r="G17" i="9"/>
  <c r="F17" i="9"/>
  <c r="O115" i="9" s="1"/>
  <c r="E17" i="9"/>
  <c r="D17" i="9"/>
  <c r="K16" i="9"/>
  <c r="J16" i="9"/>
  <c r="S49" i="9" s="1"/>
  <c r="I16" i="9"/>
  <c r="I14" i="9" s="1"/>
  <c r="H16" i="9"/>
  <c r="G16" i="9"/>
  <c r="P114" i="9" s="1"/>
  <c r="F16" i="9"/>
  <c r="E16" i="9"/>
  <c r="N114" i="9" s="1"/>
  <c r="D16" i="9"/>
  <c r="K15" i="9"/>
  <c r="J15" i="9"/>
  <c r="I15" i="9"/>
  <c r="H15" i="9"/>
  <c r="Q80" i="9" s="1"/>
  <c r="G15" i="9"/>
  <c r="P113" i="9" s="1"/>
  <c r="F15" i="9"/>
  <c r="O113" i="9" s="1"/>
  <c r="E15" i="9"/>
  <c r="D15" i="9"/>
  <c r="D14" i="9" s="1"/>
  <c r="F14" i="9"/>
  <c r="E14" i="9"/>
  <c r="E33" i="9" s="1"/>
  <c r="B133" i="8"/>
  <c r="T130" i="8"/>
  <c r="K130" i="8"/>
  <c r="J130" i="8"/>
  <c r="I130" i="8"/>
  <c r="H130" i="8"/>
  <c r="G130" i="8"/>
  <c r="G130" i="7" s="1"/>
  <c r="F130" i="8"/>
  <c r="F130" i="7" s="1"/>
  <c r="E130" i="8"/>
  <c r="N130" i="8" s="1"/>
  <c r="D130" i="8"/>
  <c r="N129" i="8"/>
  <c r="K129" i="8"/>
  <c r="T129" i="8" s="1"/>
  <c r="J129" i="8"/>
  <c r="I129" i="8"/>
  <c r="R129" i="8" s="1"/>
  <c r="H129" i="8"/>
  <c r="G129" i="8"/>
  <c r="P129" i="8" s="1"/>
  <c r="F129" i="8"/>
  <c r="F129" i="7" s="1"/>
  <c r="E129" i="8"/>
  <c r="D129" i="8"/>
  <c r="T128" i="8"/>
  <c r="K128" i="8"/>
  <c r="J128" i="8"/>
  <c r="I128" i="8"/>
  <c r="H128" i="8"/>
  <c r="G128" i="8"/>
  <c r="P128" i="8" s="1"/>
  <c r="F128" i="8"/>
  <c r="F128" i="7" s="1"/>
  <c r="E128" i="8"/>
  <c r="N128" i="8" s="1"/>
  <c r="D128" i="8"/>
  <c r="N127" i="8"/>
  <c r="K127" i="8"/>
  <c r="K127" i="7" s="1"/>
  <c r="T127" i="7" s="1"/>
  <c r="J127" i="8"/>
  <c r="I127" i="8"/>
  <c r="H127" i="8"/>
  <c r="G127" i="8"/>
  <c r="F127" i="8"/>
  <c r="F127" i="7" s="1"/>
  <c r="E127" i="8"/>
  <c r="D127" i="8"/>
  <c r="T126" i="8"/>
  <c r="K126" i="8"/>
  <c r="J126" i="8"/>
  <c r="I126" i="8"/>
  <c r="H126" i="8"/>
  <c r="G126" i="8"/>
  <c r="G126" i="7" s="1"/>
  <c r="F126" i="8"/>
  <c r="F126" i="7" s="1"/>
  <c r="E126" i="8"/>
  <c r="N126" i="8" s="1"/>
  <c r="D126" i="8"/>
  <c r="J125" i="8"/>
  <c r="I125" i="8"/>
  <c r="H125" i="8"/>
  <c r="D125" i="8"/>
  <c r="T124" i="8"/>
  <c r="K124" i="8"/>
  <c r="J124" i="8"/>
  <c r="I124" i="8"/>
  <c r="H124" i="8"/>
  <c r="G124" i="8"/>
  <c r="P124" i="8" s="1"/>
  <c r="F124" i="8"/>
  <c r="F124" i="7" s="1"/>
  <c r="E124" i="8"/>
  <c r="N124" i="8" s="1"/>
  <c r="D124" i="8"/>
  <c r="N123" i="8"/>
  <c r="K123" i="8"/>
  <c r="K123" i="7" s="1"/>
  <c r="T123" i="7" s="1"/>
  <c r="J123" i="8"/>
  <c r="I123" i="8"/>
  <c r="H123" i="8"/>
  <c r="G123" i="8"/>
  <c r="F123" i="8"/>
  <c r="F123" i="7" s="1"/>
  <c r="E123" i="8"/>
  <c r="D123" i="8"/>
  <c r="T122" i="8"/>
  <c r="K122" i="8"/>
  <c r="J122" i="8"/>
  <c r="I122" i="8"/>
  <c r="H122" i="8"/>
  <c r="G122" i="8"/>
  <c r="P122" i="8" s="1"/>
  <c r="F122" i="8"/>
  <c r="F122" i="7" s="1"/>
  <c r="E122" i="8"/>
  <c r="N122" i="8" s="1"/>
  <c r="D122" i="8"/>
  <c r="J121" i="8"/>
  <c r="I121" i="8"/>
  <c r="H121" i="8"/>
  <c r="D121" i="8"/>
  <c r="H120" i="8"/>
  <c r="N119" i="8"/>
  <c r="K119" i="8"/>
  <c r="T119" i="8" s="1"/>
  <c r="J119" i="8"/>
  <c r="I119" i="8"/>
  <c r="H119" i="8"/>
  <c r="G119" i="8"/>
  <c r="F119" i="8"/>
  <c r="F119" i="7" s="1"/>
  <c r="E119" i="8"/>
  <c r="D119" i="8"/>
  <c r="T118" i="8"/>
  <c r="K118" i="8"/>
  <c r="J118" i="8"/>
  <c r="I118" i="8"/>
  <c r="H118" i="8"/>
  <c r="G118" i="8"/>
  <c r="P118" i="8" s="1"/>
  <c r="F118" i="8"/>
  <c r="F118" i="7" s="1"/>
  <c r="E118" i="8"/>
  <c r="N118" i="8" s="1"/>
  <c r="D118" i="8"/>
  <c r="N117" i="8"/>
  <c r="K117" i="8"/>
  <c r="T117" i="8" s="1"/>
  <c r="J117" i="8"/>
  <c r="I117" i="8"/>
  <c r="R117" i="8" s="1"/>
  <c r="H117" i="8"/>
  <c r="G117" i="8"/>
  <c r="P117" i="8" s="1"/>
  <c r="F117" i="8"/>
  <c r="F117" i="7" s="1"/>
  <c r="E117" i="8"/>
  <c r="D117" i="8"/>
  <c r="T116" i="8"/>
  <c r="K116" i="8"/>
  <c r="J116" i="8"/>
  <c r="I116" i="8"/>
  <c r="H116" i="8"/>
  <c r="G116" i="8"/>
  <c r="P116" i="8" s="1"/>
  <c r="F116" i="8"/>
  <c r="F116" i="7" s="1"/>
  <c r="E116" i="8"/>
  <c r="N116" i="8" s="1"/>
  <c r="D116" i="8"/>
  <c r="N115" i="8"/>
  <c r="K115" i="8"/>
  <c r="T115" i="8" s="1"/>
  <c r="J115" i="8"/>
  <c r="I115" i="8"/>
  <c r="H115" i="8"/>
  <c r="G115" i="8"/>
  <c r="F115" i="8"/>
  <c r="F115" i="7" s="1"/>
  <c r="E115" i="8"/>
  <c r="D115" i="8"/>
  <c r="T114" i="8"/>
  <c r="K114" i="8"/>
  <c r="J114" i="8"/>
  <c r="I114" i="8"/>
  <c r="H114" i="8"/>
  <c r="G114" i="8"/>
  <c r="G114" i="7" s="1"/>
  <c r="F114" i="8"/>
  <c r="E114" i="8"/>
  <c r="N114" i="8" s="1"/>
  <c r="D114" i="8"/>
  <c r="N113" i="8"/>
  <c r="K113" i="8"/>
  <c r="T113" i="8" s="1"/>
  <c r="J113" i="8"/>
  <c r="I113" i="8"/>
  <c r="R113" i="8" s="1"/>
  <c r="H113" i="8"/>
  <c r="G113" i="8"/>
  <c r="P113" i="8" s="1"/>
  <c r="F113" i="8"/>
  <c r="E113" i="8"/>
  <c r="D113" i="8"/>
  <c r="H112" i="8"/>
  <c r="H132" i="8" s="1"/>
  <c r="F112" i="8"/>
  <c r="F131" i="8" s="1"/>
  <c r="E112" i="8"/>
  <c r="N112" i="8" s="1"/>
  <c r="B100" i="8"/>
  <c r="K97" i="8"/>
  <c r="T97" i="8" s="1"/>
  <c r="J97" i="8"/>
  <c r="S97" i="8" s="1"/>
  <c r="I97" i="8"/>
  <c r="H97" i="8"/>
  <c r="Q97" i="8" s="1"/>
  <c r="G97" i="8"/>
  <c r="P97" i="8" s="1"/>
  <c r="F97" i="8"/>
  <c r="O97" i="8" s="1"/>
  <c r="E97" i="8"/>
  <c r="D97" i="8"/>
  <c r="Q96" i="8"/>
  <c r="K96" i="8"/>
  <c r="T96" i="8" s="1"/>
  <c r="J96" i="8"/>
  <c r="I96" i="8"/>
  <c r="H96" i="8"/>
  <c r="G96" i="8"/>
  <c r="F96" i="8"/>
  <c r="O96" i="8" s="1"/>
  <c r="E96" i="8"/>
  <c r="N96" i="8" s="1"/>
  <c r="D96" i="8"/>
  <c r="M96" i="8" s="1"/>
  <c r="K95" i="8"/>
  <c r="T95" i="8" s="1"/>
  <c r="J95" i="8"/>
  <c r="I95" i="8"/>
  <c r="H95" i="8"/>
  <c r="Q95" i="8" s="1"/>
  <c r="G95" i="8"/>
  <c r="F95" i="8"/>
  <c r="E95" i="8"/>
  <c r="N95" i="8" s="1"/>
  <c r="D95" i="8"/>
  <c r="M95" i="8" s="1"/>
  <c r="P94" i="8"/>
  <c r="M94" i="8"/>
  <c r="K94" i="8"/>
  <c r="T94" i="8" s="1"/>
  <c r="J94" i="8"/>
  <c r="I94" i="8"/>
  <c r="H94" i="8"/>
  <c r="G94" i="8"/>
  <c r="G92" i="8" s="1"/>
  <c r="F94" i="8"/>
  <c r="F92" i="8" s="1"/>
  <c r="E94" i="8"/>
  <c r="N94" i="8" s="1"/>
  <c r="D94" i="8"/>
  <c r="K93" i="8"/>
  <c r="T93" i="8" s="1"/>
  <c r="J93" i="8"/>
  <c r="S93" i="8" s="1"/>
  <c r="I93" i="8"/>
  <c r="H93" i="8"/>
  <c r="Q93" i="8" s="1"/>
  <c r="G93" i="8"/>
  <c r="P93" i="8" s="1"/>
  <c r="F93" i="8"/>
  <c r="O93" i="8" s="1"/>
  <c r="E93" i="8"/>
  <c r="N93" i="8" s="1"/>
  <c r="D93" i="8"/>
  <c r="I92" i="8"/>
  <c r="E92" i="8"/>
  <c r="N92" i="8" s="1"/>
  <c r="D92" i="8"/>
  <c r="K91" i="8"/>
  <c r="T91" i="8" s="1"/>
  <c r="J91" i="8"/>
  <c r="S91" i="8" s="1"/>
  <c r="I91" i="8"/>
  <c r="H91" i="8"/>
  <c r="Q91" i="8" s="1"/>
  <c r="G91" i="8"/>
  <c r="F91" i="8"/>
  <c r="E91" i="8"/>
  <c r="N91" i="8" s="1"/>
  <c r="D91" i="8"/>
  <c r="M91" i="8" s="1"/>
  <c r="P90" i="8"/>
  <c r="M90" i="8"/>
  <c r="K90" i="8"/>
  <c r="T90" i="8" s="1"/>
  <c r="J90" i="8"/>
  <c r="I90" i="8"/>
  <c r="H90" i="8"/>
  <c r="G90" i="8"/>
  <c r="G88" i="8" s="1"/>
  <c r="F90" i="8"/>
  <c r="F88" i="8" s="1"/>
  <c r="E90" i="8"/>
  <c r="N90" i="8" s="1"/>
  <c r="D90" i="8"/>
  <c r="K89" i="8"/>
  <c r="T89" i="8" s="1"/>
  <c r="J89" i="8"/>
  <c r="S89" i="8" s="1"/>
  <c r="I89" i="8"/>
  <c r="H89" i="8"/>
  <c r="Q89" i="8" s="1"/>
  <c r="G89" i="8"/>
  <c r="P89" i="8" s="1"/>
  <c r="F89" i="8"/>
  <c r="O89" i="8" s="1"/>
  <c r="E89" i="8"/>
  <c r="N89" i="8" s="1"/>
  <c r="D89" i="8"/>
  <c r="I88" i="8"/>
  <c r="E88" i="8"/>
  <c r="N88" i="8" s="1"/>
  <c r="D88" i="8"/>
  <c r="I87" i="8"/>
  <c r="P86" i="8"/>
  <c r="M86" i="8"/>
  <c r="K86" i="8"/>
  <c r="T86" i="8" s="1"/>
  <c r="J86" i="8"/>
  <c r="I86" i="8"/>
  <c r="H86" i="8"/>
  <c r="G86" i="8"/>
  <c r="G86" i="7" s="1"/>
  <c r="F86" i="8"/>
  <c r="F86" i="7" s="1"/>
  <c r="E86" i="8"/>
  <c r="N86" i="8" s="1"/>
  <c r="D86" i="8"/>
  <c r="K85" i="8"/>
  <c r="T85" i="8" s="1"/>
  <c r="J85" i="8"/>
  <c r="S85" i="8" s="1"/>
  <c r="I85" i="8"/>
  <c r="H85" i="8"/>
  <c r="Q85" i="8" s="1"/>
  <c r="G85" i="8"/>
  <c r="P85" i="8" s="1"/>
  <c r="F85" i="8"/>
  <c r="O85" i="8" s="1"/>
  <c r="E85" i="8"/>
  <c r="N85" i="8" s="1"/>
  <c r="D85" i="8"/>
  <c r="Q84" i="8"/>
  <c r="P84" i="8"/>
  <c r="K84" i="8"/>
  <c r="T84" i="8" s="1"/>
  <c r="J84" i="8"/>
  <c r="I84" i="8"/>
  <c r="H84" i="8"/>
  <c r="G84" i="8"/>
  <c r="F84" i="8"/>
  <c r="O84" i="8" s="1"/>
  <c r="E84" i="8"/>
  <c r="N84" i="8" s="1"/>
  <c r="D84" i="8"/>
  <c r="M84" i="8" s="1"/>
  <c r="K83" i="8"/>
  <c r="T83" i="8" s="1"/>
  <c r="J83" i="8"/>
  <c r="S83" i="8" s="1"/>
  <c r="I83" i="8"/>
  <c r="H83" i="8"/>
  <c r="Q83" i="8" s="1"/>
  <c r="G83" i="8"/>
  <c r="F83" i="8"/>
  <c r="E83" i="8"/>
  <c r="N83" i="8" s="1"/>
  <c r="D83" i="8"/>
  <c r="M83" i="8" s="1"/>
  <c r="Q82" i="8"/>
  <c r="O82" i="8"/>
  <c r="K82" i="8"/>
  <c r="T82" i="8" s="1"/>
  <c r="J82" i="8"/>
  <c r="I82" i="8"/>
  <c r="H82" i="8"/>
  <c r="G82" i="8"/>
  <c r="P82" i="8" s="1"/>
  <c r="F82" i="8"/>
  <c r="E82" i="8"/>
  <c r="N82" i="8" s="1"/>
  <c r="D82" i="8"/>
  <c r="K81" i="8"/>
  <c r="T81" i="8" s="1"/>
  <c r="J81" i="8"/>
  <c r="S81" i="8" s="1"/>
  <c r="I81" i="8"/>
  <c r="H81" i="8"/>
  <c r="Q81" i="8" s="1"/>
  <c r="G81" i="8"/>
  <c r="F81" i="8"/>
  <c r="E81" i="8"/>
  <c r="N81" i="8" s="1"/>
  <c r="D81" i="8"/>
  <c r="M81" i="8" s="1"/>
  <c r="K80" i="8"/>
  <c r="T80" i="8" s="1"/>
  <c r="J80" i="8"/>
  <c r="S80" i="8" s="1"/>
  <c r="I80" i="8"/>
  <c r="H80" i="8"/>
  <c r="Q80" i="8" s="1"/>
  <c r="G80" i="8"/>
  <c r="P80" i="8" s="1"/>
  <c r="F80" i="8"/>
  <c r="O80" i="8" s="1"/>
  <c r="E80" i="8"/>
  <c r="N80" i="8" s="1"/>
  <c r="D80" i="8"/>
  <c r="M80" i="8" s="1"/>
  <c r="I79" i="8"/>
  <c r="I99" i="8" s="1"/>
  <c r="B68" i="8"/>
  <c r="M65" i="8"/>
  <c r="K65" i="8"/>
  <c r="T65" i="8" s="1"/>
  <c r="J65" i="8"/>
  <c r="I65" i="8"/>
  <c r="R65" i="8" s="1"/>
  <c r="H65" i="8"/>
  <c r="G65" i="8"/>
  <c r="F65" i="8"/>
  <c r="O65" i="8" s="1"/>
  <c r="E65" i="8"/>
  <c r="N65" i="8" s="1"/>
  <c r="D65" i="8"/>
  <c r="N64" i="8"/>
  <c r="K64" i="8"/>
  <c r="T64" i="8" s="1"/>
  <c r="J64" i="8"/>
  <c r="I64" i="8"/>
  <c r="R64" i="8" s="1"/>
  <c r="H64" i="8"/>
  <c r="Q64" i="8" s="1"/>
  <c r="G64" i="8"/>
  <c r="P64" i="8" s="1"/>
  <c r="F64" i="8"/>
  <c r="E64" i="8"/>
  <c r="D64" i="8"/>
  <c r="T63" i="8"/>
  <c r="K63" i="8"/>
  <c r="J63" i="8"/>
  <c r="I63" i="8"/>
  <c r="R63" i="8" s="1"/>
  <c r="H63" i="8"/>
  <c r="Q63" i="8" s="1"/>
  <c r="G63" i="8"/>
  <c r="P63" i="8" s="1"/>
  <c r="F63" i="8"/>
  <c r="E63" i="8"/>
  <c r="N63" i="8" s="1"/>
  <c r="D63" i="8"/>
  <c r="T62" i="8"/>
  <c r="R62" i="8"/>
  <c r="K62" i="8"/>
  <c r="J62" i="8"/>
  <c r="I62" i="8"/>
  <c r="H62" i="8"/>
  <c r="G62" i="8"/>
  <c r="P62" i="8" s="1"/>
  <c r="F62" i="8"/>
  <c r="E62" i="8"/>
  <c r="N62" i="8" s="1"/>
  <c r="D62" i="8"/>
  <c r="T61" i="8"/>
  <c r="P61" i="8"/>
  <c r="N61" i="8"/>
  <c r="K61" i="8"/>
  <c r="J61" i="8"/>
  <c r="I61" i="8"/>
  <c r="H61" i="8"/>
  <c r="H60" i="8" s="1"/>
  <c r="G61" i="8"/>
  <c r="G60" i="8" s="1"/>
  <c r="F61" i="8"/>
  <c r="E61" i="8"/>
  <c r="E60" i="8" s="1"/>
  <c r="N60" i="8" s="1"/>
  <c r="D61" i="8"/>
  <c r="K60" i="8"/>
  <c r="T60" i="8" s="1"/>
  <c r="J60" i="8"/>
  <c r="D60" i="8"/>
  <c r="T59" i="8"/>
  <c r="Q59" i="8"/>
  <c r="N59" i="8"/>
  <c r="K59" i="8"/>
  <c r="J59" i="8"/>
  <c r="S59" i="8" s="1"/>
  <c r="I59" i="8"/>
  <c r="R59" i="8" s="1"/>
  <c r="H59" i="8"/>
  <c r="G59" i="8"/>
  <c r="P59" i="8" s="1"/>
  <c r="F59" i="8"/>
  <c r="E59" i="8"/>
  <c r="D59" i="8"/>
  <c r="Q58" i="8"/>
  <c r="N58" i="8"/>
  <c r="K58" i="8"/>
  <c r="T58" i="8" s="1"/>
  <c r="J58" i="8"/>
  <c r="I58" i="8"/>
  <c r="H58" i="8"/>
  <c r="H56" i="8" s="1"/>
  <c r="G58" i="8"/>
  <c r="P58" i="8" s="1"/>
  <c r="F58" i="8"/>
  <c r="O58" i="8" s="1"/>
  <c r="E58" i="8"/>
  <c r="D58" i="8"/>
  <c r="M57" i="8"/>
  <c r="K57" i="8"/>
  <c r="T57" i="8" s="1"/>
  <c r="J57" i="8"/>
  <c r="I57" i="8"/>
  <c r="R57" i="8" s="1"/>
  <c r="H57" i="8"/>
  <c r="G57" i="8"/>
  <c r="F57" i="8"/>
  <c r="O57" i="8" s="1"/>
  <c r="E57" i="8"/>
  <c r="N57" i="8" s="1"/>
  <c r="D57" i="8"/>
  <c r="K56" i="8"/>
  <c r="T56" i="8" s="1"/>
  <c r="J56" i="8"/>
  <c r="D56" i="8"/>
  <c r="J55" i="8"/>
  <c r="D55" i="8"/>
  <c r="T54" i="8"/>
  <c r="R54" i="8"/>
  <c r="K54" i="8"/>
  <c r="J54" i="8"/>
  <c r="I54" i="8"/>
  <c r="H54" i="8"/>
  <c r="G54" i="8"/>
  <c r="P54" i="8" s="1"/>
  <c r="F54" i="8"/>
  <c r="E54" i="8"/>
  <c r="N54" i="8" s="1"/>
  <c r="D54" i="8"/>
  <c r="T53" i="8"/>
  <c r="P53" i="8"/>
  <c r="N53" i="8"/>
  <c r="K53" i="8"/>
  <c r="J53" i="8"/>
  <c r="I53" i="8"/>
  <c r="H53" i="8"/>
  <c r="G53" i="8"/>
  <c r="F53" i="8"/>
  <c r="E53" i="8"/>
  <c r="D53" i="8"/>
  <c r="Q52" i="8"/>
  <c r="K52" i="8"/>
  <c r="T52" i="8" s="1"/>
  <c r="J52" i="8"/>
  <c r="S52" i="8" s="1"/>
  <c r="I52" i="8"/>
  <c r="R52" i="8" s="1"/>
  <c r="H52" i="8"/>
  <c r="G52" i="8"/>
  <c r="F52" i="8"/>
  <c r="E52" i="8"/>
  <c r="N52" i="8" s="1"/>
  <c r="D52" i="8"/>
  <c r="T51" i="8"/>
  <c r="Q51" i="8"/>
  <c r="N51" i="8"/>
  <c r="K51" i="8"/>
  <c r="J51" i="8"/>
  <c r="S51" i="8" s="1"/>
  <c r="I51" i="8"/>
  <c r="I47" i="8" s="1"/>
  <c r="H51" i="8"/>
  <c r="G51" i="8"/>
  <c r="P51" i="8" s="1"/>
  <c r="F51" i="8"/>
  <c r="E51" i="8"/>
  <c r="D51" i="8"/>
  <c r="Q50" i="8"/>
  <c r="N50" i="8"/>
  <c r="K50" i="8"/>
  <c r="T50" i="8" s="1"/>
  <c r="J50" i="8"/>
  <c r="I50" i="8"/>
  <c r="H50" i="8"/>
  <c r="H47" i="8" s="1"/>
  <c r="G50" i="8"/>
  <c r="P50" i="8" s="1"/>
  <c r="F50" i="8"/>
  <c r="O50" i="8" s="1"/>
  <c r="E50" i="8"/>
  <c r="D50" i="8"/>
  <c r="M49" i="8"/>
  <c r="K49" i="8"/>
  <c r="T49" i="8" s="1"/>
  <c r="J49" i="8"/>
  <c r="I49" i="8"/>
  <c r="R49" i="8" s="1"/>
  <c r="H49" i="8"/>
  <c r="G49" i="8"/>
  <c r="F49" i="8"/>
  <c r="O49" i="8" s="1"/>
  <c r="E49" i="8"/>
  <c r="N49" i="8" s="1"/>
  <c r="D49" i="8"/>
  <c r="N48" i="8"/>
  <c r="K48" i="8"/>
  <c r="T48" i="8" s="1"/>
  <c r="J48" i="8"/>
  <c r="I48" i="8"/>
  <c r="R48" i="8" s="1"/>
  <c r="H48" i="8"/>
  <c r="Q48" i="8" s="1"/>
  <c r="G48" i="8"/>
  <c r="P48" i="8" s="1"/>
  <c r="F48" i="8"/>
  <c r="E48" i="8"/>
  <c r="D48" i="8"/>
  <c r="J47" i="8"/>
  <c r="D47" i="8"/>
  <c r="D67" i="8" s="1"/>
  <c r="B35" i="8"/>
  <c r="K32" i="8"/>
  <c r="J32" i="8"/>
  <c r="S65" i="8" s="1"/>
  <c r="I32" i="8"/>
  <c r="R97" i="8" s="1"/>
  <c r="H32" i="8"/>
  <c r="Q130" i="8" s="1"/>
  <c r="G32" i="8"/>
  <c r="P65" i="8" s="1"/>
  <c r="F32" i="8"/>
  <c r="O130" i="8" s="1"/>
  <c r="E32" i="8"/>
  <c r="D32" i="8"/>
  <c r="M97" i="8" s="1"/>
  <c r="K31" i="8"/>
  <c r="J31" i="8"/>
  <c r="S64" i="8" s="1"/>
  <c r="I31" i="8"/>
  <c r="R96" i="8" s="1"/>
  <c r="H31" i="8"/>
  <c r="Q129" i="8" s="1"/>
  <c r="G31" i="8"/>
  <c r="P96" i="8" s="1"/>
  <c r="F31" i="8"/>
  <c r="O129" i="8" s="1"/>
  <c r="E31" i="8"/>
  <c r="D31" i="8"/>
  <c r="M64" i="8" s="1"/>
  <c r="K30" i="8"/>
  <c r="J30" i="8"/>
  <c r="S63" i="8" s="1"/>
  <c r="I30" i="8"/>
  <c r="R95" i="8" s="1"/>
  <c r="H30" i="8"/>
  <c r="Q128" i="8" s="1"/>
  <c r="G30" i="8"/>
  <c r="F30" i="8"/>
  <c r="O128" i="8" s="1"/>
  <c r="E30" i="8"/>
  <c r="D30" i="8"/>
  <c r="M63" i="8" s="1"/>
  <c r="K29" i="8"/>
  <c r="J29" i="8"/>
  <c r="S62" i="8" s="1"/>
  <c r="I29" i="8"/>
  <c r="R94" i="8" s="1"/>
  <c r="H29" i="8"/>
  <c r="Q127" i="8" s="1"/>
  <c r="G29" i="8"/>
  <c r="P127" i="8" s="1"/>
  <c r="F29" i="8"/>
  <c r="E29" i="8"/>
  <c r="D29" i="8"/>
  <c r="M62" i="8" s="1"/>
  <c r="K28" i="8"/>
  <c r="J28" i="8"/>
  <c r="S61" i="8" s="1"/>
  <c r="I28" i="8"/>
  <c r="R93" i="8" s="1"/>
  <c r="H28" i="8"/>
  <c r="Q126" i="8" s="1"/>
  <c r="G28" i="8"/>
  <c r="F28" i="8"/>
  <c r="E28" i="8"/>
  <c r="D28" i="8"/>
  <c r="M61" i="8" s="1"/>
  <c r="K27" i="8"/>
  <c r="E27" i="8"/>
  <c r="K26" i="8"/>
  <c r="J26" i="8"/>
  <c r="I26" i="8"/>
  <c r="R91" i="8" s="1"/>
  <c r="H26" i="8"/>
  <c r="Q124" i="8" s="1"/>
  <c r="G26" i="8"/>
  <c r="P91" i="8" s="1"/>
  <c r="F26" i="8"/>
  <c r="O124" i="8" s="1"/>
  <c r="E26" i="8"/>
  <c r="D26" i="8"/>
  <c r="D23" i="8" s="1"/>
  <c r="K25" i="8"/>
  <c r="J25" i="8"/>
  <c r="I25" i="8"/>
  <c r="R90" i="8" s="1"/>
  <c r="H25" i="8"/>
  <c r="Q123" i="8" s="1"/>
  <c r="G25" i="8"/>
  <c r="P123" i="8" s="1"/>
  <c r="F25" i="8"/>
  <c r="O123" i="8" s="1"/>
  <c r="E25" i="8"/>
  <c r="D25" i="8"/>
  <c r="M58" i="8" s="1"/>
  <c r="K24" i="8"/>
  <c r="J24" i="8"/>
  <c r="I24" i="8"/>
  <c r="R89" i="8" s="1"/>
  <c r="H24" i="8"/>
  <c r="Q122" i="8" s="1"/>
  <c r="G24" i="8"/>
  <c r="P57" i="8" s="1"/>
  <c r="F24" i="8"/>
  <c r="O122" i="8" s="1"/>
  <c r="E24" i="8"/>
  <c r="D24" i="8"/>
  <c r="M89" i="8" s="1"/>
  <c r="K23" i="8"/>
  <c r="G23" i="8"/>
  <c r="F23" i="8"/>
  <c r="E23" i="8"/>
  <c r="K22" i="8"/>
  <c r="E22" i="8"/>
  <c r="K21" i="8"/>
  <c r="J21" i="8"/>
  <c r="I21" i="8"/>
  <c r="R86" i="8" s="1"/>
  <c r="H21" i="8"/>
  <c r="Q119" i="8" s="1"/>
  <c r="G21" i="8"/>
  <c r="P119" i="8" s="1"/>
  <c r="F21" i="8"/>
  <c r="E21" i="8"/>
  <c r="D21" i="8"/>
  <c r="M54" i="8" s="1"/>
  <c r="K20" i="8"/>
  <c r="J20" i="8"/>
  <c r="I20" i="8"/>
  <c r="R85" i="8" s="1"/>
  <c r="H20" i="8"/>
  <c r="Q118" i="8" s="1"/>
  <c r="G20" i="8"/>
  <c r="F20" i="8"/>
  <c r="E20" i="8"/>
  <c r="D20" i="8"/>
  <c r="M53" i="8" s="1"/>
  <c r="K19" i="8"/>
  <c r="J19" i="8"/>
  <c r="I19" i="8"/>
  <c r="R84" i="8" s="1"/>
  <c r="H19" i="8"/>
  <c r="Q117" i="8" s="1"/>
  <c r="G19" i="8"/>
  <c r="P52" i="8" s="1"/>
  <c r="F19" i="8"/>
  <c r="O117" i="8" s="1"/>
  <c r="E19" i="8"/>
  <c r="D19" i="8"/>
  <c r="K18" i="8"/>
  <c r="J18" i="8"/>
  <c r="I18" i="8"/>
  <c r="R83" i="8" s="1"/>
  <c r="H18" i="8"/>
  <c r="Q116" i="8" s="1"/>
  <c r="G18" i="8"/>
  <c r="P83" i="8" s="1"/>
  <c r="F18" i="8"/>
  <c r="O116" i="8" s="1"/>
  <c r="E18" i="8"/>
  <c r="D18" i="8"/>
  <c r="M51" i="8" s="1"/>
  <c r="K17" i="8"/>
  <c r="J17" i="8"/>
  <c r="S82" i="8" s="1"/>
  <c r="I17" i="8"/>
  <c r="R82" i="8" s="1"/>
  <c r="H17" i="8"/>
  <c r="Q115" i="8" s="1"/>
  <c r="G17" i="8"/>
  <c r="P115" i="8" s="1"/>
  <c r="F17" i="8"/>
  <c r="E17" i="8"/>
  <c r="D17" i="8"/>
  <c r="M82" i="8" s="1"/>
  <c r="K16" i="8"/>
  <c r="J16" i="8"/>
  <c r="I16" i="8"/>
  <c r="R81" i="8" s="1"/>
  <c r="H16" i="8"/>
  <c r="Q114" i="8" s="1"/>
  <c r="G16" i="8"/>
  <c r="P81" i="8" s="1"/>
  <c r="F16" i="8"/>
  <c r="O81" i="8" s="1"/>
  <c r="E16" i="8"/>
  <c r="D16" i="8"/>
  <c r="K15" i="8"/>
  <c r="J15" i="8"/>
  <c r="I15" i="8"/>
  <c r="R80" i="8" s="1"/>
  <c r="H15" i="8"/>
  <c r="Q113" i="8" s="1"/>
  <c r="G15" i="8"/>
  <c r="F15" i="8"/>
  <c r="O113" i="8" s="1"/>
  <c r="E15" i="8"/>
  <c r="D15" i="8"/>
  <c r="M48" i="8" s="1"/>
  <c r="K14" i="8"/>
  <c r="E14" i="8"/>
  <c r="E34" i="8" s="1"/>
  <c r="E33" i="8" s="1"/>
  <c r="E47" i="13" s="1"/>
  <c r="D14" i="8"/>
  <c r="M47" i="8" s="1"/>
  <c r="B133" i="7"/>
  <c r="K130" i="7"/>
  <c r="T130" i="7" s="1"/>
  <c r="J130" i="7"/>
  <c r="I130" i="7"/>
  <c r="H130" i="7"/>
  <c r="E130" i="7"/>
  <c r="R129" i="7"/>
  <c r="K129" i="7"/>
  <c r="T129" i="7" s="1"/>
  <c r="J129" i="7"/>
  <c r="I129" i="7"/>
  <c r="H129" i="7"/>
  <c r="G129" i="7"/>
  <c r="E129" i="7"/>
  <c r="K128" i="7"/>
  <c r="T128" i="7" s="1"/>
  <c r="J128" i="7"/>
  <c r="I128" i="7"/>
  <c r="R128" i="7" s="1"/>
  <c r="H128" i="7"/>
  <c r="G128" i="7"/>
  <c r="E128" i="7"/>
  <c r="R127" i="7"/>
  <c r="J127" i="7"/>
  <c r="I127" i="7"/>
  <c r="H127" i="7"/>
  <c r="G127" i="7"/>
  <c r="E127" i="7"/>
  <c r="E125" i="7" s="1"/>
  <c r="K126" i="7"/>
  <c r="J126" i="7"/>
  <c r="I126" i="7"/>
  <c r="I125" i="7" s="1"/>
  <c r="R125" i="7" s="1"/>
  <c r="H126" i="7"/>
  <c r="E126" i="7"/>
  <c r="H125" i="7"/>
  <c r="G125" i="7"/>
  <c r="K124" i="7"/>
  <c r="J124" i="7"/>
  <c r="I124" i="7"/>
  <c r="R124" i="7" s="1"/>
  <c r="H124" i="7"/>
  <c r="G124" i="7"/>
  <c r="E124" i="7"/>
  <c r="J123" i="7"/>
  <c r="J121" i="7" s="1"/>
  <c r="I123" i="7"/>
  <c r="R123" i="7" s="1"/>
  <c r="H123" i="7"/>
  <c r="G123" i="7"/>
  <c r="E123" i="7"/>
  <c r="K122" i="7"/>
  <c r="J122" i="7"/>
  <c r="I122" i="7"/>
  <c r="H122" i="7"/>
  <c r="G122" i="7"/>
  <c r="G121" i="7" s="1"/>
  <c r="E122" i="7"/>
  <c r="K121" i="7"/>
  <c r="K119" i="7"/>
  <c r="T119" i="7" s="1"/>
  <c r="J119" i="7"/>
  <c r="I119" i="7"/>
  <c r="H119" i="7"/>
  <c r="G119" i="7"/>
  <c r="E119" i="7"/>
  <c r="N119" i="7" s="1"/>
  <c r="D119" i="7"/>
  <c r="M119" i="7" s="1"/>
  <c r="K118" i="7"/>
  <c r="T118" i="7" s="1"/>
  <c r="J118" i="7"/>
  <c r="I118" i="7"/>
  <c r="H118" i="7"/>
  <c r="G118" i="7"/>
  <c r="E118" i="7"/>
  <c r="D118" i="7"/>
  <c r="K117" i="7"/>
  <c r="J117" i="7"/>
  <c r="I117" i="7"/>
  <c r="I112" i="7" s="1"/>
  <c r="H117" i="7"/>
  <c r="G117" i="7"/>
  <c r="E117" i="7"/>
  <c r="D117" i="7"/>
  <c r="M117" i="7" s="1"/>
  <c r="K116" i="7"/>
  <c r="J116" i="7"/>
  <c r="I116" i="7"/>
  <c r="H116" i="7"/>
  <c r="G116" i="7"/>
  <c r="E116" i="7"/>
  <c r="D116" i="7"/>
  <c r="K115" i="7"/>
  <c r="J115" i="7"/>
  <c r="I115" i="7"/>
  <c r="H115" i="7"/>
  <c r="G115" i="7"/>
  <c r="E115" i="7"/>
  <c r="D115" i="7"/>
  <c r="K114" i="7"/>
  <c r="J114" i="7"/>
  <c r="I114" i="7"/>
  <c r="H114" i="7"/>
  <c r="F114" i="7"/>
  <c r="E114" i="7"/>
  <c r="D114" i="7"/>
  <c r="K113" i="7"/>
  <c r="J113" i="7"/>
  <c r="S113" i="7" s="1"/>
  <c r="I113" i="7"/>
  <c r="H113" i="7"/>
  <c r="G113" i="7"/>
  <c r="F113" i="7"/>
  <c r="E113" i="7"/>
  <c r="D113" i="7"/>
  <c r="F112" i="7"/>
  <c r="B100" i="7"/>
  <c r="N97" i="7"/>
  <c r="K97" i="7"/>
  <c r="T97" i="7" s="1"/>
  <c r="J97" i="7"/>
  <c r="I97" i="7"/>
  <c r="H97" i="7"/>
  <c r="Q97" i="7" s="1"/>
  <c r="G97" i="7"/>
  <c r="F97" i="7"/>
  <c r="E97" i="7"/>
  <c r="D97" i="7"/>
  <c r="M97" i="7" s="1"/>
  <c r="M96" i="7"/>
  <c r="K96" i="7"/>
  <c r="T96" i="7" s="1"/>
  <c r="J96" i="7"/>
  <c r="S96" i="7" s="1"/>
  <c r="I96" i="7"/>
  <c r="H96" i="7"/>
  <c r="Q96" i="7" s="1"/>
  <c r="G96" i="7"/>
  <c r="F96" i="7"/>
  <c r="O96" i="7" s="1"/>
  <c r="E96" i="7"/>
  <c r="D96" i="7"/>
  <c r="K95" i="7"/>
  <c r="T95" i="7" s="1"/>
  <c r="I95" i="7"/>
  <c r="H95" i="7"/>
  <c r="G95" i="7"/>
  <c r="F95" i="7"/>
  <c r="E95" i="7"/>
  <c r="D95" i="7"/>
  <c r="M94" i="7"/>
  <c r="K94" i="7"/>
  <c r="J94" i="7"/>
  <c r="I94" i="7"/>
  <c r="H94" i="7"/>
  <c r="G94" i="7"/>
  <c r="F94" i="7"/>
  <c r="E94" i="7"/>
  <c r="D94" i="7"/>
  <c r="K93" i="7"/>
  <c r="J93" i="7"/>
  <c r="I93" i="7"/>
  <c r="H93" i="7"/>
  <c r="G93" i="7"/>
  <c r="F93" i="7"/>
  <c r="E93" i="7"/>
  <c r="D93" i="7"/>
  <c r="H92" i="7"/>
  <c r="T91" i="7"/>
  <c r="K91" i="7"/>
  <c r="J91" i="7"/>
  <c r="I91" i="7"/>
  <c r="R91" i="7" s="1"/>
  <c r="H91" i="7"/>
  <c r="G91" i="7"/>
  <c r="F91" i="7"/>
  <c r="E91" i="7"/>
  <c r="D91" i="7"/>
  <c r="M91" i="7" s="1"/>
  <c r="Q90" i="7"/>
  <c r="K90" i="7"/>
  <c r="J90" i="7"/>
  <c r="I90" i="7"/>
  <c r="H90" i="7"/>
  <c r="G90" i="7"/>
  <c r="F90" i="7"/>
  <c r="E90" i="7"/>
  <c r="D90" i="7"/>
  <c r="Q89" i="7"/>
  <c r="K89" i="7"/>
  <c r="I89" i="7"/>
  <c r="H89" i="7"/>
  <c r="G89" i="7"/>
  <c r="F89" i="7"/>
  <c r="E89" i="7"/>
  <c r="D89" i="7"/>
  <c r="K88" i="7"/>
  <c r="F88" i="7"/>
  <c r="D88" i="7"/>
  <c r="T86" i="7"/>
  <c r="K86" i="7"/>
  <c r="J86" i="7"/>
  <c r="I86" i="7"/>
  <c r="H86" i="7"/>
  <c r="E86" i="7"/>
  <c r="D86" i="7"/>
  <c r="M86" i="7" s="1"/>
  <c r="S85" i="7"/>
  <c r="K85" i="7"/>
  <c r="T85" i="7" s="1"/>
  <c r="J85" i="7"/>
  <c r="I85" i="7"/>
  <c r="H85" i="7"/>
  <c r="G85" i="7"/>
  <c r="F85" i="7"/>
  <c r="E85" i="7"/>
  <c r="D85" i="7"/>
  <c r="K84" i="7"/>
  <c r="J84" i="7"/>
  <c r="S84" i="7" s="1"/>
  <c r="I84" i="7"/>
  <c r="H84" i="7"/>
  <c r="G84" i="7"/>
  <c r="E84" i="7"/>
  <c r="D84" i="7"/>
  <c r="K83" i="7"/>
  <c r="J83" i="7"/>
  <c r="S83" i="7" s="1"/>
  <c r="I83" i="7"/>
  <c r="H83" i="7"/>
  <c r="G83" i="7"/>
  <c r="F83" i="7"/>
  <c r="E83" i="7"/>
  <c r="D83" i="7"/>
  <c r="Q82" i="7"/>
  <c r="O82" i="7"/>
  <c r="K82" i="7"/>
  <c r="J82" i="7"/>
  <c r="I82" i="7"/>
  <c r="H82" i="7"/>
  <c r="G82" i="7"/>
  <c r="F82" i="7"/>
  <c r="E82" i="7"/>
  <c r="D82" i="7"/>
  <c r="K81" i="7"/>
  <c r="J81" i="7"/>
  <c r="I81" i="7"/>
  <c r="H81" i="7"/>
  <c r="G81" i="7"/>
  <c r="P81" i="7" s="1"/>
  <c r="F81" i="7"/>
  <c r="O81" i="7" s="1"/>
  <c r="E81" i="7"/>
  <c r="D81" i="7"/>
  <c r="M81" i="7" s="1"/>
  <c r="K80" i="7"/>
  <c r="J80" i="7"/>
  <c r="I80" i="7"/>
  <c r="H80" i="7"/>
  <c r="G80" i="7"/>
  <c r="F80" i="7"/>
  <c r="E80" i="7"/>
  <c r="D80" i="7"/>
  <c r="E79" i="7"/>
  <c r="B68" i="7"/>
  <c r="K65" i="7"/>
  <c r="T65" i="7" s="1"/>
  <c r="J65" i="7"/>
  <c r="I65" i="7"/>
  <c r="R65" i="7" s="1"/>
  <c r="H65" i="7"/>
  <c r="Q65" i="7" s="1"/>
  <c r="G65" i="7"/>
  <c r="P65" i="7" s="1"/>
  <c r="F65" i="7"/>
  <c r="O65" i="7" s="1"/>
  <c r="E65" i="7"/>
  <c r="N65" i="7" s="1"/>
  <c r="D65" i="7"/>
  <c r="M65" i="7" s="1"/>
  <c r="K64" i="7"/>
  <c r="T64" i="7" s="1"/>
  <c r="J64" i="7"/>
  <c r="I64" i="7"/>
  <c r="R64" i="7" s="1"/>
  <c r="H64" i="7"/>
  <c r="Q64" i="7" s="1"/>
  <c r="G64" i="7"/>
  <c r="F64" i="7"/>
  <c r="E64" i="7"/>
  <c r="D64" i="7"/>
  <c r="M64" i="7" s="1"/>
  <c r="K63" i="7"/>
  <c r="T63" i="7" s="1"/>
  <c r="J63" i="7"/>
  <c r="I63" i="7"/>
  <c r="R63" i="7" s="1"/>
  <c r="H63" i="7"/>
  <c r="Q63" i="7" s="1"/>
  <c r="G63" i="7"/>
  <c r="F63" i="7"/>
  <c r="O63" i="7" s="1"/>
  <c r="E63" i="7"/>
  <c r="N63" i="7" s="1"/>
  <c r="D63" i="7"/>
  <c r="M63" i="7" s="1"/>
  <c r="K62" i="7"/>
  <c r="T62" i="7" s="1"/>
  <c r="J62" i="7"/>
  <c r="I62" i="7"/>
  <c r="R62" i="7" s="1"/>
  <c r="H62" i="7"/>
  <c r="G62" i="7"/>
  <c r="F62" i="7"/>
  <c r="E62" i="7"/>
  <c r="N62" i="7" s="1"/>
  <c r="D62" i="7"/>
  <c r="M62" i="7" s="1"/>
  <c r="K61" i="7"/>
  <c r="T61" i="7" s="1"/>
  <c r="J61" i="7"/>
  <c r="I61" i="7"/>
  <c r="R61" i="7" s="1"/>
  <c r="H61" i="7"/>
  <c r="Q61" i="7" s="1"/>
  <c r="G61" i="7"/>
  <c r="P61" i="7" s="1"/>
  <c r="F61" i="7"/>
  <c r="E61" i="7"/>
  <c r="N61" i="7" s="1"/>
  <c r="D61" i="7"/>
  <c r="M61" i="7" s="1"/>
  <c r="J60" i="7"/>
  <c r="I60" i="7"/>
  <c r="R60" i="7" s="1"/>
  <c r="H60" i="7"/>
  <c r="G60" i="7"/>
  <c r="D60" i="7"/>
  <c r="M60" i="7" s="1"/>
  <c r="K59" i="7"/>
  <c r="T59" i="7" s="1"/>
  <c r="J59" i="7"/>
  <c r="I59" i="7"/>
  <c r="R59" i="7" s="1"/>
  <c r="H59" i="7"/>
  <c r="G59" i="7"/>
  <c r="F59" i="7"/>
  <c r="E59" i="7"/>
  <c r="D59" i="7"/>
  <c r="M59" i="7" s="1"/>
  <c r="K58" i="7"/>
  <c r="T58" i="7" s="1"/>
  <c r="J58" i="7"/>
  <c r="I58" i="7"/>
  <c r="R58" i="7" s="1"/>
  <c r="H58" i="7"/>
  <c r="G58" i="7"/>
  <c r="F58" i="7"/>
  <c r="O58" i="7" s="1"/>
  <c r="E58" i="7"/>
  <c r="N58" i="7" s="1"/>
  <c r="D58" i="7"/>
  <c r="N57" i="7"/>
  <c r="K57" i="7"/>
  <c r="T57" i="7" s="1"/>
  <c r="J57" i="7"/>
  <c r="I57" i="7"/>
  <c r="R57" i="7" s="1"/>
  <c r="H57" i="7"/>
  <c r="G57" i="7"/>
  <c r="F57" i="7"/>
  <c r="O57" i="7" s="1"/>
  <c r="E57" i="7"/>
  <c r="D57" i="7"/>
  <c r="J56" i="7"/>
  <c r="I56" i="7"/>
  <c r="R56" i="7" s="1"/>
  <c r="H56" i="7"/>
  <c r="G56" i="7"/>
  <c r="E56" i="7"/>
  <c r="N56" i="7" s="1"/>
  <c r="D56" i="7"/>
  <c r="J55" i="7"/>
  <c r="I55" i="7"/>
  <c r="H55" i="7"/>
  <c r="G55" i="7"/>
  <c r="D55" i="7"/>
  <c r="K54" i="7"/>
  <c r="T54" i="7" s="1"/>
  <c r="J54" i="7"/>
  <c r="I54" i="7"/>
  <c r="H54" i="7"/>
  <c r="G54" i="7"/>
  <c r="P54" i="7" s="1"/>
  <c r="F54" i="7"/>
  <c r="O54" i="7" s="1"/>
  <c r="E54" i="7"/>
  <c r="N54" i="7" s="1"/>
  <c r="D54" i="7"/>
  <c r="K53" i="7"/>
  <c r="T53" i="7" s="1"/>
  <c r="J53" i="7"/>
  <c r="I53" i="7"/>
  <c r="H53" i="7"/>
  <c r="Q53" i="7" s="1"/>
  <c r="G53" i="7"/>
  <c r="F53" i="7"/>
  <c r="E53" i="7"/>
  <c r="N53" i="7" s="1"/>
  <c r="D53" i="7"/>
  <c r="N52" i="7"/>
  <c r="K52" i="7"/>
  <c r="J52" i="7"/>
  <c r="I52" i="7"/>
  <c r="R52" i="7" s="1"/>
  <c r="H52" i="7"/>
  <c r="Q52" i="7" s="1"/>
  <c r="G52" i="7"/>
  <c r="F52" i="7"/>
  <c r="E52" i="7"/>
  <c r="D52" i="7"/>
  <c r="K51" i="7"/>
  <c r="J51" i="7"/>
  <c r="I51" i="7"/>
  <c r="H51" i="7"/>
  <c r="G51" i="7"/>
  <c r="F51" i="7"/>
  <c r="E51" i="7"/>
  <c r="N51" i="7" s="1"/>
  <c r="D51" i="7"/>
  <c r="M51" i="7" s="1"/>
  <c r="N50" i="7"/>
  <c r="K50" i="7"/>
  <c r="T50" i="7" s="1"/>
  <c r="J50" i="7"/>
  <c r="I50" i="7"/>
  <c r="H50" i="7"/>
  <c r="G50" i="7"/>
  <c r="F50" i="7"/>
  <c r="E50" i="7"/>
  <c r="D50" i="7"/>
  <c r="K49" i="7"/>
  <c r="J49" i="7"/>
  <c r="I49" i="7"/>
  <c r="H49" i="7"/>
  <c r="G49" i="7"/>
  <c r="P49" i="7" s="1"/>
  <c r="F49" i="7"/>
  <c r="O49" i="7" s="1"/>
  <c r="E49" i="7"/>
  <c r="N49" i="7" s="1"/>
  <c r="D49" i="7"/>
  <c r="M49" i="7" s="1"/>
  <c r="K48" i="7"/>
  <c r="J48" i="7"/>
  <c r="I48" i="7"/>
  <c r="H48" i="7"/>
  <c r="G48" i="7"/>
  <c r="F48" i="7"/>
  <c r="E48" i="7"/>
  <c r="D48" i="7"/>
  <c r="J47" i="7"/>
  <c r="J67" i="7" s="1"/>
  <c r="I47" i="7"/>
  <c r="H47" i="7"/>
  <c r="G47" i="7"/>
  <c r="F47" i="7"/>
  <c r="D47" i="7"/>
  <c r="D67" i="7" s="1"/>
  <c r="B35" i="7"/>
  <c r="K32" i="7"/>
  <c r="J32" i="7"/>
  <c r="I32" i="7"/>
  <c r="H32" i="7"/>
  <c r="G32" i="7"/>
  <c r="F32" i="7"/>
  <c r="E32" i="7"/>
  <c r="D32" i="7"/>
  <c r="K31" i="7"/>
  <c r="J31" i="7"/>
  <c r="I31" i="7"/>
  <c r="H31" i="7"/>
  <c r="G31" i="7"/>
  <c r="F31" i="7"/>
  <c r="O129" i="7" s="1"/>
  <c r="E31" i="7"/>
  <c r="N64" i="7" s="1"/>
  <c r="D31" i="7"/>
  <c r="K30" i="7"/>
  <c r="J30" i="7"/>
  <c r="I30" i="7"/>
  <c r="H30" i="7"/>
  <c r="G30" i="7"/>
  <c r="F30" i="7"/>
  <c r="O128" i="7" s="1"/>
  <c r="E30" i="7"/>
  <c r="N95" i="7" s="1"/>
  <c r="D30" i="7"/>
  <c r="M95" i="7" s="1"/>
  <c r="K29" i="7"/>
  <c r="T94" i="7" s="1"/>
  <c r="J29" i="7"/>
  <c r="I29" i="7"/>
  <c r="H29" i="7"/>
  <c r="H27" i="7" s="1"/>
  <c r="G29" i="7"/>
  <c r="G27" i="7" s="1"/>
  <c r="F29" i="7"/>
  <c r="O127" i="7" s="1"/>
  <c r="E29" i="7"/>
  <c r="D29" i="7"/>
  <c r="K28" i="7"/>
  <c r="J28" i="7"/>
  <c r="J27" i="7" s="1"/>
  <c r="I28" i="7"/>
  <c r="H28" i="7"/>
  <c r="G28" i="7"/>
  <c r="F28" i="7"/>
  <c r="O126" i="7" s="1"/>
  <c r="E28" i="7"/>
  <c r="D28" i="7"/>
  <c r="K27" i="7"/>
  <c r="I27" i="7"/>
  <c r="D27" i="7"/>
  <c r="K26" i="7"/>
  <c r="T124" i="7" s="1"/>
  <c r="J26" i="7"/>
  <c r="S91" i="7" s="1"/>
  <c r="I26" i="7"/>
  <c r="H26" i="7"/>
  <c r="G26" i="7"/>
  <c r="F26" i="7"/>
  <c r="E26" i="7"/>
  <c r="D26" i="7"/>
  <c r="K25" i="7"/>
  <c r="J25" i="7"/>
  <c r="I25" i="7"/>
  <c r="H25" i="7"/>
  <c r="G25" i="7"/>
  <c r="F25" i="7"/>
  <c r="O123" i="7" s="1"/>
  <c r="E25" i="7"/>
  <c r="D25" i="7"/>
  <c r="D23" i="7" s="1"/>
  <c r="K24" i="7"/>
  <c r="J24" i="7"/>
  <c r="I24" i="7"/>
  <c r="H24" i="7"/>
  <c r="G24" i="7"/>
  <c r="P89" i="7" s="1"/>
  <c r="F24" i="7"/>
  <c r="O122" i="7" s="1"/>
  <c r="E24" i="7"/>
  <c r="D24" i="7"/>
  <c r="M89" i="7" s="1"/>
  <c r="K23" i="7"/>
  <c r="I23" i="7"/>
  <c r="H23" i="7"/>
  <c r="H22" i="7" s="1"/>
  <c r="F23" i="7"/>
  <c r="E23" i="7"/>
  <c r="K22" i="7"/>
  <c r="I22" i="7"/>
  <c r="K21" i="7"/>
  <c r="J21" i="7"/>
  <c r="I21" i="7"/>
  <c r="H21" i="7"/>
  <c r="G21" i="7"/>
  <c r="F21" i="7"/>
  <c r="O119" i="7" s="1"/>
  <c r="E21" i="7"/>
  <c r="D21" i="7"/>
  <c r="K20" i="7"/>
  <c r="J20" i="7"/>
  <c r="I20" i="7"/>
  <c r="H20" i="7"/>
  <c r="G20" i="7"/>
  <c r="F20" i="7"/>
  <c r="E20" i="7"/>
  <c r="D20" i="7"/>
  <c r="M118" i="7" s="1"/>
  <c r="K19" i="7"/>
  <c r="T117" i="7" s="1"/>
  <c r="J19" i="7"/>
  <c r="S117" i="7" s="1"/>
  <c r="I19" i="7"/>
  <c r="H19" i="7"/>
  <c r="G19" i="7"/>
  <c r="F19" i="7"/>
  <c r="O117" i="7" s="1"/>
  <c r="E19" i="7"/>
  <c r="D19" i="7"/>
  <c r="M84" i="7" s="1"/>
  <c r="K18" i="7"/>
  <c r="J18" i="7"/>
  <c r="I18" i="7"/>
  <c r="R116" i="7" s="1"/>
  <c r="H18" i="7"/>
  <c r="G18" i="7"/>
  <c r="P83" i="7" s="1"/>
  <c r="F18" i="7"/>
  <c r="O116" i="7" s="1"/>
  <c r="E18" i="7"/>
  <c r="D18" i="7"/>
  <c r="M83" i="7" s="1"/>
  <c r="K17" i="7"/>
  <c r="J17" i="7"/>
  <c r="I17" i="7"/>
  <c r="H17" i="7"/>
  <c r="G17" i="7"/>
  <c r="F17" i="7"/>
  <c r="O115" i="7" s="1"/>
  <c r="E17" i="7"/>
  <c r="D17" i="7"/>
  <c r="M82" i="7" s="1"/>
  <c r="K16" i="7"/>
  <c r="J16" i="7"/>
  <c r="I16" i="7"/>
  <c r="I14" i="7" s="1"/>
  <c r="H16" i="7"/>
  <c r="G16" i="7"/>
  <c r="F16" i="7"/>
  <c r="O114" i="7" s="1"/>
  <c r="E16" i="7"/>
  <c r="D16" i="7"/>
  <c r="M114" i="7" s="1"/>
  <c r="K15" i="7"/>
  <c r="K14" i="7" s="1"/>
  <c r="J15" i="7"/>
  <c r="J14" i="7" s="1"/>
  <c r="I15" i="7"/>
  <c r="H15" i="7"/>
  <c r="H14" i="7" s="1"/>
  <c r="G15" i="7"/>
  <c r="F15" i="7"/>
  <c r="O113" i="7" s="1"/>
  <c r="E15" i="7"/>
  <c r="N48" i="7" s="1"/>
  <c r="D15" i="7"/>
  <c r="M113" i="7" s="1"/>
  <c r="O175" i="6"/>
  <c r="V151" i="6"/>
  <c r="U151" i="6"/>
  <c r="T151" i="6"/>
  <c r="S151" i="6"/>
  <c r="R151" i="6"/>
  <c r="Q151" i="6"/>
  <c r="Q179" i="6" s="1"/>
  <c r="P151" i="6"/>
  <c r="O151" i="6"/>
  <c r="O179" i="6" s="1"/>
  <c r="N151" i="6"/>
  <c r="M151" i="6"/>
  <c r="L151" i="6"/>
  <c r="K151" i="6"/>
  <c r="J151" i="6"/>
  <c r="I151" i="6"/>
  <c r="H151" i="6"/>
  <c r="G151" i="6"/>
  <c r="G179" i="6" s="1"/>
  <c r="F151" i="6"/>
  <c r="E151" i="6"/>
  <c r="D151" i="6"/>
  <c r="D179" i="6" s="1"/>
  <c r="V150" i="6"/>
  <c r="U150" i="6"/>
  <c r="T150" i="6"/>
  <c r="S150" i="6"/>
  <c r="R150" i="6"/>
  <c r="R178" i="6" s="1"/>
  <c r="Q150" i="6"/>
  <c r="P150" i="6"/>
  <c r="O150" i="6"/>
  <c r="N150" i="6"/>
  <c r="M150" i="6"/>
  <c r="L150" i="6"/>
  <c r="L178" i="6" s="1"/>
  <c r="K150" i="6"/>
  <c r="K178" i="6" s="1"/>
  <c r="J150" i="6"/>
  <c r="J178" i="6" s="1"/>
  <c r="I150" i="6"/>
  <c r="H150" i="6"/>
  <c r="H148" i="6" s="1"/>
  <c r="G150" i="6"/>
  <c r="F150" i="6"/>
  <c r="E150" i="6"/>
  <c r="D150" i="6"/>
  <c r="D178" i="6" s="1"/>
  <c r="V149" i="6"/>
  <c r="V148" i="6" s="1"/>
  <c r="U149" i="6"/>
  <c r="U148" i="6" s="1"/>
  <c r="T149" i="6"/>
  <c r="S149" i="6"/>
  <c r="R149" i="6"/>
  <c r="Q149" i="6"/>
  <c r="Q148" i="6" s="1"/>
  <c r="P149" i="6"/>
  <c r="O149" i="6"/>
  <c r="N149" i="6"/>
  <c r="M149" i="6"/>
  <c r="M177" i="6" s="1"/>
  <c r="L149" i="6"/>
  <c r="K149" i="6"/>
  <c r="K148" i="6" s="1"/>
  <c r="J149" i="6"/>
  <c r="I149" i="6"/>
  <c r="I148" i="6" s="1"/>
  <c r="H149" i="6"/>
  <c r="G149" i="6"/>
  <c r="G148" i="6" s="1"/>
  <c r="F149" i="6"/>
  <c r="F148" i="6" s="1"/>
  <c r="E149" i="6"/>
  <c r="E148" i="6" s="1"/>
  <c r="D149" i="6"/>
  <c r="T148" i="6"/>
  <c r="P148" i="6"/>
  <c r="O148" i="6"/>
  <c r="N148" i="6"/>
  <c r="N176" i="6" s="1"/>
  <c r="L148" i="6"/>
  <c r="J148" i="6"/>
  <c r="D148" i="6"/>
  <c r="V147" i="6"/>
  <c r="U147" i="6"/>
  <c r="T147" i="6"/>
  <c r="T145" i="6" s="1"/>
  <c r="S147" i="6"/>
  <c r="S175" i="6" s="1"/>
  <c r="R147" i="6"/>
  <c r="Q147" i="6"/>
  <c r="P147" i="6"/>
  <c r="P175" i="6" s="1"/>
  <c r="O147" i="6"/>
  <c r="N147" i="6"/>
  <c r="M147" i="6"/>
  <c r="M175" i="6" s="1"/>
  <c r="L147" i="6"/>
  <c r="L175" i="6" s="1"/>
  <c r="K147" i="6"/>
  <c r="J147" i="6"/>
  <c r="I147" i="6"/>
  <c r="H147" i="6"/>
  <c r="G147" i="6"/>
  <c r="G145" i="6" s="1"/>
  <c r="F147" i="6"/>
  <c r="F145" i="6" s="1"/>
  <c r="E147" i="6"/>
  <c r="D147" i="6"/>
  <c r="V146" i="6"/>
  <c r="V174" i="6" s="1"/>
  <c r="U146" i="6"/>
  <c r="U145" i="6" s="1"/>
  <c r="T146" i="6"/>
  <c r="S146" i="6"/>
  <c r="R146" i="6"/>
  <c r="Q146" i="6"/>
  <c r="Q145" i="6" s="1"/>
  <c r="P146" i="6"/>
  <c r="P145" i="6" s="1"/>
  <c r="O146" i="6"/>
  <c r="O145" i="6" s="1"/>
  <c r="N146" i="6"/>
  <c r="M146" i="6"/>
  <c r="L146" i="6"/>
  <c r="K146" i="6"/>
  <c r="J146" i="6"/>
  <c r="J174" i="6" s="1"/>
  <c r="I146" i="6"/>
  <c r="H146" i="6"/>
  <c r="G146" i="6"/>
  <c r="F146" i="6"/>
  <c r="F174" i="6" s="1"/>
  <c r="E146" i="6"/>
  <c r="D146" i="6"/>
  <c r="M145" i="6"/>
  <c r="K145" i="6"/>
  <c r="J145" i="6"/>
  <c r="I145" i="6"/>
  <c r="H145" i="6"/>
  <c r="H173" i="6" s="1"/>
  <c r="E145" i="6"/>
  <c r="P144" i="6"/>
  <c r="O144" i="6"/>
  <c r="J144" i="6"/>
  <c r="E144" i="6"/>
  <c r="V143" i="6"/>
  <c r="U143" i="6"/>
  <c r="T143" i="6"/>
  <c r="S143" i="6"/>
  <c r="R143" i="6"/>
  <c r="Q143" i="6"/>
  <c r="P143" i="6"/>
  <c r="O143" i="6"/>
  <c r="N143" i="6"/>
  <c r="M143" i="6"/>
  <c r="L143" i="6"/>
  <c r="L171" i="6" s="1"/>
  <c r="K143" i="6"/>
  <c r="J143" i="6"/>
  <c r="J139" i="6" s="1"/>
  <c r="I143" i="6"/>
  <c r="H143" i="6"/>
  <c r="G143" i="6"/>
  <c r="G171" i="6" s="1"/>
  <c r="F143" i="6"/>
  <c r="E143" i="6"/>
  <c r="D143" i="6"/>
  <c r="V142" i="6"/>
  <c r="U142" i="6"/>
  <c r="T142" i="6"/>
  <c r="S142" i="6"/>
  <c r="R142" i="6"/>
  <c r="Q142" i="6"/>
  <c r="P142" i="6"/>
  <c r="O142" i="6"/>
  <c r="O170" i="6" s="1"/>
  <c r="N142" i="6"/>
  <c r="M142" i="6"/>
  <c r="M170" i="6" s="1"/>
  <c r="L142" i="6"/>
  <c r="K142" i="6"/>
  <c r="K139" i="6" s="1"/>
  <c r="J142" i="6"/>
  <c r="I142" i="6"/>
  <c r="H142" i="6"/>
  <c r="G142" i="6"/>
  <c r="F142" i="6"/>
  <c r="E142" i="6"/>
  <c r="D142" i="6"/>
  <c r="V141" i="6"/>
  <c r="U141" i="6"/>
  <c r="U169" i="6" s="1"/>
  <c r="T141" i="6"/>
  <c r="T169" i="6" s="1"/>
  <c r="S141" i="6"/>
  <c r="R141" i="6"/>
  <c r="R169" i="6" s="1"/>
  <c r="Q141" i="6"/>
  <c r="P141" i="6"/>
  <c r="P169" i="6" s="1"/>
  <c r="O141" i="6"/>
  <c r="N141" i="6"/>
  <c r="M141" i="6"/>
  <c r="M169" i="6" s="1"/>
  <c r="L141" i="6"/>
  <c r="K141" i="6"/>
  <c r="J141" i="6"/>
  <c r="I141" i="6"/>
  <c r="H141" i="6"/>
  <c r="H139" i="6" s="1"/>
  <c r="G141" i="6"/>
  <c r="F141" i="6"/>
  <c r="E141" i="6"/>
  <c r="D141" i="6"/>
  <c r="D169" i="6" s="1"/>
  <c r="V140" i="6"/>
  <c r="U140" i="6"/>
  <c r="U168" i="6" s="1"/>
  <c r="T140" i="6"/>
  <c r="S140" i="6"/>
  <c r="S168" i="6" s="1"/>
  <c r="R140" i="6"/>
  <c r="Q140" i="6"/>
  <c r="Q139" i="6" s="1"/>
  <c r="P140" i="6"/>
  <c r="O140" i="6"/>
  <c r="N140" i="6"/>
  <c r="M140" i="6"/>
  <c r="L140" i="6"/>
  <c r="K140" i="6"/>
  <c r="J140" i="6"/>
  <c r="I140" i="6"/>
  <c r="H140" i="6"/>
  <c r="H168" i="6" s="1"/>
  <c r="G140" i="6"/>
  <c r="F140" i="6"/>
  <c r="E140" i="6"/>
  <c r="E168" i="6" s="1"/>
  <c r="D140" i="6"/>
  <c r="T139" i="6"/>
  <c r="I139" i="6"/>
  <c r="I152" i="6" s="1"/>
  <c r="G139" i="6"/>
  <c r="G152" i="6" s="1"/>
  <c r="F139" i="6"/>
  <c r="F152" i="6" s="1"/>
  <c r="E139" i="6"/>
  <c r="D139" i="6"/>
  <c r="F127" i="6"/>
  <c r="L126" i="6"/>
  <c r="E125" i="6"/>
  <c r="J123" i="6"/>
  <c r="E123" i="6"/>
  <c r="F122" i="6"/>
  <c r="V101" i="6"/>
  <c r="V127" i="6" s="1"/>
  <c r="U101" i="6"/>
  <c r="T101" i="6"/>
  <c r="T127" i="6" s="1"/>
  <c r="S101" i="6"/>
  <c r="R101" i="6"/>
  <c r="R127" i="6" s="1"/>
  <c r="Q101" i="6"/>
  <c r="Q127" i="6" s="1"/>
  <c r="P101" i="6"/>
  <c r="O101" i="6"/>
  <c r="O127" i="6" s="1"/>
  <c r="N101" i="6"/>
  <c r="N127" i="6" s="1"/>
  <c r="M101" i="6"/>
  <c r="M127" i="6" s="1"/>
  <c r="L101" i="6"/>
  <c r="L127" i="6" s="1"/>
  <c r="K101" i="6"/>
  <c r="K127" i="6" s="1"/>
  <c r="J101" i="6"/>
  <c r="I101" i="6"/>
  <c r="H101" i="6"/>
  <c r="G101" i="6"/>
  <c r="G127" i="6" s="1"/>
  <c r="F101" i="6"/>
  <c r="E101" i="6"/>
  <c r="D101" i="6"/>
  <c r="D127" i="6" s="1"/>
  <c r="V100" i="6"/>
  <c r="V98" i="6" s="1"/>
  <c r="U100" i="6"/>
  <c r="T100" i="6"/>
  <c r="S100" i="6"/>
  <c r="R100" i="6"/>
  <c r="R98" i="6" s="1"/>
  <c r="Q100" i="6"/>
  <c r="Q126" i="6" s="1"/>
  <c r="P100" i="6"/>
  <c r="P126" i="6" s="1"/>
  <c r="O100" i="6"/>
  <c r="N100" i="6"/>
  <c r="N126" i="6" s="1"/>
  <c r="M100" i="6"/>
  <c r="L100" i="6"/>
  <c r="K100" i="6"/>
  <c r="K126" i="6" s="1"/>
  <c r="J100" i="6"/>
  <c r="J126" i="6" s="1"/>
  <c r="I100" i="6"/>
  <c r="I126" i="6" s="1"/>
  <c r="H100" i="6"/>
  <c r="G100" i="6"/>
  <c r="G98" i="6" s="1"/>
  <c r="F100" i="6"/>
  <c r="F98" i="6" s="1"/>
  <c r="E100" i="6"/>
  <c r="D100" i="6"/>
  <c r="V99" i="6"/>
  <c r="U99" i="6"/>
  <c r="U98" i="6" s="1"/>
  <c r="T99" i="6"/>
  <c r="T125" i="6" s="1"/>
  <c r="S99" i="6"/>
  <c r="S98" i="6" s="1"/>
  <c r="R99" i="6"/>
  <c r="R125" i="6" s="1"/>
  <c r="Q99" i="6"/>
  <c r="Q125" i="6" s="1"/>
  <c r="P99" i="6"/>
  <c r="O99" i="6"/>
  <c r="N99" i="6"/>
  <c r="N98" i="6" s="1"/>
  <c r="M99" i="6"/>
  <c r="M125" i="6" s="1"/>
  <c r="L99" i="6"/>
  <c r="L125" i="6" s="1"/>
  <c r="K99" i="6"/>
  <c r="K125" i="6" s="1"/>
  <c r="J99" i="6"/>
  <c r="J125" i="6" s="1"/>
  <c r="I99" i="6"/>
  <c r="H99" i="6"/>
  <c r="G99" i="6"/>
  <c r="F99" i="6"/>
  <c r="E99" i="6"/>
  <c r="E98" i="6" s="1"/>
  <c r="D99" i="6"/>
  <c r="T98" i="6"/>
  <c r="Q98" i="6"/>
  <c r="P98" i="6"/>
  <c r="O98" i="6"/>
  <c r="L98" i="6"/>
  <c r="D98" i="6"/>
  <c r="V97" i="6"/>
  <c r="U97" i="6"/>
  <c r="T97" i="6"/>
  <c r="S97" i="6"/>
  <c r="S123" i="6" s="1"/>
  <c r="R97" i="6"/>
  <c r="R123" i="6" s="1"/>
  <c r="Q97" i="6"/>
  <c r="Q123" i="6" s="1"/>
  <c r="P97" i="6"/>
  <c r="P123" i="6" s="1"/>
  <c r="O97" i="6"/>
  <c r="N97" i="6"/>
  <c r="M97" i="6"/>
  <c r="L97" i="6"/>
  <c r="K97" i="6"/>
  <c r="K123" i="6" s="1"/>
  <c r="J97" i="6"/>
  <c r="I97" i="6"/>
  <c r="I123" i="6" s="1"/>
  <c r="H97" i="6"/>
  <c r="G97" i="6"/>
  <c r="G123" i="6" s="1"/>
  <c r="F97" i="6"/>
  <c r="E97" i="6"/>
  <c r="D97" i="6"/>
  <c r="V96" i="6"/>
  <c r="V95" i="6" s="1"/>
  <c r="U96" i="6"/>
  <c r="U122" i="6" s="1"/>
  <c r="T96" i="6"/>
  <c r="T95" i="6" s="1"/>
  <c r="S96" i="6"/>
  <c r="S95" i="6" s="1"/>
  <c r="R96" i="6"/>
  <c r="R95" i="6" s="1"/>
  <c r="Q96" i="6"/>
  <c r="P96" i="6"/>
  <c r="O96" i="6"/>
  <c r="N96" i="6"/>
  <c r="N95" i="6" s="1"/>
  <c r="M96" i="6"/>
  <c r="M122" i="6" s="1"/>
  <c r="L96" i="6"/>
  <c r="L95" i="6" s="1"/>
  <c r="K96" i="6"/>
  <c r="J96" i="6"/>
  <c r="J122" i="6" s="1"/>
  <c r="I96" i="6"/>
  <c r="H96" i="6"/>
  <c r="G96" i="6"/>
  <c r="F96" i="6"/>
  <c r="F95" i="6" s="1"/>
  <c r="E96" i="6"/>
  <c r="E122" i="6" s="1"/>
  <c r="D96" i="6"/>
  <c r="D122" i="6" s="1"/>
  <c r="U95" i="6"/>
  <c r="M95" i="6"/>
  <c r="J95" i="6"/>
  <c r="I95" i="6"/>
  <c r="H95" i="6"/>
  <c r="E95" i="6"/>
  <c r="V93" i="6"/>
  <c r="V119" i="6" s="1"/>
  <c r="U93" i="6"/>
  <c r="U119" i="6" s="1"/>
  <c r="T93" i="6"/>
  <c r="T119" i="6" s="1"/>
  <c r="S93" i="6"/>
  <c r="S119" i="6" s="1"/>
  <c r="R93" i="6"/>
  <c r="Q93" i="6"/>
  <c r="Q119" i="6" s="1"/>
  <c r="P93" i="6"/>
  <c r="P119" i="6" s="1"/>
  <c r="O93" i="6"/>
  <c r="O119" i="6" s="1"/>
  <c r="N93" i="6"/>
  <c r="N119" i="6" s="1"/>
  <c r="M93" i="6"/>
  <c r="L93" i="6"/>
  <c r="K93" i="6"/>
  <c r="K89" i="6" s="1"/>
  <c r="J93" i="6"/>
  <c r="I93" i="6"/>
  <c r="H93" i="6"/>
  <c r="G93" i="6"/>
  <c r="G119" i="6" s="1"/>
  <c r="F93" i="6"/>
  <c r="F119" i="6" s="1"/>
  <c r="E93" i="6"/>
  <c r="E119" i="6" s="1"/>
  <c r="D93" i="6"/>
  <c r="V92" i="6"/>
  <c r="V118" i="6" s="1"/>
  <c r="U92" i="6"/>
  <c r="T92" i="6"/>
  <c r="T118" i="6" s="1"/>
  <c r="S92" i="6"/>
  <c r="S118" i="6" s="1"/>
  <c r="R92" i="6"/>
  <c r="R118" i="6" s="1"/>
  <c r="Q92" i="6"/>
  <c r="Q118" i="6" s="1"/>
  <c r="P92" i="6"/>
  <c r="O92" i="6"/>
  <c r="N92" i="6"/>
  <c r="M92" i="6"/>
  <c r="L92" i="6"/>
  <c r="K92" i="6"/>
  <c r="J92" i="6"/>
  <c r="J118" i="6" s="1"/>
  <c r="I92" i="6"/>
  <c r="I118" i="6" s="1"/>
  <c r="H92" i="6"/>
  <c r="H118" i="6" s="1"/>
  <c r="G92" i="6"/>
  <c r="F92" i="6"/>
  <c r="F118" i="6" s="1"/>
  <c r="E92" i="6"/>
  <c r="D92" i="6"/>
  <c r="D118" i="6" s="1"/>
  <c r="V91" i="6"/>
  <c r="V117" i="6" s="1"/>
  <c r="U91" i="6"/>
  <c r="U117" i="6" s="1"/>
  <c r="T91" i="6"/>
  <c r="T117" i="6" s="1"/>
  <c r="S91" i="6"/>
  <c r="R91" i="6"/>
  <c r="Q91" i="6"/>
  <c r="Q89" i="6" s="1"/>
  <c r="P91" i="6"/>
  <c r="O91" i="6"/>
  <c r="N91" i="6"/>
  <c r="M91" i="6"/>
  <c r="M89" i="6" s="1"/>
  <c r="L91" i="6"/>
  <c r="L117" i="6" s="1"/>
  <c r="K91" i="6"/>
  <c r="K117" i="6" s="1"/>
  <c r="J91" i="6"/>
  <c r="I91" i="6"/>
  <c r="I117" i="6" s="1"/>
  <c r="H91" i="6"/>
  <c r="G91" i="6"/>
  <c r="G117" i="6" s="1"/>
  <c r="F91" i="6"/>
  <c r="F117" i="6" s="1"/>
  <c r="E91" i="6"/>
  <c r="E117" i="6" s="1"/>
  <c r="D91" i="6"/>
  <c r="D117" i="6" s="1"/>
  <c r="V90" i="6"/>
  <c r="U90" i="6"/>
  <c r="T90" i="6"/>
  <c r="S90" i="6"/>
  <c r="R90" i="6"/>
  <c r="Q90" i="6"/>
  <c r="P90" i="6"/>
  <c r="O90" i="6"/>
  <c r="O116" i="6" s="1"/>
  <c r="N90" i="6"/>
  <c r="N89" i="6" s="1"/>
  <c r="M90" i="6"/>
  <c r="L90" i="6"/>
  <c r="L116" i="6" s="1"/>
  <c r="K90" i="6"/>
  <c r="J90" i="6"/>
  <c r="J116" i="6" s="1"/>
  <c r="I90" i="6"/>
  <c r="H90" i="6"/>
  <c r="H116" i="6" s="1"/>
  <c r="G90" i="6"/>
  <c r="G116" i="6" s="1"/>
  <c r="F90" i="6"/>
  <c r="E90" i="6"/>
  <c r="D90" i="6"/>
  <c r="O89" i="6"/>
  <c r="L89" i="6"/>
  <c r="J89" i="6"/>
  <c r="J102" i="6" s="1"/>
  <c r="E78" i="6"/>
  <c r="H77" i="6"/>
  <c r="H76" i="6"/>
  <c r="M70" i="6"/>
  <c r="M69" i="6"/>
  <c r="V52" i="6"/>
  <c r="V78" i="6" s="1"/>
  <c r="U52" i="6"/>
  <c r="U78" i="6" s="1"/>
  <c r="T52" i="6"/>
  <c r="T78" i="6" s="1"/>
  <c r="S52" i="6"/>
  <c r="S78" i="6" s="1"/>
  <c r="R52" i="6"/>
  <c r="Q52" i="6"/>
  <c r="P52" i="6"/>
  <c r="O52" i="6"/>
  <c r="O78" i="6" s="1"/>
  <c r="N52" i="6"/>
  <c r="N78" i="6" s="1"/>
  <c r="M52" i="6"/>
  <c r="M78" i="6" s="1"/>
  <c r="L52" i="6"/>
  <c r="K52" i="6"/>
  <c r="K78" i="6" s="1"/>
  <c r="J52" i="6"/>
  <c r="I52" i="6"/>
  <c r="I78" i="6" s="1"/>
  <c r="H52" i="6"/>
  <c r="H78" i="6" s="1"/>
  <c r="G52" i="6"/>
  <c r="G78" i="6" s="1"/>
  <c r="F52" i="6"/>
  <c r="F78" i="6" s="1"/>
  <c r="E52" i="6"/>
  <c r="D52" i="6"/>
  <c r="D78" i="6" s="1"/>
  <c r="V51" i="6"/>
  <c r="V49" i="6" s="1"/>
  <c r="U51" i="6"/>
  <c r="T51" i="6"/>
  <c r="S51" i="6"/>
  <c r="R51" i="6"/>
  <c r="R49" i="6" s="1"/>
  <c r="Q51" i="6"/>
  <c r="Q77" i="6" s="1"/>
  <c r="P51" i="6"/>
  <c r="P77" i="6" s="1"/>
  <c r="O51" i="6"/>
  <c r="N51" i="6"/>
  <c r="N77" i="6" s="1"/>
  <c r="M51" i="6"/>
  <c r="L51" i="6"/>
  <c r="L77" i="6" s="1"/>
  <c r="K51" i="6"/>
  <c r="K77" i="6" s="1"/>
  <c r="J51" i="6"/>
  <c r="J77" i="6" s="1"/>
  <c r="I51" i="6"/>
  <c r="I77" i="6" s="1"/>
  <c r="H51" i="6"/>
  <c r="H49" i="6" s="1"/>
  <c r="G51" i="6"/>
  <c r="G77" i="6" s="1"/>
  <c r="F51" i="6"/>
  <c r="F49" i="6" s="1"/>
  <c r="E51" i="6"/>
  <c r="D51" i="6"/>
  <c r="V50" i="6"/>
  <c r="U50" i="6"/>
  <c r="U49" i="6" s="1"/>
  <c r="T50" i="6"/>
  <c r="T76" i="6" s="1"/>
  <c r="S50" i="6"/>
  <c r="S49" i="6" s="1"/>
  <c r="R50" i="6"/>
  <c r="Q50" i="6"/>
  <c r="Q76" i="6" s="1"/>
  <c r="P50" i="6"/>
  <c r="O50" i="6"/>
  <c r="O76" i="6" s="1"/>
  <c r="N50" i="6"/>
  <c r="N76" i="6" s="1"/>
  <c r="M50" i="6"/>
  <c r="M76" i="6" s="1"/>
  <c r="L50" i="6"/>
  <c r="L76" i="6" s="1"/>
  <c r="K50" i="6"/>
  <c r="J50" i="6"/>
  <c r="J76" i="6" s="1"/>
  <c r="I50" i="6"/>
  <c r="I76" i="6" s="1"/>
  <c r="H50" i="6"/>
  <c r="G50" i="6"/>
  <c r="F50" i="6"/>
  <c r="E50" i="6"/>
  <c r="E49" i="6" s="1"/>
  <c r="D50" i="6"/>
  <c r="D76" i="6" s="1"/>
  <c r="T49" i="6"/>
  <c r="P49" i="6"/>
  <c r="O49" i="6"/>
  <c r="D49" i="6"/>
  <c r="V48" i="6"/>
  <c r="U48" i="6"/>
  <c r="U74" i="6" s="1"/>
  <c r="T48" i="6"/>
  <c r="S48" i="6"/>
  <c r="S74" i="6" s="1"/>
  <c r="R48" i="6"/>
  <c r="R74" i="6" s="1"/>
  <c r="Q48" i="6"/>
  <c r="Q46" i="6" s="1"/>
  <c r="P48" i="6"/>
  <c r="P74" i="6" s="1"/>
  <c r="O48" i="6"/>
  <c r="O46" i="6" s="1"/>
  <c r="N48" i="6"/>
  <c r="M48" i="6"/>
  <c r="L48" i="6"/>
  <c r="K48" i="6"/>
  <c r="K46" i="6" s="1"/>
  <c r="J48" i="6"/>
  <c r="J74" i="6" s="1"/>
  <c r="I48" i="6"/>
  <c r="I74" i="6" s="1"/>
  <c r="H48" i="6"/>
  <c r="G48" i="6"/>
  <c r="G74" i="6" s="1"/>
  <c r="F48" i="6"/>
  <c r="E48" i="6"/>
  <c r="E74" i="6" s="1"/>
  <c r="D48" i="6"/>
  <c r="V47" i="6"/>
  <c r="V73" i="6" s="1"/>
  <c r="U47" i="6"/>
  <c r="T47" i="6"/>
  <c r="T46" i="6" s="1"/>
  <c r="T45" i="6" s="1"/>
  <c r="S47" i="6"/>
  <c r="S73" i="6" s="1"/>
  <c r="R47" i="6"/>
  <c r="Q47" i="6"/>
  <c r="P47" i="6"/>
  <c r="O47" i="6"/>
  <c r="N47" i="6"/>
  <c r="N46" i="6" s="1"/>
  <c r="M47" i="6"/>
  <c r="M73" i="6" s="1"/>
  <c r="L47" i="6"/>
  <c r="L46" i="6" s="1"/>
  <c r="K47" i="6"/>
  <c r="J47" i="6"/>
  <c r="J73" i="6" s="1"/>
  <c r="I47" i="6"/>
  <c r="H47" i="6"/>
  <c r="H73" i="6" s="1"/>
  <c r="G47" i="6"/>
  <c r="F47" i="6"/>
  <c r="F73" i="6" s="1"/>
  <c r="E47" i="6"/>
  <c r="D47" i="6"/>
  <c r="D46" i="6" s="1"/>
  <c r="V46" i="6"/>
  <c r="M46" i="6"/>
  <c r="I46" i="6"/>
  <c r="H46" i="6"/>
  <c r="F46" i="6"/>
  <c r="V44" i="6"/>
  <c r="V70" i="6" s="1"/>
  <c r="U44" i="6"/>
  <c r="U70" i="6" s="1"/>
  <c r="T44" i="6"/>
  <c r="S44" i="6"/>
  <c r="S70" i="6" s="1"/>
  <c r="R44" i="6"/>
  <c r="Q44" i="6"/>
  <c r="Q70" i="6" s="1"/>
  <c r="P44" i="6"/>
  <c r="P70" i="6" s="1"/>
  <c r="O44" i="6"/>
  <c r="O70" i="6" s="1"/>
  <c r="N44" i="6"/>
  <c r="N70" i="6" s="1"/>
  <c r="M44" i="6"/>
  <c r="L44" i="6"/>
  <c r="K44" i="6"/>
  <c r="K40" i="6" s="1"/>
  <c r="J44" i="6"/>
  <c r="I44" i="6"/>
  <c r="H44" i="6"/>
  <c r="G44" i="6"/>
  <c r="G70" i="6" s="1"/>
  <c r="F44" i="6"/>
  <c r="F70" i="6" s="1"/>
  <c r="E44" i="6"/>
  <c r="E70" i="6" s="1"/>
  <c r="D44" i="6"/>
  <c r="V43" i="6"/>
  <c r="V69" i="6" s="1"/>
  <c r="U43" i="6"/>
  <c r="T43" i="6"/>
  <c r="T69" i="6" s="1"/>
  <c r="S43" i="6"/>
  <c r="S69" i="6" s="1"/>
  <c r="R43" i="6"/>
  <c r="R69" i="6" s="1"/>
  <c r="Q43" i="6"/>
  <c r="Q69" i="6" s="1"/>
  <c r="P43" i="6"/>
  <c r="P69" i="6" s="1"/>
  <c r="O43" i="6"/>
  <c r="N43" i="6"/>
  <c r="M43" i="6"/>
  <c r="L43" i="6"/>
  <c r="K43" i="6"/>
  <c r="J43" i="6"/>
  <c r="J69" i="6" s="1"/>
  <c r="I43" i="6"/>
  <c r="I69" i="6" s="1"/>
  <c r="H43" i="6"/>
  <c r="H69" i="6" s="1"/>
  <c r="G43" i="6"/>
  <c r="F43" i="6"/>
  <c r="F69" i="6" s="1"/>
  <c r="E43" i="6"/>
  <c r="D43" i="6"/>
  <c r="D69" i="6" s="1"/>
  <c r="V42" i="6"/>
  <c r="V68" i="6" s="1"/>
  <c r="U42" i="6"/>
  <c r="U68" i="6" s="1"/>
  <c r="T42" i="6"/>
  <c r="T68" i="6" s="1"/>
  <c r="S42" i="6"/>
  <c r="R42" i="6"/>
  <c r="Q42" i="6"/>
  <c r="P42" i="6"/>
  <c r="O42" i="6"/>
  <c r="N42" i="6"/>
  <c r="M42" i="6"/>
  <c r="L42" i="6"/>
  <c r="L68" i="6" s="1"/>
  <c r="K42" i="6"/>
  <c r="K68" i="6" s="1"/>
  <c r="J42" i="6"/>
  <c r="I42" i="6"/>
  <c r="I68" i="6" s="1"/>
  <c r="H42" i="6"/>
  <c r="G42" i="6"/>
  <c r="G68" i="6" s="1"/>
  <c r="F42" i="6"/>
  <c r="F68" i="6" s="1"/>
  <c r="E42" i="6"/>
  <c r="E68" i="6" s="1"/>
  <c r="D42" i="6"/>
  <c r="D68" i="6" s="1"/>
  <c r="V41" i="6"/>
  <c r="V67" i="6" s="1"/>
  <c r="U41" i="6"/>
  <c r="T41" i="6"/>
  <c r="S41" i="6"/>
  <c r="R41" i="6"/>
  <c r="Q41" i="6"/>
  <c r="P41" i="6"/>
  <c r="O41" i="6"/>
  <c r="O67" i="6" s="1"/>
  <c r="N41" i="6"/>
  <c r="M41" i="6"/>
  <c r="L41" i="6"/>
  <c r="K41" i="6"/>
  <c r="J41" i="6"/>
  <c r="J67" i="6" s="1"/>
  <c r="I41" i="6"/>
  <c r="I67" i="6" s="1"/>
  <c r="H41" i="6"/>
  <c r="H67" i="6" s="1"/>
  <c r="G41" i="6"/>
  <c r="G67" i="6" s="1"/>
  <c r="F41" i="6"/>
  <c r="F67" i="6" s="1"/>
  <c r="E41" i="6"/>
  <c r="D41" i="6"/>
  <c r="O40" i="6"/>
  <c r="J40" i="6"/>
  <c r="H40" i="6"/>
  <c r="V26" i="6"/>
  <c r="U26" i="6"/>
  <c r="T26" i="6"/>
  <c r="T179" i="6" s="1"/>
  <c r="S26" i="6"/>
  <c r="R26" i="6"/>
  <c r="R78" i="6" s="1"/>
  <c r="Q26" i="6"/>
  <c r="Q78" i="6" s="1"/>
  <c r="P26" i="6"/>
  <c r="P78" i="6" s="1"/>
  <c r="O26" i="6"/>
  <c r="N26" i="6"/>
  <c r="N179" i="6" s="1"/>
  <c r="M26" i="6"/>
  <c r="M179" i="6" s="1"/>
  <c r="L26" i="6"/>
  <c r="L179" i="6" s="1"/>
  <c r="K26" i="6"/>
  <c r="J26" i="6"/>
  <c r="J78" i="6" s="1"/>
  <c r="I26" i="6"/>
  <c r="I127" i="6" s="1"/>
  <c r="H26" i="6"/>
  <c r="G26" i="6"/>
  <c r="F26" i="6"/>
  <c r="E26" i="6"/>
  <c r="D26" i="6"/>
  <c r="V25" i="6"/>
  <c r="U25" i="6"/>
  <c r="U77" i="6" s="1"/>
  <c r="T25" i="6"/>
  <c r="T178" i="6" s="1"/>
  <c r="S25" i="6"/>
  <c r="R25" i="6"/>
  <c r="Q25" i="6"/>
  <c r="Q178" i="6" s="1"/>
  <c r="P25" i="6"/>
  <c r="P178" i="6" s="1"/>
  <c r="O25" i="6"/>
  <c r="O178" i="6" s="1"/>
  <c r="N25" i="6"/>
  <c r="M25" i="6"/>
  <c r="M77" i="6" s="1"/>
  <c r="L25" i="6"/>
  <c r="K25" i="6"/>
  <c r="J25" i="6"/>
  <c r="I25" i="6"/>
  <c r="H25" i="6"/>
  <c r="G25" i="6"/>
  <c r="G126" i="6" s="1"/>
  <c r="F25" i="6"/>
  <c r="E25" i="6"/>
  <c r="E77" i="6" s="1"/>
  <c r="D25" i="6"/>
  <c r="D126" i="6" s="1"/>
  <c r="V24" i="6"/>
  <c r="U24" i="6"/>
  <c r="U125" i="6" s="1"/>
  <c r="T24" i="6"/>
  <c r="T177" i="6" s="1"/>
  <c r="S24" i="6"/>
  <c r="S177" i="6" s="1"/>
  <c r="R24" i="6"/>
  <c r="R177" i="6" s="1"/>
  <c r="Q24" i="6"/>
  <c r="P24" i="6"/>
  <c r="P76" i="6" s="1"/>
  <c r="O24" i="6"/>
  <c r="O125" i="6" s="1"/>
  <c r="N24" i="6"/>
  <c r="M24" i="6"/>
  <c r="L24" i="6"/>
  <c r="K24" i="6"/>
  <c r="K23" i="6" s="1"/>
  <c r="J24" i="6"/>
  <c r="J177" i="6" s="1"/>
  <c r="I24" i="6"/>
  <c r="I23" i="6" s="1"/>
  <c r="H24" i="6"/>
  <c r="G24" i="6"/>
  <c r="G125" i="6" s="1"/>
  <c r="F24" i="6"/>
  <c r="E24" i="6"/>
  <c r="D24" i="6"/>
  <c r="D125" i="6" s="1"/>
  <c r="Q23" i="6"/>
  <c r="N23" i="6"/>
  <c r="M23" i="6"/>
  <c r="L23" i="6"/>
  <c r="J23" i="6"/>
  <c r="J176" i="6" s="1"/>
  <c r="V22" i="6"/>
  <c r="V74" i="6" s="1"/>
  <c r="U22" i="6"/>
  <c r="U123" i="6" s="1"/>
  <c r="T22" i="6"/>
  <c r="S22" i="6"/>
  <c r="R22" i="6"/>
  <c r="Q22" i="6"/>
  <c r="P22" i="6"/>
  <c r="O22" i="6"/>
  <c r="N22" i="6"/>
  <c r="M22" i="6"/>
  <c r="M123" i="6" s="1"/>
  <c r="L22" i="6"/>
  <c r="K22" i="6"/>
  <c r="K175" i="6" s="1"/>
  <c r="J22" i="6"/>
  <c r="J175" i="6" s="1"/>
  <c r="I22" i="6"/>
  <c r="I175" i="6" s="1"/>
  <c r="H22" i="6"/>
  <c r="H20" i="6" s="1"/>
  <c r="G22" i="6"/>
  <c r="F22" i="6"/>
  <c r="F74" i="6" s="1"/>
  <c r="E22" i="6"/>
  <c r="D22" i="6"/>
  <c r="V21" i="6"/>
  <c r="U21" i="6"/>
  <c r="T21" i="6"/>
  <c r="T174" i="6" s="1"/>
  <c r="S21" i="6"/>
  <c r="S174" i="6" s="1"/>
  <c r="R21" i="6"/>
  <c r="R174" i="6" s="1"/>
  <c r="Q21" i="6"/>
  <c r="P21" i="6"/>
  <c r="O21" i="6"/>
  <c r="N21" i="6"/>
  <c r="N122" i="6" s="1"/>
  <c r="M21" i="6"/>
  <c r="M174" i="6" s="1"/>
  <c r="L21" i="6"/>
  <c r="L174" i="6" s="1"/>
  <c r="K21" i="6"/>
  <c r="K174" i="6" s="1"/>
  <c r="J21" i="6"/>
  <c r="I21" i="6"/>
  <c r="I73" i="6" s="1"/>
  <c r="H21" i="6"/>
  <c r="H122" i="6" s="1"/>
  <c r="G21" i="6"/>
  <c r="F21" i="6"/>
  <c r="E21" i="6"/>
  <c r="D21" i="6"/>
  <c r="D20" i="6" s="1"/>
  <c r="V20" i="6"/>
  <c r="U20" i="6"/>
  <c r="T20" i="6"/>
  <c r="S20" i="6"/>
  <c r="R20" i="6"/>
  <c r="J20" i="6"/>
  <c r="J19" i="6" s="1"/>
  <c r="G20" i="6"/>
  <c r="F20" i="6"/>
  <c r="E20" i="6"/>
  <c r="V18" i="6"/>
  <c r="V171" i="6" s="1"/>
  <c r="U18" i="6"/>
  <c r="U171" i="6" s="1"/>
  <c r="T18" i="6"/>
  <c r="T171" i="6" s="1"/>
  <c r="S18" i="6"/>
  <c r="R18" i="6"/>
  <c r="R70" i="6" s="1"/>
  <c r="Q18" i="6"/>
  <c r="P18" i="6"/>
  <c r="P171" i="6" s="1"/>
  <c r="O18" i="6"/>
  <c r="O171" i="6" s="1"/>
  <c r="N18" i="6"/>
  <c r="N171" i="6" s="1"/>
  <c r="M18" i="6"/>
  <c r="L18" i="6"/>
  <c r="K18" i="6"/>
  <c r="J18" i="6"/>
  <c r="J119" i="6" s="1"/>
  <c r="I18" i="6"/>
  <c r="H18" i="6"/>
  <c r="G18" i="6"/>
  <c r="F18" i="6"/>
  <c r="F171" i="6" s="1"/>
  <c r="E18" i="6"/>
  <c r="E171" i="6" s="1"/>
  <c r="D18" i="6"/>
  <c r="D171" i="6" s="1"/>
  <c r="V17" i="6"/>
  <c r="U17" i="6"/>
  <c r="U118" i="6" s="1"/>
  <c r="T17" i="6"/>
  <c r="S17" i="6"/>
  <c r="S170" i="6" s="1"/>
  <c r="R17" i="6"/>
  <c r="R170" i="6" s="1"/>
  <c r="Q17" i="6"/>
  <c r="Q170" i="6" s="1"/>
  <c r="P17" i="6"/>
  <c r="O17" i="6"/>
  <c r="N17" i="6"/>
  <c r="M17" i="6"/>
  <c r="M118" i="6" s="1"/>
  <c r="L17" i="6"/>
  <c r="L14" i="6" s="1"/>
  <c r="K17" i="6"/>
  <c r="J17" i="6"/>
  <c r="J170" i="6" s="1"/>
  <c r="I17" i="6"/>
  <c r="I170" i="6" s="1"/>
  <c r="H17" i="6"/>
  <c r="H170" i="6" s="1"/>
  <c r="G17" i="6"/>
  <c r="G170" i="6" s="1"/>
  <c r="F17" i="6"/>
  <c r="E17" i="6"/>
  <c r="E118" i="6" s="1"/>
  <c r="D17" i="6"/>
  <c r="V16" i="6"/>
  <c r="U16" i="6"/>
  <c r="T16" i="6"/>
  <c r="S16" i="6"/>
  <c r="R16" i="6"/>
  <c r="Q16" i="6"/>
  <c r="P16" i="6"/>
  <c r="O16" i="6"/>
  <c r="N16" i="6"/>
  <c r="M16" i="6"/>
  <c r="L16" i="6"/>
  <c r="L169" i="6" s="1"/>
  <c r="K16" i="6"/>
  <c r="K169" i="6" s="1"/>
  <c r="J16" i="6"/>
  <c r="J14" i="6" s="1"/>
  <c r="J27" i="6" s="1"/>
  <c r="I16" i="6"/>
  <c r="H16" i="6"/>
  <c r="H117" i="6" s="1"/>
  <c r="G16" i="6"/>
  <c r="F16" i="6"/>
  <c r="E16" i="6"/>
  <c r="E169" i="6" s="1"/>
  <c r="D16" i="6"/>
  <c r="V15" i="6"/>
  <c r="V14" i="6" s="1"/>
  <c r="U15" i="6"/>
  <c r="T15" i="6"/>
  <c r="S15" i="6"/>
  <c r="R15" i="6"/>
  <c r="Q15" i="6"/>
  <c r="P15" i="6"/>
  <c r="P168" i="6" s="1"/>
  <c r="O15" i="6"/>
  <c r="O168" i="6" s="1"/>
  <c r="N15" i="6"/>
  <c r="N168" i="6" s="1"/>
  <c r="M15" i="6"/>
  <c r="M14" i="6" s="1"/>
  <c r="M27" i="6" s="1"/>
  <c r="L15" i="6"/>
  <c r="K15" i="6"/>
  <c r="K116" i="6" s="1"/>
  <c r="J15" i="6"/>
  <c r="I15" i="6"/>
  <c r="H15" i="6"/>
  <c r="G15" i="6"/>
  <c r="G168" i="6" s="1"/>
  <c r="F15" i="6"/>
  <c r="E15" i="6"/>
  <c r="E14" i="6" s="1"/>
  <c r="D15" i="6"/>
  <c r="D14" i="6" s="1"/>
  <c r="U14" i="6"/>
  <c r="T14" i="6"/>
  <c r="H14" i="6"/>
  <c r="G14" i="6"/>
  <c r="F14" i="6"/>
  <c r="N179" i="5"/>
  <c r="V177" i="5"/>
  <c r="T177" i="5"/>
  <c r="V174" i="5"/>
  <c r="Q174" i="5"/>
  <c r="U171" i="5"/>
  <c r="L170" i="5"/>
  <c r="J170" i="5"/>
  <c r="R168" i="5"/>
  <c r="V151" i="5"/>
  <c r="V179" i="5" s="1"/>
  <c r="U151" i="5"/>
  <c r="T151" i="5"/>
  <c r="T179" i="5" s="1"/>
  <c r="S151" i="5"/>
  <c r="R151" i="5"/>
  <c r="R179" i="5" s="1"/>
  <c r="Q151" i="5"/>
  <c r="Q179" i="5" s="1"/>
  <c r="P151" i="5"/>
  <c r="P179" i="5" s="1"/>
  <c r="O151" i="5"/>
  <c r="N151" i="5"/>
  <c r="M151" i="5"/>
  <c r="L151" i="5"/>
  <c r="K151" i="5"/>
  <c r="J151" i="5"/>
  <c r="I151" i="5"/>
  <c r="H151" i="5"/>
  <c r="G151" i="5"/>
  <c r="F151" i="5"/>
  <c r="F179" i="5" s="1"/>
  <c r="E151" i="5"/>
  <c r="E179" i="5" s="1"/>
  <c r="D151" i="5"/>
  <c r="D179" i="5" s="1"/>
  <c r="V150" i="5"/>
  <c r="U150" i="5"/>
  <c r="U148" i="5" s="1"/>
  <c r="T150" i="5"/>
  <c r="T148" i="5" s="1"/>
  <c r="S150" i="5"/>
  <c r="S178" i="5" s="1"/>
  <c r="R150" i="5"/>
  <c r="Q150" i="5"/>
  <c r="P150" i="5"/>
  <c r="O150" i="5"/>
  <c r="N150" i="5"/>
  <c r="M150" i="5"/>
  <c r="M148" i="5" s="1"/>
  <c r="L150" i="5"/>
  <c r="K150" i="5"/>
  <c r="J150" i="5"/>
  <c r="I150" i="5"/>
  <c r="I178" i="5" s="1"/>
  <c r="H150" i="5"/>
  <c r="H178" i="5" s="1"/>
  <c r="G150" i="5"/>
  <c r="G178" i="5" s="1"/>
  <c r="F150" i="5"/>
  <c r="E150" i="5"/>
  <c r="E178" i="5" s="1"/>
  <c r="D150" i="5"/>
  <c r="D148" i="5" s="1"/>
  <c r="V149" i="5"/>
  <c r="V148" i="5" s="1"/>
  <c r="U149" i="5"/>
  <c r="T149" i="5"/>
  <c r="S149" i="5"/>
  <c r="R149" i="5"/>
  <c r="Q149" i="5"/>
  <c r="P149" i="5"/>
  <c r="O149" i="5"/>
  <c r="N149" i="5"/>
  <c r="M149" i="5"/>
  <c r="L149" i="5"/>
  <c r="L177" i="5" s="1"/>
  <c r="K149" i="5"/>
  <c r="K177" i="5" s="1"/>
  <c r="J149" i="5"/>
  <c r="J177" i="5" s="1"/>
  <c r="I149" i="5"/>
  <c r="H149" i="5"/>
  <c r="H148" i="5" s="1"/>
  <c r="G149" i="5"/>
  <c r="G177" i="5" s="1"/>
  <c r="F149" i="5"/>
  <c r="F148" i="5" s="1"/>
  <c r="E149" i="5"/>
  <c r="D149" i="5"/>
  <c r="Q148" i="5"/>
  <c r="N148" i="5"/>
  <c r="N176" i="5" s="1"/>
  <c r="L148" i="5"/>
  <c r="E148" i="5"/>
  <c r="V147" i="5"/>
  <c r="U147" i="5"/>
  <c r="T147" i="5"/>
  <c r="T145" i="5" s="1"/>
  <c r="S147" i="5"/>
  <c r="R147" i="5"/>
  <c r="Q147" i="5"/>
  <c r="Q175" i="5" s="1"/>
  <c r="P147" i="5"/>
  <c r="O147" i="5"/>
  <c r="N147" i="5"/>
  <c r="N175" i="5" s="1"/>
  <c r="M147" i="5"/>
  <c r="M145" i="5" s="1"/>
  <c r="L147" i="5"/>
  <c r="L145" i="5" s="1"/>
  <c r="K147" i="5"/>
  <c r="J147" i="5"/>
  <c r="I147" i="5"/>
  <c r="H147" i="5"/>
  <c r="G147" i="5"/>
  <c r="F147" i="5"/>
  <c r="E147" i="5"/>
  <c r="D147" i="5"/>
  <c r="D145" i="5" s="1"/>
  <c r="V146" i="5"/>
  <c r="U146" i="5"/>
  <c r="T146" i="5"/>
  <c r="S146" i="5"/>
  <c r="R146" i="5"/>
  <c r="Q146" i="5"/>
  <c r="Q145" i="5" s="1"/>
  <c r="Q144" i="5" s="1"/>
  <c r="P146" i="5"/>
  <c r="P145" i="5" s="1"/>
  <c r="P173" i="5" s="1"/>
  <c r="O146" i="5"/>
  <c r="O145" i="5" s="1"/>
  <c r="N146" i="5"/>
  <c r="M146" i="5"/>
  <c r="L146" i="5"/>
  <c r="K146" i="5"/>
  <c r="J146" i="5"/>
  <c r="I146" i="5"/>
  <c r="H146" i="5"/>
  <c r="G146" i="5"/>
  <c r="G145" i="5" s="1"/>
  <c r="F146" i="5"/>
  <c r="E146" i="5"/>
  <c r="D146" i="5"/>
  <c r="U145" i="5"/>
  <c r="S145" i="5"/>
  <c r="R145" i="5"/>
  <c r="J145" i="5"/>
  <c r="F145" i="5"/>
  <c r="E145" i="5"/>
  <c r="V143" i="5"/>
  <c r="U143" i="5"/>
  <c r="T143" i="5"/>
  <c r="T171" i="5" s="1"/>
  <c r="S143" i="5"/>
  <c r="R143" i="5"/>
  <c r="Q143" i="5"/>
  <c r="P143" i="5"/>
  <c r="O143" i="5"/>
  <c r="N143" i="5"/>
  <c r="M143" i="5"/>
  <c r="L143" i="5"/>
  <c r="K143" i="5"/>
  <c r="J143" i="5"/>
  <c r="J171" i="5" s="1"/>
  <c r="I143" i="5"/>
  <c r="I171" i="5" s="1"/>
  <c r="H143" i="5"/>
  <c r="H171" i="5" s="1"/>
  <c r="G143" i="5"/>
  <c r="F143" i="5"/>
  <c r="E143" i="5"/>
  <c r="D143" i="5"/>
  <c r="D171" i="5" s="1"/>
  <c r="V142" i="5"/>
  <c r="U142" i="5"/>
  <c r="T142" i="5"/>
  <c r="S142" i="5"/>
  <c r="R142" i="5"/>
  <c r="Q142" i="5"/>
  <c r="P142" i="5"/>
  <c r="O142" i="5"/>
  <c r="N142" i="5"/>
  <c r="M142" i="5"/>
  <c r="M170" i="5" s="1"/>
  <c r="L142" i="5"/>
  <c r="L139" i="5" s="1"/>
  <c r="K142" i="5"/>
  <c r="J142" i="5"/>
  <c r="I142" i="5"/>
  <c r="H142" i="5"/>
  <c r="G142" i="5"/>
  <c r="F142" i="5"/>
  <c r="E142" i="5"/>
  <c r="D142" i="5"/>
  <c r="V141" i="5"/>
  <c r="V139" i="5" s="1"/>
  <c r="U141" i="5"/>
  <c r="T141" i="5"/>
  <c r="S141" i="5"/>
  <c r="R141" i="5"/>
  <c r="Q141" i="5"/>
  <c r="Q169" i="5" s="1"/>
  <c r="P141" i="5"/>
  <c r="P169" i="5" s="1"/>
  <c r="O141" i="5"/>
  <c r="O139" i="5" s="1"/>
  <c r="N141" i="5"/>
  <c r="N169" i="5" s="1"/>
  <c r="M141" i="5"/>
  <c r="L141" i="5"/>
  <c r="K141" i="5"/>
  <c r="J141" i="5"/>
  <c r="I141" i="5"/>
  <c r="H141" i="5"/>
  <c r="G141" i="5"/>
  <c r="F141" i="5"/>
  <c r="E141" i="5"/>
  <c r="D141" i="5"/>
  <c r="V140" i="5"/>
  <c r="U140" i="5"/>
  <c r="T140" i="5"/>
  <c r="T168" i="5" s="1"/>
  <c r="S140" i="5"/>
  <c r="S168" i="5" s="1"/>
  <c r="R140" i="5"/>
  <c r="R139" i="5" s="1"/>
  <c r="R152" i="5" s="1"/>
  <c r="Q140" i="5"/>
  <c r="P140" i="5"/>
  <c r="O140" i="5"/>
  <c r="N140" i="5"/>
  <c r="M140" i="5"/>
  <c r="L140" i="5"/>
  <c r="K140" i="5"/>
  <c r="J140" i="5"/>
  <c r="I140" i="5"/>
  <c r="H140" i="5"/>
  <c r="G140" i="5"/>
  <c r="F140" i="5"/>
  <c r="E140" i="5"/>
  <c r="D140" i="5"/>
  <c r="D168" i="5" s="1"/>
  <c r="U139" i="5"/>
  <c r="N139" i="5"/>
  <c r="I139" i="5"/>
  <c r="H139" i="5"/>
  <c r="F139" i="5"/>
  <c r="F152" i="5" s="1"/>
  <c r="E139" i="5"/>
  <c r="E152" i="5" s="1"/>
  <c r="E180" i="5" s="1"/>
  <c r="O127" i="5"/>
  <c r="M127" i="5"/>
  <c r="P126" i="5"/>
  <c r="D126" i="5"/>
  <c r="U125" i="5"/>
  <c r="M123" i="5"/>
  <c r="T122" i="5"/>
  <c r="K121" i="5"/>
  <c r="V119" i="5"/>
  <c r="M118" i="5"/>
  <c r="K118" i="5"/>
  <c r="H118" i="5"/>
  <c r="E117" i="5"/>
  <c r="S116" i="5"/>
  <c r="V101" i="5"/>
  <c r="U101" i="5"/>
  <c r="U127" i="5" s="1"/>
  <c r="T101" i="5"/>
  <c r="T127" i="5" s="1"/>
  <c r="S101" i="5"/>
  <c r="S127" i="5" s="1"/>
  <c r="R101" i="5"/>
  <c r="R127" i="5" s="1"/>
  <c r="Q101" i="5"/>
  <c r="Q127" i="5" s="1"/>
  <c r="P101" i="5"/>
  <c r="P127" i="5" s="1"/>
  <c r="O101" i="5"/>
  <c r="N101" i="5"/>
  <c r="M101" i="5"/>
  <c r="L101" i="5"/>
  <c r="L127" i="5" s="1"/>
  <c r="K101" i="5"/>
  <c r="J101" i="5"/>
  <c r="I101" i="5"/>
  <c r="H101" i="5"/>
  <c r="G101" i="5"/>
  <c r="F101" i="5"/>
  <c r="E101" i="5"/>
  <c r="E127" i="5" s="1"/>
  <c r="D101" i="5"/>
  <c r="D127" i="5" s="1"/>
  <c r="V100" i="5"/>
  <c r="V126" i="5" s="1"/>
  <c r="U100" i="5"/>
  <c r="U126" i="5" s="1"/>
  <c r="T100" i="5"/>
  <c r="T126" i="5" s="1"/>
  <c r="S100" i="5"/>
  <c r="S126" i="5" s="1"/>
  <c r="R100" i="5"/>
  <c r="Q100" i="5"/>
  <c r="P100" i="5"/>
  <c r="O100" i="5"/>
  <c r="O126" i="5" s="1"/>
  <c r="N100" i="5"/>
  <c r="N98" i="5" s="1"/>
  <c r="N94" i="5" s="1"/>
  <c r="M100" i="5"/>
  <c r="M98" i="5" s="1"/>
  <c r="L100" i="5"/>
  <c r="K100" i="5"/>
  <c r="J100" i="5"/>
  <c r="I100" i="5"/>
  <c r="H100" i="5"/>
  <c r="H126" i="5" s="1"/>
  <c r="G100" i="5"/>
  <c r="G126" i="5" s="1"/>
  <c r="F100" i="5"/>
  <c r="F126" i="5" s="1"/>
  <c r="E100" i="5"/>
  <c r="E126" i="5" s="1"/>
  <c r="D100" i="5"/>
  <c r="V99" i="5"/>
  <c r="U99" i="5"/>
  <c r="T99" i="5"/>
  <c r="S99" i="5"/>
  <c r="R99" i="5"/>
  <c r="Q99" i="5"/>
  <c r="Q98" i="5" s="1"/>
  <c r="P99" i="5"/>
  <c r="O99" i="5"/>
  <c r="N99" i="5"/>
  <c r="M99" i="5"/>
  <c r="L99" i="5"/>
  <c r="K99" i="5"/>
  <c r="J99" i="5"/>
  <c r="J125" i="5" s="1"/>
  <c r="I99" i="5"/>
  <c r="I125" i="5" s="1"/>
  <c r="H99" i="5"/>
  <c r="H125" i="5" s="1"/>
  <c r="G99" i="5"/>
  <c r="G98" i="5" s="1"/>
  <c r="F99" i="5"/>
  <c r="F125" i="5" s="1"/>
  <c r="E99" i="5"/>
  <c r="D99" i="5"/>
  <c r="T98" i="5"/>
  <c r="S98" i="5"/>
  <c r="L98" i="5"/>
  <c r="J98" i="5"/>
  <c r="J124" i="5" s="1"/>
  <c r="I98" i="5"/>
  <c r="I124" i="5" s="1"/>
  <c r="D98" i="5"/>
  <c r="V97" i="5"/>
  <c r="V123" i="5" s="1"/>
  <c r="U97" i="5"/>
  <c r="T97" i="5"/>
  <c r="S97" i="5"/>
  <c r="R97" i="5"/>
  <c r="Q97" i="5"/>
  <c r="Q123" i="5" s="1"/>
  <c r="P97" i="5"/>
  <c r="P123" i="5" s="1"/>
  <c r="O97" i="5"/>
  <c r="O123" i="5" s="1"/>
  <c r="N97" i="5"/>
  <c r="N123" i="5" s="1"/>
  <c r="M97" i="5"/>
  <c r="L97" i="5"/>
  <c r="K97" i="5"/>
  <c r="J97" i="5"/>
  <c r="I97" i="5"/>
  <c r="H97" i="5"/>
  <c r="H123" i="5" s="1"/>
  <c r="G97" i="5"/>
  <c r="G95" i="5" s="1"/>
  <c r="F97" i="5"/>
  <c r="F123" i="5" s="1"/>
  <c r="E97" i="5"/>
  <c r="D97" i="5"/>
  <c r="V96" i="5"/>
  <c r="U96" i="5"/>
  <c r="T96" i="5"/>
  <c r="T95" i="5" s="1"/>
  <c r="S96" i="5"/>
  <c r="S122" i="5" s="1"/>
  <c r="R96" i="5"/>
  <c r="R122" i="5" s="1"/>
  <c r="Q96" i="5"/>
  <c r="P96" i="5"/>
  <c r="O96" i="5"/>
  <c r="O122" i="5" s="1"/>
  <c r="N96" i="5"/>
  <c r="M96" i="5"/>
  <c r="L96" i="5"/>
  <c r="L122" i="5" s="1"/>
  <c r="K96" i="5"/>
  <c r="K122" i="5" s="1"/>
  <c r="J96" i="5"/>
  <c r="J95" i="5" s="1"/>
  <c r="I96" i="5"/>
  <c r="I122" i="5" s="1"/>
  <c r="H96" i="5"/>
  <c r="H122" i="5" s="1"/>
  <c r="G96" i="5"/>
  <c r="F96" i="5"/>
  <c r="E96" i="5"/>
  <c r="D96" i="5"/>
  <c r="U95" i="5"/>
  <c r="R95" i="5"/>
  <c r="N95" i="5"/>
  <c r="M95" i="5"/>
  <c r="K95" i="5"/>
  <c r="F95" i="5"/>
  <c r="E95" i="5"/>
  <c r="V93" i="5"/>
  <c r="U93" i="5"/>
  <c r="T93" i="5"/>
  <c r="T119" i="5" s="1"/>
  <c r="S93" i="5"/>
  <c r="R93" i="5"/>
  <c r="R119" i="5" s="1"/>
  <c r="Q93" i="5"/>
  <c r="P93" i="5"/>
  <c r="O93" i="5"/>
  <c r="N93" i="5"/>
  <c r="M93" i="5"/>
  <c r="L93" i="5"/>
  <c r="K93" i="5"/>
  <c r="K119" i="5" s="1"/>
  <c r="J93" i="5"/>
  <c r="J119" i="5" s="1"/>
  <c r="I93" i="5"/>
  <c r="I119" i="5" s="1"/>
  <c r="H93" i="5"/>
  <c r="H119" i="5" s="1"/>
  <c r="G93" i="5"/>
  <c r="G119" i="5" s="1"/>
  <c r="F93" i="5"/>
  <c r="F119" i="5" s="1"/>
  <c r="E93" i="5"/>
  <c r="D93" i="5"/>
  <c r="D119" i="5" s="1"/>
  <c r="V92" i="5"/>
  <c r="U92" i="5"/>
  <c r="U118" i="5" s="1"/>
  <c r="T92" i="5"/>
  <c r="S92" i="5"/>
  <c r="R92" i="5"/>
  <c r="R118" i="5" s="1"/>
  <c r="Q92" i="5"/>
  <c r="P92" i="5"/>
  <c r="P118" i="5" s="1"/>
  <c r="O92" i="5"/>
  <c r="N92" i="5"/>
  <c r="N118" i="5" s="1"/>
  <c r="M92" i="5"/>
  <c r="L92" i="5"/>
  <c r="L118" i="5" s="1"/>
  <c r="K92" i="5"/>
  <c r="J92" i="5"/>
  <c r="I92" i="5"/>
  <c r="I118" i="5" s="1"/>
  <c r="H92" i="5"/>
  <c r="G92" i="5"/>
  <c r="F92" i="5"/>
  <c r="E92" i="5"/>
  <c r="E118" i="5" s="1"/>
  <c r="D92" i="5"/>
  <c r="V91" i="5"/>
  <c r="V89" i="5" s="1"/>
  <c r="U91" i="5"/>
  <c r="U117" i="5" s="1"/>
  <c r="T91" i="5"/>
  <c r="S91" i="5"/>
  <c r="S117" i="5" s="1"/>
  <c r="R91" i="5"/>
  <c r="Q91" i="5"/>
  <c r="Q117" i="5" s="1"/>
  <c r="P91" i="5"/>
  <c r="P117" i="5" s="1"/>
  <c r="O91" i="5"/>
  <c r="O117" i="5" s="1"/>
  <c r="N91" i="5"/>
  <c r="M91" i="5"/>
  <c r="L91" i="5"/>
  <c r="K91" i="5"/>
  <c r="K117" i="5" s="1"/>
  <c r="J91" i="5"/>
  <c r="J117" i="5" s="1"/>
  <c r="I91" i="5"/>
  <c r="H91" i="5"/>
  <c r="H117" i="5" s="1"/>
  <c r="G91" i="5"/>
  <c r="F91" i="5"/>
  <c r="F89" i="5" s="1"/>
  <c r="E91" i="5"/>
  <c r="D91" i="5"/>
  <c r="V90" i="5"/>
  <c r="U90" i="5"/>
  <c r="T90" i="5"/>
  <c r="T116" i="5" s="1"/>
  <c r="S90" i="5"/>
  <c r="S89" i="5" s="1"/>
  <c r="R90" i="5"/>
  <c r="R116" i="5" s="1"/>
  <c r="Q90" i="5"/>
  <c r="P90" i="5"/>
  <c r="O90" i="5"/>
  <c r="N90" i="5"/>
  <c r="N116" i="5" s="1"/>
  <c r="M90" i="5"/>
  <c r="L90" i="5"/>
  <c r="K90" i="5"/>
  <c r="K116" i="5" s="1"/>
  <c r="J90" i="5"/>
  <c r="I90" i="5"/>
  <c r="I89" i="5" s="1"/>
  <c r="H90" i="5"/>
  <c r="H116" i="5" s="1"/>
  <c r="G90" i="5"/>
  <c r="F90" i="5"/>
  <c r="F116" i="5" s="1"/>
  <c r="E90" i="5"/>
  <c r="D90" i="5"/>
  <c r="D116" i="5" s="1"/>
  <c r="R89" i="5"/>
  <c r="P89" i="5"/>
  <c r="K78" i="5"/>
  <c r="L77" i="5"/>
  <c r="O76" i="5"/>
  <c r="H73" i="5"/>
  <c r="Q70" i="5"/>
  <c r="T69" i="5"/>
  <c r="F69" i="5"/>
  <c r="D69" i="5"/>
  <c r="K53" i="5"/>
  <c r="V52" i="5"/>
  <c r="U52" i="5"/>
  <c r="T52" i="5"/>
  <c r="T78" i="5" s="1"/>
  <c r="S52" i="5"/>
  <c r="S78" i="5" s="1"/>
  <c r="R52" i="5"/>
  <c r="R78" i="5" s="1"/>
  <c r="Q52" i="5"/>
  <c r="Q78" i="5" s="1"/>
  <c r="P52" i="5"/>
  <c r="O52" i="5"/>
  <c r="N52" i="5"/>
  <c r="N78" i="5" s="1"/>
  <c r="M52" i="5"/>
  <c r="M78" i="5" s="1"/>
  <c r="L52" i="5"/>
  <c r="L78" i="5" s="1"/>
  <c r="K52" i="5"/>
  <c r="J52" i="5"/>
  <c r="J78" i="5" s="1"/>
  <c r="I52" i="5"/>
  <c r="H52" i="5"/>
  <c r="H78" i="5" s="1"/>
  <c r="G52" i="5"/>
  <c r="F52" i="5"/>
  <c r="E52" i="5"/>
  <c r="D52" i="5"/>
  <c r="D78" i="5" s="1"/>
  <c r="V51" i="5"/>
  <c r="V77" i="5" s="1"/>
  <c r="U51" i="5"/>
  <c r="U77" i="5" s="1"/>
  <c r="T51" i="5"/>
  <c r="T77" i="5" s="1"/>
  <c r="S51" i="5"/>
  <c r="R51" i="5"/>
  <c r="Q51" i="5"/>
  <c r="P51" i="5"/>
  <c r="P77" i="5" s="1"/>
  <c r="O51" i="5"/>
  <c r="O77" i="5" s="1"/>
  <c r="N51" i="5"/>
  <c r="M51" i="5"/>
  <c r="M49" i="5" s="1"/>
  <c r="L51" i="5"/>
  <c r="K51" i="5"/>
  <c r="K49" i="5" s="1"/>
  <c r="J51" i="5"/>
  <c r="I51" i="5"/>
  <c r="H51" i="5"/>
  <c r="G51" i="5"/>
  <c r="G77" i="5" s="1"/>
  <c r="F51" i="5"/>
  <c r="F77" i="5" s="1"/>
  <c r="E51" i="5"/>
  <c r="E77" i="5" s="1"/>
  <c r="D51" i="5"/>
  <c r="D77" i="5" s="1"/>
  <c r="V50" i="5"/>
  <c r="U50" i="5"/>
  <c r="T50" i="5"/>
  <c r="S50" i="5"/>
  <c r="S76" i="5" s="1"/>
  <c r="R50" i="5"/>
  <c r="Q50" i="5"/>
  <c r="P50" i="5"/>
  <c r="P49" i="5" s="1"/>
  <c r="P75" i="5" s="1"/>
  <c r="O50" i="5"/>
  <c r="O49" i="5" s="1"/>
  <c r="N50" i="5"/>
  <c r="N49" i="5" s="1"/>
  <c r="N75" i="5" s="1"/>
  <c r="M50" i="5"/>
  <c r="L50" i="5"/>
  <c r="K50" i="5"/>
  <c r="J50" i="5"/>
  <c r="J76" i="5" s="1"/>
  <c r="I50" i="5"/>
  <c r="I76" i="5" s="1"/>
  <c r="H50" i="5"/>
  <c r="H76" i="5" s="1"/>
  <c r="G50" i="5"/>
  <c r="G76" i="5" s="1"/>
  <c r="F50" i="5"/>
  <c r="E50" i="5"/>
  <c r="D50" i="5"/>
  <c r="U49" i="5"/>
  <c r="S49" i="5"/>
  <c r="L49" i="5"/>
  <c r="J49" i="5"/>
  <c r="J75" i="5" s="1"/>
  <c r="G49" i="5"/>
  <c r="G75" i="5" s="1"/>
  <c r="E49" i="5"/>
  <c r="V48" i="5"/>
  <c r="V46" i="5" s="1"/>
  <c r="U48" i="5"/>
  <c r="T48" i="5"/>
  <c r="T46" i="5" s="1"/>
  <c r="S48" i="5"/>
  <c r="R48" i="5"/>
  <c r="Q48" i="5"/>
  <c r="P48" i="5"/>
  <c r="P74" i="5" s="1"/>
  <c r="O48" i="5"/>
  <c r="O74" i="5" s="1"/>
  <c r="N48" i="5"/>
  <c r="N74" i="5" s="1"/>
  <c r="M48" i="5"/>
  <c r="M74" i="5" s="1"/>
  <c r="L48" i="5"/>
  <c r="K48" i="5"/>
  <c r="J48" i="5"/>
  <c r="I48" i="5"/>
  <c r="I74" i="5" s="1"/>
  <c r="H48" i="5"/>
  <c r="H74" i="5" s="1"/>
  <c r="G48" i="5"/>
  <c r="F48" i="5"/>
  <c r="F46" i="5" s="1"/>
  <c r="E48" i="5"/>
  <c r="D48" i="5"/>
  <c r="D46" i="5" s="1"/>
  <c r="V47" i="5"/>
  <c r="U47" i="5"/>
  <c r="T47" i="5"/>
  <c r="S47" i="5"/>
  <c r="S73" i="5" s="1"/>
  <c r="R47" i="5"/>
  <c r="R73" i="5" s="1"/>
  <c r="Q47" i="5"/>
  <c r="Q73" i="5" s="1"/>
  <c r="P47" i="5"/>
  <c r="P73" i="5" s="1"/>
  <c r="O47" i="5"/>
  <c r="N47" i="5"/>
  <c r="M47" i="5"/>
  <c r="L47" i="5"/>
  <c r="L73" i="5" s="1"/>
  <c r="K47" i="5"/>
  <c r="J47" i="5"/>
  <c r="I47" i="5"/>
  <c r="I46" i="5" s="1"/>
  <c r="H47" i="5"/>
  <c r="G47" i="5"/>
  <c r="G46" i="5" s="1"/>
  <c r="F47" i="5"/>
  <c r="E47" i="5"/>
  <c r="D47" i="5"/>
  <c r="U46" i="5"/>
  <c r="S46" i="5"/>
  <c r="P46" i="5"/>
  <c r="N46" i="5"/>
  <c r="L46" i="5"/>
  <c r="L45" i="5" s="1"/>
  <c r="E46" i="5"/>
  <c r="S45" i="5"/>
  <c r="V44" i="5"/>
  <c r="V70" i="5" s="1"/>
  <c r="U44" i="5"/>
  <c r="U70" i="5" s="1"/>
  <c r="T44" i="5"/>
  <c r="T70" i="5" s="1"/>
  <c r="S44" i="5"/>
  <c r="R44" i="5"/>
  <c r="R70" i="5" s="1"/>
  <c r="Q44" i="5"/>
  <c r="P44" i="5"/>
  <c r="P70" i="5" s="1"/>
  <c r="O44" i="5"/>
  <c r="N44" i="5"/>
  <c r="M44" i="5"/>
  <c r="L44" i="5"/>
  <c r="L70" i="5" s="1"/>
  <c r="K44" i="5"/>
  <c r="K70" i="5" s="1"/>
  <c r="J44" i="5"/>
  <c r="J70" i="5" s="1"/>
  <c r="I44" i="5"/>
  <c r="I70" i="5" s="1"/>
  <c r="H44" i="5"/>
  <c r="G44" i="5"/>
  <c r="F44" i="5"/>
  <c r="F70" i="5" s="1"/>
  <c r="E44" i="5"/>
  <c r="E70" i="5" s="1"/>
  <c r="D44" i="5"/>
  <c r="D70" i="5" s="1"/>
  <c r="V43" i="5"/>
  <c r="U43" i="5"/>
  <c r="U40" i="5" s="1"/>
  <c r="T43" i="5"/>
  <c r="S43" i="5"/>
  <c r="S69" i="5" s="1"/>
  <c r="R43" i="5"/>
  <c r="Q43" i="5"/>
  <c r="P43" i="5"/>
  <c r="O43" i="5"/>
  <c r="O69" i="5" s="1"/>
  <c r="N43" i="5"/>
  <c r="N69" i="5" s="1"/>
  <c r="M43" i="5"/>
  <c r="M69" i="5" s="1"/>
  <c r="L43" i="5"/>
  <c r="L69" i="5" s="1"/>
  <c r="K43" i="5"/>
  <c r="J43" i="5"/>
  <c r="I43" i="5"/>
  <c r="I69" i="5" s="1"/>
  <c r="H43" i="5"/>
  <c r="H69" i="5" s="1"/>
  <c r="G43" i="5"/>
  <c r="F43" i="5"/>
  <c r="E43" i="5"/>
  <c r="E40" i="5" s="1"/>
  <c r="D43" i="5"/>
  <c r="V42" i="5"/>
  <c r="U42" i="5"/>
  <c r="T42" i="5"/>
  <c r="S42" i="5"/>
  <c r="R42" i="5"/>
  <c r="R68" i="5" s="1"/>
  <c r="Q42" i="5"/>
  <c r="Q68" i="5" s="1"/>
  <c r="P42" i="5"/>
  <c r="P68" i="5" s="1"/>
  <c r="O42" i="5"/>
  <c r="O68" i="5" s="1"/>
  <c r="N42" i="5"/>
  <c r="M42" i="5"/>
  <c r="L42" i="5"/>
  <c r="K42" i="5"/>
  <c r="K68" i="5" s="1"/>
  <c r="J42" i="5"/>
  <c r="J68" i="5" s="1"/>
  <c r="I42" i="5"/>
  <c r="H42" i="5"/>
  <c r="H40" i="5" s="1"/>
  <c r="G42" i="5"/>
  <c r="F42" i="5"/>
  <c r="E42" i="5"/>
  <c r="D42" i="5"/>
  <c r="V41" i="5"/>
  <c r="U41" i="5"/>
  <c r="U67" i="5" s="1"/>
  <c r="T41" i="5"/>
  <c r="T67" i="5" s="1"/>
  <c r="S41" i="5"/>
  <c r="S67" i="5" s="1"/>
  <c r="R41" i="5"/>
  <c r="R67" i="5" s="1"/>
  <c r="Q41" i="5"/>
  <c r="P41" i="5"/>
  <c r="O41" i="5"/>
  <c r="N41" i="5"/>
  <c r="N67" i="5" s="1"/>
  <c r="M41" i="5"/>
  <c r="L41" i="5"/>
  <c r="K41" i="5"/>
  <c r="K40" i="5" s="1"/>
  <c r="J41" i="5"/>
  <c r="I41" i="5"/>
  <c r="H41" i="5"/>
  <c r="G41" i="5"/>
  <c r="F41" i="5"/>
  <c r="E41" i="5"/>
  <c r="E67" i="5" s="1"/>
  <c r="D41" i="5"/>
  <c r="D67" i="5" s="1"/>
  <c r="R40" i="5"/>
  <c r="P40" i="5"/>
  <c r="H27" i="5"/>
  <c r="V26" i="5"/>
  <c r="V78" i="5" s="1"/>
  <c r="U26" i="5"/>
  <c r="U78" i="5" s="1"/>
  <c r="T26" i="5"/>
  <c r="S26" i="5"/>
  <c r="R26" i="5"/>
  <c r="Q26" i="5"/>
  <c r="P26" i="5"/>
  <c r="P78" i="5" s="1"/>
  <c r="O26" i="5"/>
  <c r="O78" i="5" s="1"/>
  <c r="N26" i="5"/>
  <c r="N127" i="5" s="1"/>
  <c r="M26" i="5"/>
  <c r="M179" i="5" s="1"/>
  <c r="L26" i="5"/>
  <c r="K26" i="5"/>
  <c r="J26" i="5"/>
  <c r="I26" i="5"/>
  <c r="I127" i="5" s="1"/>
  <c r="H26" i="5"/>
  <c r="G26" i="5"/>
  <c r="G179" i="5" s="1"/>
  <c r="F26" i="5"/>
  <c r="F78" i="5" s="1"/>
  <c r="E26" i="5"/>
  <c r="E78" i="5" s="1"/>
  <c r="D26" i="5"/>
  <c r="V25" i="5"/>
  <c r="U25" i="5"/>
  <c r="U178" i="5" s="1"/>
  <c r="T25" i="5"/>
  <c r="S25" i="5"/>
  <c r="S77" i="5" s="1"/>
  <c r="R25" i="5"/>
  <c r="R178" i="5" s="1"/>
  <c r="Q25" i="5"/>
  <c r="Q178" i="5" s="1"/>
  <c r="P25" i="5"/>
  <c r="P178" i="5" s="1"/>
  <c r="O25" i="5"/>
  <c r="N25" i="5"/>
  <c r="N23" i="5" s="1"/>
  <c r="M25" i="5"/>
  <c r="L25" i="5"/>
  <c r="K25" i="5"/>
  <c r="J25" i="5"/>
  <c r="J23" i="5" s="1"/>
  <c r="I25" i="5"/>
  <c r="I77" i="5" s="1"/>
  <c r="H25" i="5"/>
  <c r="H77" i="5" s="1"/>
  <c r="G25" i="5"/>
  <c r="F25" i="5"/>
  <c r="E25" i="5"/>
  <c r="D25" i="5"/>
  <c r="V24" i="5"/>
  <c r="V76" i="5" s="1"/>
  <c r="U24" i="5"/>
  <c r="U76" i="5" s="1"/>
  <c r="T24" i="5"/>
  <c r="T125" i="5" s="1"/>
  <c r="S24" i="5"/>
  <c r="S177" i="5" s="1"/>
  <c r="R24" i="5"/>
  <c r="Q24" i="5"/>
  <c r="Q23" i="5" s="1"/>
  <c r="P24" i="5"/>
  <c r="O24" i="5"/>
  <c r="N24" i="5"/>
  <c r="M24" i="5"/>
  <c r="M177" i="5" s="1"/>
  <c r="L24" i="5"/>
  <c r="L76" i="5" s="1"/>
  <c r="K24" i="5"/>
  <c r="K76" i="5" s="1"/>
  <c r="J24" i="5"/>
  <c r="I24" i="5"/>
  <c r="H24" i="5"/>
  <c r="G24" i="5"/>
  <c r="F24" i="5"/>
  <c r="F76" i="5" s="1"/>
  <c r="E24" i="5"/>
  <c r="E177" i="5" s="1"/>
  <c r="D24" i="5"/>
  <c r="D177" i="5" s="1"/>
  <c r="T23" i="5"/>
  <c r="R23" i="5"/>
  <c r="P23" i="5"/>
  <c r="I23" i="5"/>
  <c r="G23" i="5"/>
  <c r="G124" i="5" s="1"/>
  <c r="D23" i="5"/>
  <c r="V22" i="5"/>
  <c r="U22" i="5"/>
  <c r="T22" i="5"/>
  <c r="S22" i="5"/>
  <c r="S175" i="5" s="1"/>
  <c r="R22" i="5"/>
  <c r="R74" i="5" s="1"/>
  <c r="Q22" i="5"/>
  <c r="Q74" i="5" s="1"/>
  <c r="P22" i="5"/>
  <c r="O22" i="5"/>
  <c r="N22" i="5"/>
  <c r="M22" i="5"/>
  <c r="L22" i="5"/>
  <c r="L175" i="5" s="1"/>
  <c r="K22" i="5"/>
  <c r="K175" i="5" s="1"/>
  <c r="J22" i="5"/>
  <c r="J175" i="5" s="1"/>
  <c r="I22" i="5"/>
  <c r="I175" i="5" s="1"/>
  <c r="H22" i="5"/>
  <c r="G22" i="5"/>
  <c r="G74" i="5" s="1"/>
  <c r="F22" i="5"/>
  <c r="E22" i="5"/>
  <c r="E175" i="5" s="1"/>
  <c r="D22" i="5"/>
  <c r="V21" i="5"/>
  <c r="V20" i="5" s="1"/>
  <c r="U21" i="5"/>
  <c r="U73" i="5" s="1"/>
  <c r="T21" i="5"/>
  <c r="T73" i="5" s="1"/>
  <c r="S21" i="5"/>
  <c r="R21" i="5"/>
  <c r="Q21" i="5"/>
  <c r="Q122" i="5" s="1"/>
  <c r="P21" i="5"/>
  <c r="P122" i="5" s="1"/>
  <c r="O21" i="5"/>
  <c r="O73" i="5" s="1"/>
  <c r="N21" i="5"/>
  <c r="N174" i="5" s="1"/>
  <c r="M21" i="5"/>
  <c r="M174" i="5" s="1"/>
  <c r="L21" i="5"/>
  <c r="L174" i="5" s="1"/>
  <c r="K21" i="5"/>
  <c r="J21" i="5"/>
  <c r="J20" i="5" s="1"/>
  <c r="I21" i="5"/>
  <c r="H21" i="5"/>
  <c r="G21" i="5"/>
  <c r="F21" i="5"/>
  <c r="F20" i="5" s="1"/>
  <c r="E21" i="5"/>
  <c r="E73" i="5" s="1"/>
  <c r="D21" i="5"/>
  <c r="R20" i="5"/>
  <c r="P20" i="5"/>
  <c r="M20" i="5"/>
  <c r="K20" i="5"/>
  <c r="I20" i="5"/>
  <c r="I19" i="5" s="1"/>
  <c r="G20" i="5"/>
  <c r="G19" i="5" s="1"/>
  <c r="P19" i="5"/>
  <c r="J19" i="5"/>
  <c r="V18" i="5"/>
  <c r="V171" i="5" s="1"/>
  <c r="U18" i="5"/>
  <c r="U119" i="5" s="1"/>
  <c r="T18" i="5"/>
  <c r="S18" i="5"/>
  <c r="S70" i="5" s="1"/>
  <c r="R18" i="5"/>
  <c r="Q18" i="5"/>
  <c r="Q171" i="5" s="1"/>
  <c r="P18" i="5"/>
  <c r="O18" i="5"/>
  <c r="O119" i="5" s="1"/>
  <c r="N18" i="5"/>
  <c r="N70" i="5" s="1"/>
  <c r="M18" i="5"/>
  <c r="M14" i="5" s="1"/>
  <c r="L18" i="5"/>
  <c r="K18" i="5"/>
  <c r="J18" i="5"/>
  <c r="I18" i="5"/>
  <c r="H18" i="5"/>
  <c r="H70" i="5" s="1"/>
  <c r="G18" i="5"/>
  <c r="G171" i="5" s="1"/>
  <c r="F18" i="5"/>
  <c r="F171" i="5" s="1"/>
  <c r="E18" i="5"/>
  <c r="E171" i="5" s="1"/>
  <c r="D18" i="5"/>
  <c r="V17" i="5"/>
  <c r="V69" i="5" s="1"/>
  <c r="U17" i="5"/>
  <c r="T17" i="5"/>
  <c r="S17" i="5"/>
  <c r="R17" i="5"/>
  <c r="R170" i="5" s="1"/>
  <c r="Q17" i="5"/>
  <c r="Q69" i="5" s="1"/>
  <c r="P17" i="5"/>
  <c r="O17" i="5"/>
  <c r="N17" i="5"/>
  <c r="M17" i="5"/>
  <c r="L17" i="5"/>
  <c r="K17" i="5"/>
  <c r="K69" i="5" s="1"/>
  <c r="J17" i="5"/>
  <c r="J69" i="5" s="1"/>
  <c r="I17" i="5"/>
  <c r="I170" i="5" s="1"/>
  <c r="H17" i="5"/>
  <c r="H170" i="5" s="1"/>
  <c r="G17" i="5"/>
  <c r="F17" i="5"/>
  <c r="E17" i="5"/>
  <c r="D17" i="5"/>
  <c r="V16" i="5"/>
  <c r="U16" i="5"/>
  <c r="U169" i="5" s="1"/>
  <c r="T16" i="5"/>
  <c r="T68" i="5" s="1"/>
  <c r="S16" i="5"/>
  <c r="R16" i="5"/>
  <c r="Q16" i="5"/>
  <c r="P16" i="5"/>
  <c r="O16" i="5"/>
  <c r="N16" i="5"/>
  <c r="N117" i="5" s="1"/>
  <c r="M16" i="5"/>
  <c r="M169" i="5" s="1"/>
  <c r="L16" i="5"/>
  <c r="L169" i="5" s="1"/>
  <c r="K16" i="5"/>
  <c r="K169" i="5" s="1"/>
  <c r="J16" i="5"/>
  <c r="I16" i="5"/>
  <c r="I68" i="5" s="1"/>
  <c r="H16" i="5"/>
  <c r="G16" i="5"/>
  <c r="G169" i="5" s="1"/>
  <c r="F16" i="5"/>
  <c r="E16" i="5"/>
  <c r="E14" i="5" s="1"/>
  <c r="E27" i="5" s="1"/>
  <c r="E55" i="5" s="1"/>
  <c r="D16" i="5"/>
  <c r="D68" i="5" s="1"/>
  <c r="V15" i="5"/>
  <c r="U15" i="5"/>
  <c r="T15" i="5"/>
  <c r="S15" i="5"/>
  <c r="R15" i="5"/>
  <c r="Q15" i="5"/>
  <c r="Q67" i="5" s="1"/>
  <c r="P15" i="5"/>
  <c r="P116" i="5" s="1"/>
  <c r="O15" i="5"/>
  <c r="O168" i="5" s="1"/>
  <c r="N15" i="5"/>
  <c r="N168" i="5" s="1"/>
  <c r="M15" i="5"/>
  <c r="L15" i="5"/>
  <c r="L14" i="5" s="1"/>
  <c r="K15" i="5"/>
  <c r="J15" i="5"/>
  <c r="I15" i="5"/>
  <c r="H15" i="5"/>
  <c r="H14" i="5" s="1"/>
  <c r="G15" i="5"/>
  <c r="G67" i="5" s="1"/>
  <c r="F15" i="5"/>
  <c r="E15" i="5"/>
  <c r="D15" i="5"/>
  <c r="O14" i="5"/>
  <c r="I14" i="5"/>
  <c r="V178" i="4"/>
  <c r="R178" i="4"/>
  <c r="M178" i="4"/>
  <c r="H178" i="4"/>
  <c r="F178" i="4"/>
  <c r="U177" i="4"/>
  <c r="P177" i="4"/>
  <c r="I177" i="4"/>
  <c r="E177" i="4"/>
  <c r="S176" i="4"/>
  <c r="L176" i="4"/>
  <c r="H176" i="4"/>
  <c r="T174" i="4"/>
  <c r="R174" i="4"/>
  <c r="N174" i="4"/>
  <c r="I174" i="4"/>
  <c r="U173" i="4"/>
  <c r="Q173" i="4"/>
  <c r="L173" i="4"/>
  <c r="G173" i="4"/>
  <c r="E173" i="4"/>
  <c r="U170" i="4"/>
  <c r="N170" i="4"/>
  <c r="J170" i="4"/>
  <c r="E170" i="4"/>
  <c r="Q169" i="4"/>
  <c r="M169" i="4"/>
  <c r="H169" i="4"/>
  <c r="T168" i="4"/>
  <c r="P168" i="4"/>
  <c r="K168" i="4"/>
  <c r="D168" i="4"/>
  <c r="S167" i="4"/>
  <c r="N167" i="4"/>
  <c r="G167" i="4"/>
  <c r="V150" i="4"/>
  <c r="U150" i="4"/>
  <c r="U178" i="4" s="1"/>
  <c r="T150" i="4"/>
  <c r="S150" i="4"/>
  <c r="R150" i="4"/>
  <c r="Q150" i="4"/>
  <c r="Q178" i="4" s="1"/>
  <c r="P150" i="4"/>
  <c r="P178" i="4" s="1"/>
  <c r="O150" i="4"/>
  <c r="O178" i="4" s="1"/>
  <c r="N150" i="4"/>
  <c r="M150" i="4"/>
  <c r="L150" i="4"/>
  <c r="K150" i="4"/>
  <c r="K178" i="4" s="1"/>
  <c r="J150" i="4"/>
  <c r="J178" i="4" s="1"/>
  <c r="I150" i="4"/>
  <c r="H150" i="4"/>
  <c r="G150" i="4"/>
  <c r="G178" i="4" s="1"/>
  <c r="F150" i="4"/>
  <c r="E150" i="4"/>
  <c r="E178" i="4" s="1"/>
  <c r="D150" i="4"/>
  <c r="V149" i="4"/>
  <c r="U149" i="4"/>
  <c r="T149" i="4"/>
  <c r="T177" i="4" s="1"/>
  <c r="S149" i="4"/>
  <c r="S177" i="4" s="1"/>
  <c r="R149" i="4"/>
  <c r="R177" i="4" s="1"/>
  <c r="Q149" i="4"/>
  <c r="P149" i="4"/>
  <c r="O149" i="4"/>
  <c r="N149" i="4"/>
  <c r="N177" i="4" s="1"/>
  <c r="M149" i="4"/>
  <c r="M177" i="4" s="1"/>
  <c r="L149" i="4"/>
  <c r="K149" i="4"/>
  <c r="J149" i="4"/>
  <c r="J177" i="4" s="1"/>
  <c r="I149" i="4"/>
  <c r="H149" i="4"/>
  <c r="G149" i="4"/>
  <c r="F149" i="4"/>
  <c r="E149" i="4"/>
  <c r="D149" i="4"/>
  <c r="D177" i="4" s="1"/>
  <c r="V148" i="4"/>
  <c r="V176" i="4" s="1"/>
  <c r="U148" i="4"/>
  <c r="U176" i="4" s="1"/>
  <c r="T148" i="4"/>
  <c r="S148" i="4"/>
  <c r="R148" i="4"/>
  <c r="Q148" i="4"/>
  <c r="P148" i="4"/>
  <c r="P176" i="4" s="1"/>
  <c r="O148" i="4"/>
  <c r="N148" i="4"/>
  <c r="M148" i="4"/>
  <c r="M147" i="4" s="1"/>
  <c r="M175" i="4" s="1"/>
  <c r="L148" i="4"/>
  <c r="K148" i="4"/>
  <c r="J148" i="4"/>
  <c r="J147" i="4" s="1"/>
  <c r="J175" i="4" s="1"/>
  <c r="I148" i="4"/>
  <c r="H148" i="4"/>
  <c r="G148" i="4"/>
  <c r="G176" i="4" s="1"/>
  <c r="F148" i="4"/>
  <c r="F176" i="4" s="1"/>
  <c r="E148" i="4"/>
  <c r="E176" i="4" s="1"/>
  <c r="D148" i="4"/>
  <c r="T147" i="4"/>
  <c r="R147" i="4"/>
  <c r="P147" i="4"/>
  <c r="P175" i="4" s="1"/>
  <c r="N147" i="4"/>
  <c r="N175" i="4" s="1"/>
  <c r="I147" i="4"/>
  <c r="G147" i="4"/>
  <c r="D147" i="4"/>
  <c r="D175" i="4" s="1"/>
  <c r="V146" i="4"/>
  <c r="V174" i="4" s="1"/>
  <c r="U146" i="4"/>
  <c r="U174" i="4" s="1"/>
  <c r="T146" i="4"/>
  <c r="S146" i="4"/>
  <c r="S174" i="4" s="1"/>
  <c r="R146" i="4"/>
  <c r="Q146" i="4"/>
  <c r="P146" i="4"/>
  <c r="O146" i="4"/>
  <c r="N146" i="4"/>
  <c r="M146" i="4"/>
  <c r="M174" i="4" s="1"/>
  <c r="L146" i="4"/>
  <c r="L174" i="4" s="1"/>
  <c r="K146" i="4"/>
  <c r="K174" i="4" s="1"/>
  <c r="J146" i="4"/>
  <c r="J174" i="4" s="1"/>
  <c r="I146" i="4"/>
  <c r="H146" i="4"/>
  <c r="G146" i="4"/>
  <c r="G174" i="4" s="1"/>
  <c r="F146" i="4"/>
  <c r="F174" i="4" s="1"/>
  <c r="E146" i="4"/>
  <c r="E174" i="4" s="1"/>
  <c r="D146" i="4"/>
  <c r="V145" i="4"/>
  <c r="V144" i="4" s="1"/>
  <c r="U145" i="4"/>
  <c r="T145" i="4"/>
  <c r="S145" i="4"/>
  <c r="S144" i="4" s="1"/>
  <c r="R145" i="4"/>
  <c r="Q145" i="4"/>
  <c r="P145" i="4"/>
  <c r="P173" i="4" s="1"/>
  <c r="O145" i="4"/>
  <c r="O173" i="4" s="1"/>
  <c r="N145" i="4"/>
  <c r="N173" i="4" s="1"/>
  <c r="M145" i="4"/>
  <c r="M173" i="4" s="1"/>
  <c r="L145" i="4"/>
  <c r="K145" i="4"/>
  <c r="J145" i="4"/>
  <c r="I145" i="4"/>
  <c r="I173" i="4" s="1"/>
  <c r="H145" i="4"/>
  <c r="G145" i="4"/>
  <c r="F145" i="4"/>
  <c r="F144" i="4" s="1"/>
  <c r="E145" i="4"/>
  <c r="D145" i="4"/>
  <c r="R144" i="4"/>
  <c r="P144" i="4"/>
  <c r="M144" i="4"/>
  <c r="K144" i="4"/>
  <c r="I144" i="4"/>
  <c r="I143" i="4" s="1"/>
  <c r="P143" i="4"/>
  <c r="V142" i="4"/>
  <c r="V170" i="4" s="1"/>
  <c r="U142" i="4"/>
  <c r="T142" i="4"/>
  <c r="S142" i="4"/>
  <c r="S170" i="4" s="1"/>
  <c r="R142" i="4"/>
  <c r="R170" i="4" s="1"/>
  <c r="Q142" i="4"/>
  <c r="P142" i="4"/>
  <c r="O142" i="4"/>
  <c r="O170" i="4" s="1"/>
  <c r="N142" i="4"/>
  <c r="M142" i="4"/>
  <c r="M170" i="4" s="1"/>
  <c r="L142" i="4"/>
  <c r="K142" i="4"/>
  <c r="J142" i="4"/>
  <c r="I142" i="4"/>
  <c r="I170" i="4" s="1"/>
  <c r="H142" i="4"/>
  <c r="H170" i="4" s="1"/>
  <c r="G142" i="4"/>
  <c r="G170" i="4" s="1"/>
  <c r="F142" i="4"/>
  <c r="F170" i="4" s="1"/>
  <c r="E142" i="4"/>
  <c r="D142" i="4"/>
  <c r="V141" i="4"/>
  <c r="V169" i="4" s="1"/>
  <c r="U141" i="4"/>
  <c r="U169" i="4" s="1"/>
  <c r="T141" i="4"/>
  <c r="S141" i="4"/>
  <c r="R141" i="4"/>
  <c r="R138" i="4" s="1"/>
  <c r="R151" i="4" s="1"/>
  <c r="Q141" i="4"/>
  <c r="P141" i="4"/>
  <c r="P169" i="4" s="1"/>
  <c r="O141" i="4"/>
  <c r="N141" i="4"/>
  <c r="M141" i="4"/>
  <c r="L141" i="4"/>
  <c r="L169" i="4" s="1"/>
  <c r="K141" i="4"/>
  <c r="K169" i="4" s="1"/>
  <c r="J141" i="4"/>
  <c r="J169" i="4" s="1"/>
  <c r="I141" i="4"/>
  <c r="I169" i="4" s="1"/>
  <c r="H141" i="4"/>
  <c r="G141" i="4"/>
  <c r="F141" i="4"/>
  <c r="F169" i="4" s="1"/>
  <c r="E141" i="4"/>
  <c r="E169" i="4" s="1"/>
  <c r="D141" i="4"/>
  <c r="V140" i="4"/>
  <c r="U140" i="4"/>
  <c r="U168" i="4" s="1"/>
  <c r="T140" i="4"/>
  <c r="S140" i="4"/>
  <c r="R140" i="4"/>
  <c r="Q140" i="4"/>
  <c r="P140" i="4"/>
  <c r="O140" i="4"/>
  <c r="O168" i="4" s="1"/>
  <c r="N140" i="4"/>
  <c r="N168" i="4" s="1"/>
  <c r="M140" i="4"/>
  <c r="M168" i="4" s="1"/>
  <c r="L140" i="4"/>
  <c r="L168" i="4" s="1"/>
  <c r="K140" i="4"/>
  <c r="J140" i="4"/>
  <c r="I140" i="4"/>
  <c r="I168" i="4" s="1"/>
  <c r="H140" i="4"/>
  <c r="H168" i="4" s="1"/>
  <c r="G140" i="4"/>
  <c r="F140" i="4"/>
  <c r="E140" i="4"/>
  <c r="E168" i="4" s="1"/>
  <c r="D140" i="4"/>
  <c r="V139" i="4"/>
  <c r="U139" i="4"/>
  <c r="U138" i="4" s="1"/>
  <c r="T139" i="4"/>
  <c r="S139" i="4"/>
  <c r="R139" i="4"/>
  <c r="R167" i="4" s="1"/>
  <c r="Q139" i="4"/>
  <c r="Q167" i="4" s="1"/>
  <c r="P139" i="4"/>
  <c r="P167" i="4" s="1"/>
  <c r="O139" i="4"/>
  <c r="O167" i="4" s="1"/>
  <c r="N139" i="4"/>
  <c r="M139" i="4"/>
  <c r="L139" i="4"/>
  <c r="K139" i="4"/>
  <c r="K167" i="4" s="1"/>
  <c r="J139" i="4"/>
  <c r="I139" i="4"/>
  <c r="H139" i="4"/>
  <c r="H138" i="4" s="1"/>
  <c r="H151" i="4" s="1"/>
  <c r="G139" i="4"/>
  <c r="F139" i="4"/>
  <c r="E139" i="4"/>
  <c r="E138" i="4" s="1"/>
  <c r="D139" i="4"/>
  <c r="O138" i="4"/>
  <c r="M138" i="4"/>
  <c r="V126" i="4"/>
  <c r="U126" i="4"/>
  <c r="P126" i="4"/>
  <c r="K126" i="4"/>
  <c r="G126" i="4"/>
  <c r="F126" i="4"/>
  <c r="E126" i="4"/>
  <c r="S125" i="4"/>
  <c r="N125" i="4"/>
  <c r="L125" i="4"/>
  <c r="J125" i="4"/>
  <c r="I125" i="4"/>
  <c r="H125" i="4"/>
  <c r="V124" i="4"/>
  <c r="Q124" i="4"/>
  <c r="O124" i="4"/>
  <c r="M124" i="4"/>
  <c r="L124" i="4"/>
  <c r="K124" i="4"/>
  <c r="F124" i="4"/>
  <c r="S122" i="4"/>
  <c r="R122" i="4"/>
  <c r="Q122" i="4"/>
  <c r="L122" i="4"/>
  <c r="G122" i="4"/>
  <c r="V121" i="4"/>
  <c r="U121" i="4"/>
  <c r="T121" i="4"/>
  <c r="O121" i="4"/>
  <c r="J121" i="4"/>
  <c r="F121" i="4"/>
  <c r="E121" i="4"/>
  <c r="D121" i="4"/>
  <c r="S118" i="4"/>
  <c r="Q118" i="4"/>
  <c r="O118" i="4"/>
  <c r="N118" i="4"/>
  <c r="M118" i="4"/>
  <c r="H118" i="4"/>
  <c r="V117" i="4"/>
  <c r="T117" i="4"/>
  <c r="R117" i="4"/>
  <c r="Q117" i="4"/>
  <c r="P117" i="4"/>
  <c r="K117" i="4"/>
  <c r="F117" i="4"/>
  <c r="U116" i="4"/>
  <c r="T116" i="4"/>
  <c r="S116" i="4"/>
  <c r="N116" i="4"/>
  <c r="I116" i="4"/>
  <c r="G116" i="4"/>
  <c r="E116" i="4"/>
  <c r="D116" i="4"/>
  <c r="V115" i="4"/>
  <c r="Q115" i="4"/>
  <c r="L115" i="4"/>
  <c r="J115" i="4"/>
  <c r="H115" i="4"/>
  <c r="G115" i="4"/>
  <c r="F115" i="4"/>
  <c r="U100" i="4"/>
  <c r="V99" i="4"/>
  <c r="U99" i="4"/>
  <c r="T99" i="4"/>
  <c r="T126" i="4" s="1"/>
  <c r="S99" i="4"/>
  <c r="S126" i="4" s="1"/>
  <c r="R99" i="4"/>
  <c r="R126" i="4" s="1"/>
  <c r="Q99" i="4"/>
  <c r="Q126" i="4" s="1"/>
  <c r="P99" i="4"/>
  <c r="O99" i="4"/>
  <c r="N99" i="4"/>
  <c r="N126" i="4" s="1"/>
  <c r="M99" i="4"/>
  <c r="M126" i="4" s="1"/>
  <c r="L99" i="4"/>
  <c r="L126" i="4" s="1"/>
  <c r="K99" i="4"/>
  <c r="J99" i="4"/>
  <c r="J126" i="4" s="1"/>
  <c r="I99" i="4"/>
  <c r="H99" i="4"/>
  <c r="G99" i="4"/>
  <c r="F99" i="4"/>
  <c r="E99" i="4"/>
  <c r="D99" i="4"/>
  <c r="D126" i="4" s="1"/>
  <c r="V98" i="4"/>
  <c r="V125" i="4" s="1"/>
  <c r="U98" i="4"/>
  <c r="U125" i="4" s="1"/>
  <c r="T98" i="4"/>
  <c r="T125" i="4" s="1"/>
  <c r="S98" i="4"/>
  <c r="R98" i="4"/>
  <c r="Q98" i="4"/>
  <c r="Q125" i="4" s="1"/>
  <c r="P98" i="4"/>
  <c r="P125" i="4" s="1"/>
  <c r="O98" i="4"/>
  <c r="O125" i="4" s="1"/>
  <c r="N98" i="4"/>
  <c r="M98" i="4"/>
  <c r="M96" i="4" s="1"/>
  <c r="M123" i="4" s="1"/>
  <c r="L98" i="4"/>
  <c r="K98" i="4"/>
  <c r="J98" i="4"/>
  <c r="I98" i="4"/>
  <c r="H98" i="4"/>
  <c r="G98" i="4"/>
  <c r="G125" i="4" s="1"/>
  <c r="F98" i="4"/>
  <c r="F125" i="4" s="1"/>
  <c r="E98" i="4"/>
  <c r="E125" i="4" s="1"/>
  <c r="D98" i="4"/>
  <c r="D125" i="4" s="1"/>
  <c r="V97" i="4"/>
  <c r="U97" i="4"/>
  <c r="T97" i="4"/>
  <c r="S97" i="4"/>
  <c r="S124" i="4" s="1"/>
  <c r="R97" i="4"/>
  <c r="Q97" i="4"/>
  <c r="P97" i="4"/>
  <c r="P96" i="4" s="1"/>
  <c r="P123" i="4" s="1"/>
  <c r="O97" i="4"/>
  <c r="N97" i="4"/>
  <c r="M97" i="4"/>
  <c r="L97" i="4"/>
  <c r="K97" i="4"/>
  <c r="J97" i="4"/>
  <c r="J124" i="4" s="1"/>
  <c r="I97" i="4"/>
  <c r="I124" i="4" s="1"/>
  <c r="H97" i="4"/>
  <c r="H124" i="4" s="1"/>
  <c r="G97" i="4"/>
  <c r="G124" i="4" s="1"/>
  <c r="F97" i="4"/>
  <c r="E97" i="4"/>
  <c r="D97" i="4"/>
  <c r="U96" i="4"/>
  <c r="S96" i="4"/>
  <c r="S123" i="4" s="1"/>
  <c r="L96" i="4"/>
  <c r="J96" i="4"/>
  <c r="J123" i="4" s="1"/>
  <c r="G96" i="4"/>
  <c r="E96" i="4"/>
  <c r="V95" i="4"/>
  <c r="V122" i="4" s="1"/>
  <c r="U95" i="4"/>
  <c r="T95" i="4"/>
  <c r="S95" i="4"/>
  <c r="R95" i="4"/>
  <c r="Q95" i="4"/>
  <c r="P95" i="4"/>
  <c r="P122" i="4" s="1"/>
  <c r="O95" i="4"/>
  <c r="O122" i="4" s="1"/>
  <c r="N95" i="4"/>
  <c r="N122" i="4" s="1"/>
  <c r="M95" i="4"/>
  <c r="M122" i="4" s="1"/>
  <c r="L95" i="4"/>
  <c r="K95" i="4"/>
  <c r="J95" i="4"/>
  <c r="J122" i="4" s="1"/>
  <c r="I95" i="4"/>
  <c r="I122" i="4" s="1"/>
  <c r="H95" i="4"/>
  <c r="G95" i="4"/>
  <c r="F95" i="4"/>
  <c r="F122" i="4" s="1"/>
  <c r="E95" i="4"/>
  <c r="D95" i="4"/>
  <c r="V94" i="4"/>
  <c r="V93" i="4" s="1"/>
  <c r="U94" i="4"/>
  <c r="T94" i="4"/>
  <c r="S94" i="4"/>
  <c r="S121" i="4" s="1"/>
  <c r="R94" i="4"/>
  <c r="R121" i="4" s="1"/>
  <c r="Q94" i="4"/>
  <c r="Q121" i="4" s="1"/>
  <c r="P94" i="4"/>
  <c r="P121" i="4" s="1"/>
  <c r="O94" i="4"/>
  <c r="N94" i="4"/>
  <c r="M94" i="4"/>
  <c r="L94" i="4"/>
  <c r="L121" i="4" s="1"/>
  <c r="K94" i="4"/>
  <c r="J94" i="4"/>
  <c r="I94" i="4"/>
  <c r="I93" i="4" s="1"/>
  <c r="H94" i="4"/>
  <c r="G94" i="4"/>
  <c r="F94" i="4"/>
  <c r="F93" i="4" s="1"/>
  <c r="E94" i="4"/>
  <c r="D94" i="4"/>
  <c r="U93" i="4"/>
  <c r="S93" i="4"/>
  <c r="S120" i="4" s="1"/>
  <c r="P93" i="4"/>
  <c r="N93" i="4"/>
  <c r="L93" i="4"/>
  <c r="L92" i="4" s="1"/>
  <c r="E93" i="4"/>
  <c r="S92" i="4"/>
  <c r="V91" i="4"/>
  <c r="U91" i="4"/>
  <c r="U118" i="4" s="1"/>
  <c r="T91" i="4"/>
  <c r="T118" i="4" s="1"/>
  <c r="S91" i="4"/>
  <c r="R91" i="4"/>
  <c r="R118" i="4" s="1"/>
  <c r="Q91" i="4"/>
  <c r="P91" i="4"/>
  <c r="O91" i="4"/>
  <c r="N91" i="4"/>
  <c r="M91" i="4"/>
  <c r="L91" i="4"/>
  <c r="L118" i="4" s="1"/>
  <c r="K91" i="4"/>
  <c r="K118" i="4" s="1"/>
  <c r="J91" i="4"/>
  <c r="J118" i="4" s="1"/>
  <c r="I91" i="4"/>
  <c r="I118" i="4" s="1"/>
  <c r="H91" i="4"/>
  <c r="G91" i="4"/>
  <c r="F91" i="4"/>
  <c r="E91" i="4"/>
  <c r="E118" i="4" s="1"/>
  <c r="D91" i="4"/>
  <c r="D118" i="4" s="1"/>
  <c r="V90" i="4"/>
  <c r="U90" i="4"/>
  <c r="U87" i="4" s="1"/>
  <c r="T90" i="4"/>
  <c r="S90" i="4"/>
  <c r="R90" i="4"/>
  <c r="Q90" i="4"/>
  <c r="P90" i="4"/>
  <c r="O90" i="4"/>
  <c r="O117" i="4" s="1"/>
  <c r="N90" i="4"/>
  <c r="N117" i="4" s="1"/>
  <c r="M90" i="4"/>
  <c r="M117" i="4" s="1"/>
  <c r="L90" i="4"/>
  <c r="L117" i="4" s="1"/>
  <c r="K90" i="4"/>
  <c r="J90" i="4"/>
  <c r="I90" i="4"/>
  <c r="H90" i="4"/>
  <c r="H117" i="4" s="1"/>
  <c r="G90" i="4"/>
  <c r="F90" i="4"/>
  <c r="E90" i="4"/>
  <c r="E87" i="4" s="1"/>
  <c r="D90" i="4"/>
  <c r="V89" i="4"/>
  <c r="U89" i="4"/>
  <c r="T89" i="4"/>
  <c r="S89" i="4"/>
  <c r="R89" i="4"/>
  <c r="R116" i="4" s="1"/>
  <c r="Q89" i="4"/>
  <c r="Q116" i="4" s="1"/>
  <c r="P89" i="4"/>
  <c r="P116" i="4" s="1"/>
  <c r="O89" i="4"/>
  <c r="O116" i="4" s="1"/>
  <c r="N89" i="4"/>
  <c r="M89" i="4"/>
  <c r="L89" i="4"/>
  <c r="K89" i="4"/>
  <c r="K116" i="4" s="1"/>
  <c r="J89" i="4"/>
  <c r="J116" i="4" s="1"/>
  <c r="I89" i="4"/>
  <c r="H89" i="4"/>
  <c r="H116" i="4" s="1"/>
  <c r="G89" i="4"/>
  <c r="F89" i="4"/>
  <c r="E89" i="4"/>
  <c r="D89" i="4"/>
  <c r="V88" i="4"/>
  <c r="U88" i="4"/>
  <c r="U115" i="4" s="1"/>
  <c r="T88" i="4"/>
  <c r="T115" i="4" s="1"/>
  <c r="S88" i="4"/>
  <c r="S115" i="4" s="1"/>
  <c r="R88" i="4"/>
  <c r="R115" i="4" s="1"/>
  <c r="Q88" i="4"/>
  <c r="P88" i="4"/>
  <c r="O88" i="4"/>
  <c r="N88" i="4"/>
  <c r="N115" i="4" s="1"/>
  <c r="M88" i="4"/>
  <c r="L88" i="4"/>
  <c r="K88" i="4"/>
  <c r="K87" i="4" s="1"/>
  <c r="J88" i="4"/>
  <c r="J87" i="4" s="1"/>
  <c r="I88" i="4"/>
  <c r="H88" i="4"/>
  <c r="H87" i="4" s="1"/>
  <c r="G88" i="4"/>
  <c r="F88" i="4"/>
  <c r="E88" i="4"/>
  <c r="E115" i="4" s="1"/>
  <c r="D88" i="4"/>
  <c r="D115" i="4" s="1"/>
  <c r="R87" i="4"/>
  <c r="P87" i="4"/>
  <c r="L77" i="4"/>
  <c r="R75" i="4"/>
  <c r="N75" i="4"/>
  <c r="J73" i="4"/>
  <c r="H73" i="4"/>
  <c r="D73" i="4"/>
  <c r="D69" i="4"/>
  <c r="I68" i="4"/>
  <c r="N52" i="4"/>
  <c r="V51" i="4"/>
  <c r="V77" i="4" s="1"/>
  <c r="U51" i="4"/>
  <c r="U77" i="4" s="1"/>
  <c r="T51" i="4"/>
  <c r="T77" i="4" s="1"/>
  <c r="S51" i="4"/>
  <c r="R51" i="4"/>
  <c r="Q51" i="4"/>
  <c r="Q77" i="4" s="1"/>
  <c r="P51" i="4"/>
  <c r="P77" i="4" s="1"/>
  <c r="O51" i="4"/>
  <c r="O77" i="4" s="1"/>
  <c r="N51" i="4"/>
  <c r="M51" i="4"/>
  <c r="M77" i="4" s="1"/>
  <c r="L51" i="4"/>
  <c r="K51" i="4"/>
  <c r="K77" i="4" s="1"/>
  <c r="J51" i="4"/>
  <c r="I51" i="4"/>
  <c r="H51" i="4"/>
  <c r="G51" i="4"/>
  <c r="G77" i="4" s="1"/>
  <c r="F51" i="4"/>
  <c r="F77" i="4" s="1"/>
  <c r="E51" i="4"/>
  <c r="E77" i="4" s="1"/>
  <c r="D51" i="4"/>
  <c r="D77" i="4" s="1"/>
  <c r="V50" i="4"/>
  <c r="U50" i="4"/>
  <c r="T50" i="4"/>
  <c r="T76" i="4" s="1"/>
  <c r="S50" i="4"/>
  <c r="S76" i="4" s="1"/>
  <c r="R50" i="4"/>
  <c r="R76" i="4" s="1"/>
  <c r="Q50" i="4"/>
  <c r="P50" i="4"/>
  <c r="P76" i="4" s="1"/>
  <c r="O50" i="4"/>
  <c r="O48" i="4" s="1"/>
  <c r="N50" i="4"/>
  <c r="M50" i="4"/>
  <c r="L50" i="4"/>
  <c r="K50" i="4"/>
  <c r="J50" i="4"/>
  <c r="J76" i="4" s="1"/>
  <c r="I50" i="4"/>
  <c r="I76" i="4" s="1"/>
  <c r="H50" i="4"/>
  <c r="H76" i="4" s="1"/>
  <c r="G50" i="4"/>
  <c r="G76" i="4" s="1"/>
  <c r="F50" i="4"/>
  <c r="E50" i="4"/>
  <c r="D50" i="4"/>
  <c r="D76" i="4" s="1"/>
  <c r="V49" i="4"/>
  <c r="V75" i="4" s="1"/>
  <c r="U49" i="4"/>
  <c r="T49" i="4"/>
  <c r="S49" i="4"/>
  <c r="S48" i="4" s="1"/>
  <c r="S74" i="4" s="1"/>
  <c r="R49" i="4"/>
  <c r="Q49" i="4"/>
  <c r="P49" i="4"/>
  <c r="P48" i="4" s="1"/>
  <c r="P74" i="4" s="1"/>
  <c r="O49" i="4"/>
  <c r="N49" i="4"/>
  <c r="M49" i="4"/>
  <c r="M75" i="4" s="1"/>
  <c r="L49" i="4"/>
  <c r="L75" i="4" s="1"/>
  <c r="K49" i="4"/>
  <c r="K75" i="4" s="1"/>
  <c r="J49" i="4"/>
  <c r="J75" i="4" s="1"/>
  <c r="I49" i="4"/>
  <c r="H49" i="4"/>
  <c r="G49" i="4"/>
  <c r="F49" i="4"/>
  <c r="F75" i="4" s="1"/>
  <c r="E49" i="4"/>
  <c r="D49" i="4"/>
  <c r="V48" i="4"/>
  <c r="M48" i="4"/>
  <c r="M74" i="4" s="1"/>
  <c r="J48" i="4"/>
  <c r="J74" i="4" s="1"/>
  <c r="H48" i="4"/>
  <c r="F48" i="4"/>
  <c r="V47" i="4"/>
  <c r="U47" i="4"/>
  <c r="T47" i="4"/>
  <c r="S47" i="4"/>
  <c r="S73" i="4" s="1"/>
  <c r="R47" i="4"/>
  <c r="R73" i="4" s="1"/>
  <c r="Q47" i="4"/>
  <c r="Q73" i="4" s="1"/>
  <c r="P47" i="4"/>
  <c r="P73" i="4" s="1"/>
  <c r="O47" i="4"/>
  <c r="N47" i="4"/>
  <c r="M47" i="4"/>
  <c r="M73" i="4" s="1"/>
  <c r="L47" i="4"/>
  <c r="L73" i="4" s="1"/>
  <c r="K47" i="4"/>
  <c r="K73" i="4" s="1"/>
  <c r="J47" i="4"/>
  <c r="I47" i="4"/>
  <c r="I73" i="4" s="1"/>
  <c r="H47" i="4"/>
  <c r="H45" i="4" s="1"/>
  <c r="G47" i="4"/>
  <c r="F47" i="4"/>
  <c r="E47" i="4"/>
  <c r="D47" i="4"/>
  <c r="V46" i="4"/>
  <c r="V72" i="4" s="1"/>
  <c r="U46" i="4"/>
  <c r="U72" i="4" s="1"/>
  <c r="T46" i="4"/>
  <c r="T72" i="4" s="1"/>
  <c r="S46" i="4"/>
  <c r="S72" i="4" s="1"/>
  <c r="R46" i="4"/>
  <c r="Q46" i="4"/>
  <c r="P46" i="4"/>
  <c r="O46" i="4"/>
  <c r="O72" i="4" s="1"/>
  <c r="N46" i="4"/>
  <c r="M46" i="4"/>
  <c r="L46" i="4"/>
  <c r="L45" i="4" s="1"/>
  <c r="K46" i="4"/>
  <c r="K45" i="4" s="1"/>
  <c r="J46" i="4"/>
  <c r="I46" i="4"/>
  <c r="I45" i="4" s="1"/>
  <c r="H46" i="4"/>
  <c r="G46" i="4"/>
  <c r="F46" i="4"/>
  <c r="F72" i="4" s="1"/>
  <c r="E46" i="4"/>
  <c r="E72" i="4" s="1"/>
  <c r="D46" i="4"/>
  <c r="D72" i="4" s="1"/>
  <c r="V45" i="4"/>
  <c r="S45" i="4"/>
  <c r="Q45" i="4"/>
  <c r="O45" i="4"/>
  <c r="O44" i="4" s="1"/>
  <c r="F45" i="4"/>
  <c r="V44" i="4"/>
  <c r="F44" i="4"/>
  <c r="V43" i="4"/>
  <c r="U43" i="4"/>
  <c r="U69" i="4" s="1"/>
  <c r="T43" i="4"/>
  <c r="S43" i="4"/>
  <c r="S69" i="4" s="1"/>
  <c r="R43" i="4"/>
  <c r="Q43" i="4"/>
  <c r="P43" i="4"/>
  <c r="O43" i="4"/>
  <c r="O69" i="4" s="1"/>
  <c r="N43" i="4"/>
  <c r="N69" i="4" s="1"/>
  <c r="M43" i="4"/>
  <c r="M69" i="4" s="1"/>
  <c r="L43" i="4"/>
  <c r="L69" i="4" s="1"/>
  <c r="K43" i="4"/>
  <c r="J43" i="4"/>
  <c r="I43" i="4"/>
  <c r="I69" i="4" s="1"/>
  <c r="H43" i="4"/>
  <c r="H69" i="4" s="1"/>
  <c r="G43" i="4"/>
  <c r="G69" i="4" s="1"/>
  <c r="F43" i="4"/>
  <c r="E43" i="4"/>
  <c r="E69" i="4" s="1"/>
  <c r="D43" i="4"/>
  <c r="V42" i="4"/>
  <c r="V68" i="4" s="1"/>
  <c r="U42" i="4"/>
  <c r="T42" i="4"/>
  <c r="S42" i="4"/>
  <c r="R42" i="4"/>
  <c r="R68" i="4" s="1"/>
  <c r="Q42" i="4"/>
  <c r="Q68" i="4" s="1"/>
  <c r="P42" i="4"/>
  <c r="P68" i="4" s="1"/>
  <c r="O42" i="4"/>
  <c r="O68" i="4" s="1"/>
  <c r="N42" i="4"/>
  <c r="M42" i="4"/>
  <c r="L42" i="4"/>
  <c r="L68" i="4" s="1"/>
  <c r="K42" i="4"/>
  <c r="K68" i="4" s="1"/>
  <c r="J42" i="4"/>
  <c r="J68" i="4" s="1"/>
  <c r="I42" i="4"/>
  <c r="H42" i="4"/>
  <c r="H39" i="4" s="1"/>
  <c r="G42" i="4"/>
  <c r="F42" i="4"/>
  <c r="F68" i="4" s="1"/>
  <c r="E42" i="4"/>
  <c r="D42" i="4"/>
  <c r="V41" i="4"/>
  <c r="U41" i="4"/>
  <c r="U67" i="4" s="1"/>
  <c r="T41" i="4"/>
  <c r="T67" i="4" s="1"/>
  <c r="S41" i="4"/>
  <c r="S67" i="4" s="1"/>
  <c r="R41" i="4"/>
  <c r="R67" i="4" s="1"/>
  <c r="Q41" i="4"/>
  <c r="P41" i="4"/>
  <c r="O41" i="4"/>
  <c r="O67" i="4" s="1"/>
  <c r="N41" i="4"/>
  <c r="N67" i="4" s="1"/>
  <c r="M41" i="4"/>
  <c r="M67" i="4" s="1"/>
  <c r="L41" i="4"/>
  <c r="K41" i="4"/>
  <c r="K39" i="4" s="1"/>
  <c r="J41" i="4"/>
  <c r="J39" i="4" s="1"/>
  <c r="I41" i="4"/>
  <c r="H41" i="4"/>
  <c r="G41" i="4"/>
  <c r="F41" i="4"/>
  <c r="E41" i="4"/>
  <c r="E67" i="4" s="1"/>
  <c r="D41" i="4"/>
  <c r="D67" i="4" s="1"/>
  <c r="V40" i="4"/>
  <c r="V66" i="4" s="1"/>
  <c r="U40" i="4"/>
  <c r="U66" i="4" s="1"/>
  <c r="T40" i="4"/>
  <c r="T39" i="4" s="1"/>
  <c r="S40" i="4"/>
  <c r="R40" i="4"/>
  <c r="Q40" i="4"/>
  <c r="Q66" i="4" s="1"/>
  <c r="P40" i="4"/>
  <c r="P66" i="4" s="1"/>
  <c r="O40" i="4"/>
  <c r="N40" i="4"/>
  <c r="N39" i="4" s="1"/>
  <c r="M40" i="4"/>
  <c r="M39" i="4" s="1"/>
  <c r="L40" i="4"/>
  <c r="K40" i="4"/>
  <c r="J40" i="4"/>
  <c r="I40" i="4"/>
  <c r="H40" i="4"/>
  <c r="H66" i="4" s="1"/>
  <c r="G40" i="4"/>
  <c r="G66" i="4" s="1"/>
  <c r="F40" i="4"/>
  <c r="F66" i="4" s="1"/>
  <c r="E40" i="4"/>
  <c r="E66" i="4" s="1"/>
  <c r="D40" i="4"/>
  <c r="D39" i="4" s="1"/>
  <c r="U39" i="4"/>
  <c r="P39" i="4"/>
  <c r="E39" i="4"/>
  <c r="V25" i="4"/>
  <c r="U25" i="4"/>
  <c r="T25" i="4"/>
  <c r="T178" i="4" s="1"/>
  <c r="S25" i="4"/>
  <c r="S178" i="4" s="1"/>
  <c r="R25" i="4"/>
  <c r="R77" i="4" s="1"/>
  <c r="Q25" i="4"/>
  <c r="P25" i="4"/>
  <c r="O25" i="4"/>
  <c r="O126" i="4" s="1"/>
  <c r="N25" i="4"/>
  <c r="N77" i="4" s="1"/>
  <c r="M25" i="4"/>
  <c r="L25" i="4"/>
  <c r="L178" i="4" s="1"/>
  <c r="K25" i="4"/>
  <c r="J25" i="4"/>
  <c r="J77" i="4" s="1"/>
  <c r="I25" i="4"/>
  <c r="I77" i="4" s="1"/>
  <c r="H25" i="4"/>
  <c r="H77" i="4" s="1"/>
  <c r="G25" i="4"/>
  <c r="F25" i="4"/>
  <c r="E25" i="4"/>
  <c r="D25" i="4"/>
  <c r="D178" i="4" s="1"/>
  <c r="V24" i="4"/>
  <c r="V177" i="4" s="1"/>
  <c r="U24" i="4"/>
  <c r="U76" i="4" s="1"/>
  <c r="T24" i="4"/>
  <c r="S24" i="4"/>
  <c r="R24" i="4"/>
  <c r="R125" i="4" s="1"/>
  <c r="Q24" i="4"/>
  <c r="Q76" i="4" s="1"/>
  <c r="P24" i="4"/>
  <c r="O24" i="4"/>
  <c r="O177" i="4" s="1"/>
  <c r="N24" i="4"/>
  <c r="M24" i="4"/>
  <c r="M22" i="4" s="1"/>
  <c r="L24" i="4"/>
  <c r="K24" i="4"/>
  <c r="K22" i="4" s="1"/>
  <c r="J24" i="4"/>
  <c r="I24" i="4"/>
  <c r="H24" i="4"/>
  <c r="G24" i="4"/>
  <c r="G177" i="4" s="1"/>
  <c r="F24" i="4"/>
  <c r="F177" i="4" s="1"/>
  <c r="E24" i="4"/>
  <c r="E76" i="4" s="1"/>
  <c r="D24" i="4"/>
  <c r="V23" i="4"/>
  <c r="V22" i="4" s="1"/>
  <c r="U23" i="4"/>
  <c r="U124" i="4" s="1"/>
  <c r="T23" i="4"/>
  <c r="T22" i="4" s="1"/>
  <c r="S23" i="4"/>
  <c r="R23" i="4"/>
  <c r="R176" i="4" s="1"/>
  <c r="Q23" i="4"/>
  <c r="P23" i="4"/>
  <c r="P22" i="4" s="1"/>
  <c r="O23" i="4"/>
  <c r="N23" i="4"/>
  <c r="N22" i="4" s="1"/>
  <c r="M23" i="4"/>
  <c r="L23" i="4"/>
  <c r="K23" i="4"/>
  <c r="J23" i="4"/>
  <c r="J176" i="4" s="1"/>
  <c r="I23" i="4"/>
  <c r="I176" i="4" s="1"/>
  <c r="H23" i="4"/>
  <c r="H75" i="4" s="1"/>
  <c r="G23" i="4"/>
  <c r="F23" i="4"/>
  <c r="F22" i="4" s="1"/>
  <c r="E23" i="4"/>
  <c r="E124" i="4" s="1"/>
  <c r="D23" i="4"/>
  <c r="D22" i="4" s="1"/>
  <c r="U22" i="4"/>
  <c r="S22" i="4"/>
  <c r="J22" i="4"/>
  <c r="G22" i="4"/>
  <c r="E22" i="4"/>
  <c r="V21" i="4"/>
  <c r="V19" i="4" s="1"/>
  <c r="U21" i="4"/>
  <c r="U122" i="4" s="1"/>
  <c r="T21" i="4"/>
  <c r="T19" i="4" s="1"/>
  <c r="S21" i="4"/>
  <c r="R21" i="4"/>
  <c r="Q21" i="4"/>
  <c r="P21" i="4"/>
  <c r="P174" i="4" s="1"/>
  <c r="O21" i="4"/>
  <c r="O174" i="4" s="1"/>
  <c r="N21" i="4"/>
  <c r="N73" i="4" s="1"/>
  <c r="M21" i="4"/>
  <c r="L21" i="4"/>
  <c r="K21" i="4"/>
  <c r="K122" i="4" s="1"/>
  <c r="J21" i="4"/>
  <c r="J19" i="4" s="1"/>
  <c r="J18" i="4" s="1"/>
  <c r="I21" i="4"/>
  <c r="H21" i="4"/>
  <c r="H174" i="4" s="1"/>
  <c r="G21" i="4"/>
  <c r="F21" i="4"/>
  <c r="F19" i="4" s="1"/>
  <c r="E21" i="4"/>
  <c r="D21" i="4"/>
  <c r="D19" i="4" s="1"/>
  <c r="V20" i="4"/>
  <c r="U20" i="4"/>
  <c r="T20" i="4"/>
  <c r="S20" i="4"/>
  <c r="S173" i="4" s="1"/>
  <c r="R20" i="4"/>
  <c r="R173" i="4" s="1"/>
  <c r="Q20" i="4"/>
  <c r="Q72" i="4" s="1"/>
  <c r="P20" i="4"/>
  <c r="O20" i="4"/>
  <c r="O19" i="4" s="1"/>
  <c r="N20" i="4"/>
  <c r="N121" i="4" s="1"/>
  <c r="M20" i="4"/>
  <c r="M19" i="4" s="1"/>
  <c r="L20" i="4"/>
  <c r="K20" i="4"/>
  <c r="K173" i="4" s="1"/>
  <c r="J20" i="4"/>
  <c r="I20" i="4"/>
  <c r="I19" i="4" s="1"/>
  <c r="H20" i="4"/>
  <c r="H121" i="4" s="1"/>
  <c r="G20" i="4"/>
  <c r="G19" i="4" s="1"/>
  <c r="F20" i="4"/>
  <c r="E20" i="4"/>
  <c r="D20" i="4"/>
  <c r="S19" i="4"/>
  <c r="P19" i="4"/>
  <c r="P18" i="4" s="1"/>
  <c r="N19" i="4"/>
  <c r="N18" i="4" s="1"/>
  <c r="L19" i="4"/>
  <c r="S18" i="4"/>
  <c r="M18" i="4"/>
  <c r="M27" i="4" s="1"/>
  <c r="V17" i="4"/>
  <c r="V69" i="4" s="1"/>
  <c r="U17" i="4"/>
  <c r="T17" i="4"/>
  <c r="T170" i="4" s="1"/>
  <c r="S17" i="4"/>
  <c r="R17" i="4"/>
  <c r="R69" i="4" s="1"/>
  <c r="Q17" i="4"/>
  <c r="Q69" i="4" s="1"/>
  <c r="P17" i="4"/>
  <c r="P13" i="4" s="1"/>
  <c r="P26" i="4" s="1"/>
  <c r="O17" i="4"/>
  <c r="N17" i="4"/>
  <c r="M17" i="4"/>
  <c r="L17" i="4"/>
  <c r="L170" i="4" s="1"/>
  <c r="K17" i="4"/>
  <c r="K170" i="4" s="1"/>
  <c r="J17" i="4"/>
  <c r="J69" i="4" s="1"/>
  <c r="I17" i="4"/>
  <c r="H17" i="4"/>
  <c r="G17" i="4"/>
  <c r="G118" i="4" s="1"/>
  <c r="F17" i="4"/>
  <c r="F69" i="4" s="1"/>
  <c r="E17" i="4"/>
  <c r="D17" i="4"/>
  <c r="D170" i="4" s="1"/>
  <c r="V16" i="4"/>
  <c r="U16" i="4"/>
  <c r="U13" i="4" s="1"/>
  <c r="U26" i="4" s="1"/>
  <c r="T16" i="4"/>
  <c r="T68" i="4" s="1"/>
  <c r="S16" i="4"/>
  <c r="S169" i="4" s="1"/>
  <c r="R16" i="4"/>
  <c r="Q16" i="4"/>
  <c r="P16" i="4"/>
  <c r="O16" i="4"/>
  <c r="O169" i="4" s="1"/>
  <c r="N16" i="4"/>
  <c r="N169" i="4" s="1"/>
  <c r="M16" i="4"/>
  <c r="M68" i="4" s="1"/>
  <c r="L16" i="4"/>
  <c r="K16" i="4"/>
  <c r="J16" i="4"/>
  <c r="J117" i="4" s="1"/>
  <c r="I16" i="4"/>
  <c r="H16" i="4"/>
  <c r="G16" i="4"/>
  <c r="G169" i="4" s="1"/>
  <c r="F16" i="4"/>
  <c r="E16" i="4"/>
  <c r="E13" i="4" s="1"/>
  <c r="E26" i="4" s="1"/>
  <c r="D16" i="4"/>
  <c r="D68" i="4" s="1"/>
  <c r="V15" i="4"/>
  <c r="V13" i="4" s="1"/>
  <c r="V26" i="4" s="1"/>
  <c r="U15" i="4"/>
  <c r="T15" i="4"/>
  <c r="S15" i="4"/>
  <c r="R15" i="4"/>
  <c r="R168" i="4" s="1"/>
  <c r="Q15" i="4"/>
  <c r="Q168" i="4" s="1"/>
  <c r="P15" i="4"/>
  <c r="P67" i="4" s="1"/>
  <c r="O15" i="4"/>
  <c r="N15" i="4"/>
  <c r="M15" i="4"/>
  <c r="M116" i="4" s="1"/>
  <c r="L15" i="4"/>
  <c r="L67" i="4" s="1"/>
  <c r="K15" i="4"/>
  <c r="J15" i="4"/>
  <c r="J168" i="4" s="1"/>
  <c r="I15" i="4"/>
  <c r="H15" i="4"/>
  <c r="H13" i="4" s="1"/>
  <c r="H26" i="4" s="1"/>
  <c r="G15" i="4"/>
  <c r="F15" i="4"/>
  <c r="F13" i="4" s="1"/>
  <c r="F26" i="4" s="1"/>
  <c r="E15" i="4"/>
  <c r="D15" i="4"/>
  <c r="V14" i="4"/>
  <c r="U14" i="4"/>
  <c r="U167" i="4" s="1"/>
  <c r="T14" i="4"/>
  <c r="T167" i="4" s="1"/>
  <c r="S14" i="4"/>
  <c r="S66" i="4" s="1"/>
  <c r="R14" i="4"/>
  <c r="Q14" i="4"/>
  <c r="Q13" i="4" s="1"/>
  <c r="Q26" i="4" s="1"/>
  <c r="P14" i="4"/>
  <c r="P115" i="4" s="1"/>
  <c r="O14" i="4"/>
  <c r="O13" i="4" s="1"/>
  <c r="O26" i="4" s="1"/>
  <c r="O102" i="4" s="1"/>
  <c r="N14" i="4"/>
  <c r="M14" i="4"/>
  <c r="M167" i="4" s="1"/>
  <c r="L14" i="4"/>
  <c r="K14" i="4"/>
  <c r="K13" i="4" s="1"/>
  <c r="K26" i="4" s="1"/>
  <c r="J14" i="4"/>
  <c r="I14" i="4"/>
  <c r="I13" i="4" s="1"/>
  <c r="I26" i="4" s="1"/>
  <c r="H14" i="4"/>
  <c r="G14" i="4"/>
  <c r="F14" i="4"/>
  <c r="E14" i="4"/>
  <c r="E167" i="4" s="1"/>
  <c r="D14" i="4"/>
  <c r="D167" i="4" s="1"/>
  <c r="R13" i="4"/>
  <c r="R26" i="4" s="1"/>
  <c r="R102" i="4" s="1"/>
  <c r="M13" i="4"/>
  <c r="M26" i="4" s="1"/>
  <c r="B53" i="3"/>
  <c r="L52" i="3"/>
  <c r="W51" i="3"/>
  <c r="V51" i="3"/>
  <c r="U51" i="3"/>
  <c r="S51" i="3"/>
  <c r="I51" i="3"/>
  <c r="G51" i="3"/>
  <c r="F51" i="3"/>
  <c r="E51" i="3"/>
  <c r="AD50" i="3"/>
  <c r="AD51" i="3" s="1"/>
  <c r="AC50" i="3"/>
  <c r="AB50" i="3"/>
  <c r="AA50" i="3"/>
  <c r="Z50" i="3"/>
  <c r="Y50" i="3"/>
  <c r="X50" i="3"/>
  <c r="W50" i="3"/>
  <c r="W17" i="3" s="1"/>
  <c r="V50" i="3"/>
  <c r="U50" i="3"/>
  <c r="T50" i="3"/>
  <c r="S50" i="3"/>
  <c r="R50" i="3"/>
  <c r="R17" i="3" s="1"/>
  <c r="Q50" i="3"/>
  <c r="P50" i="3"/>
  <c r="P17" i="3" s="1"/>
  <c r="O50" i="3"/>
  <c r="N50" i="3"/>
  <c r="N51" i="3" s="1"/>
  <c r="M50" i="3"/>
  <c r="L50" i="3"/>
  <c r="K50" i="3"/>
  <c r="J50" i="3"/>
  <c r="I50" i="3"/>
  <c r="H50" i="3"/>
  <c r="G50" i="3"/>
  <c r="G17" i="3" s="1"/>
  <c r="F50" i="3"/>
  <c r="E50" i="3"/>
  <c r="D50" i="3"/>
  <c r="AD49" i="3"/>
  <c r="AC49" i="3"/>
  <c r="AB49" i="3"/>
  <c r="AB47" i="3" s="1"/>
  <c r="AB52" i="3" s="1"/>
  <c r="AA49" i="3"/>
  <c r="AA16" i="3" s="1"/>
  <c r="Z49" i="3"/>
  <c r="Y49" i="3"/>
  <c r="Y16" i="3" s="1"/>
  <c r="Y14" i="3" s="1"/>
  <c r="X49" i="3"/>
  <c r="W49" i="3"/>
  <c r="V49" i="3"/>
  <c r="U49" i="3"/>
  <c r="T49" i="3"/>
  <c r="S49" i="3"/>
  <c r="R49" i="3"/>
  <c r="R16" i="3" s="1"/>
  <c r="Q49" i="3"/>
  <c r="P49" i="3"/>
  <c r="O49" i="3"/>
  <c r="O47" i="3" s="1"/>
  <c r="O52" i="3" s="1"/>
  <c r="N49" i="3"/>
  <c r="M49" i="3"/>
  <c r="L49" i="3"/>
  <c r="K49" i="3"/>
  <c r="K16" i="3" s="1"/>
  <c r="J49" i="3"/>
  <c r="I49" i="3"/>
  <c r="I16" i="3" s="1"/>
  <c r="H49" i="3"/>
  <c r="G49" i="3"/>
  <c r="F49" i="3"/>
  <c r="E49" i="3"/>
  <c r="D49" i="3"/>
  <c r="AD48" i="3"/>
  <c r="AC48" i="3"/>
  <c r="AB48" i="3"/>
  <c r="AA48" i="3"/>
  <c r="AA47" i="3" s="1"/>
  <c r="Z48" i="3"/>
  <c r="Z47" i="3" s="1"/>
  <c r="Y48" i="3"/>
  <c r="X48" i="3"/>
  <c r="X47" i="3" s="1"/>
  <c r="V48" i="3"/>
  <c r="V47" i="3" s="1"/>
  <c r="V52" i="3" s="1"/>
  <c r="U48" i="3"/>
  <c r="U47" i="3" s="1"/>
  <c r="U52" i="3" s="1"/>
  <c r="T48" i="3"/>
  <c r="S48" i="3"/>
  <c r="S47" i="3" s="1"/>
  <c r="S52" i="3" s="1"/>
  <c r="R48" i="3"/>
  <c r="Q48" i="3"/>
  <c r="P48" i="3"/>
  <c r="O48" i="3"/>
  <c r="N48" i="3"/>
  <c r="M48" i="3"/>
  <c r="L48" i="3"/>
  <c r="L47" i="3" s="1"/>
  <c r="K48" i="3"/>
  <c r="K47" i="3" s="1"/>
  <c r="K52" i="3" s="1"/>
  <c r="J48" i="3"/>
  <c r="J47" i="3" s="1"/>
  <c r="I48" i="3"/>
  <c r="I47" i="3" s="1"/>
  <c r="I52" i="3" s="1"/>
  <c r="H48" i="3"/>
  <c r="G48" i="3"/>
  <c r="G47" i="3" s="1"/>
  <c r="F48" i="3"/>
  <c r="F47" i="3" s="1"/>
  <c r="F52" i="3" s="1"/>
  <c r="E48" i="3"/>
  <c r="E47" i="3" s="1"/>
  <c r="E52" i="3" s="1"/>
  <c r="D48" i="3"/>
  <c r="AD47" i="3"/>
  <c r="AD52" i="3" s="1"/>
  <c r="W47" i="3"/>
  <c r="W52" i="3" s="1"/>
  <c r="T47" i="3"/>
  <c r="R47" i="3"/>
  <c r="Q47" i="3"/>
  <c r="P47" i="3"/>
  <c r="N47" i="3"/>
  <c r="N52" i="3" s="1"/>
  <c r="H47" i="3"/>
  <c r="D47" i="3"/>
  <c r="AD46" i="3"/>
  <c r="AC46" i="3"/>
  <c r="AC51" i="3" s="1"/>
  <c r="AB46" i="3"/>
  <c r="AB51" i="3" s="1"/>
  <c r="AA46" i="3"/>
  <c r="AA51" i="3" s="1"/>
  <c r="Z46" i="3"/>
  <c r="Z51" i="3" s="1"/>
  <c r="Y46" i="3"/>
  <c r="Y51" i="3" s="1"/>
  <c r="X46" i="3"/>
  <c r="X51" i="3" s="1"/>
  <c r="X52" i="3" s="1"/>
  <c r="W46" i="3"/>
  <c r="V46" i="3"/>
  <c r="U46" i="3"/>
  <c r="T46" i="3"/>
  <c r="T51" i="3" s="1"/>
  <c r="S46" i="3"/>
  <c r="S13" i="3" s="1"/>
  <c r="R46" i="3"/>
  <c r="Q46" i="3"/>
  <c r="Q51" i="3" s="1"/>
  <c r="P46" i="3"/>
  <c r="P51" i="3" s="1"/>
  <c r="O46" i="3"/>
  <c r="O51" i="3" s="1"/>
  <c r="N46" i="3"/>
  <c r="M46" i="3"/>
  <c r="M51" i="3" s="1"/>
  <c r="L46" i="3"/>
  <c r="L51" i="3" s="1"/>
  <c r="K46" i="3"/>
  <c r="K51" i="3" s="1"/>
  <c r="J46" i="3"/>
  <c r="J51" i="3" s="1"/>
  <c r="I46" i="3"/>
  <c r="H46" i="3"/>
  <c r="H51" i="3" s="1"/>
  <c r="H52" i="3" s="1"/>
  <c r="G46" i="3"/>
  <c r="F46" i="3"/>
  <c r="E46" i="3"/>
  <c r="D46" i="3"/>
  <c r="D51" i="3" s="1"/>
  <c r="B34" i="3"/>
  <c r="V32" i="3"/>
  <c r="T32" i="3"/>
  <c r="S32" i="3"/>
  <c r="F32" i="3"/>
  <c r="D32" i="3"/>
  <c r="AD31" i="3"/>
  <c r="AC31" i="3"/>
  <c r="AC17" i="3" s="1"/>
  <c r="AB31" i="3"/>
  <c r="AA31" i="3"/>
  <c r="AA17" i="3" s="1"/>
  <c r="Z31" i="3"/>
  <c r="Y31" i="3"/>
  <c r="X31" i="3"/>
  <c r="W31" i="3"/>
  <c r="V31" i="3"/>
  <c r="V17" i="3" s="1"/>
  <c r="U31" i="3"/>
  <c r="U17" i="3" s="1"/>
  <c r="T31" i="3"/>
  <c r="S31" i="3"/>
  <c r="R31" i="3"/>
  <c r="Q31" i="3"/>
  <c r="P31" i="3"/>
  <c r="O31" i="3"/>
  <c r="O17" i="3" s="1"/>
  <c r="N31" i="3"/>
  <c r="M31" i="3"/>
  <c r="M17" i="3" s="1"/>
  <c r="L31" i="3"/>
  <c r="K31" i="3"/>
  <c r="K32" i="3" s="1"/>
  <c r="J31" i="3"/>
  <c r="I31" i="3"/>
  <c r="H31" i="3"/>
  <c r="G31" i="3"/>
  <c r="F31" i="3"/>
  <c r="F17" i="3" s="1"/>
  <c r="E31" i="3"/>
  <c r="E17" i="3" s="1"/>
  <c r="D31" i="3"/>
  <c r="AD30" i="3"/>
  <c r="AC30" i="3"/>
  <c r="AB30" i="3"/>
  <c r="AB16" i="3" s="1"/>
  <c r="AB14" i="3" s="1"/>
  <c r="AA30" i="3"/>
  <c r="Z30" i="3"/>
  <c r="Z16" i="3" s="1"/>
  <c r="Y30" i="3"/>
  <c r="Y28" i="3" s="1"/>
  <c r="X30" i="3"/>
  <c r="W30" i="3"/>
  <c r="V30" i="3"/>
  <c r="V16" i="3" s="1"/>
  <c r="U30" i="3"/>
  <c r="T30" i="3"/>
  <c r="S30" i="3"/>
  <c r="R30" i="3"/>
  <c r="Q30" i="3"/>
  <c r="Q16" i="3" s="1"/>
  <c r="P30" i="3"/>
  <c r="P16" i="3" s="1"/>
  <c r="O30" i="3"/>
  <c r="N30" i="3"/>
  <c r="M30" i="3"/>
  <c r="L30" i="3"/>
  <c r="L28" i="3" s="1"/>
  <c r="L33" i="3" s="1"/>
  <c r="K30" i="3"/>
  <c r="J30" i="3"/>
  <c r="J16" i="3" s="1"/>
  <c r="I30" i="3"/>
  <c r="I28" i="3" s="1"/>
  <c r="H30" i="3"/>
  <c r="G30" i="3"/>
  <c r="F30" i="3"/>
  <c r="F28" i="3" s="1"/>
  <c r="F33" i="3" s="1"/>
  <c r="E30" i="3"/>
  <c r="D30" i="3"/>
  <c r="AD29" i="3"/>
  <c r="AC29" i="3"/>
  <c r="AB29" i="3"/>
  <c r="AB15" i="3" s="1"/>
  <c r="AA29" i="3"/>
  <c r="AA28" i="3" s="1"/>
  <c r="Z29" i="3"/>
  <c r="Y29" i="3"/>
  <c r="X29" i="3"/>
  <c r="W29" i="3"/>
  <c r="W15" i="3" s="1"/>
  <c r="W14" i="3" s="1"/>
  <c r="V29" i="3"/>
  <c r="U29" i="3"/>
  <c r="T29" i="3"/>
  <c r="T28" i="3" s="1"/>
  <c r="T33" i="3" s="1"/>
  <c r="S29" i="3"/>
  <c r="R29" i="3"/>
  <c r="Q29" i="3"/>
  <c r="Q28" i="3" s="1"/>
  <c r="P29" i="3"/>
  <c r="O29" i="3"/>
  <c r="N29" i="3"/>
  <c r="M29" i="3"/>
  <c r="L29" i="3"/>
  <c r="L15" i="3" s="1"/>
  <c r="K29" i="3"/>
  <c r="J29" i="3"/>
  <c r="I29" i="3"/>
  <c r="H29" i="3"/>
  <c r="G29" i="3"/>
  <c r="G28" i="3" s="1"/>
  <c r="G33" i="3" s="1"/>
  <c r="F29" i="3"/>
  <c r="E29" i="3"/>
  <c r="D29" i="3"/>
  <c r="D28" i="3" s="1"/>
  <c r="D33" i="3" s="1"/>
  <c r="AD28" i="3"/>
  <c r="AC28" i="3"/>
  <c r="AB28" i="3"/>
  <c r="AB33" i="3" s="1"/>
  <c r="V28" i="3"/>
  <c r="V33" i="3" s="1"/>
  <c r="R28" i="3"/>
  <c r="P28" i="3"/>
  <c r="O28" i="3"/>
  <c r="N28" i="3"/>
  <c r="M28" i="3"/>
  <c r="AD27" i="3"/>
  <c r="AD32" i="3" s="1"/>
  <c r="AC27" i="3"/>
  <c r="AC32" i="3" s="1"/>
  <c r="AB27" i="3"/>
  <c r="AB32" i="3" s="1"/>
  <c r="AA27" i="3"/>
  <c r="AA13" i="3" s="1"/>
  <c r="Z27" i="3"/>
  <c r="Z32" i="3" s="1"/>
  <c r="Y27" i="3"/>
  <c r="X27" i="3"/>
  <c r="X32" i="3" s="1"/>
  <c r="W27" i="3"/>
  <c r="W32" i="3" s="1"/>
  <c r="V27" i="3"/>
  <c r="U27" i="3"/>
  <c r="U32" i="3" s="1"/>
  <c r="T27" i="3"/>
  <c r="S27" i="3"/>
  <c r="R27" i="3"/>
  <c r="R13" i="3" s="1"/>
  <c r="Q27" i="3"/>
  <c r="Q13" i="3" s="1"/>
  <c r="P27" i="3"/>
  <c r="P13" i="3" s="1"/>
  <c r="O27" i="3"/>
  <c r="N27" i="3"/>
  <c r="N32" i="3" s="1"/>
  <c r="M27" i="3"/>
  <c r="M32" i="3" s="1"/>
  <c r="L27" i="3"/>
  <c r="L32" i="3" s="1"/>
  <c r="K27" i="3"/>
  <c r="K13" i="3" s="1"/>
  <c r="J27" i="3"/>
  <c r="J32" i="3" s="1"/>
  <c r="I27" i="3"/>
  <c r="H27" i="3"/>
  <c r="H32" i="3" s="1"/>
  <c r="G27" i="3"/>
  <c r="G32" i="3" s="1"/>
  <c r="F27" i="3"/>
  <c r="E27" i="3"/>
  <c r="E32" i="3" s="1"/>
  <c r="D27" i="3"/>
  <c r="V18" i="3"/>
  <c r="S18" i="3"/>
  <c r="P18" i="3"/>
  <c r="F18" i="3"/>
  <c r="AB17" i="3"/>
  <c r="Z17" i="3"/>
  <c r="Y17" i="3"/>
  <c r="X17" i="3"/>
  <c r="S17" i="3"/>
  <c r="Q17" i="3"/>
  <c r="Q18" i="3" s="1"/>
  <c r="L17" i="3"/>
  <c r="J17" i="3"/>
  <c r="I17" i="3"/>
  <c r="H17" i="3"/>
  <c r="AD16" i="3"/>
  <c r="AC16" i="3"/>
  <c r="W16" i="3"/>
  <c r="U16" i="3"/>
  <c r="T16" i="3"/>
  <c r="T14" i="3" s="1"/>
  <c r="S16" i="3"/>
  <c r="N16" i="3"/>
  <c r="M16" i="3"/>
  <c r="G16" i="3"/>
  <c r="E16" i="3"/>
  <c r="D16" i="3"/>
  <c r="AD15" i="3"/>
  <c r="AD14" i="3" s="1"/>
  <c r="Y15" i="3"/>
  <c r="T15" i="3"/>
  <c r="R15" i="3"/>
  <c r="P15" i="3"/>
  <c r="P14" i="3" s="1"/>
  <c r="O15" i="3"/>
  <c r="N15" i="3"/>
  <c r="N14" i="3" s="1"/>
  <c r="H15" i="3"/>
  <c r="G15" i="3"/>
  <c r="G14" i="3" s="1"/>
  <c r="D15" i="3"/>
  <c r="R14" i="3"/>
  <c r="D14" i="3"/>
  <c r="AD13" i="3"/>
  <c r="AC13" i="3"/>
  <c r="AC18" i="3" s="1"/>
  <c r="X13" i="3"/>
  <c r="X18" i="3" s="1"/>
  <c r="V13" i="3"/>
  <c r="U13" i="3"/>
  <c r="U18" i="3" s="1"/>
  <c r="T13" i="3"/>
  <c r="N13" i="3"/>
  <c r="H13" i="3"/>
  <c r="H18" i="3" s="1"/>
  <c r="F13" i="3"/>
  <c r="E13" i="3"/>
  <c r="E18" i="3" s="1"/>
  <c r="D13" i="3"/>
  <c r="E153" i="4" l="1"/>
  <c r="E54" i="4"/>
  <c r="E102" i="4"/>
  <c r="R154" i="4"/>
  <c r="R179" i="4"/>
  <c r="U153" i="4"/>
  <c r="U54" i="4"/>
  <c r="U102" i="4"/>
  <c r="L27" i="6"/>
  <c r="H154" i="4"/>
  <c r="H179" i="4"/>
  <c r="K153" i="4"/>
  <c r="K102" i="4"/>
  <c r="K54" i="4"/>
  <c r="M27" i="5"/>
  <c r="I153" i="4"/>
  <c r="I102" i="4"/>
  <c r="I54" i="4"/>
  <c r="F153" i="4"/>
  <c r="F102" i="4"/>
  <c r="F54" i="4"/>
  <c r="V153" i="4"/>
  <c r="V102" i="4"/>
  <c r="V54" i="4"/>
  <c r="P102" i="4"/>
  <c r="P54" i="4"/>
  <c r="P153" i="4"/>
  <c r="AD17" i="3"/>
  <c r="AD18" i="3" s="1"/>
  <c r="AD19" i="3" s="1"/>
  <c r="G75" i="4"/>
  <c r="G48" i="4"/>
  <c r="G74" i="4" s="1"/>
  <c r="R100" i="4"/>
  <c r="R114" i="4"/>
  <c r="M121" i="4"/>
  <c r="M93" i="4"/>
  <c r="U103" i="4"/>
  <c r="U127" i="4"/>
  <c r="U130" i="4" s="1"/>
  <c r="F172" i="4"/>
  <c r="V172" i="4"/>
  <c r="H154" i="5"/>
  <c r="H104" i="5"/>
  <c r="H55" i="5"/>
  <c r="M40" i="5"/>
  <c r="M67" i="5"/>
  <c r="G40" i="5"/>
  <c r="G69" i="5"/>
  <c r="I72" i="5"/>
  <c r="F72" i="5"/>
  <c r="V72" i="5"/>
  <c r="U27" i="6"/>
  <c r="Z13" i="3"/>
  <c r="Z18" i="3" s="1"/>
  <c r="AA32" i="3"/>
  <c r="AA33" i="3" s="1"/>
  <c r="T52" i="3"/>
  <c r="P27" i="4"/>
  <c r="L39" i="4"/>
  <c r="L66" i="4"/>
  <c r="I39" i="4"/>
  <c r="I67" i="4"/>
  <c r="S68" i="4"/>
  <c r="J93" i="4"/>
  <c r="Q96" i="4"/>
  <c r="L167" i="4"/>
  <c r="L138" i="4"/>
  <c r="O125" i="5"/>
  <c r="O23" i="5"/>
  <c r="O177" i="5"/>
  <c r="L178" i="5"/>
  <c r="L126" i="5"/>
  <c r="L95" i="5"/>
  <c r="L123" i="5"/>
  <c r="D27" i="6"/>
  <c r="V72" i="6"/>
  <c r="J65" i="4"/>
  <c r="J52" i="4"/>
  <c r="R96" i="4"/>
  <c r="R124" i="4"/>
  <c r="H144" i="4"/>
  <c r="H173" i="4"/>
  <c r="K147" i="4"/>
  <c r="K175" i="4" s="1"/>
  <c r="K176" i="4"/>
  <c r="H147" i="4"/>
  <c r="H177" i="4"/>
  <c r="I28" i="5"/>
  <c r="I27" i="5"/>
  <c r="O67" i="5"/>
  <c r="O40" i="5"/>
  <c r="L40" i="5"/>
  <c r="L68" i="5"/>
  <c r="K46" i="5"/>
  <c r="K73" i="5"/>
  <c r="O75" i="5"/>
  <c r="V152" i="5"/>
  <c r="G173" i="5"/>
  <c r="D144" i="5"/>
  <c r="T144" i="5"/>
  <c r="E27" i="6"/>
  <c r="T121" i="6"/>
  <c r="T94" i="6"/>
  <c r="J152" i="6"/>
  <c r="J167" i="6"/>
  <c r="J153" i="6"/>
  <c r="F16" i="3"/>
  <c r="W28" i="3"/>
  <c r="W33" i="3" s="1"/>
  <c r="Y47" i="3"/>
  <c r="Y52" i="3" s="1"/>
  <c r="J66" i="4"/>
  <c r="J13" i="4"/>
  <c r="J26" i="4" s="1"/>
  <c r="J27" i="4" s="1"/>
  <c r="G67" i="4"/>
  <c r="G13" i="4"/>
  <c r="G26" i="4" s="1"/>
  <c r="K65" i="4"/>
  <c r="K52" i="4"/>
  <c r="H65" i="4"/>
  <c r="T73" i="4"/>
  <c r="N120" i="4"/>
  <c r="U123" i="4"/>
  <c r="L147" i="4"/>
  <c r="K177" i="4"/>
  <c r="Q76" i="5"/>
  <c r="O95" i="5"/>
  <c r="V27" i="6"/>
  <c r="E73" i="6"/>
  <c r="E46" i="6"/>
  <c r="U73" i="6"/>
  <c r="U46" i="6"/>
  <c r="M65" i="4"/>
  <c r="M52" i="4"/>
  <c r="I32" i="3"/>
  <c r="I33" i="3" s="1"/>
  <c r="I13" i="3"/>
  <c r="I18" i="3" s="1"/>
  <c r="H153" i="4"/>
  <c r="H102" i="4"/>
  <c r="P69" i="4"/>
  <c r="P120" i="4"/>
  <c r="P92" i="4"/>
  <c r="P119" i="4" s="1"/>
  <c r="T124" i="4"/>
  <c r="T96" i="4"/>
  <c r="T123" i="4" s="1"/>
  <c r="J46" i="5"/>
  <c r="J74" i="5"/>
  <c r="R121" i="5"/>
  <c r="F121" i="6"/>
  <c r="F94" i="6"/>
  <c r="K17" i="3"/>
  <c r="AC33" i="3"/>
  <c r="O39" i="4"/>
  <c r="I71" i="4"/>
  <c r="T69" i="4"/>
  <c r="H114" i="4"/>
  <c r="H100" i="4"/>
  <c r="G175" i="4"/>
  <c r="D174" i="4"/>
  <c r="P53" i="5"/>
  <c r="R49" i="5"/>
  <c r="R75" i="5" s="1"/>
  <c r="R76" i="5"/>
  <c r="N77" i="5"/>
  <c r="I102" i="5"/>
  <c r="I115" i="5"/>
  <c r="F102" i="5"/>
  <c r="V102" i="5"/>
  <c r="V115" i="5"/>
  <c r="J174" i="5"/>
  <c r="G175" i="5"/>
  <c r="Q20" i="6"/>
  <c r="Q19" i="6" s="1"/>
  <c r="Q122" i="6"/>
  <c r="Q73" i="6"/>
  <c r="N20" i="6"/>
  <c r="N19" i="6" s="1"/>
  <c r="N74" i="6"/>
  <c r="F125" i="6"/>
  <c r="F76" i="6"/>
  <c r="F23" i="6"/>
  <c r="F19" i="6" s="1"/>
  <c r="V125" i="6"/>
  <c r="V76" i="6"/>
  <c r="V23" i="6"/>
  <c r="V75" i="6" s="1"/>
  <c r="S23" i="6"/>
  <c r="S77" i="6"/>
  <c r="I116" i="6"/>
  <c r="I89" i="6"/>
  <c r="Y32" i="3"/>
  <c r="Y33" i="3" s="1"/>
  <c r="Y13" i="3"/>
  <c r="Y18" i="3" s="1"/>
  <c r="Y19" i="3" s="1"/>
  <c r="E52" i="4"/>
  <c r="E65" i="4"/>
  <c r="D124" i="4"/>
  <c r="D96" i="4"/>
  <c r="D123" i="4" s="1"/>
  <c r="J173" i="4"/>
  <c r="J144" i="4"/>
  <c r="O27" i="5"/>
  <c r="M73" i="5"/>
  <c r="M46" i="5"/>
  <c r="V121" i="6"/>
  <c r="V94" i="6"/>
  <c r="H47" i="17"/>
  <c r="H34" i="7"/>
  <c r="Q34" i="7" s="1"/>
  <c r="H33" i="7"/>
  <c r="G13" i="3"/>
  <c r="G18" i="3" s="1"/>
  <c r="G19" i="3" s="1"/>
  <c r="I15" i="3"/>
  <c r="I14" i="3" s="1"/>
  <c r="I19" i="3" s="1"/>
  <c r="L16" i="3"/>
  <c r="L14" i="3" s="1"/>
  <c r="K18" i="3"/>
  <c r="AA18" i="3"/>
  <c r="AD33" i="3"/>
  <c r="S28" i="3"/>
  <c r="S33" i="3" s="1"/>
  <c r="S15" i="3"/>
  <c r="S14" i="3" s="1"/>
  <c r="S19" i="3" s="1"/>
  <c r="H28" i="3"/>
  <c r="H33" i="3" s="1"/>
  <c r="H16" i="3"/>
  <c r="H14" i="3" s="1"/>
  <c r="H19" i="3" s="1"/>
  <c r="X28" i="3"/>
  <c r="X33" i="3" s="1"/>
  <c r="X16" i="3"/>
  <c r="G18" i="4"/>
  <c r="D18" i="4"/>
  <c r="D27" i="4" s="1"/>
  <c r="T18" i="4"/>
  <c r="P52" i="4"/>
  <c r="J45" i="4"/>
  <c r="J72" i="4"/>
  <c r="G45" i="4"/>
  <c r="G73" i="4"/>
  <c r="D48" i="4"/>
  <c r="D74" i="4" s="1"/>
  <c r="H52" i="4"/>
  <c r="P65" i="4"/>
  <c r="I87" i="4"/>
  <c r="I115" i="4"/>
  <c r="F87" i="4"/>
  <c r="F116" i="4"/>
  <c r="V87" i="4"/>
  <c r="V116" i="4"/>
  <c r="S117" i="4"/>
  <c r="P118" i="4"/>
  <c r="U120" i="4"/>
  <c r="I126" i="4"/>
  <c r="I138" i="4"/>
  <c r="O147" i="4"/>
  <c r="O176" i="4"/>
  <c r="L177" i="4"/>
  <c r="I178" i="4"/>
  <c r="R53" i="5"/>
  <c r="U75" i="5"/>
  <c r="I78" i="5"/>
  <c r="J116" i="5"/>
  <c r="G117" i="5"/>
  <c r="D118" i="5"/>
  <c r="T118" i="5"/>
  <c r="Q119" i="5"/>
  <c r="D122" i="5"/>
  <c r="M139" i="5"/>
  <c r="M168" i="5"/>
  <c r="J139" i="5"/>
  <c r="J169" i="5"/>
  <c r="G170" i="5"/>
  <c r="G139" i="5"/>
  <c r="J148" i="5"/>
  <c r="J176" i="5" s="1"/>
  <c r="E155" i="5"/>
  <c r="H72" i="4"/>
  <c r="H19" i="4"/>
  <c r="F74" i="4"/>
  <c r="J114" i="4"/>
  <c r="J100" i="4"/>
  <c r="M151" i="4"/>
  <c r="M166" i="4"/>
  <c r="P171" i="4"/>
  <c r="I167" i="4"/>
  <c r="P170" i="4"/>
  <c r="F67" i="5"/>
  <c r="F14" i="5"/>
  <c r="F115" i="5" s="1"/>
  <c r="V67" i="5"/>
  <c r="V14" i="5"/>
  <c r="V116" i="5"/>
  <c r="S68" i="5"/>
  <c r="S14" i="5"/>
  <c r="P69" i="5"/>
  <c r="P170" i="5"/>
  <c r="M171" i="5"/>
  <c r="M119" i="5"/>
  <c r="M70" i="5"/>
  <c r="N45" i="5"/>
  <c r="D76" i="5"/>
  <c r="D49" i="5"/>
  <c r="D75" i="5" s="1"/>
  <c r="T76" i="5"/>
  <c r="T49" i="5"/>
  <c r="T75" i="5" s="1"/>
  <c r="Q49" i="5"/>
  <c r="Q75" i="5" s="1"/>
  <c r="Q77" i="5"/>
  <c r="I167" i="5"/>
  <c r="I179" i="5"/>
  <c r="V19" i="6"/>
  <c r="V28" i="6" s="1"/>
  <c r="U73" i="4"/>
  <c r="U19" i="4"/>
  <c r="U18" i="4" s="1"/>
  <c r="U27" i="4" s="1"/>
  <c r="K71" i="4"/>
  <c r="G52" i="3"/>
  <c r="L71" i="4"/>
  <c r="O151" i="4"/>
  <c r="O166" i="4"/>
  <c r="G144" i="4"/>
  <c r="Q176" i="4"/>
  <c r="Q147" i="4"/>
  <c r="Q175" i="4" s="1"/>
  <c r="P72" i="5"/>
  <c r="P45" i="5"/>
  <c r="P71" i="5" s="1"/>
  <c r="E154" i="5"/>
  <c r="E104" i="5"/>
  <c r="K125" i="5"/>
  <c r="K98" i="5"/>
  <c r="K94" i="5" s="1"/>
  <c r="E73" i="4"/>
  <c r="E19" i="4"/>
  <c r="E18" i="4" s="1"/>
  <c r="E27" i="4" s="1"/>
  <c r="O54" i="4"/>
  <c r="O153" i="4"/>
  <c r="R66" i="4"/>
  <c r="R39" i="4"/>
  <c r="E28" i="3"/>
  <c r="E33" i="3" s="1"/>
  <c r="E15" i="3"/>
  <c r="E14" i="3" s="1"/>
  <c r="E19" i="3" s="1"/>
  <c r="U52" i="4"/>
  <c r="U65" i="4"/>
  <c r="E114" i="4"/>
  <c r="V70" i="4"/>
  <c r="Q54" i="4"/>
  <c r="Q153" i="4"/>
  <c r="Q102" i="4"/>
  <c r="N45" i="4"/>
  <c r="N72" i="4"/>
  <c r="N48" i="4"/>
  <c r="N74" i="4" s="1"/>
  <c r="N76" i="4"/>
  <c r="M87" i="4"/>
  <c r="M115" i="4"/>
  <c r="G93" i="4"/>
  <c r="G121" i="4"/>
  <c r="T175" i="4"/>
  <c r="V168" i="5"/>
  <c r="O13" i="3"/>
  <c r="O18" i="3" s="1"/>
  <c r="P32" i="3"/>
  <c r="P33" i="3" s="1"/>
  <c r="J52" i="3"/>
  <c r="AA52" i="3"/>
  <c r="O75" i="4"/>
  <c r="O22" i="4"/>
  <c r="L76" i="4"/>
  <c r="L22" i="4"/>
  <c r="L123" i="4" s="1"/>
  <c r="M45" i="4"/>
  <c r="T48" i="4"/>
  <c r="T74" i="4" s="1"/>
  <c r="R48" i="4"/>
  <c r="O74" i="4"/>
  <c r="F67" i="4"/>
  <c r="T75" i="4"/>
  <c r="H93" i="4"/>
  <c r="E122" i="4"/>
  <c r="F138" i="4"/>
  <c r="F167" i="4"/>
  <c r="V138" i="4"/>
  <c r="V167" i="4"/>
  <c r="S138" i="4"/>
  <c r="S168" i="4"/>
  <c r="M172" i="4"/>
  <c r="M143" i="4"/>
  <c r="M171" i="4" s="1"/>
  <c r="D176" i="4"/>
  <c r="T176" i="4"/>
  <c r="Q177" i="4"/>
  <c r="N178" i="4"/>
  <c r="F168" i="4"/>
  <c r="J14" i="5"/>
  <c r="J168" i="5"/>
  <c r="D170" i="5"/>
  <c r="D14" i="5"/>
  <c r="T14" i="5"/>
  <c r="T170" i="5"/>
  <c r="J73" i="5"/>
  <c r="O116" i="5"/>
  <c r="O89" i="5"/>
  <c r="L89" i="5"/>
  <c r="L117" i="5"/>
  <c r="N152" i="5"/>
  <c r="L152" i="5"/>
  <c r="L167" i="5"/>
  <c r="J173" i="5"/>
  <c r="J144" i="5"/>
  <c r="J172" i="5" s="1"/>
  <c r="N17" i="3"/>
  <c r="N18" i="3" s="1"/>
  <c r="N19" i="3" s="1"/>
  <c r="H71" i="4"/>
  <c r="H44" i="4"/>
  <c r="H53" i="4" s="1"/>
  <c r="U28" i="3"/>
  <c r="U33" i="3" s="1"/>
  <c r="U15" i="3"/>
  <c r="U14" i="3" s="1"/>
  <c r="U19" i="3" s="1"/>
  <c r="V18" i="4"/>
  <c r="V27" i="4" s="1"/>
  <c r="D75" i="4"/>
  <c r="M66" i="4"/>
  <c r="M116" i="5"/>
  <c r="M89" i="5"/>
  <c r="L67" i="6"/>
  <c r="L40" i="6"/>
  <c r="Q15" i="3"/>
  <c r="Q14" i="3" s="1"/>
  <c r="Q19" i="3" s="1"/>
  <c r="T93" i="4"/>
  <c r="T122" i="4"/>
  <c r="E166" i="4"/>
  <c r="E151" i="4"/>
  <c r="I152" i="5"/>
  <c r="Q32" i="3"/>
  <c r="Q33" i="3" s="1"/>
  <c r="R51" i="3"/>
  <c r="R52" i="3" s="1"/>
  <c r="Q22" i="4"/>
  <c r="O70" i="4"/>
  <c r="P72" i="4"/>
  <c r="P45" i="4"/>
  <c r="V74" i="4"/>
  <c r="J67" i="4"/>
  <c r="K76" i="4"/>
  <c r="O115" i="4"/>
  <c r="O87" i="4"/>
  <c r="L116" i="4"/>
  <c r="I117" i="4"/>
  <c r="F118" i="4"/>
  <c r="V118" i="4"/>
  <c r="I92" i="4"/>
  <c r="I119" i="4" s="1"/>
  <c r="I120" i="4"/>
  <c r="G138" i="4"/>
  <c r="P172" i="4"/>
  <c r="I40" i="5"/>
  <c r="F40" i="5"/>
  <c r="V40" i="5"/>
  <c r="J67" i="5"/>
  <c r="E74" i="5"/>
  <c r="J121" i="5"/>
  <c r="J94" i="5"/>
  <c r="J120" i="5" s="1"/>
  <c r="G94" i="5"/>
  <c r="G120" i="5" s="1"/>
  <c r="G121" i="5"/>
  <c r="E123" i="5"/>
  <c r="Q172" i="5"/>
  <c r="F18" i="4"/>
  <c r="F27" i="4" s="1"/>
  <c r="K114" i="4"/>
  <c r="P19" i="3"/>
  <c r="L13" i="4"/>
  <c r="L26" i="4" s="1"/>
  <c r="D52" i="4"/>
  <c r="V120" i="4"/>
  <c r="R19" i="5"/>
  <c r="Z52" i="3"/>
  <c r="M153" i="4"/>
  <c r="M102" i="4"/>
  <c r="M54" i="4"/>
  <c r="F71" i="4"/>
  <c r="O66" i="4"/>
  <c r="G87" i="4"/>
  <c r="G117" i="4"/>
  <c r="U166" i="4"/>
  <c r="U151" i="4"/>
  <c r="F173" i="5"/>
  <c r="F144" i="5"/>
  <c r="M104" i="6"/>
  <c r="M55" i="6"/>
  <c r="M154" i="6"/>
  <c r="R18" i="3"/>
  <c r="R19" i="3" s="1"/>
  <c r="M33" i="3"/>
  <c r="J28" i="3"/>
  <c r="J33" i="3" s="1"/>
  <c r="Z28" i="3"/>
  <c r="Z33" i="3" s="1"/>
  <c r="O16" i="3"/>
  <c r="O14" i="3" s="1"/>
  <c r="O19" i="3" s="1"/>
  <c r="D17" i="3"/>
  <c r="D18" i="3" s="1"/>
  <c r="D19" i="3" s="1"/>
  <c r="T17" i="3"/>
  <c r="T18" i="3" s="1"/>
  <c r="T19" i="3" s="1"/>
  <c r="R32" i="3"/>
  <c r="R33" i="3" s="1"/>
  <c r="AC47" i="3"/>
  <c r="AC52" i="3" s="1"/>
  <c r="R22" i="4"/>
  <c r="R175" i="4" s="1"/>
  <c r="Q71" i="4"/>
  <c r="G72" i="4"/>
  <c r="O76" i="4"/>
  <c r="E123" i="4"/>
  <c r="E100" i="4"/>
  <c r="H166" i="4"/>
  <c r="R166" i="4"/>
  <c r="S172" i="4"/>
  <c r="L27" i="5"/>
  <c r="J40" i="5"/>
  <c r="L67" i="5"/>
  <c r="T94" i="5"/>
  <c r="J13" i="3"/>
  <c r="J18" i="3" s="1"/>
  <c r="T52" i="4"/>
  <c r="D93" i="4"/>
  <c r="D122" i="4"/>
  <c r="L144" i="5"/>
  <c r="L153" i="5" s="1"/>
  <c r="L173" i="5"/>
  <c r="X15" i="3"/>
  <c r="X14" i="3" s="1"/>
  <c r="X19" i="3" s="1"/>
  <c r="N33" i="3"/>
  <c r="K28" i="3"/>
  <c r="K33" i="3" s="1"/>
  <c r="K15" i="3"/>
  <c r="K14" i="3" s="1"/>
  <c r="K19" i="3" s="1"/>
  <c r="P52" i="3"/>
  <c r="M47" i="3"/>
  <c r="M52" i="3" s="1"/>
  <c r="K19" i="4"/>
  <c r="K18" i="4" s="1"/>
  <c r="K27" i="4" s="1"/>
  <c r="O18" i="4"/>
  <c r="O27" i="4" s="1"/>
  <c r="S71" i="4"/>
  <c r="S44" i="4"/>
  <c r="S70" i="4" s="1"/>
  <c r="E48" i="4"/>
  <c r="E74" i="4" s="1"/>
  <c r="E75" i="4"/>
  <c r="U48" i="4"/>
  <c r="U74" i="4" s="1"/>
  <c r="U75" i="4"/>
  <c r="H54" i="4"/>
  <c r="V67" i="4"/>
  <c r="K72" i="4"/>
  <c r="L87" i="4"/>
  <c r="K93" i="4"/>
  <c r="K121" i="4"/>
  <c r="H122" i="4"/>
  <c r="G123" i="4"/>
  <c r="N96" i="4"/>
  <c r="N123" i="4" s="1"/>
  <c r="N124" i="4"/>
  <c r="K96" i="4"/>
  <c r="K123" i="4" s="1"/>
  <c r="K125" i="4"/>
  <c r="H126" i="4"/>
  <c r="D117" i="4"/>
  <c r="D144" i="4"/>
  <c r="D173" i="4"/>
  <c r="T144" i="4"/>
  <c r="T173" i="4"/>
  <c r="Q144" i="4"/>
  <c r="Q174" i="4"/>
  <c r="R153" i="4"/>
  <c r="H20" i="5"/>
  <c r="H174" i="5"/>
  <c r="U175" i="5"/>
  <c r="U123" i="5"/>
  <c r="H66" i="5"/>
  <c r="H53" i="5"/>
  <c r="E53" i="5"/>
  <c r="E66" i="5"/>
  <c r="U53" i="5"/>
  <c r="G72" i="5"/>
  <c r="G45" i="5"/>
  <c r="G71" i="5" s="1"/>
  <c r="D72" i="5"/>
  <c r="D45" i="5"/>
  <c r="G68" i="5"/>
  <c r="U74" i="5"/>
  <c r="P115" i="5"/>
  <c r="P102" i="5"/>
  <c r="M94" i="5"/>
  <c r="U176" i="5"/>
  <c r="U144" i="5"/>
  <c r="U172" i="5" s="1"/>
  <c r="S39" i="4"/>
  <c r="I18" i="4"/>
  <c r="I27" i="4" s="1"/>
  <c r="I66" i="4"/>
  <c r="U114" i="4"/>
  <c r="M13" i="3"/>
  <c r="M18" i="3" s="1"/>
  <c r="D52" i="3"/>
  <c r="F120" i="4"/>
  <c r="G118" i="5"/>
  <c r="G89" i="5"/>
  <c r="O32" i="3"/>
  <c r="O33" i="3" s="1"/>
  <c r="Q48" i="4"/>
  <c r="Q74" i="4" s="1"/>
  <c r="Q75" i="4"/>
  <c r="K143" i="4"/>
  <c r="K171" i="4" s="1"/>
  <c r="K172" i="4"/>
  <c r="D73" i="5"/>
  <c r="D20" i="5"/>
  <c r="D19" i="5" s="1"/>
  <c r="W13" i="3"/>
  <c r="W18" i="3" s="1"/>
  <c r="W19" i="3" s="1"/>
  <c r="Q52" i="3"/>
  <c r="L18" i="4"/>
  <c r="L119" i="4" s="1"/>
  <c r="V71" i="4"/>
  <c r="R54" i="4"/>
  <c r="G68" i="4"/>
  <c r="M72" i="4"/>
  <c r="P101" i="4"/>
  <c r="P128" i="4" s="1"/>
  <c r="P100" i="4"/>
  <c r="P114" i="4"/>
  <c r="S119" i="4"/>
  <c r="O96" i="4"/>
  <c r="O123" i="4" s="1"/>
  <c r="K100" i="4"/>
  <c r="J138" i="4"/>
  <c r="J167" i="4"/>
  <c r="G168" i="4"/>
  <c r="D138" i="4"/>
  <c r="D169" i="4"/>
  <c r="T138" i="4"/>
  <c r="T169" i="4"/>
  <c r="Q170" i="4"/>
  <c r="E144" i="4"/>
  <c r="U144" i="4"/>
  <c r="V168" i="4"/>
  <c r="N176" i="4"/>
  <c r="H46" i="5"/>
  <c r="R102" i="5"/>
  <c r="S102" i="5"/>
  <c r="Q124" i="5"/>
  <c r="N124" i="5"/>
  <c r="F168" i="5"/>
  <c r="S169" i="5"/>
  <c r="D174" i="5"/>
  <c r="R116" i="6"/>
  <c r="R67" i="6"/>
  <c r="R14" i="6"/>
  <c r="O117" i="6"/>
  <c r="O68" i="6"/>
  <c r="O14" i="6"/>
  <c r="O66" i="6" s="1"/>
  <c r="L118" i="6"/>
  <c r="L69" i="6"/>
  <c r="I119" i="6"/>
  <c r="I70" i="6"/>
  <c r="I14" i="6"/>
  <c r="N13" i="4"/>
  <c r="N26" i="4" s="1"/>
  <c r="N55" i="4" s="1"/>
  <c r="Q39" i="4"/>
  <c r="K66" i="4"/>
  <c r="H67" i="4"/>
  <c r="E68" i="4"/>
  <c r="U68" i="4"/>
  <c r="I72" i="4"/>
  <c r="F73" i="4"/>
  <c r="V73" i="4"/>
  <c r="P75" i="4"/>
  <c r="M76" i="4"/>
  <c r="N87" i="4"/>
  <c r="K138" i="4"/>
  <c r="K14" i="5"/>
  <c r="K66" i="5" s="1"/>
  <c r="N40" i="5"/>
  <c r="H67" i="5"/>
  <c r="E68" i="5"/>
  <c r="U68" i="5"/>
  <c r="R69" i="5"/>
  <c r="O70" i="5"/>
  <c r="F73" i="5"/>
  <c r="V73" i="5"/>
  <c r="S74" i="5"/>
  <c r="M76" i="5"/>
  <c r="J77" i="5"/>
  <c r="G78" i="5"/>
  <c r="N89" i="5"/>
  <c r="M121" i="5"/>
  <c r="E98" i="5"/>
  <c r="E94" i="5" s="1"/>
  <c r="Q116" i="5"/>
  <c r="S125" i="5"/>
  <c r="G127" i="5"/>
  <c r="K139" i="5"/>
  <c r="K168" i="5"/>
  <c r="H169" i="5"/>
  <c r="E170" i="5"/>
  <c r="U170" i="5"/>
  <c r="R171" i="5"/>
  <c r="F153" i="5"/>
  <c r="E167" i="5"/>
  <c r="P168" i="5"/>
  <c r="O171" i="5"/>
  <c r="O174" i="5"/>
  <c r="H27" i="6"/>
  <c r="O73" i="6"/>
  <c r="O20" i="6"/>
  <c r="L20" i="6"/>
  <c r="L19" i="6" s="1"/>
  <c r="L28" i="6" s="1"/>
  <c r="L74" i="6"/>
  <c r="J46" i="6"/>
  <c r="K76" i="6"/>
  <c r="E116" i="6"/>
  <c r="U116" i="6"/>
  <c r="R117" i="6"/>
  <c r="O118" i="6"/>
  <c r="L119" i="6"/>
  <c r="R94" i="6"/>
  <c r="R121" i="6"/>
  <c r="O123" i="6"/>
  <c r="S126" i="6"/>
  <c r="P127" i="6"/>
  <c r="N169" i="6"/>
  <c r="K152" i="6"/>
  <c r="H171" i="6"/>
  <c r="J172" i="6"/>
  <c r="S60" i="7"/>
  <c r="I67" i="5"/>
  <c r="F68" i="5"/>
  <c r="V68" i="5"/>
  <c r="G73" i="5"/>
  <c r="D74" i="5"/>
  <c r="T74" i="5"/>
  <c r="N76" i="5"/>
  <c r="K77" i="5"/>
  <c r="L116" i="5"/>
  <c r="I117" i="5"/>
  <c r="F118" i="5"/>
  <c r="V118" i="5"/>
  <c r="S119" i="5"/>
  <c r="J118" i="5"/>
  <c r="H167" i="5"/>
  <c r="H152" i="5"/>
  <c r="L168" i="5"/>
  <c r="I169" i="5"/>
  <c r="F170" i="5"/>
  <c r="V170" i="5"/>
  <c r="S171" i="5"/>
  <c r="I145" i="5"/>
  <c r="I174" i="5"/>
  <c r="F175" i="5"/>
  <c r="V175" i="5"/>
  <c r="I177" i="5"/>
  <c r="F178" i="5"/>
  <c r="V178" i="5"/>
  <c r="S179" i="5"/>
  <c r="Q168" i="5"/>
  <c r="P174" i="5"/>
  <c r="S19" i="6"/>
  <c r="P122" i="6"/>
  <c r="P73" i="6"/>
  <c r="P20" i="6"/>
  <c r="J28" i="6"/>
  <c r="R73" i="6"/>
  <c r="O45" i="6"/>
  <c r="O72" i="6"/>
  <c r="J70" i="6"/>
  <c r="F116" i="6"/>
  <c r="F89" i="6"/>
  <c r="V116" i="6"/>
  <c r="S117" i="6"/>
  <c r="P118" i="6"/>
  <c r="M119" i="6"/>
  <c r="U121" i="6"/>
  <c r="S121" i="6"/>
  <c r="S94" i="6"/>
  <c r="S120" i="6" s="1"/>
  <c r="O169" i="6"/>
  <c r="L170" i="6"/>
  <c r="I171" i="6"/>
  <c r="L176" i="6"/>
  <c r="R45" i="4"/>
  <c r="I48" i="4"/>
  <c r="I74" i="4" s="1"/>
  <c r="N66" i="4"/>
  <c r="K67" i="4"/>
  <c r="H68" i="4"/>
  <c r="O71" i="4"/>
  <c r="L72" i="4"/>
  <c r="S75" i="4"/>
  <c r="Q87" i="4"/>
  <c r="O93" i="4"/>
  <c r="F96" i="4"/>
  <c r="F123" i="4" s="1"/>
  <c r="V96" i="4"/>
  <c r="V123" i="4" s="1"/>
  <c r="K115" i="4"/>
  <c r="E117" i="4"/>
  <c r="U117" i="4"/>
  <c r="L120" i="4"/>
  <c r="I121" i="4"/>
  <c r="P124" i="4"/>
  <c r="M125" i="4"/>
  <c r="N138" i="4"/>
  <c r="L144" i="4"/>
  <c r="S147" i="4"/>
  <c r="S175" i="4" s="1"/>
  <c r="H167" i="4"/>
  <c r="R169" i="4"/>
  <c r="I172" i="4"/>
  <c r="F173" i="4"/>
  <c r="V173" i="4"/>
  <c r="M176" i="4"/>
  <c r="N14" i="5"/>
  <c r="L20" i="5"/>
  <c r="S23" i="5"/>
  <c r="S75" i="5" s="1"/>
  <c r="Q40" i="5"/>
  <c r="O46" i="5"/>
  <c r="F49" i="5"/>
  <c r="F75" i="5" s="1"/>
  <c r="V49" i="5"/>
  <c r="V45" i="5" s="1"/>
  <c r="K67" i="5"/>
  <c r="H68" i="5"/>
  <c r="E69" i="5"/>
  <c r="U69" i="5"/>
  <c r="L72" i="5"/>
  <c r="I73" i="5"/>
  <c r="F74" i="5"/>
  <c r="V74" i="5"/>
  <c r="P76" i="5"/>
  <c r="M77" i="5"/>
  <c r="Q89" i="5"/>
  <c r="Q95" i="5"/>
  <c r="L125" i="5"/>
  <c r="I126" i="5"/>
  <c r="F127" i="5"/>
  <c r="V127" i="5"/>
  <c r="V122" i="5"/>
  <c r="V125" i="5"/>
  <c r="K145" i="5"/>
  <c r="K174" i="5"/>
  <c r="H145" i="5"/>
  <c r="H175" i="5"/>
  <c r="I148" i="5"/>
  <c r="I176" i="5" s="1"/>
  <c r="K170" i="5"/>
  <c r="T174" i="5"/>
  <c r="U177" i="5"/>
  <c r="T27" i="6"/>
  <c r="Q116" i="6"/>
  <c r="Q67" i="6"/>
  <c r="Q14" i="6"/>
  <c r="N14" i="6"/>
  <c r="N117" i="6"/>
  <c r="N68" i="6"/>
  <c r="K118" i="6"/>
  <c r="K69" i="6"/>
  <c r="H119" i="6"/>
  <c r="H70" i="6"/>
  <c r="M28" i="6"/>
  <c r="D45" i="6"/>
  <c r="Q72" i="6"/>
  <c r="I125" i="6"/>
  <c r="F124" i="6"/>
  <c r="V124" i="6"/>
  <c r="S127" i="6"/>
  <c r="D168" i="6"/>
  <c r="T168" i="6"/>
  <c r="Q169" i="6"/>
  <c r="N170" i="6"/>
  <c r="K171" i="6"/>
  <c r="E173" i="6"/>
  <c r="Q176" i="6"/>
  <c r="S13" i="4"/>
  <c r="S26" i="4" s="1"/>
  <c r="Q19" i="4"/>
  <c r="Q18" i="4" s="1"/>
  <c r="Q27" i="4" s="1"/>
  <c r="H22" i="4"/>
  <c r="H74" i="4" s="1"/>
  <c r="F39" i="4"/>
  <c r="V39" i="4"/>
  <c r="D45" i="4"/>
  <c r="T45" i="4"/>
  <c r="K48" i="4"/>
  <c r="K74" i="4" s="1"/>
  <c r="S87" i="4"/>
  <c r="Q93" i="4"/>
  <c r="H96" i="4"/>
  <c r="H123" i="4" s="1"/>
  <c r="P138" i="4"/>
  <c r="N144" i="4"/>
  <c r="E147" i="4"/>
  <c r="E175" i="4" s="1"/>
  <c r="U147" i="4"/>
  <c r="U175" i="4" s="1"/>
  <c r="P14" i="5"/>
  <c r="N20" i="5"/>
  <c r="N19" i="5" s="1"/>
  <c r="N120" i="5" s="1"/>
  <c r="E23" i="5"/>
  <c r="E75" i="5" s="1"/>
  <c r="U23" i="5"/>
  <c r="S40" i="5"/>
  <c r="Q46" i="5"/>
  <c r="H49" i="5"/>
  <c r="S95" i="5"/>
  <c r="P95" i="5"/>
  <c r="N125" i="5"/>
  <c r="K126" i="5"/>
  <c r="H127" i="5"/>
  <c r="I123" i="5"/>
  <c r="P139" i="5"/>
  <c r="E144" i="5"/>
  <c r="K148" i="5"/>
  <c r="E169" i="5"/>
  <c r="D178" i="5"/>
  <c r="O179" i="5"/>
  <c r="S116" i="6"/>
  <c r="S14" i="6"/>
  <c r="P117" i="6"/>
  <c r="P14" i="6"/>
  <c r="D72" i="6"/>
  <c r="G122" i="6"/>
  <c r="D123" i="6"/>
  <c r="T123" i="6"/>
  <c r="H126" i="6"/>
  <c r="E127" i="6"/>
  <c r="U127" i="6"/>
  <c r="F168" i="6"/>
  <c r="V168" i="6"/>
  <c r="S169" i="6"/>
  <c r="P170" i="6"/>
  <c r="M171" i="6"/>
  <c r="P173" i="6"/>
  <c r="L13" i="3"/>
  <c r="L18" i="3" s="1"/>
  <c r="AB13" i="3"/>
  <c r="AB18" i="3" s="1"/>
  <c r="AB19" i="3" s="1"/>
  <c r="F15" i="3"/>
  <c r="F14" i="3" s="1"/>
  <c r="F19" i="3" s="1"/>
  <c r="V15" i="3"/>
  <c r="V14" i="3" s="1"/>
  <c r="V19" i="3" s="1"/>
  <c r="D13" i="4"/>
  <c r="D26" i="4" s="1"/>
  <c r="T13" i="4"/>
  <c r="T26" i="4" s="1"/>
  <c r="R19" i="4"/>
  <c r="R172" i="4" s="1"/>
  <c r="I22" i="4"/>
  <c r="I175" i="4" s="1"/>
  <c r="G39" i="4"/>
  <c r="E45" i="4"/>
  <c r="U45" i="4"/>
  <c r="L48" i="4"/>
  <c r="L74" i="4" s="1"/>
  <c r="D87" i="4"/>
  <c r="T87" i="4"/>
  <c r="E92" i="4"/>
  <c r="E119" i="4" s="1"/>
  <c r="U92" i="4"/>
  <c r="U119" i="4" s="1"/>
  <c r="R93" i="4"/>
  <c r="I96" i="4"/>
  <c r="I123" i="4" s="1"/>
  <c r="Q138" i="4"/>
  <c r="R143" i="4"/>
  <c r="R152" i="4" s="1"/>
  <c r="O144" i="4"/>
  <c r="F147" i="4"/>
  <c r="F175" i="4" s="1"/>
  <c r="V147" i="4"/>
  <c r="V175" i="4" s="1"/>
  <c r="Q14" i="5"/>
  <c r="O20" i="5"/>
  <c r="F23" i="5"/>
  <c r="F176" i="5" s="1"/>
  <c r="V23" i="5"/>
  <c r="V176" i="5" s="1"/>
  <c r="D40" i="5"/>
  <c r="T40" i="5"/>
  <c r="E45" i="5"/>
  <c r="E54" i="5" s="1"/>
  <c r="U45" i="5"/>
  <c r="U54" i="5" s="1"/>
  <c r="R46" i="5"/>
  <c r="I49" i="5"/>
  <c r="I75" i="5" s="1"/>
  <c r="D89" i="5"/>
  <c r="T89" i="5"/>
  <c r="O98" i="5"/>
  <c r="O124" i="5" s="1"/>
  <c r="J123" i="5"/>
  <c r="T139" i="5"/>
  <c r="Q139" i="5"/>
  <c r="N145" i="5"/>
  <c r="N177" i="5"/>
  <c r="K178" i="5"/>
  <c r="H179" i="5"/>
  <c r="H125" i="6"/>
  <c r="H177" i="6"/>
  <c r="H23" i="6"/>
  <c r="H19" i="6" s="1"/>
  <c r="H28" i="6" s="1"/>
  <c r="E178" i="6"/>
  <c r="E126" i="6"/>
  <c r="E23" i="6"/>
  <c r="E19" i="6" s="1"/>
  <c r="E28" i="6" s="1"/>
  <c r="U178" i="6"/>
  <c r="U126" i="6"/>
  <c r="U23" i="6"/>
  <c r="U19" i="6" s="1"/>
  <c r="U28" i="6" s="1"/>
  <c r="G40" i="6"/>
  <c r="N40" i="6"/>
  <c r="G73" i="6"/>
  <c r="D74" i="6"/>
  <c r="T74" i="6"/>
  <c r="K49" i="6"/>
  <c r="J173" i="6"/>
  <c r="Q144" i="6"/>
  <c r="Q172" i="6" s="1"/>
  <c r="Q173" i="6"/>
  <c r="N175" i="6"/>
  <c r="S47" i="7"/>
  <c r="J33" i="7"/>
  <c r="R14" i="5"/>
  <c r="R66" i="5" s="1"/>
  <c r="E89" i="5"/>
  <c r="U89" i="5"/>
  <c r="D95" i="5"/>
  <c r="U121" i="5"/>
  <c r="P98" i="5"/>
  <c r="P124" i="5" s="1"/>
  <c r="P125" i="5"/>
  <c r="M126" i="5"/>
  <c r="J127" i="5"/>
  <c r="K123" i="5"/>
  <c r="J126" i="5"/>
  <c r="U153" i="5"/>
  <c r="O167" i="5"/>
  <c r="R173" i="5"/>
  <c r="V178" i="6"/>
  <c r="V126" i="6"/>
  <c r="H66" i="6"/>
  <c r="T72" i="6"/>
  <c r="E176" i="6"/>
  <c r="K34" i="7"/>
  <c r="K33" i="7"/>
  <c r="D22" i="7"/>
  <c r="Q20" i="5"/>
  <c r="Q19" i="5" s="1"/>
  <c r="H23" i="5"/>
  <c r="H176" i="5" s="1"/>
  <c r="P67" i="5"/>
  <c r="M68" i="5"/>
  <c r="G70" i="5"/>
  <c r="N73" i="5"/>
  <c r="K74" i="5"/>
  <c r="E76" i="5"/>
  <c r="R77" i="5"/>
  <c r="E121" i="5"/>
  <c r="V95" i="5"/>
  <c r="Q125" i="5"/>
  <c r="N126" i="5"/>
  <c r="K127" i="5"/>
  <c r="M117" i="5"/>
  <c r="E119" i="5"/>
  <c r="D125" i="5"/>
  <c r="S139" i="5"/>
  <c r="S144" i="5"/>
  <c r="M173" i="5"/>
  <c r="P148" i="5"/>
  <c r="P176" i="5" s="1"/>
  <c r="P177" i="5"/>
  <c r="M178" i="5"/>
  <c r="J179" i="5"/>
  <c r="J178" i="5"/>
  <c r="I40" i="6"/>
  <c r="P40" i="6"/>
  <c r="M40" i="6"/>
  <c r="D73" i="6"/>
  <c r="N124" i="6"/>
  <c r="H127" i="6"/>
  <c r="I168" i="6"/>
  <c r="F169" i="6"/>
  <c r="V169" i="6"/>
  <c r="F176" i="6"/>
  <c r="V176" i="6"/>
  <c r="S178" i="6"/>
  <c r="P179" i="6"/>
  <c r="D66" i="4"/>
  <c r="K69" i="4"/>
  <c r="R72" i="4"/>
  <c r="O73" i="4"/>
  <c r="I75" i="4"/>
  <c r="F76" i="4"/>
  <c r="V76" i="4"/>
  <c r="S77" i="4"/>
  <c r="N68" i="5"/>
  <c r="L74" i="5"/>
  <c r="F121" i="5"/>
  <c r="T124" i="5"/>
  <c r="R98" i="5"/>
  <c r="R124" i="5" s="1"/>
  <c r="R125" i="5"/>
  <c r="E125" i="5"/>
  <c r="N170" i="5"/>
  <c r="K171" i="5"/>
  <c r="Q176" i="5"/>
  <c r="Q177" i="5"/>
  <c r="N178" i="5"/>
  <c r="K179" i="5"/>
  <c r="U179" i="5"/>
  <c r="J53" i="6"/>
  <c r="J66" i="6"/>
  <c r="H53" i="6"/>
  <c r="N115" i="6"/>
  <c r="N102" i="6"/>
  <c r="L124" i="6"/>
  <c r="D174" i="6"/>
  <c r="Q175" i="6"/>
  <c r="T66" i="4"/>
  <c r="J15" i="3"/>
  <c r="J14" i="3" s="1"/>
  <c r="J19" i="3" s="1"/>
  <c r="Z15" i="3"/>
  <c r="Z14" i="3" s="1"/>
  <c r="Z19" i="3" s="1"/>
  <c r="U14" i="5"/>
  <c r="U66" i="5" s="1"/>
  <c r="S20" i="5"/>
  <c r="S19" i="5" s="1"/>
  <c r="S71" i="5" s="1"/>
  <c r="H89" i="5"/>
  <c r="E116" i="5"/>
  <c r="U116" i="5"/>
  <c r="R117" i="5"/>
  <c r="O118" i="5"/>
  <c r="L119" i="5"/>
  <c r="E122" i="5"/>
  <c r="U122" i="5"/>
  <c r="R123" i="5"/>
  <c r="U98" i="5"/>
  <c r="U124" i="5" s="1"/>
  <c r="F122" i="5"/>
  <c r="Q126" i="5"/>
  <c r="E168" i="5"/>
  <c r="U168" i="5"/>
  <c r="R169" i="5"/>
  <c r="O170" i="5"/>
  <c r="L171" i="5"/>
  <c r="U173" i="5"/>
  <c r="R174" i="5"/>
  <c r="O175" i="5"/>
  <c r="S148" i="5"/>
  <c r="R148" i="5"/>
  <c r="R176" i="5" s="1"/>
  <c r="R177" i="5"/>
  <c r="O148" i="5"/>
  <c r="O176" i="5" s="1"/>
  <c r="O178" i="5"/>
  <c r="L179" i="5"/>
  <c r="O152" i="5"/>
  <c r="M175" i="5"/>
  <c r="N49" i="6"/>
  <c r="N75" i="6" s="1"/>
  <c r="T73" i="6"/>
  <c r="L94" i="6"/>
  <c r="O124" i="6"/>
  <c r="H153" i="6"/>
  <c r="H152" i="6"/>
  <c r="H167" i="6"/>
  <c r="U173" i="6"/>
  <c r="U144" i="6"/>
  <c r="U172" i="6" s="1"/>
  <c r="R179" i="6"/>
  <c r="I131" i="7"/>
  <c r="R131" i="7" s="1"/>
  <c r="R112" i="7"/>
  <c r="N68" i="4"/>
  <c r="AA15" i="3"/>
  <c r="AA14" i="3" s="1"/>
  <c r="AA19" i="3" s="1"/>
  <c r="T20" i="5"/>
  <c r="T19" i="5" s="1"/>
  <c r="K23" i="5"/>
  <c r="K75" i="5" s="1"/>
  <c r="H95" i="5"/>
  <c r="G125" i="5"/>
  <c r="R126" i="5"/>
  <c r="M144" i="5"/>
  <c r="V145" i="5"/>
  <c r="S174" i="5"/>
  <c r="P175" i="5"/>
  <c r="O169" i="5"/>
  <c r="F174" i="5"/>
  <c r="F177" i="5"/>
  <c r="O53" i="6"/>
  <c r="O75" i="6"/>
  <c r="S67" i="6"/>
  <c r="P89" i="6"/>
  <c r="M115" i="6"/>
  <c r="M102" i="6"/>
  <c r="I176" i="6"/>
  <c r="I144" i="6"/>
  <c r="F178" i="6"/>
  <c r="S179" i="6"/>
  <c r="G14" i="5"/>
  <c r="E20" i="5"/>
  <c r="E173" i="5" s="1"/>
  <c r="U20" i="5"/>
  <c r="U19" i="5" s="1"/>
  <c r="L23" i="5"/>
  <c r="L75" i="5" s="1"/>
  <c r="J89" i="5"/>
  <c r="G116" i="5"/>
  <c r="D117" i="5"/>
  <c r="T117" i="5"/>
  <c r="Q118" i="5"/>
  <c r="N119" i="5"/>
  <c r="I95" i="5"/>
  <c r="G122" i="5"/>
  <c r="D123" i="5"/>
  <c r="T123" i="5"/>
  <c r="S123" i="5"/>
  <c r="G168" i="5"/>
  <c r="D169" i="5"/>
  <c r="T169" i="5"/>
  <c r="Q170" i="5"/>
  <c r="N171" i="5"/>
  <c r="H168" i="5"/>
  <c r="D67" i="6"/>
  <c r="D40" i="6"/>
  <c r="T67" i="6"/>
  <c r="T40" i="6"/>
  <c r="Q40" i="6"/>
  <c r="Q68" i="6"/>
  <c r="N69" i="6"/>
  <c r="K53" i="6"/>
  <c r="F72" i="6"/>
  <c r="Q74" i="6"/>
  <c r="J128" i="6"/>
  <c r="J105" i="6"/>
  <c r="E121" i="6"/>
  <c r="N121" i="6"/>
  <c r="N94" i="6"/>
  <c r="N120" i="6" s="1"/>
  <c r="Q124" i="6"/>
  <c r="G174" i="6"/>
  <c r="D175" i="6"/>
  <c r="T173" i="6"/>
  <c r="T144" i="6"/>
  <c r="T153" i="6" s="1"/>
  <c r="Q67" i="4"/>
  <c r="M15" i="3"/>
  <c r="M14" i="3" s="1"/>
  <c r="M19" i="3" s="1"/>
  <c r="AC15" i="3"/>
  <c r="AC14" i="3" s="1"/>
  <c r="AC19" i="3" s="1"/>
  <c r="M23" i="5"/>
  <c r="M19" i="5" s="1"/>
  <c r="M28" i="5" s="1"/>
  <c r="K89" i="5"/>
  <c r="F98" i="5"/>
  <c r="F124" i="5" s="1"/>
  <c r="V98" i="5"/>
  <c r="M122" i="5"/>
  <c r="D139" i="5"/>
  <c r="E174" i="5"/>
  <c r="U174" i="5"/>
  <c r="R175" i="5"/>
  <c r="H177" i="5"/>
  <c r="E67" i="6"/>
  <c r="U67" i="6"/>
  <c r="R68" i="6"/>
  <c r="O69" i="6"/>
  <c r="L70" i="6"/>
  <c r="G46" i="6"/>
  <c r="N45" i="6"/>
  <c r="N71" i="6" s="1"/>
  <c r="N72" i="6"/>
  <c r="Q49" i="6"/>
  <c r="Q75" i="6" s="1"/>
  <c r="O54" i="6"/>
  <c r="P68" i="6"/>
  <c r="L115" i="6"/>
  <c r="L103" i="6"/>
  <c r="L102" i="6"/>
  <c r="H121" i="6"/>
  <c r="O122" i="6"/>
  <c r="L123" i="6"/>
  <c r="S124" i="6"/>
  <c r="D167" i="6"/>
  <c r="K176" i="6"/>
  <c r="K144" i="6"/>
  <c r="K172" i="6" s="1"/>
  <c r="H144" i="6"/>
  <c r="E179" i="6"/>
  <c r="U179" i="6"/>
  <c r="R14" i="7"/>
  <c r="I34" i="7"/>
  <c r="R34" i="7" s="1"/>
  <c r="I33" i="7"/>
  <c r="I116" i="5"/>
  <c r="F117" i="5"/>
  <c r="V117" i="5"/>
  <c r="S118" i="5"/>
  <c r="P119" i="5"/>
  <c r="N122" i="5"/>
  <c r="M125" i="5"/>
  <c r="E153" i="5"/>
  <c r="I168" i="5"/>
  <c r="F169" i="5"/>
  <c r="V169" i="5"/>
  <c r="S170" i="5"/>
  <c r="P171" i="5"/>
  <c r="U152" i="5"/>
  <c r="T178" i="5"/>
  <c r="F27" i="6"/>
  <c r="F28" i="6"/>
  <c r="F40" i="6"/>
  <c r="V40" i="6"/>
  <c r="S40" i="6"/>
  <c r="H72" i="6"/>
  <c r="H45" i="6"/>
  <c r="T75" i="6"/>
  <c r="S75" i="6"/>
  <c r="S68" i="6"/>
  <c r="E167" i="6"/>
  <c r="F173" i="6"/>
  <c r="F144" i="6"/>
  <c r="F172" i="6" s="1"/>
  <c r="J122" i="5"/>
  <c r="G123" i="5"/>
  <c r="D124" i="5"/>
  <c r="H98" i="5"/>
  <c r="G174" i="5"/>
  <c r="D175" i="5"/>
  <c r="T175" i="5"/>
  <c r="G148" i="5"/>
  <c r="G176" i="5" s="1"/>
  <c r="D176" i="5"/>
  <c r="T176" i="5"/>
  <c r="G27" i="6"/>
  <c r="G180" i="6" s="1"/>
  <c r="G167" i="6"/>
  <c r="J104" i="6"/>
  <c r="J55" i="6"/>
  <c r="J154" i="6"/>
  <c r="D116" i="6"/>
  <c r="T116" i="6"/>
  <c r="Q102" i="6"/>
  <c r="N118" i="6"/>
  <c r="K102" i="6"/>
  <c r="J121" i="6"/>
  <c r="J94" i="6"/>
  <c r="J120" i="6" s="1"/>
  <c r="N123" i="6"/>
  <c r="E124" i="6"/>
  <c r="U124" i="6"/>
  <c r="R124" i="6"/>
  <c r="F180" i="6"/>
  <c r="F155" i="6"/>
  <c r="E172" i="6"/>
  <c r="G173" i="6"/>
  <c r="G144" i="6"/>
  <c r="G153" i="6" s="1"/>
  <c r="M20" i="6"/>
  <c r="M19" i="6" s="1"/>
  <c r="D23" i="6"/>
  <c r="D75" i="6" s="1"/>
  <c r="T23" i="6"/>
  <c r="T19" i="6" s="1"/>
  <c r="R40" i="6"/>
  <c r="P46" i="6"/>
  <c r="G49" i="6"/>
  <c r="G75" i="6" s="1"/>
  <c r="H54" i="6"/>
  <c r="R89" i="6"/>
  <c r="P95" i="6"/>
  <c r="N125" i="6"/>
  <c r="O126" i="6"/>
  <c r="L139" i="6"/>
  <c r="L168" i="6"/>
  <c r="I169" i="6"/>
  <c r="F170" i="6"/>
  <c r="V170" i="6"/>
  <c r="S171" i="6"/>
  <c r="S145" i="6"/>
  <c r="M148" i="6"/>
  <c r="L177" i="6"/>
  <c r="I178" i="6"/>
  <c r="F179" i="6"/>
  <c r="V179" i="6"/>
  <c r="F167" i="6"/>
  <c r="S50" i="7"/>
  <c r="S82" i="7"/>
  <c r="S115" i="7"/>
  <c r="S58" i="7"/>
  <c r="F27" i="7"/>
  <c r="O48" i="7"/>
  <c r="M50" i="7"/>
  <c r="T51" i="7"/>
  <c r="R53" i="7"/>
  <c r="Q62" i="7"/>
  <c r="O64" i="7"/>
  <c r="P80" i="7"/>
  <c r="G79" i="7"/>
  <c r="R83" i="7"/>
  <c r="Q91" i="7"/>
  <c r="T93" i="7"/>
  <c r="K92" i="7"/>
  <c r="M116" i="7"/>
  <c r="N123" i="7"/>
  <c r="P129" i="7"/>
  <c r="M67" i="6"/>
  <c r="J68" i="6"/>
  <c r="G69" i="6"/>
  <c r="D70" i="6"/>
  <c r="T70" i="6"/>
  <c r="K73" i="6"/>
  <c r="H74" i="6"/>
  <c r="R76" i="6"/>
  <c r="O77" i="6"/>
  <c r="L78" i="6"/>
  <c r="S89" i="6"/>
  <c r="Q95" i="6"/>
  <c r="H98" i="6"/>
  <c r="M116" i="6"/>
  <c r="J117" i="6"/>
  <c r="G118" i="6"/>
  <c r="D119" i="6"/>
  <c r="R122" i="6"/>
  <c r="M139" i="6"/>
  <c r="D152" i="6"/>
  <c r="J169" i="6"/>
  <c r="J171" i="6"/>
  <c r="N174" i="6"/>
  <c r="D177" i="6"/>
  <c r="G178" i="6"/>
  <c r="N114" i="7"/>
  <c r="T17" i="7"/>
  <c r="T82" i="7"/>
  <c r="R22" i="7"/>
  <c r="T25" i="7"/>
  <c r="P48" i="7"/>
  <c r="Q55" i="7"/>
  <c r="K60" i="7"/>
  <c r="T60" i="7" s="1"/>
  <c r="P64" i="7"/>
  <c r="F66" i="7"/>
  <c r="Q80" i="7"/>
  <c r="J112" i="7"/>
  <c r="N116" i="7"/>
  <c r="P123" i="7"/>
  <c r="S126" i="7"/>
  <c r="D34" i="9"/>
  <c r="D33" i="9"/>
  <c r="M33" i="9" s="1"/>
  <c r="M14" i="9"/>
  <c r="E131" i="9"/>
  <c r="N131" i="9" s="1"/>
  <c r="N112" i="9"/>
  <c r="R46" i="6"/>
  <c r="I49" i="6"/>
  <c r="N67" i="6"/>
  <c r="L73" i="6"/>
  <c r="S76" i="6"/>
  <c r="D89" i="6"/>
  <c r="T89" i="6"/>
  <c r="E94" i="6"/>
  <c r="E120" i="6" s="1"/>
  <c r="U94" i="6"/>
  <c r="U120" i="6" s="1"/>
  <c r="I98" i="6"/>
  <c r="I124" i="6" s="1"/>
  <c r="N116" i="6"/>
  <c r="S122" i="6"/>
  <c r="N139" i="6"/>
  <c r="O176" i="6"/>
  <c r="N177" i="6"/>
  <c r="H179" i="6"/>
  <c r="E152" i="6"/>
  <c r="E153" i="6"/>
  <c r="K170" i="6"/>
  <c r="O174" i="6"/>
  <c r="E177" i="6"/>
  <c r="H178" i="6"/>
  <c r="S63" i="7"/>
  <c r="O97" i="7"/>
  <c r="O130" i="7"/>
  <c r="Q48" i="7"/>
  <c r="O50" i="7"/>
  <c r="M52" i="7"/>
  <c r="R55" i="7"/>
  <c r="P57" i="7"/>
  <c r="N82" i="7"/>
  <c r="Q85" i="7"/>
  <c r="M90" i="7"/>
  <c r="N94" i="7"/>
  <c r="R114" i="7"/>
  <c r="T126" i="7"/>
  <c r="K125" i="7"/>
  <c r="T125" i="7" s="1"/>
  <c r="I132" i="9"/>
  <c r="I131" i="9"/>
  <c r="R112" i="9"/>
  <c r="G23" i="6"/>
  <c r="G124" i="6" s="1"/>
  <c r="E40" i="6"/>
  <c r="U40" i="6"/>
  <c r="F45" i="6"/>
  <c r="F71" i="6" s="1"/>
  <c r="V45" i="6"/>
  <c r="V71" i="6" s="1"/>
  <c r="S46" i="6"/>
  <c r="J49" i="6"/>
  <c r="J75" i="6" s="1"/>
  <c r="E89" i="6"/>
  <c r="U89" i="6"/>
  <c r="J98" i="6"/>
  <c r="J124" i="6" s="1"/>
  <c r="T122" i="6"/>
  <c r="S125" i="6"/>
  <c r="R126" i="6"/>
  <c r="O139" i="6"/>
  <c r="V145" i="6"/>
  <c r="O177" i="6"/>
  <c r="I179" i="6"/>
  <c r="I153" i="6"/>
  <c r="I167" i="6"/>
  <c r="P174" i="6"/>
  <c r="F177" i="6"/>
  <c r="R19" i="7"/>
  <c r="T22" i="7"/>
  <c r="R27" i="7"/>
  <c r="T30" i="7"/>
  <c r="R48" i="7"/>
  <c r="P50" i="7"/>
  <c r="Q57" i="7"/>
  <c r="O59" i="7"/>
  <c r="S80" i="7"/>
  <c r="O94" i="7"/>
  <c r="P67" i="6"/>
  <c r="M68" i="6"/>
  <c r="N73" i="6"/>
  <c r="K74" i="6"/>
  <c r="E76" i="6"/>
  <c r="U76" i="6"/>
  <c r="R77" i="6"/>
  <c r="V89" i="6"/>
  <c r="D95" i="6"/>
  <c r="K98" i="6"/>
  <c r="K124" i="6" s="1"/>
  <c r="O102" i="6"/>
  <c r="P116" i="6"/>
  <c r="M117" i="6"/>
  <c r="S139" i="6"/>
  <c r="P139" i="6"/>
  <c r="D145" i="6"/>
  <c r="P177" i="6"/>
  <c r="M178" i="6"/>
  <c r="J179" i="6"/>
  <c r="M168" i="6"/>
  <c r="Q174" i="6"/>
  <c r="G177" i="6"/>
  <c r="S52" i="7"/>
  <c r="Q50" i="7"/>
  <c r="O52" i="7"/>
  <c r="M54" i="7"/>
  <c r="P59" i="7"/>
  <c r="T80" i="7"/>
  <c r="M88" i="7"/>
  <c r="D87" i="7"/>
  <c r="O90" i="7"/>
  <c r="P94" i="7"/>
  <c r="D112" i="7"/>
  <c r="T114" i="7"/>
  <c r="P118" i="7"/>
  <c r="P127" i="7"/>
  <c r="I66" i="8"/>
  <c r="P126" i="7"/>
  <c r="L49" i="6"/>
  <c r="L75" i="6" s="1"/>
  <c r="G89" i="6"/>
  <c r="V122" i="6"/>
  <c r="T126" i="6"/>
  <c r="E174" i="6"/>
  <c r="U174" i="6"/>
  <c r="R175" i="6"/>
  <c r="R148" i="6"/>
  <c r="R176" i="6" s="1"/>
  <c r="Q177" i="6"/>
  <c r="N178" i="6"/>
  <c r="K179" i="6"/>
  <c r="N83" i="7"/>
  <c r="T19" i="7"/>
  <c r="R24" i="7"/>
  <c r="N124" i="7"/>
  <c r="T27" i="7"/>
  <c r="R32" i="7"/>
  <c r="T48" i="7"/>
  <c r="R50" i="7"/>
  <c r="P52" i="7"/>
  <c r="Q59" i="7"/>
  <c r="O61" i="7"/>
  <c r="M80" i="7"/>
  <c r="P90" i="7"/>
  <c r="Q94" i="7"/>
  <c r="P96" i="7"/>
  <c r="P97" i="7"/>
  <c r="E112" i="7"/>
  <c r="T121" i="7"/>
  <c r="K120" i="7"/>
  <c r="T120" i="7" s="1"/>
  <c r="S123" i="7"/>
  <c r="F66" i="9"/>
  <c r="O66" i="9" s="1"/>
  <c r="O47" i="9"/>
  <c r="M49" i="6"/>
  <c r="M75" i="6" s="1"/>
  <c r="M74" i="6"/>
  <c r="G76" i="6"/>
  <c r="D77" i="6"/>
  <c r="T77" i="6"/>
  <c r="H89" i="6"/>
  <c r="I94" i="6"/>
  <c r="M98" i="6"/>
  <c r="U139" i="6"/>
  <c r="R139" i="6"/>
  <c r="S148" i="6"/>
  <c r="S176" i="6" s="1"/>
  <c r="I177" i="6"/>
  <c r="S49" i="7"/>
  <c r="S81" i="7"/>
  <c r="Q21" i="7"/>
  <c r="Q86" i="7"/>
  <c r="S57" i="7"/>
  <c r="S122" i="7"/>
  <c r="O91" i="7"/>
  <c r="O124" i="7"/>
  <c r="S65" i="7"/>
  <c r="S97" i="7"/>
  <c r="E47" i="7"/>
  <c r="M56" i="7"/>
  <c r="O80" i="7"/>
  <c r="R82" i="7"/>
  <c r="I79" i="7"/>
  <c r="M85" i="7"/>
  <c r="Q92" i="7"/>
  <c r="S114" i="7"/>
  <c r="R118" i="7"/>
  <c r="O86" i="7"/>
  <c r="G95" i="6"/>
  <c r="V139" i="6"/>
  <c r="T175" i="6"/>
  <c r="T176" i="6"/>
  <c r="N113" i="7"/>
  <c r="T16" i="7"/>
  <c r="T24" i="7"/>
  <c r="N96" i="7"/>
  <c r="P84" i="7"/>
  <c r="O88" i="7"/>
  <c r="S94" i="7"/>
  <c r="P113" i="7"/>
  <c r="M115" i="7"/>
  <c r="P116" i="7"/>
  <c r="P124" i="7"/>
  <c r="P86" i="7"/>
  <c r="J33" i="9"/>
  <c r="S47" i="9"/>
  <c r="K70" i="6"/>
  <c r="O74" i="6"/>
  <c r="F77" i="6"/>
  <c r="V77" i="6"/>
  <c r="Q117" i="6"/>
  <c r="K119" i="6"/>
  <c r="H123" i="6"/>
  <c r="H174" i="6"/>
  <c r="E175" i="6"/>
  <c r="U175" i="6"/>
  <c r="Q168" i="6"/>
  <c r="K177" i="6"/>
  <c r="Q18" i="7"/>
  <c r="Q83" i="7"/>
  <c r="S54" i="7"/>
  <c r="S62" i="7"/>
  <c r="S127" i="7"/>
  <c r="P47" i="7"/>
  <c r="Q54" i="7"/>
  <c r="F56" i="7"/>
  <c r="M58" i="7"/>
  <c r="P63" i="7"/>
  <c r="N122" i="7"/>
  <c r="E121" i="7"/>
  <c r="P130" i="7"/>
  <c r="F126" i="6"/>
  <c r="I174" i="6"/>
  <c r="F175" i="6"/>
  <c r="V175" i="6"/>
  <c r="U176" i="6"/>
  <c r="R168" i="6"/>
  <c r="N118" i="7"/>
  <c r="N85" i="7"/>
  <c r="T21" i="7"/>
  <c r="G23" i="7"/>
  <c r="R26" i="7"/>
  <c r="N126" i="7"/>
  <c r="Q47" i="7"/>
  <c r="T52" i="7"/>
  <c r="R54" i="7"/>
  <c r="P56" i="7"/>
  <c r="N59" i="7"/>
  <c r="E173" i="17"/>
  <c r="E98" i="7"/>
  <c r="M93" i="7"/>
  <c r="D92" i="7"/>
  <c r="M92" i="7" s="1"/>
  <c r="G120" i="7"/>
  <c r="P121" i="7"/>
  <c r="S130" i="7"/>
  <c r="H66" i="8"/>
  <c r="M22" i="9"/>
  <c r="K122" i="6"/>
  <c r="F153" i="6"/>
  <c r="G175" i="6"/>
  <c r="H175" i="6"/>
  <c r="Q15" i="7"/>
  <c r="S51" i="7"/>
  <c r="S116" i="7"/>
  <c r="O118" i="7"/>
  <c r="O85" i="7"/>
  <c r="S59" i="7"/>
  <c r="R47" i="7"/>
  <c r="I67" i="7"/>
  <c r="I66" i="7"/>
  <c r="Q56" i="7"/>
  <c r="N89" i="7"/>
  <c r="E88" i="7"/>
  <c r="N93" i="7"/>
  <c r="N117" i="7"/>
  <c r="S124" i="7"/>
  <c r="P128" i="7"/>
  <c r="H55" i="8"/>
  <c r="P92" i="8"/>
  <c r="G112" i="7"/>
  <c r="P114" i="7"/>
  <c r="O23" i="6"/>
  <c r="K95" i="6"/>
  <c r="J115" i="6"/>
  <c r="L122" i="6"/>
  <c r="K173" i="6"/>
  <c r="Q152" i="6"/>
  <c r="T167" i="6"/>
  <c r="T18" i="7"/>
  <c r="T83" i="7"/>
  <c r="T116" i="7"/>
  <c r="P85" i="7"/>
  <c r="R23" i="7"/>
  <c r="N90" i="7"/>
  <c r="R31" i="7"/>
  <c r="Q49" i="7"/>
  <c r="O51" i="7"/>
  <c r="M53" i="7"/>
  <c r="P58" i="7"/>
  <c r="E60" i="7"/>
  <c r="K79" i="7"/>
  <c r="Q81" i="7"/>
  <c r="O89" i="7"/>
  <c r="S90" i="7"/>
  <c r="O93" i="7"/>
  <c r="K112" i="7"/>
  <c r="P117" i="7"/>
  <c r="P119" i="7"/>
  <c r="K14" i="6"/>
  <c r="K167" i="6" s="1"/>
  <c r="I20" i="6"/>
  <c r="I19" i="6" s="1"/>
  <c r="P23" i="6"/>
  <c r="P176" i="6" s="1"/>
  <c r="R119" i="6"/>
  <c r="I122" i="6"/>
  <c r="F123" i="6"/>
  <c r="V123" i="6"/>
  <c r="P125" i="6"/>
  <c r="M126" i="6"/>
  <c r="J127" i="6"/>
  <c r="L145" i="6"/>
  <c r="U177" i="6"/>
  <c r="D14" i="7"/>
  <c r="S48" i="7"/>
  <c r="J23" i="7"/>
  <c r="Q93" i="7"/>
  <c r="S64" i="7"/>
  <c r="S129" i="7"/>
  <c r="K47" i="7"/>
  <c r="R49" i="7"/>
  <c r="P51" i="7"/>
  <c r="Q58" i="7"/>
  <c r="F60" i="7"/>
  <c r="O60" i="7" s="1"/>
  <c r="Q84" i="7"/>
  <c r="S86" i="7"/>
  <c r="G88" i="7"/>
  <c r="P93" i="7"/>
  <c r="O95" i="7"/>
  <c r="F92" i="7"/>
  <c r="R113" i="7"/>
  <c r="P125" i="7"/>
  <c r="O88" i="8"/>
  <c r="F87" i="8"/>
  <c r="M121" i="6"/>
  <c r="D124" i="6"/>
  <c r="T124" i="6"/>
  <c r="M173" i="6"/>
  <c r="V177" i="6"/>
  <c r="E14" i="7"/>
  <c r="T15" i="7"/>
  <c r="P82" i="7"/>
  <c r="P115" i="7"/>
  <c r="R20" i="7"/>
  <c r="E22" i="7"/>
  <c r="T23" i="7"/>
  <c r="R28" i="7"/>
  <c r="N128" i="7"/>
  <c r="T31" i="7"/>
  <c r="Q51" i="7"/>
  <c r="O53" i="7"/>
  <c r="M55" i="7"/>
  <c r="K56" i="7"/>
  <c r="P60" i="7"/>
  <c r="D79" i="7"/>
  <c r="O83" i="7"/>
  <c r="T84" i="7"/>
  <c r="H88" i="7"/>
  <c r="N91" i="7"/>
  <c r="P95" i="7"/>
  <c r="T113" i="7"/>
  <c r="T115" i="7"/>
  <c r="R117" i="7"/>
  <c r="R119" i="7"/>
  <c r="S128" i="7"/>
  <c r="G87" i="8"/>
  <c r="P88" i="8"/>
  <c r="K20" i="6"/>
  <c r="K19" i="6" s="1"/>
  <c r="R23" i="6"/>
  <c r="R19" i="6" s="1"/>
  <c r="J168" i="6"/>
  <c r="G169" i="6"/>
  <c r="D170" i="6"/>
  <c r="T170" i="6"/>
  <c r="Q171" i="6"/>
  <c r="N145" i="6"/>
  <c r="T152" i="6"/>
  <c r="F14" i="7"/>
  <c r="O47" i="7" s="1"/>
  <c r="S118" i="7"/>
  <c r="S53" i="7"/>
  <c r="F22" i="7"/>
  <c r="S93" i="7"/>
  <c r="S61" i="7"/>
  <c r="M48" i="7"/>
  <c r="T49" i="7"/>
  <c r="R51" i="7"/>
  <c r="P53" i="7"/>
  <c r="E55" i="7"/>
  <c r="N55" i="7" s="1"/>
  <c r="Q60" i="7"/>
  <c r="O62" i="7"/>
  <c r="N80" i="7"/>
  <c r="T81" i="7"/>
  <c r="R93" i="7"/>
  <c r="I92" i="7"/>
  <c r="R92" i="7" s="1"/>
  <c r="Q95" i="7"/>
  <c r="N115" i="7"/>
  <c r="S119" i="7"/>
  <c r="M56" i="8"/>
  <c r="I34" i="9"/>
  <c r="I33" i="9"/>
  <c r="R14" i="9"/>
  <c r="R47" i="9"/>
  <c r="K67" i="6"/>
  <c r="H68" i="6"/>
  <c r="E69" i="6"/>
  <c r="U69" i="6"/>
  <c r="O95" i="6"/>
  <c r="K168" i="6"/>
  <c r="H169" i="6"/>
  <c r="E170" i="6"/>
  <c r="U170" i="6"/>
  <c r="R171" i="6"/>
  <c r="R145" i="6"/>
  <c r="G14" i="7"/>
  <c r="R17" i="7"/>
  <c r="R115" i="7"/>
  <c r="N84" i="7"/>
  <c r="T20" i="7"/>
  <c r="R25" i="7"/>
  <c r="E27" i="7"/>
  <c r="T28" i="7"/>
  <c r="M57" i="7"/>
  <c r="P62" i="7"/>
  <c r="N81" i="7"/>
  <c r="N86" i="7"/>
  <c r="P91" i="7"/>
  <c r="O112" i="7"/>
  <c r="P122" i="7"/>
  <c r="N129" i="7"/>
  <c r="M88" i="8"/>
  <c r="D90" i="21"/>
  <c r="D66" i="9"/>
  <c r="M66" i="9" s="1"/>
  <c r="M47" i="9"/>
  <c r="Q54" i="8"/>
  <c r="Q62" i="8"/>
  <c r="S95" i="8"/>
  <c r="T80" i="9"/>
  <c r="Q95" i="9"/>
  <c r="O56" i="9"/>
  <c r="N92" i="9"/>
  <c r="P119" i="9"/>
  <c r="N129" i="9"/>
  <c r="P255" i="10"/>
  <c r="P178" i="10"/>
  <c r="N185" i="10"/>
  <c r="N107" i="10"/>
  <c r="R189" i="10"/>
  <c r="R111" i="10"/>
  <c r="I192" i="10"/>
  <c r="I114" i="10"/>
  <c r="G82" i="10"/>
  <c r="G91" i="10"/>
  <c r="T92" i="10"/>
  <c r="T82" i="10"/>
  <c r="N170" i="10"/>
  <c r="R174" i="10"/>
  <c r="L176" i="10"/>
  <c r="I177" i="10"/>
  <c r="S179" i="10"/>
  <c r="P180" i="10"/>
  <c r="Q125" i="7"/>
  <c r="Q129" i="7"/>
  <c r="N130" i="7"/>
  <c r="N18" i="8"/>
  <c r="N26" i="8"/>
  <c r="N33" i="8"/>
  <c r="M52" i="8"/>
  <c r="M113" i="8"/>
  <c r="M117" i="8"/>
  <c r="M121" i="8"/>
  <c r="D129" i="7"/>
  <c r="M129" i="7" s="1"/>
  <c r="M129" i="8"/>
  <c r="O112" i="9"/>
  <c r="F33" i="9"/>
  <c r="O79" i="9"/>
  <c r="J55" i="9"/>
  <c r="S60" i="9"/>
  <c r="L43" i="10"/>
  <c r="L169" i="10"/>
  <c r="V171" i="10"/>
  <c r="V93" i="10"/>
  <c r="D177" i="10"/>
  <c r="D99" i="10"/>
  <c r="T177" i="10"/>
  <c r="T99" i="10"/>
  <c r="N179" i="10"/>
  <c r="N256" i="10"/>
  <c r="G66" i="7"/>
  <c r="G67" i="7"/>
  <c r="R81" i="7"/>
  <c r="T90" i="7"/>
  <c r="R97" i="7"/>
  <c r="R122" i="7"/>
  <c r="F14" i="8"/>
  <c r="F22" i="8"/>
  <c r="H23" i="8"/>
  <c r="Q56" i="8" s="1"/>
  <c r="Q53" i="8"/>
  <c r="E56" i="8"/>
  <c r="Q61" i="8"/>
  <c r="R114" i="8"/>
  <c r="O115" i="8"/>
  <c r="R118" i="8"/>
  <c r="O119" i="8"/>
  <c r="E121" i="8"/>
  <c r="R122" i="8"/>
  <c r="E125" i="8"/>
  <c r="N125" i="8" s="1"/>
  <c r="R126" i="8"/>
  <c r="O127" i="8"/>
  <c r="R130" i="8"/>
  <c r="G14" i="9"/>
  <c r="M17" i="9"/>
  <c r="S59" i="9"/>
  <c r="S124" i="9"/>
  <c r="N49" i="9"/>
  <c r="N93" i="9"/>
  <c r="H66" i="7"/>
  <c r="Q66" i="7" s="1"/>
  <c r="H67" i="7"/>
  <c r="Q67" i="7" s="1"/>
  <c r="H79" i="7"/>
  <c r="R80" i="7"/>
  <c r="T89" i="7"/>
  <c r="E92" i="7"/>
  <c r="N92" i="7" s="1"/>
  <c r="R96" i="7"/>
  <c r="Q119" i="7"/>
  <c r="J125" i="7"/>
  <c r="S125" i="7" s="1"/>
  <c r="G14" i="8"/>
  <c r="N17" i="8"/>
  <c r="I23" i="8"/>
  <c r="R121" i="8" s="1"/>
  <c r="N25" i="8"/>
  <c r="O48" i="8"/>
  <c r="S50" i="8"/>
  <c r="R53" i="8"/>
  <c r="F56" i="8"/>
  <c r="S58" i="8"/>
  <c r="M59" i="8"/>
  <c r="R61" i="8"/>
  <c r="O64" i="8"/>
  <c r="O83" i="8"/>
  <c r="O91" i="8"/>
  <c r="O95" i="8"/>
  <c r="E174" i="25"/>
  <c r="N97" i="8"/>
  <c r="S114" i="8"/>
  <c r="S118" i="8"/>
  <c r="F121" i="8"/>
  <c r="S122" i="8"/>
  <c r="F125" i="8"/>
  <c r="S126" i="8"/>
  <c r="S130" i="8"/>
  <c r="R18" i="9"/>
  <c r="R51" i="9"/>
  <c r="O61" i="9"/>
  <c r="F60" i="9"/>
  <c r="J66" i="9"/>
  <c r="S65" i="9"/>
  <c r="D79" i="9"/>
  <c r="M113" i="9"/>
  <c r="N127" i="9"/>
  <c r="T88" i="7"/>
  <c r="R95" i="7"/>
  <c r="T122" i="7"/>
  <c r="Q124" i="7"/>
  <c r="R126" i="7"/>
  <c r="R130" i="7"/>
  <c r="H14" i="8"/>
  <c r="J23" i="8"/>
  <c r="E47" i="8"/>
  <c r="G56" i="8"/>
  <c r="S86" i="8"/>
  <c r="S90" i="8"/>
  <c r="S94" i="8"/>
  <c r="P95" i="8"/>
  <c r="G121" i="8"/>
  <c r="T123" i="8"/>
  <c r="G125" i="8"/>
  <c r="T127" i="8"/>
  <c r="S51" i="9"/>
  <c r="S83" i="9"/>
  <c r="R22" i="9"/>
  <c r="Q123" i="9"/>
  <c r="Q58" i="9"/>
  <c r="Q90" i="9"/>
  <c r="T50" i="9"/>
  <c r="P54" i="9"/>
  <c r="P61" i="9"/>
  <c r="P62" i="9"/>
  <c r="P64" i="9"/>
  <c r="O80" i="9"/>
  <c r="D92" i="9"/>
  <c r="M92" i="9" s="1"/>
  <c r="T113" i="9"/>
  <c r="S115" i="9"/>
  <c r="N124" i="9"/>
  <c r="Q126" i="9"/>
  <c r="K91" i="10"/>
  <c r="K82" i="10"/>
  <c r="K120" i="10" s="1"/>
  <c r="H82" i="10"/>
  <c r="H120" i="10" s="1"/>
  <c r="E93" i="10"/>
  <c r="O95" i="10"/>
  <c r="L96" i="10"/>
  <c r="P100" i="10"/>
  <c r="M101" i="10"/>
  <c r="J66" i="7"/>
  <c r="S66" i="7" s="1"/>
  <c r="J79" i="7"/>
  <c r="G92" i="7"/>
  <c r="P92" i="7" s="1"/>
  <c r="R94" i="7"/>
  <c r="J95" i="7"/>
  <c r="Q118" i="7"/>
  <c r="Q128" i="7"/>
  <c r="I14" i="8"/>
  <c r="N16" i="8"/>
  <c r="N24" i="8"/>
  <c r="N32" i="8"/>
  <c r="F47" i="8"/>
  <c r="S49" i="8"/>
  <c r="M50" i="8"/>
  <c r="S57" i="8"/>
  <c r="O63" i="8"/>
  <c r="D112" i="8"/>
  <c r="M116" i="8"/>
  <c r="D120" i="8"/>
  <c r="D124" i="7"/>
  <c r="M124" i="7" s="1"/>
  <c r="M124" i="8"/>
  <c r="D128" i="7"/>
  <c r="M128" i="7" s="1"/>
  <c r="M128" i="8"/>
  <c r="K14" i="9"/>
  <c r="T83" i="9"/>
  <c r="T116" i="9"/>
  <c r="P97" i="9"/>
  <c r="P65" i="9"/>
  <c r="T56" i="9"/>
  <c r="Q65" i="9"/>
  <c r="Q82" i="9"/>
  <c r="M114" i="9"/>
  <c r="D112" i="9"/>
  <c r="M121" i="9"/>
  <c r="S129" i="9"/>
  <c r="I92" i="10"/>
  <c r="P95" i="10"/>
  <c r="M96" i="10"/>
  <c r="N101" i="10"/>
  <c r="H109" i="10"/>
  <c r="E110" i="10"/>
  <c r="J14" i="8"/>
  <c r="D27" i="8"/>
  <c r="G47" i="8"/>
  <c r="I56" i="8"/>
  <c r="D79" i="8"/>
  <c r="O114" i="8"/>
  <c r="O118" i="8"/>
  <c r="O126" i="8"/>
  <c r="Q115" i="9"/>
  <c r="Q50" i="9"/>
  <c r="P57" i="9"/>
  <c r="P89" i="9"/>
  <c r="S123" i="9"/>
  <c r="S58" i="9"/>
  <c r="D55" i="9"/>
  <c r="M55" i="9" s="1"/>
  <c r="H99" i="9"/>
  <c r="H98" i="9"/>
  <c r="Q43" i="10"/>
  <c r="Q198" i="10" s="1"/>
  <c r="Q91" i="10"/>
  <c r="N247" i="10"/>
  <c r="N43" i="10"/>
  <c r="U95" i="10"/>
  <c r="U250" i="10"/>
  <c r="O252" i="10"/>
  <c r="O97" i="10"/>
  <c r="P257" i="10"/>
  <c r="P102" i="10"/>
  <c r="M182" i="10"/>
  <c r="M259" i="10"/>
  <c r="M104" i="10"/>
  <c r="J183" i="10"/>
  <c r="J260" i="10"/>
  <c r="D107" i="10"/>
  <c r="D185" i="10"/>
  <c r="T185" i="10"/>
  <c r="T262" i="10"/>
  <c r="N264" i="10"/>
  <c r="N187" i="10"/>
  <c r="H111" i="10"/>
  <c r="H189" i="10"/>
  <c r="E267" i="10"/>
  <c r="E190" i="10"/>
  <c r="U267" i="10"/>
  <c r="U112" i="10"/>
  <c r="R191" i="10"/>
  <c r="R113" i="10"/>
  <c r="O269" i="10"/>
  <c r="O192" i="10"/>
  <c r="O114" i="10"/>
  <c r="L270" i="10"/>
  <c r="L115" i="10"/>
  <c r="F272" i="10"/>
  <c r="F117" i="10"/>
  <c r="V272" i="10"/>
  <c r="V117" i="10"/>
  <c r="P274" i="10"/>
  <c r="P119" i="10"/>
  <c r="M47" i="7"/>
  <c r="Q117" i="7"/>
  <c r="Q123" i="7"/>
  <c r="N15" i="8"/>
  <c r="N23" i="8"/>
  <c r="N31" i="8"/>
  <c r="S48" i="8"/>
  <c r="R51" i="8"/>
  <c r="O54" i="8"/>
  <c r="O62" i="8"/>
  <c r="E79" i="8"/>
  <c r="O86" i="8"/>
  <c r="O90" i="8"/>
  <c r="O94" i="8"/>
  <c r="S113" i="8"/>
  <c r="P114" i="8"/>
  <c r="S117" i="8"/>
  <c r="P126" i="8"/>
  <c r="S129" i="8"/>
  <c r="P130" i="8"/>
  <c r="O114" i="9"/>
  <c r="O81" i="9"/>
  <c r="R50" i="9"/>
  <c r="O119" i="9"/>
  <c r="O86" i="9"/>
  <c r="Q57" i="9"/>
  <c r="Q122" i="9"/>
  <c r="H23" i="9"/>
  <c r="S62" i="9"/>
  <c r="S127" i="9"/>
  <c r="P52" i="9"/>
  <c r="O53" i="9"/>
  <c r="F55" i="9"/>
  <c r="F67" i="9" s="1"/>
  <c r="I79" i="9"/>
  <c r="P85" i="9"/>
  <c r="O94" i="9"/>
  <c r="N95" i="9"/>
  <c r="D125" i="9"/>
  <c r="M125" i="9" s="1"/>
  <c r="F27" i="8"/>
  <c r="F79" i="8"/>
  <c r="G112" i="8"/>
  <c r="K121" i="8"/>
  <c r="K125" i="8"/>
  <c r="T125" i="8" s="1"/>
  <c r="S50" i="9"/>
  <c r="S82" i="9"/>
  <c r="M20" i="9"/>
  <c r="M118" i="9"/>
  <c r="R24" i="9"/>
  <c r="Q93" i="9"/>
  <c r="H27" i="9"/>
  <c r="G47" i="9"/>
  <c r="N81" i="9"/>
  <c r="D87" i="9"/>
  <c r="M87" i="9" s="1"/>
  <c r="E125" i="9"/>
  <c r="S246" i="10"/>
  <c r="S43" i="10"/>
  <c r="S91" i="10"/>
  <c r="P247" i="10"/>
  <c r="P92" i="10"/>
  <c r="P43" i="10"/>
  <c r="M248" i="10"/>
  <c r="M43" i="10"/>
  <c r="J249" i="10"/>
  <c r="J94" i="10"/>
  <c r="J172" i="10"/>
  <c r="G250" i="10"/>
  <c r="G95" i="10"/>
  <c r="D251" i="10"/>
  <c r="D174" i="10"/>
  <c r="T251" i="10"/>
  <c r="T96" i="10"/>
  <c r="T174" i="10"/>
  <c r="N253" i="10"/>
  <c r="N98" i="10"/>
  <c r="N176" i="10"/>
  <c r="K254" i="10"/>
  <c r="K99" i="10"/>
  <c r="H255" i="10"/>
  <c r="H100" i="10"/>
  <c r="E256" i="10"/>
  <c r="E101" i="10"/>
  <c r="U256" i="10"/>
  <c r="U101" i="10"/>
  <c r="U179" i="10"/>
  <c r="R257" i="10"/>
  <c r="R180" i="10"/>
  <c r="L260" i="10"/>
  <c r="L183" i="10"/>
  <c r="V262" i="10"/>
  <c r="V185" i="10"/>
  <c r="G267" i="10"/>
  <c r="G190" i="10"/>
  <c r="D268" i="10"/>
  <c r="D191" i="10"/>
  <c r="Q269" i="10"/>
  <c r="Q192" i="10"/>
  <c r="E273" i="10"/>
  <c r="E196" i="10"/>
  <c r="U273" i="10"/>
  <c r="U196" i="10"/>
  <c r="R274" i="10"/>
  <c r="R197" i="10"/>
  <c r="R90" i="7"/>
  <c r="Q116" i="7"/>
  <c r="Q127" i="7"/>
  <c r="N14" i="8"/>
  <c r="N22" i="8"/>
  <c r="G27" i="8"/>
  <c r="G22" i="8" s="1"/>
  <c r="N30" i="8"/>
  <c r="P49" i="8"/>
  <c r="R50" i="8"/>
  <c r="O53" i="8"/>
  <c r="R58" i="8"/>
  <c r="O61" i="8"/>
  <c r="G79" i="8"/>
  <c r="Q86" i="8"/>
  <c r="Q90" i="8"/>
  <c r="Q94" i="8"/>
  <c r="M115" i="8"/>
  <c r="M119" i="8"/>
  <c r="D123" i="7"/>
  <c r="M123" i="7" s="1"/>
  <c r="M123" i="8"/>
  <c r="D127" i="7"/>
  <c r="M127" i="7" s="1"/>
  <c r="M127" i="8"/>
  <c r="Q114" i="9"/>
  <c r="Q49" i="9"/>
  <c r="T82" i="9"/>
  <c r="T115" i="9"/>
  <c r="M56" i="9"/>
  <c r="M23" i="9"/>
  <c r="M49" i="9"/>
  <c r="M51" i="9"/>
  <c r="N57" i="9"/>
  <c r="P63" i="9"/>
  <c r="Q79" i="9"/>
  <c r="N119" i="9"/>
  <c r="Q128" i="9"/>
  <c r="R89" i="7"/>
  <c r="Q122" i="7"/>
  <c r="H27" i="8"/>
  <c r="Q60" i="8" s="1"/>
  <c r="K47" i="8"/>
  <c r="Q49" i="8"/>
  <c r="K55" i="8"/>
  <c r="T55" i="8" s="1"/>
  <c r="Q57" i="8"/>
  <c r="Q65" i="8"/>
  <c r="H79" i="8"/>
  <c r="M85" i="8"/>
  <c r="D87" i="8"/>
  <c r="H88" i="8"/>
  <c r="H92" i="8"/>
  <c r="M93" i="8"/>
  <c r="I112" i="8"/>
  <c r="R116" i="8"/>
  <c r="I120" i="8"/>
  <c r="R124" i="8"/>
  <c r="R128" i="8"/>
  <c r="E131" i="8"/>
  <c r="N131" i="8" s="1"/>
  <c r="N113" i="9"/>
  <c r="R16" i="9"/>
  <c r="R21" i="9"/>
  <c r="E23" i="9"/>
  <c r="N56" i="9" s="1"/>
  <c r="E27" i="9"/>
  <c r="N60" i="9" s="1"/>
  <c r="O49" i="9"/>
  <c r="N51" i="9"/>
  <c r="Q63" i="9"/>
  <c r="P81" i="9"/>
  <c r="O96" i="9"/>
  <c r="O97" i="9"/>
  <c r="R114" i="9"/>
  <c r="N116" i="9"/>
  <c r="O122" i="9"/>
  <c r="N130" i="9"/>
  <c r="I88" i="7"/>
  <c r="J89" i="7"/>
  <c r="Q115" i="7"/>
  <c r="N21" i="8"/>
  <c r="I27" i="8"/>
  <c r="N29" i="8"/>
  <c r="O52" i="8"/>
  <c r="S54" i="8"/>
  <c r="F60" i="8"/>
  <c r="O60" i="8" s="1"/>
  <c r="E87" i="8"/>
  <c r="N87" i="8" s="1"/>
  <c r="J112" i="8"/>
  <c r="S116" i="8"/>
  <c r="J120" i="8"/>
  <c r="S124" i="8"/>
  <c r="S128" i="8"/>
  <c r="S54" i="9"/>
  <c r="S86" i="9"/>
  <c r="F23" i="9"/>
  <c r="F27" i="9"/>
  <c r="O92" i="9" s="1"/>
  <c r="P49" i="9"/>
  <c r="G60" i="9"/>
  <c r="P60" i="9" s="1"/>
  <c r="P122" i="9"/>
  <c r="F84" i="7"/>
  <c r="J27" i="8"/>
  <c r="S60" i="8" s="1"/>
  <c r="J79" i="8"/>
  <c r="S84" i="8"/>
  <c r="J88" i="8"/>
  <c r="J92" i="8"/>
  <c r="S92" i="8" s="1"/>
  <c r="S96" i="8"/>
  <c r="K112" i="8"/>
  <c r="T81" i="9"/>
  <c r="T114" i="9"/>
  <c r="Q118" i="9"/>
  <c r="Q53" i="9"/>
  <c r="G23" i="9"/>
  <c r="P56" i="9" s="1"/>
  <c r="G27" i="9"/>
  <c r="T48" i="9"/>
  <c r="K47" i="9"/>
  <c r="R49" i="9"/>
  <c r="N62" i="9"/>
  <c r="N83" i="9"/>
  <c r="M88" i="9"/>
  <c r="F87" i="9"/>
  <c r="N98" i="9"/>
  <c r="T26" i="7"/>
  <c r="T29" i="7"/>
  <c r="R86" i="7"/>
  <c r="F131" i="7"/>
  <c r="Q114" i="7"/>
  <c r="H121" i="7"/>
  <c r="Q126" i="7"/>
  <c r="N127" i="7"/>
  <c r="Q130" i="7"/>
  <c r="N20" i="8"/>
  <c r="N28" i="8"/>
  <c r="N34" i="8"/>
  <c r="O51" i="8"/>
  <c r="S53" i="8"/>
  <c r="O59" i="8"/>
  <c r="K79" i="8"/>
  <c r="K88" i="8"/>
  <c r="K92" i="8"/>
  <c r="T92" i="8" s="1"/>
  <c r="M114" i="8"/>
  <c r="M118" i="8"/>
  <c r="D122" i="7"/>
  <c r="M122" i="8"/>
  <c r="D126" i="7"/>
  <c r="M126" i="8"/>
  <c r="D130" i="7"/>
  <c r="M130" i="7" s="1"/>
  <c r="M130" i="8"/>
  <c r="Q113" i="9"/>
  <c r="Q48" i="9"/>
  <c r="H14" i="9"/>
  <c r="O117" i="9"/>
  <c r="O52" i="9"/>
  <c r="R20" i="9"/>
  <c r="E47" i="9"/>
  <c r="M48" i="9"/>
  <c r="O62" i="9"/>
  <c r="S81" i="9"/>
  <c r="J79" i="9"/>
  <c r="O84" i="9"/>
  <c r="N94" i="9"/>
  <c r="O98" i="9"/>
  <c r="J125" i="9"/>
  <c r="Q130" i="9"/>
  <c r="Q82" i="10"/>
  <c r="R85" i="7"/>
  <c r="Q113" i="7"/>
  <c r="I121" i="7"/>
  <c r="I60" i="8"/>
  <c r="R60" i="8" s="1"/>
  <c r="R115" i="8"/>
  <c r="R119" i="8"/>
  <c r="R123" i="8"/>
  <c r="R127" i="8"/>
  <c r="P117" i="9"/>
  <c r="P84" i="9"/>
  <c r="J23" i="9"/>
  <c r="R116" i="9"/>
  <c r="E82" i="10"/>
  <c r="E120" i="10" s="1"/>
  <c r="E91" i="10"/>
  <c r="U91" i="10"/>
  <c r="U82" i="10"/>
  <c r="R92" i="10"/>
  <c r="R82" i="10"/>
  <c r="R120" i="10" s="1"/>
  <c r="D66" i="7"/>
  <c r="R84" i="7"/>
  <c r="H112" i="7"/>
  <c r="N19" i="8"/>
  <c r="N27" i="8"/>
  <c r="S115" i="8"/>
  <c r="S119" i="8"/>
  <c r="F121" i="7"/>
  <c r="S123" i="8"/>
  <c r="F125" i="7"/>
  <c r="O125" i="7" s="1"/>
  <c r="S127" i="8"/>
  <c r="S48" i="9"/>
  <c r="S80" i="9"/>
  <c r="P95" i="9"/>
  <c r="P48" i="9"/>
  <c r="N53" i="9"/>
  <c r="E55" i="9"/>
  <c r="N63" i="9"/>
  <c r="O65" i="9"/>
  <c r="P80" i="9"/>
  <c r="G79" i="9"/>
  <c r="Q81" i="9"/>
  <c r="E88" i="9"/>
  <c r="N89" i="9"/>
  <c r="N118" i="9"/>
  <c r="R115" i="9"/>
  <c r="P125" i="9"/>
  <c r="P129" i="9"/>
  <c r="J105" i="10"/>
  <c r="T107" i="10"/>
  <c r="N109" i="10"/>
  <c r="K110" i="10"/>
  <c r="E112" i="10"/>
  <c r="S118" i="10"/>
  <c r="V115" i="10"/>
  <c r="S169" i="10"/>
  <c r="P170" i="10"/>
  <c r="M171" i="10"/>
  <c r="G173" i="10"/>
  <c r="Q175" i="10"/>
  <c r="H178" i="10"/>
  <c r="E179" i="10"/>
  <c r="Q169" i="10"/>
  <c r="N82" i="9"/>
  <c r="N86" i="9"/>
  <c r="M93" i="10"/>
  <c r="D96" i="10"/>
  <c r="Q97" i="10"/>
  <c r="R102" i="10"/>
  <c r="E104" i="10"/>
  <c r="I184" i="10"/>
  <c r="M188" i="10"/>
  <c r="T193" i="10"/>
  <c r="U251" i="10"/>
  <c r="O253" i="10"/>
  <c r="K34" i="8"/>
  <c r="J66" i="8"/>
  <c r="J67" i="8"/>
  <c r="I98" i="8"/>
  <c r="H131" i="8"/>
  <c r="R15" i="9"/>
  <c r="S122" i="9"/>
  <c r="S57" i="9"/>
  <c r="H60" i="9"/>
  <c r="N123" i="9"/>
  <c r="D91" i="10"/>
  <c r="D82" i="10"/>
  <c r="T91" i="10"/>
  <c r="K94" i="10"/>
  <c r="H95" i="10"/>
  <c r="R97" i="10"/>
  <c r="O98" i="10"/>
  <c r="I100" i="10"/>
  <c r="S102" i="10"/>
  <c r="O104" i="10"/>
  <c r="L105" i="10"/>
  <c r="I106" i="10"/>
  <c r="F107" i="10"/>
  <c r="V107" i="10"/>
  <c r="S108" i="10"/>
  <c r="P109" i="10"/>
  <c r="M110" i="10"/>
  <c r="J111" i="10"/>
  <c r="G112" i="10"/>
  <c r="D113" i="10"/>
  <c r="T113" i="10"/>
  <c r="Q114" i="10"/>
  <c r="N115" i="10"/>
  <c r="H117" i="10"/>
  <c r="E118" i="10"/>
  <c r="U118" i="10"/>
  <c r="R119" i="10"/>
  <c r="P182" i="10"/>
  <c r="Q187" i="10"/>
  <c r="K189" i="10"/>
  <c r="H190" i="10"/>
  <c r="E191" i="10"/>
  <c r="D170" i="10"/>
  <c r="M95" i="10"/>
  <c r="M85" i="9"/>
  <c r="K125" i="9"/>
  <c r="P128" i="9"/>
  <c r="V91" i="10"/>
  <c r="V82" i="10"/>
  <c r="I108" i="10"/>
  <c r="G159" i="10"/>
  <c r="G198" i="10" s="1"/>
  <c r="T170" i="10"/>
  <c r="T159" i="10"/>
  <c r="T198" i="10" s="1"/>
  <c r="G246" i="10"/>
  <c r="G236" i="10"/>
  <c r="G275" i="10" s="1"/>
  <c r="D247" i="10"/>
  <c r="D236" i="10"/>
  <c r="H159" i="10"/>
  <c r="H198" i="10" s="1"/>
  <c r="H236" i="10"/>
  <c r="H275" i="10" s="1"/>
  <c r="H246" i="10"/>
  <c r="E247" i="10"/>
  <c r="E236" i="10"/>
  <c r="E275" i="10" s="1"/>
  <c r="U247" i="10"/>
  <c r="U236" i="10"/>
  <c r="U275" i="10" s="1"/>
  <c r="Q119" i="9"/>
  <c r="Q54" i="9"/>
  <c r="M80" i="9"/>
  <c r="O91" i="9"/>
  <c r="R113" i="9"/>
  <c r="E121" i="9"/>
  <c r="D43" i="10"/>
  <c r="D198" i="10" s="1"/>
  <c r="T43" i="10"/>
  <c r="O106" i="10"/>
  <c r="I159" i="10"/>
  <c r="F170" i="10"/>
  <c r="V159" i="10"/>
  <c r="P172" i="10"/>
  <c r="M173" i="10"/>
  <c r="J174" i="10"/>
  <c r="G175" i="10"/>
  <c r="T176" i="10"/>
  <c r="Q177" i="10"/>
  <c r="N178" i="10"/>
  <c r="H180" i="10"/>
  <c r="N195" i="10"/>
  <c r="K196" i="10"/>
  <c r="H197" i="10"/>
  <c r="F159" i="10"/>
  <c r="F198" i="10" s="1"/>
  <c r="N80" i="9"/>
  <c r="S94" i="9"/>
  <c r="O127" i="9"/>
  <c r="U43" i="10"/>
  <c r="F82" i="10"/>
  <c r="F120" i="10" s="1"/>
  <c r="J159" i="10"/>
  <c r="J198" i="10" s="1"/>
  <c r="E182" i="10"/>
  <c r="O184" i="10"/>
  <c r="I186" i="10"/>
  <c r="S188" i="10"/>
  <c r="L159" i="10"/>
  <c r="L198" i="10" s="1"/>
  <c r="H47" i="11"/>
  <c r="N65" i="9"/>
  <c r="Q85" i="9"/>
  <c r="T88" i="9"/>
  <c r="K87" i="9"/>
  <c r="P127" i="9"/>
  <c r="K131" i="9"/>
  <c r="F92" i="10"/>
  <c r="U104" i="10"/>
  <c r="J180" i="10"/>
  <c r="P195" i="10"/>
  <c r="J197" i="10"/>
  <c r="M159" i="10"/>
  <c r="M198" i="10" s="1"/>
  <c r="V170" i="10"/>
  <c r="U93" i="10"/>
  <c r="R94" i="10"/>
  <c r="I97" i="10"/>
  <c r="F98" i="10"/>
  <c r="V98" i="10"/>
  <c r="S99" i="10"/>
  <c r="J102" i="10"/>
  <c r="J82" i="10"/>
  <c r="H92" i="10"/>
  <c r="D98" i="10"/>
  <c r="P159" i="10"/>
  <c r="L246" i="10"/>
  <c r="L236" i="10"/>
  <c r="L275" i="10" s="1"/>
  <c r="I247" i="10"/>
  <c r="I236" i="10"/>
  <c r="I275" i="10" s="1"/>
  <c r="F275" i="10"/>
  <c r="M251" i="10"/>
  <c r="Q117" i="9"/>
  <c r="Q52" i="9"/>
  <c r="T51" i="9"/>
  <c r="N79" i="9"/>
  <c r="J112" i="9"/>
  <c r="J257" i="21" s="1"/>
  <c r="R117" i="9"/>
  <c r="L91" i="10"/>
  <c r="L82" i="10"/>
  <c r="L120" i="10" s="1"/>
  <c r="F93" i="10"/>
  <c r="S94" i="10"/>
  <c r="J97" i="10"/>
  <c r="G98" i="10"/>
  <c r="Q100" i="10"/>
  <c r="K102" i="10"/>
  <c r="G104" i="10"/>
  <c r="D105" i="10"/>
  <c r="T105" i="10"/>
  <c r="K108" i="10"/>
  <c r="U110" i="10"/>
  <c r="O112" i="10"/>
  <c r="F115" i="10"/>
  <c r="P117" i="10"/>
  <c r="J119" i="10"/>
  <c r="E98" i="10"/>
  <c r="H102" i="10"/>
  <c r="H192" i="10"/>
  <c r="M236" i="10"/>
  <c r="M275" i="10" s="1"/>
  <c r="M246" i="10"/>
  <c r="J236" i="10"/>
  <c r="J275" i="10" s="1"/>
  <c r="J247" i="10"/>
  <c r="R19" i="9"/>
  <c r="P124" i="9"/>
  <c r="P91" i="9"/>
  <c r="K60" i="9"/>
  <c r="T60" i="9" s="1"/>
  <c r="O130" i="9"/>
  <c r="I246" i="10"/>
  <c r="I43" i="10"/>
  <c r="F187" i="10"/>
  <c r="F264" i="10"/>
  <c r="V264" i="10"/>
  <c r="V109" i="10"/>
  <c r="P266" i="10"/>
  <c r="P111" i="10"/>
  <c r="J268" i="10"/>
  <c r="J113" i="10"/>
  <c r="J191" i="10"/>
  <c r="F43" i="10"/>
  <c r="H104" i="10"/>
  <c r="R106" i="10"/>
  <c r="L108" i="10"/>
  <c r="V110" i="10"/>
  <c r="P112" i="10"/>
  <c r="M113" i="10"/>
  <c r="J114" i="10"/>
  <c r="G115" i="10"/>
  <c r="Q117" i="10"/>
  <c r="P82" i="10"/>
  <c r="N159" i="10"/>
  <c r="N198" i="10" s="1"/>
  <c r="N169" i="10"/>
  <c r="G169" i="10"/>
  <c r="N236" i="10"/>
  <c r="N275" i="10" s="1"/>
  <c r="D66" i="8"/>
  <c r="Q116" i="9"/>
  <c r="Q51" i="9"/>
  <c r="Q124" i="9"/>
  <c r="Q59" i="9"/>
  <c r="R52" i="9"/>
  <c r="M83" i="9"/>
  <c r="Q84" i="9"/>
  <c r="O85" i="9"/>
  <c r="N122" i="9"/>
  <c r="P126" i="9"/>
  <c r="P130" i="9"/>
  <c r="J43" i="10"/>
  <c r="G92" i="10"/>
  <c r="G247" i="10"/>
  <c r="K96" i="10"/>
  <c r="K251" i="10"/>
  <c r="H252" i="10"/>
  <c r="H97" i="10"/>
  <c r="R254" i="10"/>
  <c r="R99" i="10"/>
  <c r="L256" i="10"/>
  <c r="L101" i="10"/>
  <c r="T188" i="10"/>
  <c r="T265" i="10"/>
  <c r="O272" i="10"/>
  <c r="O195" i="10"/>
  <c r="G43" i="10"/>
  <c r="N100" i="10"/>
  <c r="H169" i="10"/>
  <c r="O82" i="10"/>
  <c r="O120" i="10" s="1"/>
  <c r="P94" i="10"/>
  <c r="J171" i="10"/>
  <c r="T173" i="10"/>
  <c r="Q174" i="10"/>
  <c r="N175" i="10"/>
  <c r="K176" i="10"/>
  <c r="H177" i="10"/>
  <c r="E178" i="10"/>
  <c r="U178" i="10"/>
  <c r="R179" i="10"/>
  <c r="O180" i="10"/>
  <c r="U195" i="10"/>
  <c r="R196" i="10"/>
  <c r="O197" i="10"/>
  <c r="I169" i="10"/>
  <c r="D193" i="10"/>
  <c r="P236" i="10"/>
  <c r="P246" i="10"/>
  <c r="M247" i="10"/>
  <c r="J248" i="10"/>
  <c r="G249" i="10"/>
  <c r="D250" i="10"/>
  <c r="T250" i="10"/>
  <c r="Q251" i="10"/>
  <c r="N252" i="10"/>
  <c r="K253" i="10"/>
  <c r="H254" i="10"/>
  <c r="U255" i="10"/>
  <c r="R256" i="10"/>
  <c r="O257" i="10"/>
  <c r="L259" i="10"/>
  <c r="I260" i="10"/>
  <c r="F261" i="10"/>
  <c r="V261" i="10"/>
  <c r="S262" i="10"/>
  <c r="P263" i="10"/>
  <c r="J265" i="10"/>
  <c r="G266" i="10"/>
  <c r="D267" i="10"/>
  <c r="T267" i="10"/>
  <c r="Q268" i="10"/>
  <c r="N269" i="10"/>
  <c r="K270" i="10"/>
  <c r="E272" i="10"/>
  <c r="U272" i="10"/>
  <c r="R273" i="10"/>
  <c r="O274" i="10"/>
  <c r="K171" i="10"/>
  <c r="H172" i="10"/>
  <c r="E173" i="10"/>
  <c r="U173" i="10"/>
  <c r="O175" i="10"/>
  <c r="F178" i="10"/>
  <c r="V178" i="10"/>
  <c r="F195" i="10"/>
  <c r="V195" i="10"/>
  <c r="S196" i="10"/>
  <c r="P197" i="10"/>
  <c r="J169" i="10"/>
  <c r="S171" i="10"/>
  <c r="K179" i="10"/>
  <c r="J92" i="9"/>
  <c r="S96" i="9"/>
  <c r="O125" i="9"/>
  <c r="O129" i="9"/>
  <c r="N92" i="10"/>
  <c r="K93" i="10"/>
  <c r="E95" i="10"/>
  <c r="R96" i="10"/>
  <c r="I99" i="10"/>
  <c r="S101" i="10"/>
  <c r="T98" i="10"/>
  <c r="O236" i="10"/>
  <c r="I129" i="11"/>
  <c r="I47" i="11"/>
  <c r="E213" i="11"/>
  <c r="E172" i="11"/>
  <c r="R23" i="9"/>
  <c r="R26" i="9"/>
  <c r="R27" i="9"/>
  <c r="R28" i="9"/>
  <c r="R29" i="9"/>
  <c r="R30" i="9"/>
  <c r="R31" i="9"/>
  <c r="R62" i="9"/>
  <c r="R63" i="9"/>
  <c r="T84" i="9"/>
  <c r="T85" i="9"/>
  <c r="T86" i="9"/>
  <c r="F131" i="9"/>
  <c r="O131" i="9" s="1"/>
  <c r="P91" i="10"/>
  <c r="M92" i="10"/>
  <c r="J93" i="10"/>
  <c r="G94" i="10"/>
  <c r="D95" i="10"/>
  <c r="T95" i="10"/>
  <c r="Q96" i="10"/>
  <c r="N97" i="10"/>
  <c r="K98" i="10"/>
  <c r="H99" i="10"/>
  <c r="E100" i="10"/>
  <c r="U100" i="10"/>
  <c r="R101" i="10"/>
  <c r="O102" i="10"/>
  <c r="R159" i="10"/>
  <c r="R198" i="10" s="1"/>
  <c r="G178" i="10"/>
  <c r="T179" i="10"/>
  <c r="G184" i="10"/>
  <c r="Q186" i="10"/>
  <c r="K188" i="10"/>
  <c r="U190" i="10"/>
  <c r="L193" i="10"/>
  <c r="G195" i="10"/>
  <c r="T196" i="10"/>
  <c r="S159" i="10"/>
  <c r="S198" i="10" s="1"/>
  <c r="Q246" i="10"/>
  <c r="H249" i="10"/>
  <c r="E250" i="10"/>
  <c r="R251" i="10"/>
  <c r="L253" i="10"/>
  <c r="I254" i="10"/>
  <c r="F255" i="10"/>
  <c r="V255" i="10"/>
  <c r="S256" i="10"/>
  <c r="G261" i="10"/>
  <c r="D262" i="10"/>
  <c r="Q263" i="10"/>
  <c r="K265" i="10"/>
  <c r="H266" i="10"/>
  <c r="R268" i="10"/>
  <c r="S273" i="10"/>
  <c r="G251" i="10"/>
  <c r="F187" i="11"/>
  <c r="P42" i="12"/>
  <c r="G131" i="9"/>
  <c r="F246" i="10"/>
  <c r="F169" i="10"/>
  <c r="V169" i="10"/>
  <c r="V246" i="10"/>
  <c r="S170" i="10"/>
  <c r="S247" i="10"/>
  <c r="P171" i="10"/>
  <c r="P248" i="10"/>
  <c r="M172" i="10"/>
  <c r="M249" i="10"/>
  <c r="D252" i="10"/>
  <c r="D175" i="10"/>
  <c r="T175" i="10"/>
  <c r="T252" i="10"/>
  <c r="Q176" i="10"/>
  <c r="Q253" i="10"/>
  <c r="H273" i="10"/>
  <c r="H196" i="10"/>
  <c r="U274" i="10"/>
  <c r="U197" i="10"/>
  <c r="M82" i="10"/>
  <c r="M120" i="10" s="1"/>
  <c r="K177" i="10"/>
  <c r="H184" i="10"/>
  <c r="U185" i="10"/>
  <c r="V190" i="10"/>
  <c r="P192" i="10"/>
  <c r="R236" i="10"/>
  <c r="R275" i="10" s="1"/>
  <c r="R246" i="10"/>
  <c r="O247" i="10"/>
  <c r="L248" i="10"/>
  <c r="I249" i="10"/>
  <c r="F250" i="10"/>
  <c r="V250" i="10"/>
  <c r="S251" i="10"/>
  <c r="P252" i="10"/>
  <c r="G255" i="10"/>
  <c r="D256" i="10"/>
  <c r="T256" i="10"/>
  <c r="Q257" i="10"/>
  <c r="N259" i="10"/>
  <c r="K260" i="10"/>
  <c r="H261" i="10"/>
  <c r="U262" i="10"/>
  <c r="O264" i="10"/>
  <c r="L265" i="10"/>
  <c r="I266" i="10"/>
  <c r="F267" i="10"/>
  <c r="V267" i="10"/>
  <c r="S268" i="10"/>
  <c r="P269" i="10"/>
  <c r="M270" i="10"/>
  <c r="D273" i="10"/>
  <c r="T273" i="10"/>
  <c r="Q274" i="10"/>
  <c r="I247" i="12"/>
  <c r="I42" i="12"/>
  <c r="F42" i="12"/>
  <c r="F248" i="12"/>
  <c r="F170" i="12"/>
  <c r="F92" i="12"/>
  <c r="V248" i="12"/>
  <c r="V42" i="12"/>
  <c r="S249" i="12"/>
  <c r="S42" i="12"/>
  <c r="G253" i="12"/>
  <c r="G97" i="12"/>
  <c r="T254" i="12"/>
  <c r="T98" i="12"/>
  <c r="H131" i="9"/>
  <c r="N82" i="10"/>
  <c r="N120" i="10" s="1"/>
  <c r="F179" i="10"/>
  <c r="S180" i="10"/>
  <c r="O182" i="10"/>
  <c r="F185" i="10"/>
  <c r="S186" i="10"/>
  <c r="P187" i="10"/>
  <c r="J189" i="10"/>
  <c r="T191" i="10"/>
  <c r="N193" i="10"/>
  <c r="I195" i="10"/>
  <c r="F196" i="10"/>
  <c r="V196" i="10"/>
  <c r="S197" i="10"/>
  <c r="D179" i="10"/>
  <c r="F262" i="10"/>
  <c r="S263" i="10"/>
  <c r="H272" i="10"/>
  <c r="K296" i="11"/>
  <c r="V43" i="10"/>
  <c r="S82" i="10"/>
  <c r="S120" i="10" s="1"/>
  <c r="E169" i="10"/>
  <c r="E159" i="10"/>
  <c r="E198" i="10" s="1"/>
  <c r="U169" i="10"/>
  <c r="U159" i="10"/>
  <c r="R170" i="10"/>
  <c r="O171" i="10"/>
  <c r="L172" i="10"/>
  <c r="I173" i="10"/>
  <c r="F174" i="10"/>
  <c r="V174" i="10"/>
  <c r="S175" i="10"/>
  <c r="P176" i="10"/>
  <c r="J178" i="10"/>
  <c r="G185" i="10"/>
  <c r="T186" i="10"/>
  <c r="U191" i="10"/>
  <c r="O193" i="10"/>
  <c r="D246" i="10"/>
  <c r="T246" i="10"/>
  <c r="T236" i="10"/>
  <c r="T275" i="10" s="1"/>
  <c r="Q247" i="10"/>
  <c r="N248" i="10"/>
  <c r="K249" i="10"/>
  <c r="H250" i="10"/>
  <c r="E251" i="10"/>
  <c r="R252" i="10"/>
  <c r="L254" i="10"/>
  <c r="I255" i="10"/>
  <c r="F256" i="10"/>
  <c r="V256" i="10"/>
  <c r="S257" i="10"/>
  <c r="P259" i="10"/>
  <c r="M260" i="10"/>
  <c r="J261" i="10"/>
  <c r="G262" i="10"/>
  <c r="D263" i="10"/>
  <c r="T263" i="10"/>
  <c r="Q264" i="10"/>
  <c r="N265" i="10"/>
  <c r="K266" i="10"/>
  <c r="H267" i="10"/>
  <c r="E268" i="10"/>
  <c r="F46" i="11"/>
  <c r="F183" i="11"/>
  <c r="F99" i="11"/>
  <c r="F185" i="11"/>
  <c r="F101" i="11"/>
  <c r="F191" i="11"/>
  <c r="F107" i="11"/>
  <c r="F109" i="11"/>
  <c r="F193" i="11"/>
  <c r="F195" i="11"/>
  <c r="F111" i="11"/>
  <c r="F199" i="11"/>
  <c r="F115" i="11"/>
  <c r="F201" i="11"/>
  <c r="F117" i="11"/>
  <c r="F203" i="11"/>
  <c r="F119" i="11"/>
  <c r="F205" i="11"/>
  <c r="F121" i="11"/>
  <c r="F123" i="11"/>
  <c r="F207" i="11"/>
  <c r="F209" i="11"/>
  <c r="F125" i="11"/>
  <c r="F127" i="11"/>
  <c r="F211" i="11"/>
  <c r="F248" i="10"/>
  <c r="F120" i="9"/>
  <c r="L179" i="10"/>
  <c r="U182" i="10"/>
  <c r="R183" i="10"/>
  <c r="L185" i="10"/>
  <c r="V187" i="10"/>
  <c r="P189" i="10"/>
  <c r="M190" i="10"/>
  <c r="G192" i="10"/>
  <c r="L196" i="10"/>
  <c r="U180" i="10"/>
  <c r="D253" i="10"/>
  <c r="Q254" i="10"/>
  <c r="M267" i="10"/>
  <c r="G120" i="9"/>
  <c r="I82" i="10"/>
  <c r="I120" i="10" s="1"/>
  <c r="K169" i="10"/>
  <c r="H170" i="10"/>
  <c r="E171" i="10"/>
  <c r="U171" i="10"/>
  <c r="R172" i="10"/>
  <c r="O173" i="10"/>
  <c r="L174" i="10"/>
  <c r="I175" i="10"/>
  <c r="F176" i="10"/>
  <c r="V176" i="10"/>
  <c r="M179" i="10"/>
  <c r="V182" i="10"/>
  <c r="D188" i="10"/>
  <c r="Q189" i="10"/>
  <c r="M196" i="10"/>
  <c r="J246" i="10"/>
  <c r="D248" i="10"/>
  <c r="T248" i="10"/>
  <c r="N250" i="10"/>
  <c r="E253" i="10"/>
  <c r="I257" i="10"/>
  <c r="F259" i="10"/>
  <c r="M262" i="10"/>
  <c r="G264" i="10"/>
  <c r="N267" i="10"/>
  <c r="L273" i="10"/>
  <c r="I274" i="10"/>
  <c r="G171" i="11"/>
  <c r="G182" i="11"/>
  <c r="D254" i="11"/>
  <c r="D265" i="11"/>
  <c r="H120" i="9"/>
  <c r="N117" i="10"/>
  <c r="K118" i="10"/>
  <c r="H119" i="10"/>
  <c r="K180" i="10"/>
  <c r="G182" i="10"/>
  <c r="Q184" i="10"/>
  <c r="U188" i="10"/>
  <c r="L191" i="10"/>
  <c r="K159" i="10"/>
  <c r="K198" i="10" s="1"/>
  <c r="K236" i="10"/>
  <c r="K275" i="10" s="1"/>
  <c r="H247" i="10"/>
  <c r="E248" i="10"/>
  <c r="U248" i="10"/>
  <c r="R249" i="10"/>
  <c r="O250" i="10"/>
  <c r="L251" i="10"/>
  <c r="I252" i="10"/>
  <c r="F253" i="10"/>
  <c r="S254" i="10"/>
  <c r="M256" i="10"/>
  <c r="J257" i="10"/>
  <c r="J98" i="11"/>
  <c r="J88" i="11"/>
  <c r="E296" i="11"/>
  <c r="V248" i="10"/>
  <c r="S236" i="10"/>
  <c r="S275" i="10" s="1"/>
  <c r="P250" i="10"/>
  <c r="J252" i="10"/>
  <c r="G253" i="10"/>
  <c r="D254" i="10"/>
  <c r="T254" i="10"/>
  <c r="Q255" i="10"/>
  <c r="V236" i="10"/>
  <c r="V275" i="10" s="1"/>
  <c r="S249" i="10"/>
  <c r="O43" i="10"/>
  <c r="O169" i="10"/>
  <c r="L170" i="10"/>
  <c r="I171" i="10"/>
  <c r="F172" i="10"/>
  <c r="V172" i="10"/>
  <c r="S173" i="10"/>
  <c r="P174" i="10"/>
  <c r="M175" i="10"/>
  <c r="J176" i="10"/>
  <c r="G177" i="10"/>
  <c r="D178" i="10"/>
  <c r="T178" i="10"/>
  <c r="J182" i="10"/>
  <c r="D184" i="10"/>
  <c r="E189" i="10"/>
  <c r="R190" i="10"/>
  <c r="O159" i="10"/>
  <c r="N246" i="10"/>
  <c r="K247" i="10"/>
  <c r="H248" i="10"/>
  <c r="E249" i="10"/>
  <c r="U249" i="10"/>
  <c r="R250" i="10"/>
  <c r="O251" i="10"/>
  <c r="L252" i="10"/>
  <c r="I253" i="10"/>
  <c r="F254" i="10"/>
  <c r="V254" i="10"/>
  <c r="S255" i="10"/>
  <c r="P256" i="10"/>
  <c r="M257" i="10"/>
  <c r="G260" i="10"/>
  <c r="D261" i="10"/>
  <c r="T261" i="10"/>
  <c r="Q262" i="10"/>
  <c r="N263" i="10"/>
  <c r="K264" i="10"/>
  <c r="E266" i="10"/>
  <c r="U266" i="10"/>
  <c r="R267" i="10"/>
  <c r="L269" i="10"/>
  <c r="I270" i="10"/>
  <c r="V271" i="10"/>
  <c r="K246" i="10"/>
  <c r="J250" i="10"/>
  <c r="I109" i="11"/>
  <c r="J210" i="11"/>
  <c r="K271" i="11"/>
  <c r="J169" i="12"/>
  <c r="J42" i="12"/>
  <c r="G170" i="12"/>
  <c r="G92" i="12"/>
  <c r="Q172" i="12"/>
  <c r="Q94" i="12"/>
  <c r="U268" i="10"/>
  <c r="R269" i="10"/>
  <c r="O270" i="10"/>
  <c r="I272" i="10"/>
  <c r="F273" i="10"/>
  <c r="V273" i="10"/>
  <c r="S274" i="10"/>
  <c r="J46" i="11"/>
  <c r="E88" i="11"/>
  <c r="I127" i="11"/>
  <c r="I182" i="11"/>
  <c r="I184" i="11"/>
  <c r="I186" i="11"/>
  <c r="I188" i="11"/>
  <c r="I190" i="11"/>
  <c r="I192" i="11"/>
  <c r="I194" i="11"/>
  <c r="I196" i="11"/>
  <c r="I198" i="11"/>
  <c r="I200" i="11"/>
  <c r="I202" i="11"/>
  <c r="I204" i="11"/>
  <c r="I206" i="11"/>
  <c r="I208" i="11"/>
  <c r="I210" i="11"/>
  <c r="I212" i="11"/>
  <c r="J196" i="11"/>
  <c r="F287" i="11"/>
  <c r="F289" i="11"/>
  <c r="F291" i="11"/>
  <c r="F293" i="11"/>
  <c r="F295" i="11"/>
  <c r="D272" i="11"/>
  <c r="K247" i="12"/>
  <c r="K91" i="12"/>
  <c r="H248" i="12"/>
  <c r="H42" i="12"/>
  <c r="E249" i="12"/>
  <c r="E42" i="12"/>
  <c r="U249" i="12"/>
  <c r="U42" i="12"/>
  <c r="M257" i="12"/>
  <c r="M101" i="12"/>
  <c r="D91" i="12"/>
  <c r="N93" i="12"/>
  <c r="K94" i="12"/>
  <c r="P104" i="12"/>
  <c r="M105" i="12"/>
  <c r="J106" i="12"/>
  <c r="D108" i="12"/>
  <c r="T108" i="12"/>
  <c r="Q109" i="12"/>
  <c r="N110" i="12"/>
  <c r="K111" i="12"/>
  <c r="E113" i="12"/>
  <c r="U113" i="12"/>
  <c r="R114" i="12"/>
  <c r="I169" i="12"/>
  <c r="V170" i="12"/>
  <c r="M173" i="12"/>
  <c r="T176" i="12"/>
  <c r="Q177" i="12"/>
  <c r="R187" i="10"/>
  <c r="I267" i="10"/>
  <c r="K46" i="11"/>
  <c r="K47" i="11" s="1"/>
  <c r="H88" i="11"/>
  <c r="I113" i="11"/>
  <c r="J182" i="11"/>
  <c r="K275" i="11"/>
  <c r="L42" i="12"/>
  <c r="U81" i="12"/>
  <c r="U120" i="12" s="1"/>
  <c r="I99" i="11"/>
  <c r="D107" i="11"/>
  <c r="E183" i="11"/>
  <c r="J200" i="11"/>
  <c r="D276" i="11"/>
  <c r="I96" i="12"/>
  <c r="E198" i="12"/>
  <c r="G182" i="12"/>
  <c r="D183" i="12"/>
  <c r="L255" i="10"/>
  <c r="I256" i="10"/>
  <c r="F257" i="10"/>
  <c r="V257" i="10"/>
  <c r="I117" i="11"/>
  <c r="D183" i="11"/>
  <c r="D185" i="11"/>
  <c r="D187" i="11"/>
  <c r="D189" i="11"/>
  <c r="D191" i="11"/>
  <c r="D193" i="11"/>
  <c r="D195" i="11"/>
  <c r="D197" i="11"/>
  <c r="D199" i="11"/>
  <c r="D201" i="11"/>
  <c r="D203" i="11"/>
  <c r="D205" i="11"/>
  <c r="D207" i="11"/>
  <c r="D209" i="11"/>
  <c r="D211" i="11"/>
  <c r="J186" i="11"/>
  <c r="I265" i="11"/>
  <c r="I267" i="11"/>
  <c r="I269" i="11"/>
  <c r="I271" i="11"/>
  <c r="I273" i="11"/>
  <c r="I275" i="11"/>
  <c r="I277" i="11"/>
  <c r="I279" i="11"/>
  <c r="I281" i="11"/>
  <c r="I283" i="11"/>
  <c r="I285" i="11"/>
  <c r="I287" i="11"/>
  <c r="I289" i="11"/>
  <c r="I291" i="11"/>
  <c r="I293" i="11"/>
  <c r="I295" i="11"/>
  <c r="J291" i="11"/>
  <c r="J295" i="11"/>
  <c r="D92" i="12"/>
  <c r="T92" i="12"/>
  <c r="N94" i="12"/>
  <c r="H96" i="12"/>
  <c r="L100" i="12"/>
  <c r="I101" i="12"/>
  <c r="V102" i="12"/>
  <c r="P105" i="12"/>
  <c r="J107" i="12"/>
  <c r="D109" i="12"/>
  <c r="J296" i="11"/>
  <c r="O91" i="12"/>
  <c r="O247" i="12"/>
  <c r="O42" i="12"/>
  <c r="Q101" i="12"/>
  <c r="Q257" i="12"/>
  <c r="H91" i="12"/>
  <c r="H81" i="12"/>
  <c r="L81" i="12"/>
  <c r="L95" i="12"/>
  <c r="I120" i="12"/>
  <c r="D81" i="12"/>
  <c r="K276" i="12"/>
  <c r="Q195" i="10"/>
  <c r="N196" i="10"/>
  <c r="K197" i="10"/>
  <c r="J190" i="11"/>
  <c r="I91" i="12"/>
  <c r="F81" i="12"/>
  <c r="F120" i="12" s="1"/>
  <c r="V92" i="12"/>
  <c r="M95" i="12"/>
  <c r="J96" i="12"/>
  <c r="D98" i="12"/>
  <c r="Q99" i="12"/>
  <c r="N100" i="12"/>
  <c r="H102" i="12"/>
  <c r="V81" i="12"/>
  <c r="V120" i="12" s="1"/>
  <c r="H182" i="10"/>
  <c r="E183" i="10"/>
  <c r="U183" i="10"/>
  <c r="R184" i="10"/>
  <c r="O185" i="10"/>
  <c r="L186" i="10"/>
  <c r="I187" i="10"/>
  <c r="F188" i="10"/>
  <c r="V188" i="10"/>
  <c r="S189" i="10"/>
  <c r="P190" i="10"/>
  <c r="M191" i="10"/>
  <c r="J192" i="10"/>
  <c r="G193" i="10"/>
  <c r="U194" i="10"/>
  <c r="R195" i="10"/>
  <c r="O196" i="10"/>
  <c r="L197" i="10"/>
  <c r="J99" i="11"/>
  <c r="J101" i="11"/>
  <c r="J103" i="11"/>
  <c r="J105" i="11"/>
  <c r="J107" i="11"/>
  <c r="J109" i="11"/>
  <c r="J111" i="11"/>
  <c r="J113" i="11"/>
  <c r="J115" i="11"/>
  <c r="J117" i="11"/>
  <c r="J119" i="11"/>
  <c r="J121" i="11"/>
  <c r="J123" i="11"/>
  <c r="J125" i="11"/>
  <c r="J127" i="11"/>
  <c r="I107" i="11"/>
  <c r="H171" i="11"/>
  <c r="K269" i="11"/>
  <c r="O159" i="12"/>
  <c r="O169" i="12"/>
  <c r="L159" i="12"/>
  <c r="L170" i="12"/>
  <c r="F172" i="12"/>
  <c r="V172" i="12"/>
  <c r="S173" i="12"/>
  <c r="P159" i="12"/>
  <c r="P198" i="12" s="1"/>
  <c r="P174" i="12"/>
  <c r="M175" i="12"/>
  <c r="J176" i="12"/>
  <c r="J159" i="12"/>
  <c r="J198" i="12" s="1"/>
  <c r="G177" i="12"/>
  <c r="D178" i="12"/>
  <c r="T178" i="12"/>
  <c r="Q179" i="12"/>
  <c r="N180" i="12"/>
  <c r="K182" i="12"/>
  <c r="H183" i="12"/>
  <c r="E184" i="12"/>
  <c r="U184" i="12"/>
  <c r="R185" i="12"/>
  <c r="O186" i="12"/>
  <c r="L187" i="12"/>
  <c r="I188" i="12"/>
  <c r="F189" i="12"/>
  <c r="V189" i="12"/>
  <c r="S190" i="12"/>
  <c r="P191" i="12"/>
  <c r="M192" i="12"/>
  <c r="J193" i="12"/>
  <c r="D195" i="12"/>
  <c r="T195" i="12"/>
  <c r="Q196" i="12"/>
  <c r="N197" i="12"/>
  <c r="G259" i="10"/>
  <c r="D260" i="10"/>
  <c r="T260" i="10"/>
  <c r="Q261" i="10"/>
  <c r="N262" i="10"/>
  <c r="K263" i="10"/>
  <c r="H264" i="10"/>
  <c r="E265" i="10"/>
  <c r="U265" i="10"/>
  <c r="R266" i="10"/>
  <c r="O267" i="10"/>
  <c r="L268" i="10"/>
  <c r="I269" i="10"/>
  <c r="F270" i="10"/>
  <c r="V270" i="10"/>
  <c r="P272" i="10"/>
  <c r="M273" i="10"/>
  <c r="J274" i="10"/>
  <c r="K99" i="11"/>
  <c r="K88" i="11"/>
  <c r="K101" i="11"/>
  <c r="K103" i="11"/>
  <c r="K105" i="11"/>
  <c r="K107" i="11"/>
  <c r="K109" i="11"/>
  <c r="K111" i="11"/>
  <c r="K113" i="11"/>
  <c r="K115" i="11"/>
  <c r="K117" i="11"/>
  <c r="K119" i="11"/>
  <c r="K121" i="11"/>
  <c r="K123" i="11"/>
  <c r="K125" i="11"/>
  <c r="K127" i="11"/>
  <c r="I125" i="11"/>
  <c r="H183" i="11"/>
  <c r="H185" i="11"/>
  <c r="H187" i="11"/>
  <c r="H189" i="11"/>
  <c r="H191" i="11"/>
  <c r="H193" i="11"/>
  <c r="H195" i="11"/>
  <c r="H197" i="11"/>
  <c r="H199" i="11"/>
  <c r="H201" i="11"/>
  <c r="H203" i="11"/>
  <c r="H205" i="11"/>
  <c r="H207" i="11"/>
  <c r="H209" i="11"/>
  <c r="H211" i="11"/>
  <c r="K171" i="11"/>
  <c r="J194" i="11"/>
  <c r="R169" i="12"/>
  <c r="R42" i="12"/>
  <c r="O248" i="12"/>
  <c r="O170" i="12"/>
  <c r="L249" i="12"/>
  <c r="L171" i="12"/>
  <c r="I172" i="12"/>
  <c r="I250" i="12"/>
  <c r="F251" i="12"/>
  <c r="F173" i="12"/>
  <c r="K81" i="12"/>
  <c r="H92" i="12"/>
  <c r="E93" i="12"/>
  <c r="U93" i="12"/>
  <c r="L96" i="12"/>
  <c r="I97" i="12"/>
  <c r="F98" i="12"/>
  <c r="V98" i="12"/>
  <c r="P100" i="12"/>
  <c r="G104" i="12"/>
  <c r="D105" i="12"/>
  <c r="H259" i="10"/>
  <c r="E260" i="10"/>
  <c r="U260" i="10"/>
  <c r="R261" i="10"/>
  <c r="O262" i="10"/>
  <c r="L263" i="10"/>
  <c r="I264" i="10"/>
  <c r="F265" i="10"/>
  <c r="V265" i="10"/>
  <c r="S266" i="10"/>
  <c r="P267" i="10"/>
  <c r="M268" i="10"/>
  <c r="J269" i="10"/>
  <c r="G270" i="10"/>
  <c r="Q272" i="10"/>
  <c r="N273" i="10"/>
  <c r="K274" i="10"/>
  <c r="I111" i="11"/>
  <c r="F266" i="11"/>
  <c r="F268" i="11"/>
  <c r="F270" i="11"/>
  <c r="F272" i="11"/>
  <c r="F274" i="11"/>
  <c r="F276" i="11"/>
  <c r="F278" i="11"/>
  <c r="F280" i="11"/>
  <c r="F282" i="11"/>
  <c r="F284" i="11"/>
  <c r="F286" i="11"/>
  <c r="F288" i="11"/>
  <c r="F290" i="11"/>
  <c r="F292" i="11"/>
  <c r="F294" i="11"/>
  <c r="F254" i="11"/>
  <c r="K273" i="11"/>
  <c r="J198" i="11"/>
  <c r="I296" i="11"/>
  <c r="D42" i="12"/>
  <c r="T42" i="12"/>
  <c r="N42" i="12"/>
  <c r="M91" i="12"/>
  <c r="M81" i="12"/>
  <c r="G93" i="12"/>
  <c r="G81" i="12"/>
  <c r="G120" i="12" s="1"/>
  <c r="P273" i="10"/>
  <c r="M274" i="10"/>
  <c r="I115" i="11"/>
  <c r="K183" i="11"/>
  <c r="K185" i="11"/>
  <c r="K187" i="11"/>
  <c r="K189" i="11"/>
  <c r="K191" i="11"/>
  <c r="K193" i="11"/>
  <c r="K195" i="11"/>
  <c r="K197" i="11"/>
  <c r="K199" i="11"/>
  <c r="K201" i="11"/>
  <c r="K203" i="11"/>
  <c r="K205" i="11"/>
  <c r="K207" i="11"/>
  <c r="K209" i="11"/>
  <c r="K211" i="11"/>
  <c r="J184" i="11"/>
  <c r="S99" i="12"/>
  <c r="O246" i="10"/>
  <c r="L247" i="10"/>
  <c r="I248" i="10"/>
  <c r="F249" i="10"/>
  <c r="V249" i="10"/>
  <c r="S250" i="10"/>
  <c r="P251" i="10"/>
  <c r="M252" i="10"/>
  <c r="J253" i="10"/>
  <c r="G254" i="10"/>
  <c r="D255" i="10"/>
  <c r="T255" i="10"/>
  <c r="Q256" i="10"/>
  <c r="N257" i="10"/>
  <c r="I265" i="10"/>
  <c r="F266" i="10"/>
  <c r="V266" i="10"/>
  <c r="S267" i="10"/>
  <c r="P268" i="10"/>
  <c r="M269" i="10"/>
  <c r="J270" i="10"/>
  <c r="D272" i="10"/>
  <c r="T272" i="10"/>
  <c r="Q273" i="10"/>
  <c r="N274" i="10"/>
  <c r="G98" i="11"/>
  <c r="I101" i="11"/>
  <c r="D213" i="11"/>
  <c r="J202" i="11"/>
  <c r="I266" i="11"/>
  <c r="I268" i="11"/>
  <c r="I270" i="11"/>
  <c r="I272" i="11"/>
  <c r="I274" i="11"/>
  <c r="I276" i="11"/>
  <c r="I278" i="11"/>
  <c r="I280" i="11"/>
  <c r="I282" i="11"/>
  <c r="I284" i="11"/>
  <c r="I286" i="11"/>
  <c r="I288" i="11"/>
  <c r="I290" i="11"/>
  <c r="I292" i="11"/>
  <c r="I294" i="11"/>
  <c r="K277" i="11"/>
  <c r="J289" i="11"/>
  <c r="L92" i="12"/>
  <c r="I93" i="12"/>
  <c r="F94" i="12"/>
  <c r="V94" i="12"/>
  <c r="M97" i="12"/>
  <c r="G99" i="12"/>
  <c r="D100" i="12"/>
  <c r="N102" i="12"/>
  <c r="Q170" i="12"/>
  <c r="N171" i="12"/>
  <c r="K172" i="12"/>
  <c r="U174" i="12"/>
  <c r="L177" i="12"/>
  <c r="I178" i="12"/>
  <c r="F179" i="12"/>
  <c r="M183" i="12"/>
  <c r="D186" i="12"/>
  <c r="T186" i="12"/>
  <c r="N188" i="12"/>
  <c r="H190" i="12"/>
  <c r="R192" i="12"/>
  <c r="I195" i="12"/>
  <c r="V196" i="12"/>
  <c r="I119" i="11"/>
  <c r="J266" i="11"/>
  <c r="J268" i="11"/>
  <c r="J270" i="11"/>
  <c r="J272" i="11"/>
  <c r="J274" i="11"/>
  <c r="J276" i="11"/>
  <c r="J278" i="11"/>
  <c r="J280" i="11"/>
  <c r="J282" i="11"/>
  <c r="J284" i="11"/>
  <c r="J286" i="11"/>
  <c r="J288" i="11"/>
  <c r="J290" i="11"/>
  <c r="J292" i="11"/>
  <c r="J294" i="11"/>
  <c r="G247" i="12"/>
  <c r="G42" i="12"/>
  <c r="G91" i="12"/>
  <c r="Q249" i="12"/>
  <c r="Q93" i="12"/>
  <c r="K95" i="12"/>
  <c r="K251" i="12"/>
  <c r="E253" i="12"/>
  <c r="E97" i="12"/>
  <c r="O255" i="12"/>
  <c r="O99" i="12"/>
  <c r="F258" i="12"/>
  <c r="F102" i="12"/>
  <c r="P81" i="12"/>
  <c r="P120" i="12" s="1"/>
  <c r="P91" i="12"/>
  <c r="J102" i="12"/>
  <c r="Q236" i="10"/>
  <c r="I105" i="11"/>
  <c r="K267" i="11"/>
  <c r="K42" i="12"/>
  <c r="S159" i="12"/>
  <c r="S198" i="12" s="1"/>
  <c r="O177" i="12"/>
  <c r="F88" i="11"/>
  <c r="S93" i="12"/>
  <c r="K101" i="12"/>
  <c r="U104" i="12"/>
  <c r="I108" i="12"/>
  <c r="V109" i="12"/>
  <c r="S110" i="12"/>
  <c r="P111" i="12"/>
  <c r="M112" i="12"/>
  <c r="J113" i="12"/>
  <c r="G114" i="12"/>
  <c r="D115" i="12"/>
  <c r="T115" i="12"/>
  <c r="N117" i="12"/>
  <c r="K118" i="12"/>
  <c r="H119" i="12"/>
  <c r="E81" i="12"/>
  <c r="E120" i="12" s="1"/>
  <c r="M170" i="12"/>
  <c r="J171" i="12"/>
  <c r="D173" i="12"/>
  <c r="T173" i="12"/>
  <c r="H177" i="12"/>
  <c r="E178" i="12"/>
  <c r="R179" i="12"/>
  <c r="O180" i="12"/>
  <c r="L182" i="12"/>
  <c r="I183" i="12"/>
  <c r="F184" i="12"/>
  <c r="V184" i="12"/>
  <c r="S185" i="12"/>
  <c r="P186" i="12"/>
  <c r="M187" i="12"/>
  <c r="J188" i="12"/>
  <c r="G189" i="12"/>
  <c r="D190" i="12"/>
  <c r="T190" i="12"/>
  <c r="Q191" i="12"/>
  <c r="N192" i="12"/>
  <c r="K193" i="12"/>
  <c r="E195" i="12"/>
  <c r="U195" i="12"/>
  <c r="R196" i="12"/>
  <c r="O197" i="12"/>
  <c r="P175" i="12"/>
  <c r="F236" i="12"/>
  <c r="F276" i="12" s="1"/>
  <c r="S236" i="12"/>
  <c r="S276" i="12" s="1"/>
  <c r="M250" i="12"/>
  <c r="G252" i="12"/>
  <c r="T253" i="12"/>
  <c r="E258" i="12"/>
  <c r="O261" i="12"/>
  <c r="S265" i="12"/>
  <c r="J268" i="12"/>
  <c r="G269" i="12"/>
  <c r="E275" i="12"/>
  <c r="U275" i="12"/>
  <c r="P197" i="12"/>
  <c r="P275" i="12"/>
  <c r="M42" i="12"/>
  <c r="U98" i="12"/>
  <c r="R99" i="12"/>
  <c r="F104" i="12"/>
  <c r="V104" i="12"/>
  <c r="S105" i="12"/>
  <c r="P106" i="12"/>
  <c r="M107" i="12"/>
  <c r="J108" i="12"/>
  <c r="G109" i="12"/>
  <c r="D110" i="12"/>
  <c r="T110" i="12"/>
  <c r="Q111" i="12"/>
  <c r="N112" i="12"/>
  <c r="K113" i="12"/>
  <c r="H114" i="12"/>
  <c r="E115" i="12"/>
  <c r="U115" i="12"/>
  <c r="O117" i="12"/>
  <c r="L118" i="12"/>
  <c r="I119" i="12"/>
  <c r="G113" i="12"/>
  <c r="Q169" i="12"/>
  <c r="Q159" i="12"/>
  <c r="Q198" i="12" s="1"/>
  <c r="N170" i="12"/>
  <c r="K171" i="12"/>
  <c r="H172" i="12"/>
  <c r="E173" i="12"/>
  <c r="U173" i="12"/>
  <c r="R174" i="12"/>
  <c r="O175" i="12"/>
  <c r="L176" i="12"/>
  <c r="I177" i="12"/>
  <c r="F178" i="12"/>
  <c r="V178" i="12"/>
  <c r="S179" i="12"/>
  <c r="P180" i="12"/>
  <c r="M182" i="12"/>
  <c r="Q186" i="12"/>
  <c r="K188" i="12"/>
  <c r="H189" i="12"/>
  <c r="U190" i="12"/>
  <c r="L193" i="12"/>
  <c r="F195" i="12"/>
  <c r="V195" i="12"/>
  <c r="G236" i="12"/>
  <c r="T248" i="12"/>
  <c r="N250" i="12"/>
  <c r="H252" i="12"/>
  <c r="L256" i="12"/>
  <c r="S264" i="12"/>
  <c r="D179" i="12"/>
  <c r="D257" i="12"/>
  <c r="R94" i="12"/>
  <c r="O95" i="12"/>
  <c r="T105" i="12"/>
  <c r="H109" i="12"/>
  <c r="M118" i="12"/>
  <c r="O97" i="12"/>
  <c r="Q117" i="12"/>
  <c r="N182" i="12"/>
  <c r="K183" i="12"/>
  <c r="H184" i="12"/>
  <c r="E185" i="12"/>
  <c r="U185" i="12"/>
  <c r="R186" i="12"/>
  <c r="O187" i="12"/>
  <c r="L188" i="12"/>
  <c r="I189" i="12"/>
  <c r="F190" i="12"/>
  <c r="V190" i="12"/>
  <c r="S191" i="12"/>
  <c r="P192" i="12"/>
  <c r="M193" i="12"/>
  <c r="G195" i="12"/>
  <c r="D196" i="12"/>
  <c r="T196" i="12"/>
  <c r="Q197" i="12"/>
  <c r="G178" i="12"/>
  <c r="E183" i="12"/>
  <c r="S196" i="12"/>
  <c r="H247" i="12"/>
  <c r="U248" i="12"/>
  <c r="R249" i="12"/>
  <c r="O250" i="12"/>
  <c r="L251" i="12"/>
  <c r="F253" i="12"/>
  <c r="V253" i="12"/>
  <c r="S254" i="12"/>
  <c r="P255" i="12"/>
  <c r="N262" i="12"/>
  <c r="K263" i="12"/>
  <c r="E265" i="12"/>
  <c r="V270" i="12"/>
  <c r="H236" i="12"/>
  <c r="H276" i="12" s="1"/>
  <c r="U264" i="12"/>
  <c r="N271" i="12"/>
  <c r="N193" i="12"/>
  <c r="R197" i="12"/>
  <c r="R275" i="12"/>
  <c r="K102" i="12"/>
  <c r="O107" i="12"/>
  <c r="J114" i="12"/>
  <c r="H94" i="12"/>
  <c r="F100" i="12"/>
  <c r="L101" i="12"/>
  <c r="P102" i="12"/>
  <c r="L107" i="12"/>
  <c r="T114" i="12"/>
  <c r="T185" i="12"/>
  <c r="I265" i="12"/>
  <c r="J94" i="12"/>
  <c r="H100" i="12"/>
  <c r="H106" i="12"/>
  <c r="N107" i="12"/>
  <c r="D159" i="12"/>
  <c r="D169" i="12"/>
  <c r="T159" i="12"/>
  <c r="T198" i="12" s="1"/>
  <c r="T169" i="12"/>
  <c r="H173" i="12"/>
  <c r="E174" i="12"/>
  <c r="R175" i="12"/>
  <c r="O176" i="12"/>
  <c r="V179" i="12"/>
  <c r="S180" i="12"/>
  <c r="P182" i="12"/>
  <c r="J184" i="12"/>
  <c r="G185" i="12"/>
  <c r="K189" i="12"/>
  <c r="E191" i="12"/>
  <c r="U191" i="12"/>
  <c r="O193" i="12"/>
  <c r="F196" i="12"/>
  <c r="S197" i="12"/>
  <c r="P169" i="12"/>
  <c r="J247" i="12"/>
  <c r="J236" i="12"/>
  <c r="J276" i="12" s="1"/>
  <c r="G248" i="12"/>
  <c r="D249" i="12"/>
  <c r="T249" i="12"/>
  <c r="Q250" i="12"/>
  <c r="N251" i="12"/>
  <c r="K252" i="12"/>
  <c r="H253" i="12"/>
  <c r="E254" i="12"/>
  <c r="U254" i="12"/>
  <c r="R255" i="12"/>
  <c r="O256" i="12"/>
  <c r="L257" i="12"/>
  <c r="I258" i="12"/>
  <c r="F260" i="12"/>
  <c r="V260" i="12"/>
  <c r="S261" i="12"/>
  <c r="P262" i="12"/>
  <c r="J264" i="12"/>
  <c r="G265" i="12"/>
  <c r="D266" i="12"/>
  <c r="T266" i="12"/>
  <c r="Q267" i="12"/>
  <c r="N268" i="12"/>
  <c r="K269" i="12"/>
  <c r="H270" i="12"/>
  <c r="E271" i="12"/>
  <c r="U271" i="12"/>
  <c r="O273" i="12"/>
  <c r="L274" i="12"/>
  <c r="I275" i="12"/>
  <c r="Q236" i="12"/>
  <c r="Q276" i="12" s="1"/>
  <c r="Q258" i="12"/>
  <c r="Q273" i="12"/>
  <c r="G254" i="11"/>
  <c r="Q42" i="12"/>
  <c r="V99" i="12"/>
  <c r="S100" i="12"/>
  <c r="D106" i="12"/>
  <c r="K109" i="12"/>
  <c r="E111" i="12"/>
  <c r="I115" i="12"/>
  <c r="J81" i="12"/>
  <c r="J120" i="12" s="1"/>
  <c r="E169" i="12"/>
  <c r="U169" i="12"/>
  <c r="R170" i="12"/>
  <c r="O171" i="12"/>
  <c r="L172" i="12"/>
  <c r="I173" i="12"/>
  <c r="F174" i="12"/>
  <c r="V174" i="12"/>
  <c r="S175" i="12"/>
  <c r="P176" i="12"/>
  <c r="M177" i="12"/>
  <c r="Q182" i="12"/>
  <c r="E186" i="12"/>
  <c r="O188" i="12"/>
  <c r="L189" i="12"/>
  <c r="S192" i="12"/>
  <c r="J195" i="12"/>
  <c r="G196" i="12"/>
  <c r="U236" i="12"/>
  <c r="U276" i="12" s="1"/>
  <c r="U274" i="12"/>
  <c r="G265" i="11"/>
  <c r="S95" i="12"/>
  <c r="P96" i="12"/>
  <c r="K104" i="12"/>
  <c r="H105" i="12"/>
  <c r="E106" i="12"/>
  <c r="U106" i="12"/>
  <c r="R107" i="12"/>
  <c r="O108" i="12"/>
  <c r="L109" i="12"/>
  <c r="I110" i="12"/>
  <c r="F111" i="12"/>
  <c r="V111" i="12"/>
  <c r="S112" i="12"/>
  <c r="P113" i="12"/>
  <c r="M114" i="12"/>
  <c r="J115" i="12"/>
  <c r="D117" i="12"/>
  <c r="T117" i="12"/>
  <c r="Q118" i="12"/>
  <c r="N119" i="12"/>
  <c r="F159" i="12"/>
  <c r="F198" i="12" s="1"/>
  <c r="V159" i="12"/>
  <c r="V198" i="12" s="1"/>
  <c r="M172" i="12"/>
  <c r="D175" i="12"/>
  <c r="H179" i="12"/>
  <c r="I185" i="12"/>
  <c r="V186" i="12"/>
  <c r="S187" i="12"/>
  <c r="D192" i="12"/>
  <c r="Q193" i="12"/>
  <c r="H196" i="12"/>
  <c r="V188" i="12"/>
  <c r="L247" i="12"/>
  <c r="L236" i="12"/>
  <c r="I248" i="12"/>
  <c r="I236" i="12"/>
  <c r="F249" i="12"/>
  <c r="V249" i="12"/>
  <c r="S250" i="12"/>
  <c r="P251" i="12"/>
  <c r="M252" i="12"/>
  <c r="G254" i="12"/>
  <c r="D255" i="12"/>
  <c r="T255" i="12"/>
  <c r="Q256" i="12"/>
  <c r="N257" i="12"/>
  <c r="K258" i="12"/>
  <c r="E261" i="12"/>
  <c r="L264" i="12"/>
  <c r="F266" i="12"/>
  <c r="S267" i="12"/>
  <c r="P268" i="12"/>
  <c r="G271" i="12"/>
  <c r="N274" i="12"/>
  <c r="D253" i="12"/>
  <c r="E98" i="12"/>
  <c r="G169" i="12"/>
  <c r="D170" i="12"/>
  <c r="Q171" i="12"/>
  <c r="N172" i="12"/>
  <c r="U175" i="12"/>
  <c r="R176" i="12"/>
  <c r="L178" i="12"/>
  <c r="I179" i="12"/>
  <c r="S182" i="12"/>
  <c r="P183" i="12"/>
  <c r="M184" i="12"/>
  <c r="J185" i="12"/>
  <c r="G186" i="12"/>
  <c r="D187" i="12"/>
  <c r="T187" i="12"/>
  <c r="Q188" i="12"/>
  <c r="N189" i="12"/>
  <c r="K190" i="12"/>
  <c r="H191" i="12"/>
  <c r="E192" i="12"/>
  <c r="U192" i="12"/>
  <c r="R193" i="12"/>
  <c r="L195" i="12"/>
  <c r="I196" i="12"/>
  <c r="F197" i="12"/>
  <c r="V197" i="12"/>
  <c r="K186" i="12"/>
  <c r="M236" i="12"/>
  <c r="M247" i="12"/>
  <c r="G268" i="12"/>
  <c r="V100" i="12"/>
  <c r="S101" i="12"/>
  <c r="M104" i="12"/>
  <c r="J105" i="12"/>
  <c r="G106" i="12"/>
  <c r="D107" i="12"/>
  <c r="T107" i="12"/>
  <c r="Q108" i="12"/>
  <c r="N109" i="12"/>
  <c r="K110" i="12"/>
  <c r="H111" i="12"/>
  <c r="E112" i="12"/>
  <c r="U112" i="12"/>
  <c r="R113" i="12"/>
  <c r="O114" i="12"/>
  <c r="L115" i="12"/>
  <c r="F117" i="12"/>
  <c r="V117" i="12"/>
  <c r="S118" i="12"/>
  <c r="P119" i="12"/>
  <c r="H159" i="12"/>
  <c r="H198" i="12" s="1"/>
  <c r="D182" i="12"/>
  <c r="T182" i="12"/>
  <c r="Q183" i="12"/>
  <c r="N184" i="12"/>
  <c r="K185" i="12"/>
  <c r="H186" i="12"/>
  <c r="E187" i="12"/>
  <c r="U187" i="12"/>
  <c r="R188" i="12"/>
  <c r="O189" i="12"/>
  <c r="L190" i="12"/>
  <c r="I191" i="12"/>
  <c r="F192" i="12"/>
  <c r="V192" i="12"/>
  <c r="S193" i="12"/>
  <c r="M195" i="12"/>
  <c r="J196" i="12"/>
  <c r="G197" i="12"/>
  <c r="U183" i="12"/>
  <c r="J189" i="12"/>
  <c r="U197" i="12"/>
  <c r="N247" i="12"/>
  <c r="N236" i="12"/>
  <c r="N276" i="12" s="1"/>
  <c r="K248" i="12"/>
  <c r="H249" i="12"/>
  <c r="E250" i="12"/>
  <c r="U250" i="12"/>
  <c r="R251" i="12"/>
  <c r="O252" i="12"/>
  <c r="L253" i="12"/>
  <c r="I254" i="12"/>
  <c r="F255" i="12"/>
  <c r="V255" i="12"/>
  <c r="S256" i="12"/>
  <c r="P257" i="12"/>
  <c r="M258" i="12"/>
  <c r="J260" i="12"/>
  <c r="G261" i="12"/>
  <c r="D262" i="12"/>
  <c r="T262" i="12"/>
  <c r="Q263" i="12"/>
  <c r="N264" i="12"/>
  <c r="K265" i="12"/>
  <c r="H266" i="12"/>
  <c r="E267" i="12"/>
  <c r="U267" i="12"/>
  <c r="R268" i="12"/>
  <c r="O269" i="12"/>
  <c r="L270" i="12"/>
  <c r="I271" i="12"/>
  <c r="V272" i="12"/>
  <c r="S273" i="12"/>
  <c r="P274" i="12"/>
  <c r="I268" i="12"/>
  <c r="R91" i="12"/>
  <c r="O92" i="12"/>
  <c r="L93" i="12"/>
  <c r="I94" i="12"/>
  <c r="F95" i="12"/>
  <c r="V95" i="12"/>
  <c r="S96" i="12"/>
  <c r="P97" i="12"/>
  <c r="M98" i="12"/>
  <c r="J99" i="12"/>
  <c r="G100" i="12"/>
  <c r="D101" i="12"/>
  <c r="T101" i="12"/>
  <c r="Q102" i="12"/>
  <c r="K105" i="12"/>
  <c r="R108" i="12"/>
  <c r="L110" i="12"/>
  <c r="D118" i="12"/>
  <c r="Q119" i="12"/>
  <c r="N81" i="12"/>
  <c r="N120" i="12" s="1"/>
  <c r="O100" i="12"/>
  <c r="O106" i="12"/>
  <c r="I159" i="12"/>
  <c r="I198" i="12" s="1"/>
  <c r="S171" i="12"/>
  <c r="P172" i="12"/>
  <c r="J174" i="12"/>
  <c r="G175" i="12"/>
  <c r="N178" i="12"/>
  <c r="K179" i="12"/>
  <c r="E182" i="12"/>
  <c r="U182" i="12"/>
  <c r="R183" i="12"/>
  <c r="O184" i="12"/>
  <c r="L185" i="12"/>
  <c r="I186" i="12"/>
  <c r="F187" i="12"/>
  <c r="V187" i="12"/>
  <c r="S188" i="12"/>
  <c r="P189" i="12"/>
  <c r="M190" i="12"/>
  <c r="J191" i="12"/>
  <c r="G192" i="12"/>
  <c r="D193" i="12"/>
  <c r="T193" i="12"/>
  <c r="N195" i="12"/>
  <c r="K196" i="12"/>
  <c r="H197" i="12"/>
  <c r="G159" i="12"/>
  <c r="S251" i="12"/>
  <c r="P252" i="12"/>
  <c r="M253" i="12"/>
  <c r="J254" i="12"/>
  <c r="D256" i="12"/>
  <c r="K260" i="12"/>
  <c r="U262" i="12"/>
  <c r="L265" i="12"/>
  <c r="I266" i="12"/>
  <c r="D273" i="12"/>
  <c r="K266" i="13"/>
  <c r="K183" i="13"/>
  <c r="K46" i="13"/>
  <c r="K268" i="13"/>
  <c r="K185" i="13"/>
  <c r="K270" i="13"/>
  <c r="K187" i="13"/>
  <c r="K272" i="13"/>
  <c r="K189" i="13"/>
  <c r="K274" i="13"/>
  <c r="K191" i="13"/>
  <c r="T96" i="12"/>
  <c r="Q97" i="12"/>
  <c r="L105" i="12"/>
  <c r="I106" i="12"/>
  <c r="F107" i="12"/>
  <c r="V107" i="12"/>
  <c r="S108" i="12"/>
  <c r="P109" i="12"/>
  <c r="M110" i="12"/>
  <c r="J111" i="12"/>
  <c r="G112" i="12"/>
  <c r="D113" i="12"/>
  <c r="T113" i="12"/>
  <c r="Q114" i="12"/>
  <c r="N115" i="12"/>
  <c r="H117" i="12"/>
  <c r="E118" i="12"/>
  <c r="U118" i="12"/>
  <c r="R119" i="12"/>
  <c r="O81" i="12"/>
  <c r="N92" i="12"/>
  <c r="S174" i="12"/>
  <c r="M254" i="12"/>
  <c r="E255" i="13"/>
  <c r="T81" i="12"/>
  <c r="T120" i="12" s="1"/>
  <c r="Q92" i="12"/>
  <c r="H95" i="12"/>
  <c r="E96" i="12"/>
  <c r="U96" i="12"/>
  <c r="R97" i="12"/>
  <c r="O98" i="12"/>
  <c r="L99" i="12"/>
  <c r="I100" i="12"/>
  <c r="F101" i="12"/>
  <c r="V101" i="12"/>
  <c r="S102" i="12"/>
  <c r="O115" i="12"/>
  <c r="I117" i="12"/>
  <c r="Q81" i="12"/>
  <c r="Q120" i="12" s="1"/>
  <c r="E104" i="12"/>
  <c r="R106" i="12"/>
  <c r="K169" i="12"/>
  <c r="K159" i="12"/>
  <c r="H170" i="12"/>
  <c r="E171" i="12"/>
  <c r="U171" i="12"/>
  <c r="R172" i="12"/>
  <c r="O173" i="12"/>
  <c r="L174" i="12"/>
  <c r="I175" i="12"/>
  <c r="F176" i="12"/>
  <c r="V176" i="12"/>
  <c r="S177" i="12"/>
  <c r="P178" i="12"/>
  <c r="M179" i="12"/>
  <c r="J180" i="12"/>
  <c r="T183" i="12"/>
  <c r="E188" i="12"/>
  <c r="R189" i="12"/>
  <c r="O190" i="12"/>
  <c r="I192" i="12"/>
  <c r="M196" i="12"/>
  <c r="J197" i="12"/>
  <c r="L184" i="12"/>
  <c r="K195" i="12"/>
  <c r="E251" i="12"/>
  <c r="U251" i="12"/>
  <c r="R252" i="12"/>
  <c r="V256" i="12"/>
  <c r="L261" i="12"/>
  <c r="F267" i="13"/>
  <c r="F269" i="13"/>
  <c r="F275" i="13"/>
  <c r="R81" i="12"/>
  <c r="R120" i="12" s="1"/>
  <c r="Q91" i="12"/>
  <c r="H97" i="12"/>
  <c r="L169" i="12"/>
  <c r="I170" i="12"/>
  <c r="F171" i="12"/>
  <c r="V171" i="12"/>
  <c r="S172" i="12"/>
  <c r="P173" i="12"/>
  <c r="M174" i="12"/>
  <c r="J175" i="12"/>
  <c r="G176" i="12"/>
  <c r="D177" i="12"/>
  <c r="T177" i="12"/>
  <c r="Q178" i="12"/>
  <c r="N179" i="12"/>
  <c r="K180" i="12"/>
  <c r="R159" i="12"/>
  <c r="R198" i="12" s="1"/>
  <c r="J177" i="12"/>
  <c r="E190" i="12"/>
  <c r="F182" i="13"/>
  <c r="F98" i="13"/>
  <c r="F46" i="13"/>
  <c r="F186" i="13"/>
  <c r="F102" i="13"/>
  <c r="F108" i="13"/>
  <c r="F192" i="13"/>
  <c r="F196" i="13"/>
  <c r="F112" i="13"/>
  <c r="F114" i="13"/>
  <c r="F198" i="13"/>
  <c r="F200" i="13"/>
  <c r="F116" i="13"/>
  <c r="I171" i="11"/>
  <c r="P93" i="12"/>
  <c r="K100" i="12"/>
  <c r="E102" i="12"/>
  <c r="U102" i="12"/>
  <c r="R104" i="12"/>
  <c r="F108" i="12"/>
  <c r="P110" i="12"/>
  <c r="J112" i="12"/>
  <c r="S81" i="12"/>
  <c r="S120" i="12" s="1"/>
  <c r="Q173" i="12"/>
  <c r="L180" i="12"/>
  <c r="M186" i="12"/>
  <c r="H193" i="12"/>
  <c r="P271" i="12"/>
  <c r="U97" i="12"/>
  <c r="R98" i="12"/>
  <c r="M106" i="12"/>
  <c r="T109" i="12"/>
  <c r="E114" i="12"/>
  <c r="T91" i="12"/>
  <c r="N159" i="12"/>
  <c r="N198" i="12" s="1"/>
  <c r="K170" i="12"/>
  <c r="H171" i="12"/>
  <c r="O174" i="12"/>
  <c r="L175" i="12"/>
  <c r="F177" i="12"/>
  <c r="V177" i="12"/>
  <c r="J182" i="12"/>
  <c r="G183" i="12"/>
  <c r="D184" i="12"/>
  <c r="T184" i="12"/>
  <c r="Q185" i="12"/>
  <c r="N186" i="12"/>
  <c r="K187" i="12"/>
  <c r="H188" i="12"/>
  <c r="E189" i="12"/>
  <c r="U189" i="12"/>
  <c r="R190" i="12"/>
  <c r="O191" i="12"/>
  <c r="L192" i="12"/>
  <c r="I193" i="12"/>
  <c r="V194" i="12"/>
  <c r="S195" i="12"/>
  <c r="P196" i="12"/>
  <c r="M197" i="12"/>
  <c r="U159" i="12"/>
  <c r="U198" i="12" s="1"/>
  <c r="D236" i="12"/>
  <c r="Q248" i="12"/>
  <c r="K250" i="12"/>
  <c r="H251" i="12"/>
  <c r="E252" i="12"/>
  <c r="I256" i="12"/>
  <c r="F257" i="12"/>
  <c r="V257" i="12"/>
  <c r="S258" i="12"/>
  <c r="K182" i="13"/>
  <c r="K171" i="13"/>
  <c r="D278" i="13"/>
  <c r="R247" i="12"/>
  <c r="V251" i="12"/>
  <c r="O265" i="12"/>
  <c r="Q275" i="12"/>
  <c r="D247" i="12"/>
  <c r="F100" i="13"/>
  <c r="F104" i="13"/>
  <c r="F106" i="13"/>
  <c r="F120" i="13"/>
  <c r="F122" i="13"/>
  <c r="F126" i="13"/>
  <c r="F128" i="13"/>
  <c r="G121" i="13"/>
  <c r="D185" i="13"/>
  <c r="D187" i="13"/>
  <c r="D193" i="13"/>
  <c r="D201" i="13"/>
  <c r="D203" i="13"/>
  <c r="D209" i="13"/>
  <c r="D171" i="13"/>
  <c r="G266" i="13"/>
  <c r="G268" i="13"/>
  <c r="G270" i="13"/>
  <c r="G272" i="13"/>
  <c r="G274" i="13"/>
  <c r="G276" i="13"/>
  <c r="G278" i="13"/>
  <c r="G280" i="13"/>
  <c r="G282" i="13"/>
  <c r="G284" i="13"/>
  <c r="G286" i="13"/>
  <c r="G288" i="13"/>
  <c r="G290" i="13"/>
  <c r="G292" i="13"/>
  <c r="G294" i="13"/>
  <c r="L168" i="14"/>
  <c r="L245" i="14"/>
  <c r="L42" i="14"/>
  <c r="I169" i="14"/>
  <c r="I42" i="14"/>
  <c r="F170" i="14"/>
  <c r="F42" i="14"/>
  <c r="T176" i="14"/>
  <c r="T253" i="14"/>
  <c r="N178" i="14"/>
  <c r="N255" i="14"/>
  <c r="K256" i="14"/>
  <c r="K179" i="14"/>
  <c r="M159" i="12"/>
  <c r="M198" i="12" s="1"/>
  <c r="P248" i="12"/>
  <c r="D252" i="12"/>
  <c r="T252" i="12"/>
  <c r="Q253" i="12"/>
  <c r="N254" i="12"/>
  <c r="R258" i="12"/>
  <c r="I262" i="12"/>
  <c r="F263" i="12"/>
  <c r="V263" i="12"/>
  <c r="P265" i="12"/>
  <c r="M266" i="12"/>
  <c r="D269" i="12"/>
  <c r="T269" i="12"/>
  <c r="Q270" i="12"/>
  <c r="H273" i="12"/>
  <c r="F247" i="12"/>
  <c r="E265" i="13"/>
  <c r="T247" i="12"/>
  <c r="T236" i="12"/>
  <c r="T276" i="12" s="1"/>
  <c r="N249" i="12"/>
  <c r="U252" i="12"/>
  <c r="R253" i="12"/>
  <c r="O254" i="12"/>
  <c r="L255" i="12"/>
  <c r="M261" i="12"/>
  <c r="J262" i="12"/>
  <c r="G263" i="12"/>
  <c r="D264" i="12"/>
  <c r="T264" i="12"/>
  <c r="Q265" i="12"/>
  <c r="N266" i="12"/>
  <c r="K267" i="12"/>
  <c r="H268" i="12"/>
  <c r="E269" i="12"/>
  <c r="U269" i="12"/>
  <c r="R270" i="12"/>
  <c r="O271" i="12"/>
  <c r="I273" i="12"/>
  <c r="F274" i="12"/>
  <c r="V274" i="12"/>
  <c r="S275" i="12"/>
  <c r="S248" i="12"/>
  <c r="H88" i="13"/>
  <c r="H98" i="13"/>
  <c r="D122" i="13"/>
  <c r="K201" i="13"/>
  <c r="D279" i="13"/>
  <c r="E236" i="12"/>
  <c r="E276" i="12" s="1"/>
  <c r="E247" i="12"/>
  <c r="R248" i="12"/>
  <c r="L250" i="12"/>
  <c r="S253" i="12"/>
  <c r="P254" i="12"/>
  <c r="M255" i="12"/>
  <c r="J256" i="12"/>
  <c r="Q260" i="12"/>
  <c r="O266" i="12"/>
  <c r="L267" i="12"/>
  <c r="J273" i="12"/>
  <c r="G274" i="12"/>
  <c r="T275" i="12"/>
  <c r="I88" i="13"/>
  <c r="D101" i="13"/>
  <c r="G183" i="13"/>
  <c r="G193" i="13"/>
  <c r="G199" i="13"/>
  <c r="G209" i="13"/>
  <c r="V236" i="12"/>
  <c r="V276" i="12" s="1"/>
  <c r="V247" i="12"/>
  <c r="P249" i="12"/>
  <c r="J251" i="12"/>
  <c r="Q254" i="12"/>
  <c r="N255" i="12"/>
  <c r="K256" i="12"/>
  <c r="H257" i="12"/>
  <c r="R260" i="12"/>
  <c r="I263" i="12"/>
  <c r="F264" i="12"/>
  <c r="V264" i="12"/>
  <c r="P266" i="12"/>
  <c r="M267" i="12"/>
  <c r="D270" i="12"/>
  <c r="T270" i="12"/>
  <c r="Q271" i="12"/>
  <c r="K273" i="12"/>
  <c r="H274" i="12"/>
  <c r="D117" i="13"/>
  <c r="F208" i="13"/>
  <c r="D270" i="13"/>
  <c r="D103" i="13"/>
  <c r="D272" i="13"/>
  <c r="D105" i="13"/>
  <c r="D113" i="13"/>
  <c r="D280" i="13"/>
  <c r="D115" i="13"/>
  <c r="D282" i="13"/>
  <c r="D119" i="13"/>
  <c r="D286" i="13"/>
  <c r="D290" i="13"/>
  <c r="D123" i="13"/>
  <c r="D46" i="13"/>
  <c r="D107" i="13"/>
  <c r="Q245" i="14"/>
  <c r="Q42" i="14"/>
  <c r="Q197" i="14" s="1"/>
  <c r="M258" i="14"/>
  <c r="M104" i="14"/>
  <c r="J105" i="14"/>
  <c r="J259" i="14"/>
  <c r="G260" i="14"/>
  <c r="G106" i="14"/>
  <c r="D261" i="14"/>
  <c r="D107" i="14"/>
  <c r="T261" i="14"/>
  <c r="T107" i="14"/>
  <c r="Q262" i="14"/>
  <c r="Q108" i="14"/>
  <c r="N263" i="14"/>
  <c r="N109" i="14"/>
  <c r="K264" i="14"/>
  <c r="K110" i="14"/>
  <c r="R267" i="14"/>
  <c r="R113" i="14"/>
  <c r="R190" i="14"/>
  <c r="O268" i="14"/>
  <c r="O114" i="14"/>
  <c r="L269" i="14"/>
  <c r="L115" i="14"/>
  <c r="F271" i="14"/>
  <c r="F117" i="14"/>
  <c r="V271" i="14"/>
  <c r="V117" i="14"/>
  <c r="S272" i="14"/>
  <c r="S118" i="14"/>
  <c r="S195" i="14"/>
  <c r="I120" i="14"/>
  <c r="M256" i="12"/>
  <c r="J257" i="12"/>
  <c r="G258" i="12"/>
  <c r="D260" i="12"/>
  <c r="T260" i="12"/>
  <c r="Q261" i="12"/>
  <c r="O267" i="12"/>
  <c r="L268" i="12"/>
  <c r="J274" i="12"/>
  <c r="G275" i="12"/>
  <c r="E296" i="13"/>
  <c r="S169" i="12"/>
  <c r="P170" i="12"/>
  <c r="M171" i="12"/>
  <c r="J172" i="12"/>
  <c r="G173" i="12"/>
  <c r="D174" i="12"/>
  <c r="T174" i="12"/>
  <c r="Q175" i="12"/>
  <c r="N176" i="12"/>
  <c r="K177" i="12"/>
  <c r="H178" i="12"/>
  <c r="E179" i="12"/>
  <c r="U179" i="12"/>
  <c r="R180" i="12"/>
  <c r="P250" i="12"/>
  <c r="J252" i="12"/>
  <c r="D254" i="12"/>
  <c r="H258" i="12"/>
  <c r="I264" i="12"/>
  <c r="F265" i="12"/>
  <c r="V265" i="12"/>
  <c r="D271" i="12"/>
  <c r="T271" i="12"/>
  <c r="E88" i="13"/>
  <c r="E99" i="13"/>
  <c r="J88" i="13"/>
  <c r="F118" i="13"/>
  <c r="F254" i="13"/>
  <c r="F265" i="13"/>
  <c r="F271" i="13"/>
  <c r="F273" i="13"/>
  <c r="F279" i="13"/>
  <c r="F281" i="13"/>
  <c r="F283" i="13"/>
  <c r="F285" i="13"/>
  <c r="F287" i="13"/>
  <c r="F289" i="13"/>
  <c r="F293" i="13"/>
  <c r="F295" i="13"/>
  <c r="D281" i="13"/>
  <c r="S42" i="14"/>
  <c r="P42" i="14"/>
  <c r="K88" i="13"/>
  <c r="H182" i="13"/>
  <c r="J178" i="12"/>
  <c r="G179" i="12"/>
  <c r="D180" i="12"/>
  <c r="T180" i="12"/>
  <c r="O251" i="12"/>
  <c r="I253" i="12"/>
  <c r="V254" i="12"/>
  <c r="Q262" i="12"/>
  <c r="H265" i="12"/>
  <c r="E266" i="12"/>
  <c r="U266" i="12"/>
  <c r="L269" i="12"/>
  <c r="V271" i="12"/>
  <c r="P273" i="12"/>
  <c r="G101" i="13"/>
  <c r="G103" i="13"/>
  <c r="G107" i="13"/>
  <c r="G109" i="13"/>
  <c r="G111" i="13"/>
  <c r="G117" i="13"/>
  <c r="G119" i="13"/>
  <c r="G123" i="13"/>
  <c r="G127" i="13"/>
  <c r="K193" i="13"/>
  <c r="K209" i="13"/>
  <c r="E168" i="14"/>
  <c r="E42" i="14"/>
  <c r="U168" i="14"/>
  <c r="U42" i="14"/>
  <c r="O42" i="14"/>
  <c r="H260" i="12"/>
  <c r="R262" i="12"/>
  <c r="O263" i="12"/>
  <c r="M269" i="12"/>
  <c r="J270" i="12"/>
  <c r="K275" i="12"/>
  <c r="D125" i="13"/>
  <c r="D276" i="13"/>
  <c r="K278" i="13"/>
  <c r="K195" i="13"/>
  <c r="K280" i="13"/>
  <c r="K197" i="13"/>
  <c r="K282" i="13"/>
  <c r="K199" i="13"/>
  <c r="K286" i="13"/>
  <c r="K203" i="13"/>
  <c r="K288" i="13"/>
  <c r="K205" i="13"/>
  <c r="K290" i="13"/>
  <c r="K207" i="13"/>
  <c r="K294" i="13"/>
  <c r="K211" i="13"/>
  <c r="H213" i="13"/>
  <c r="S91" i="14"/>
  <c r="S81" i="14"/>
  <c r="S120" i="14" s="1"/>
  <c r="O236" i="12"/>
  <c r="L248" i="12"/>
  <c r="I249" i="12"/>
  <c r="F250" i="12"/>
  <c r="V250" i="12"/>
  <c r="G255" i="12"/>
  <c r="T256" i="12"/>
  <c r="N258" i="12"/>
  <c r="H261" i="12"/>
  <c r="E262" i="12"/>
  <c r="R263" i="12"/>
  <c r="O264" i="12"/>
  <c r="F267" i="12"/>
  <c r="V267" i="12"/>
  <c r="S268" i="12"/>
  <c r="M270" i="12"/>
  <c r="J271" i="12"/>
  <c r="T273" i="12"/>
  <c r="Q274" i="12"/>
  <c r="R236" i="12"/>
  <c r="R276" i="12" s="1"/>
  <c r="D267" i="13"/>
  <c r="D100" i="13"/>
  <c r="D269" i="13"/>
  <c r="D102" i="13"/>
  <c r="D273" i="13"/>
  <c r="D106" i="13"/>
  <c r="D116" i="13"/>
  <c r="D283" i="13"/>
  <c r="D287" i="13"/>
  <c r="D120" i="13"/>
  <c r="I98" i="13"/>
  <c r="G254" i="13"/>
  <c r="G250" i="12"/>
  <c r="D251" i="12"/>
  <c r="T251" i="12"/>
  <c r="E256" i="12"/>
  <c r="R257" i="12"/>
  <c r="L260" i="12"/>
  <c r="P264" i="12"/>
  <c r="M265" i="12"/>
  <c r="K271" i="12"/>
  <c r="O275" i="12"/>
  <c r="D99" i="13"/>
  <c r="D121" i="13"/>
  <c r="I296" i="13"/>
  <c r="I182" i="13"/>
  <c r="I184" i="13"/>
  <c r="I186" i="13"/>
  <c r="I188" i="13"/>
  <c r="I190" i="13"/>
  <c r="R42" i="14"/>
  <c r="R120" i="14" s="1"/>
  <c r="D81" i="14"/>
  <c r="D120" i="14" s="1"/>
  <c r="T81" i="14"/>
  <c r="T120" i="14" s="1"/>
  <c r="S102" i="14"/>
  <c r="L105" i="14"/>
  <c r="F107" i="14"/>
  <c r="V107" i="14"/>
  <c r="S108" i="14"/>
  <c r="P109" i="14"/>
  <c r="M110" i="14"/>
  <c r="D113" i="14"/>
  <c r="Q114" i="14"/>
  <c r="N115" i="14"/>
  <c r="H117" i="14"/>
  <c r="U118" i="14"/>
  <c r="Q181" i="14"/>
  <c r="N182" i="14"/>
  <c r="K183" i="14"/>
  <c r="H184" i="14"/>
  <c r="E185" i="14"/>
  <c r="U185" i="14"/>
  <c r="R186" i="14"/>
  <c r="O187" i="14"/>
  <c r="S191" i="14"/>
  <c r="P192" i="14"/>
  <c r="J194" i="14"/>
  <c r="G195" i="14"/>
  <c r="D196" i="14"/>
  <c r="H246" i="14"/>
  <c r="R248" i="14"/>
  <c r="S253" i="14"/>
  <c r="P254" i="14"/>
  <c r="M255" i="14"/>
  <c r="J256" i="14"/>
  <c r="E247" i="14"/>
  <c r="E118" i="14"/>
  <c r="E272" i="14"/>
  <c r="E91" i="14"/>
  <c r="U91" i="14"/>
  <c r="R92" i="14"/>
  <c r="L94" i="14"/>
  <c r="F96" i="14"/>
  <c r="V96" i="14"/>
  <c r="S97" i="14"/>
  <c r="M99" i="14"/>
  <c r="J100" i="14"/>
  <c r="G101" i="14"/>
  <c r="D102" i="14"/>
  <c r="P104" i="14"/>
  <c r="J106" i="14"/>
  <c r="D108" i="14"/>
  <c r="T108" i="14"/>
  <c r="Q109" i="14"/>
  <c r="N110" i="14"/>
  <c r="U113" i="14"/>
  <c r="O115" i="14"/>
  <c r="F118" i="14"/>
  <c r="T91" i="14"/>
  <c r="I246" i="14"/>
  <c r="F247" i="14"/>
  <c r="S248" i="14"/>
  <c r="M250" i="14"/>
  <c r="D253" i="14"/>
  <c r="Q260" i="14"/>
  <c r="N261" i="14"/>
  <c r="E264" i="14"/>
  <c r="L267" i="14"/>
  <c r="I268" i="14"/>
  <c r="U250" i="14"/>
  <c r="U96" i="14"/>
  <c r="O98" i="14"/>
  <c r="O252" i="14"/>
  <c r="L253" i="14"/>
  <c r="L99" i="14"/>
  <c r="I100" i="14"/>
  <c r="I254" i="14"/>
  <c r="M105" i="14"/>
  <c r="M182" i="14"/>
  <c r="J260" i="14"/>
  <c r="J183" i="14"/>
  <c r="G107" i="14"/>
  <c r="G261" i="14"/>
  <c r="G184" i="14"/>
  <c r="D262" i="14"/>
  <c r="D185" i="14"/>
  <c r="E267" i="14"/>
  <c r="E113" i="14"/>
  <c r="I271" i="14"/>
  <c r="I117" i="14"/>
  <c r="F81" i="14"/>
  <c r="F120" i="14" s="1"/>
  <c r="V81" i="14"/>
  <c r="V120" i="14" s="1"/>
  <c r="N105" i="14"/>
  <c r="K106" i="14"/>
  <c r="H107" i="14"/>
  <c r="U108" i="14"/>
  <c r="R109" i="14"/>
  <c r="O110" i="14"/>
  <c r="F113" i="14"/>
  <c r="S114" i="14"/>
  <c r="J117" i="14"/>
  <c r="D119" i="14"/>
  <c r="V91" i="14"/>
  <c r="L173" i="14"/>
  <c r="T102" i="14"/>
  <c r="T179" i="14"/>
  <c r="N235" i="14"/>
  <c r="N274" i="14" s="1"/>
  <c r="N245" i="14"/>
  <c r="I258" i="14"/>
  <c r="F259" i="14"/>
  <c r="V259" i="14"/>
  <c r="P261" i="14"/>
  <c r="M262" i="14"/>
  <c r="J263" i="14"/>
  <c r="G264" i="14"/>
  <c r="D265" i="14"/>
  <c r="T265" i="14"/>
  <c r="N267" i="14"/>
  <c r="H269" i="14"/>
  <c r="R271" i="14"/>
  <c r="O272" i="14"/>
  <c r="H296" i="13"/>
  <c r="H255" i="13"/>
  <c r="R94" i="14"/>
  <c r="S188" i="14"/>
  <c r="K99" i="13"/>
  <c r="K101" i="13"/>
  <c r="K103" i="13"/>
  <c r="K105" i="13"/>
  <c r="K107" i="13"/>
  <c r="K109" i="13"/>
  <c r="K111" i="13"/>
  <c r="K113" i="13"/>
  <c r="K115" i="13"/>
  <c r="K117" i="13"/>
  <c r="K119" i="13"/>
  <c r="K121" i="13"/>
  <c r="K123" i="13"/>
  <c r="K125" i="13"/>
  <c r="K127" i="13"/>
  <c r="J108" i="13"/>
  <c r="J205" i="13"/>
  <c r="H265" i="13"/>
  <c r="G42" i="14"/>
  <c r="S104" i="14"/>
  <c r="S181" i="14"/>
  <c r="S258" i="14"/>
  <c r="P182" i="14"/>
  <c r="P259" i="14"/>
  <c r="T263" i="14"/>
  <c r="T109" i="14"/>
  <c r="E268" i="14"/>
  <c r="E114" i="14"/>
  <c r="U268" i="14"/>
  <c r="U114" i="14"/>
  <c r="R269" i="14"/>
  <c r="R115" i="14"/>
  <c r="I118" i="14"/>
  <c r="I272" i="14"/>
  <c r="F273" i="14"/>
  <c r="F196" i="14"/>
  <c r="D104" i="14"/>
  <c r="N106" i="14"/>
  <c r="U109" i="14"/>
  <c r="I113" i="14"/>
  <c r="M117" i="14"/>
  <c r="E81" i="14"/>
  <c r="H169" i="14"/>
  <c r="E170" i="14"/>
  <c r="I174" i="14"/>
  <c r="S176" i="14"/>
  <c r="P177" i="14"/>
  <c r="Q188" i="14"/>
  <c r="K190" i="14"/>
  <c r="L195" i="14"/>
  <c r="J235" i="14"/>
  <c r="I87" i="15"/>
  <c r="I97" i="15"/>
  <c r="J265" i="13"/>
  <c r="J267" i="13"/>
  <c r="J269" i="13"/>
  <c r="J271" i="13"/>
  <c r="J273" i="13"/>
  <c r="J275" i="13"/>
  <c r="J277" i="13"/>
  <c r="J279" i="13"/>
  <c r="J281" i="13"/>
  <c r="J283" i="13"/>
  <c r="J285" i="13"/>
  <c r="J287" i="13"/>
  <c r="J289" i="13"/>
  <c r="J291" i="13"/>
  <c r="J293" i="13"/>
  <c r="J295" i="13"/>
  <c r="H91" i="14"/>
  <c r="H42" i="14"/>
  <c r="E92" i="14"/>
  <c r="E246" i="14"/>
  <c r="U246" i="14"/>
  <c r="U92" i="14"/>
  <c r="O94" i="14"/>
  <c r="O248" i="14"/>
  <c r="I96" i="14"/>
  <c r="I173" i="14"/>
  <c r="F97" i="14"/>
  <c r="F174" i="14"/>
  <c r="V97" i="14"/>
  <c r="V251" i="14"/>
  <c r="F114" i="14"/>
  <c r="F191" i="14"/>
  <c r="S192" i="14"/>
  <c r="S115" i="14"/>
  <c r="D42" i="14"/>
  <c r="J81" i="14"/>
  <c r="J91" i="14"/>
  <c r="G92" i="14"/>
  <c r="D93" i="14"/>
  <c r="Q94" i="14"/>
  <c r="K96" i="14"/>
  <c r="H97" i="14"/>
  <c r="E98" i="14"/>
  <c r="R99" i="14"/>
  <c r="O100" i="14"/>
  <c r="L101" i="14"/>
  <c r="I102" i="14"/>
  <c r="G81" i="14"/>
  <c r="G120" i="14" s="1"/>
  <c r="Q92" i="14"/>
  <c r="F98" i="14"/>
  <c r="R114" i="14"/>
  <c r="M173" i="14"/>
  <c r="J174" i="14"/>
  <c r="Q177" i="14"/>
  <c r="T182" i="14"/>
  <c r="N184" i="14"/>
  <c r="K185" i="14"/>
  <c r="H186" i="14"/>
  <c r="I171" i="13"/>
  <c r="K296" i="13"/>
  <c r="K265" i="13"/>
  <c r="S105" i="14"/>
  <c r="J108" i="14"/>
  <c r="Q111" i="14"/>
  <c r="E115" i="14"/>
  <c r="I119" i="14"/>
  <c r="M101" i="14"/>
  <c r="H181" i="14"/>
  <c r="E182" i="14"/>
  <c r="U182" i="14"/>
  <c r="O184" i="14"/>
  <c r="L185" i="14"/>
  <c r="I186" i="14"/>
  <c r="F187" i="14"/>
  <c r="V187" i="14"/>
  <c r="M190" i="14"/>
  <c r="J191" i="14"/>
  <c r="G192" i="14"/>
  <c r="Q194" i="14"/>
  <c r="K196" i="14"/>
  <c r="V269" i="14"/>
  <c r="P236" i="12"/>
  <c r="P276" i="12" s="1"/>
  <c r="J120" i="13"/>
  <c r="I183" i="13"/>
  <c r="I185" i="13"/>
  <c r="I187" i="13"/>
  <c r="I189" i="13"/>
  <c r="I191" i="13"/>
  <c r="I193" i="13"/>
  <c r="I195" i="13"/>
  <c r="I197" i="13"/>
  <c r="I199" i="13"/>
  <c r="I201" i="13"/>
  <c r="I203" i="13"/>
  <c r="I205" i="13"/>
  <c r="I207" i="13"/>
  <c r="I209" i="13"/>
  <c r="I211" i="13"/>
  <c r="J168" i="14"/>
  <c r="J42" i="14"/>
  <c r="J197" i="14" s="1"/>
  <c r="H114" i="14"/>
  <c r="H191" i="14"/>
  <c r="U192" i="14"/>
  <c r="U115" i="14"/>
  <c r="O194" i="14"/>
  <c r="O117" i="14"/>
  <c r="L91" i="14"/>
  <c r="I92" i="14"/>
  <c r="F93" i="14"/>
  <c r="S94" i="14"/>
  <c r="M96" i="14"/>
  <c r="J97" i="14"/>
  <c r="G98" i="14"/>
  <c r="D99" i="14"/>
  <c r="T99" i="14"/>
  <c r="Q100" i="14"/>
  <c r="N101" i="14"/>
  <c r="K102" i="14"/>
  <c r="G104" i="14"/>
  <c r="D105" i="14"/>
  <c r="Q106" i="14"/>
  <c r="K108" i="14"/>
  <c r="H109" i="14"/>
  <c r="E110" i="14"/>
  <c r="U110" i="14"/>
  <c r="R111" i="14"/>
  <c r="L113" i="14"/>
  <c r="I114" i="14"/>
  <c r="F115" i="14"/>
  <c r="V115" i="14"/>
  <c r="P117" i="14"/>
  <c r="M118" i="14"/>
  <c r="J119" i="14"/>
  <c r="L81" i="14"/>
  <c r="L120" i="14" s="1"/>
  <c r="M185" i="14"/>
  <c r="G187" i="14"/>
  <c r="T188" i="14"/>
  <c r="N190" i="14"/>
  <c r="K191" i="14"/>
  <c r="S235" i="14"/>
  <c r="S274" i="14" s="1"/>
  <c r="P246" i="14"/>
  <c r="D250" i="14"/>
  <c r="T250" i="14"/>
  <c r="Q251" i="14"/>
  <c r="K168" i="14"/>
  <c r="K42" i="14"/>
  <c r="M42" i="14"/>
  <c r="M91" i="14"/>
  <c r="M81" i="14"/>
  <c r="M120" i="14" s="1"/>
  <c r="J92" i="14"/>
  <c r="G93" i="14"/>
  <c r="D94" i="14"/>
  <c r="T94" i="14"/>
  <c r="N96" i="14"/>
  <c r="K97" i="14"/>
  <c r="H98" i="14"/>
  <c r="E99" i="14"/>
  <c r="U99" i="14"/>
  <c r="R100" i="14"/>
  <c r="O101" i="14"/>
  <c r="L102" i="14"/>
  <c r="N81" i="14"/>
  <c r="N120" i="14" s="1"/>
  <c r="K248" i="14"/>
  <c r="E250" i="14"/>
  <c r="F255" i="14"/>
  <c r="S256" i="14"/>
  <c r="O258" i="14"/>
  <c r="I260" i="14"/>
  <c r="M264" i="14"/>
  <c r="T267" i="14"/>
  <c r="H271" i="14"/>
  <c r="R260" i="14"/>
  <c r="R183" i="14"/>
  <c r="N272" i="14"/>
  <c r="N195" i="14"/>
  <c r="K81" i="14"/>
  <c r="K92" i="14"/>
  <c r="H81" i="14"/>
  <c r="H120" i="14" s="1"/>
  <c r="H93" i="14"/>
  <c r="I104" i="14"/>
  <c r="F105" i="14"/>
  <c r="V105" i="14"/>
  <c r="P107" i="14"/>
  <c r="J109" i="14"/>
  <c r="G110" i="14"/>
  <c r="D111" i="14"/>
  <c r="T111" i="14"/>
  <c r="N113" i="14"/>
  <c r="K114" i="14"/>
  <c r="H115" i="14"/>
  <c r="R117" i="14"/>
  <c r="O118" i="14"/>
  <c r="U235" i="14"/>
  <c r="U274" i="14" s="1"/>
  <c r="P258" i="14"/>
  <c r="N264" i="14"/>
  <c r="U81" i="14"/>
  <c r="U120" i="14" s="1"/>
  <c r="J102" i="14"/>
  <c r="Q168" i="14"/>
  <c r="N169" i="14"/>
  <c r="K170" i="14"/>
  <c r="H171" i="14"/>
  <c r="R173" i="14"/>
  <c r="O174" i="14"/>
  <c r="L175" i="14"/>
  <c r="I176" i="14"/>
  <c r="F177" i="14"/>
  <c r="V177" i="14"/>
  <c r="S178" i="14"/>
  <c r="P179" i="14"/>
  <c r="V190" i="14"/>
  <c r="V235" i="14"/>
  <c r="V274" i="14" s="1"/>
  <c r="S260" i="12"/>
  <c r="P261" i="12"/>
  <c r="M262" i="12"/>
  <c r="J263" i="12"/>
  <c r="G264" i="12"/>
  <c r="D265" i="12"/>
  <c r="T265" i="12"/>
  <c r="Q266" i="12"/>
  <c r="N267" i="12"/>
  <c r="K268" i="12"/>
  <c r="H269" i="12"/>
  <c r="E270" i="12"/>
  <c r="U270" i="12"/>
  <c r="R271" i="12"/>
  <c r="L273" i="12"/>
  <c r="I274" i="12"/>
  <c r="F275" i="12"/>
  <c r="V275" i="12"/>
  <c r="G46" i="13"/>
  <c r="E213" i="13"/>
  <c r="J254" i="13"/>
  <c r="N42" i="14"/>
  <c r="R159" i="14"/>
  <c r="R197" i="14" s="1"/>
  <c r="L192" i="14"/>
  <c r="F194" i="14"/>
  <c r="V194" i="14"/>
  <c r="T185" i="14"/>
  <c r="G235" i="14"/>
  <c r="G274" i="14" s="1"/>
  <c r="T246" i="14"/>
  <c r="E251" i="14"/>
  <c r="U251" i="14"/>
  <c r="L254" i="14"/>
  <c r="I255" i="14"/>
  <c r="F256" i="14"/>
  <c r="I266" i="13"/>
  <c r="I268" i="13"/>
  <c r="I270" i="13"/>
  <c r="I272" i="13"/>
  <c r="I274" i="13"/>
  <c r="I276" i="13"/>
  <c r="I278" i="13"/>
  <c r="I280" i="13"/>
  <c r="I282" i="13"/>
  <c r="I284" i="13"/>
  <c r="I286" i="13"/>
  <c r="I288" i="13"/>
  <c r="I290" i="13"/>
  <c r="I292" i="13"/>
  <c r="I294" i="13"/>
  <c r="Q91" i="14"/>
  <c r="Q81" i="14"/>
  <c r="N92" i="14"/>
  <c r="K93" i="14"/>
  <c r="H94" i="14"/>
  <c r="R96" i="14"/>
  <c r="O97" i="14"/>
  <c r="L98" i="14"/>
  <c r="I99" i="14"/>
  <c r="F100" i="14"/>
  <c r="V100" i="14"/>
  <c r="S101" i="14"/>
  <c r="P102" i="14"/>
  <c r="F91" i="14"/>
  <c r="S168" i="14"/>
  <c r="P169" i="14"/>
  <c r="M170" i="14"/>
  <c r="D173" i="14"/>
  <c r="T173" i="14"/>
  <c r="Q174" i="14"/>
  <c r="N175" i="14"/>
  <c r="K176" i="14"/>
  <c r="H177" i="14"/>
  <c r="R179" i="14"/>
  <c r="P253" i="14"/>
  <c r="M254" i="14"/>
  <c r="J46" i="13"/>
  <c r="J213" i="13" s="1"/>
  <c r="J98" i="13"/>
  <c r="J124" i="13"/>
  <c r="T42" i="14"/>
  <c r="H111" i="14"/>
  <c r="D168" i="14"/>
  <c r="D159" i="14"/>
  <c r="D197" i="14" s="1"/>
  <c r="T168" i="14"/>
  <c r="T159" i="14"/>
  <c r="Q169" i="14"/>
  <c r="K171" i="14"/>
  <c r="E173" i="14"/>
  <c r="U173" i="14"/>
  <c r="R174" i="14"/>
  <c r="O175" i="14"/>
  <c r="L176" i="14"/>
  <c r="I177" i="14"/>
  <c r="F178" i="14"/>
  <c r="V178" i="14"/>
  <c r="S179" i="14"/>
  <c r="O181" i="14"/>
  <c r="L182" i="14"/>
  <c r="I183" i="14"/>
  <c r="F184" i="14"/>
  <c r="V184" i="14"/>
  <c r="S185" i="14"/>
  <c r="P186" i="14"/>
  <c r="M187" i="14"/>
  <c r="D190" i="14"/>
  <c r="T190" i="14"/>
  <c r="Q191" i="14"/>
  <c r="N192" i="14"/>
  <c r="E195" i="14"/>
  <c r="U195" i="14"/>
  <c r="I235" i="14"/>
  <c r="I274" i="14" s="1"/>
  <c r="F235" i="14"/>
  <c r="F274" i="14" s="1"/>
  <c r="Q259" i="14"/>
  <c r="N260" i="14"/>
  <c r="H262" i="14"/>
  <c r="E263" i="14"/>
  <c r="I267" i="14"/>
  <c r="V268" i="14"/>
  <c r="S269" i="14"/>
  <c r="G273" i="14"/>
  <c r="L235" i="14"/>
  <c r="L274" i="14" s="1"/>
  <c r="O245" i="14"/>
  <c r="L246" i="14"/>
  <c r="I247" i="14"/>
  <c r="J252" i="14"/>
  <c r="G253" i="14"/>
  <c r="D254" i="14"/>
  <c r="K263" i="14"/>
  <c r="O235" i="14"/>
  <c r="O274" i="14" s="1"/>
  <c r="S245" i="14"/>
  <c r="E212" i="15"/>
  <c r="E171" i="15"/>
  <c r="E187" i="15"/>
  <c r="E189" i="15"/>
  <c r="E191" i="15"/>
  <c r="E195" i="15"/>
  <c r="E197" i="15"/>
  <c r="E199" i="15"/>
  <c r="E201" i="15"/>
  <c r="E205" i="15"/>
  <c r="F190" i="14"/>
  <c r="S159" i="14"/>
  <c r="S197" i="14" s="1"/>
  <c r="P235" i="14"/>
  <c r="P274" i="14" s="1"/>
  <c r="E254" i="14"/>
  <c r="O256" i="14"/>
  <c r="E260" i="14"/>
  <c r="R261" i="14"/>
  <c r="I264" i="14"/>
  <c r="P267" i="14"/>
  <c r="M268" i="14"/>
  <c r="D271" i="14"/>
  <c r="Q235" i="14"/>
  <c r="Q274" i="14" s="1"/>
  <c r="K128" i="15"/>
  <c r="F170" i="15"/>
  <c r="F181" i="15"/>
  <c r="O81" i="14"/>
  <c r="O120" i="14" s="1"/>
  <c r="G159" i="14"/>
  <c r="G197" i="14" s="1"/>
  <c r="K247" i="14"/>
  <c r="F254" i="14"/>
  <c r="J264" i="14"/>
  <c r="E271" i="14"/>
  <c r="R235" i="14"/>
  <c r="R274" i="14" s="1"/>
  <c r="F87" i="15"/>
  <c r="P81" i="14"/>
  <c r="P120" i="14" s="1"/>
  <c r="E191" i="14"/>
  <c r="U159" i="14"/>
  <c r="U197" i="14" s="1"/>
  <c r="P174" i="14"/>
  <c r="J247" i="14"/>
  <c r="E98" i="15"/>
  <c r="E87" i="15"/>
  <c r="G128" i="15"/>
  <c r="M194" i="14"/>
  <c r="V159" i="14"/>
  <c r="V197" i="14" s="1"/>
  <c r="M247" i="14"/>
  <c r="J248" i="14"/>
  <c r="H254" i="14"/>
  <c r="E255" i="14"/>
  <c r="U255" i="14"/>
  <c r="N258" i="14"/>
  <c r="I265" i="14"/>
  <c r="D272" i="14"/>
  <c r="T235" i="14"/>
  <c r="T274" i="14" s="1"/>
  <c r="F246" i="14"/>
  <c r="J190" i="14"/>
  <c r="G191" i="14"/>
  <c r="D192" i="14"/>
  <c r="T192" i="14"/>
  <c r="N194" i="14"/>
  <c r="K195" i="14"/>
  <c r="H196" i="14"/>
  <c r="E159" i="14"/>
  <c r="E197" i="14" s="1"/>
  <c r="D245" i="14"/>
  <c r="R251" i="14"/>
  <c r="V255" i="14"/>
  <c r="L259" i="14"/>
  <c r="V261" i="14"/>
  <c r="S262" i="14"/>
  <c r="P263" i="14"/>
  <c r="Q268" i="14"/>
  <c r="N269" i="14"/>
  <c r="U272" i="14"/>
  <c r="G98" i="15"/>
  <c r="G100" i="15"/>
  <c r="G102" i="15"/>
  <c r="G106" i="15"/>
  <c r="G108" i="15"/>
  <c r="G114" i="15"/>
  <c r="G116" i="15"/>
  <c r="G118" i="15"/>
  <c r="G120" i="15"/>
  <c r="G122" i="15"/>
  <c r="G124" i="15"/>
  <c r="J88" i="15"/>
  <c r="F181" i="14"/>
  <c r="V181" i="14"/>
  <c r="S182" i="14"/>
  <c r="P183" i="14"/>
  <c r="M184" i="14"/>
  <c r="J185" i="14"/>
  <c r="G186" i="14"/>
  <c r="D187" i="14"/>
  <c r="T187" i="14"/>
  <c r="E192" i="14"/>
  <c r="F159" i="14"/>
  <c r="F197" i="14" s="1"/>
  <c r="E245" i="14"/>
  <c r="E235" i="14"/>
  <c r="E274" i="14" s="1"/>
  <c r="U245" i="14"/>
  <c r="R246" i="14"/>
  <c r="L248" i="14"/>
  <c r="F250" i="14"/>
  <c r="V250" i="14"/>
  <c r="S251" i="14"/>
  <c r="M253" i="14"/>
  <c r="J254" i="14"/>
  <c r="G255" i="14"/>
  <c r="D256" i="14"/>
  <c r="T256" i="14"/>
  <c r="M259" i="14"/>
  <c r="Q263" i="14"/>
  <c r="V272" i="14"/>
  <c r="H98" i="15"/>
  <c r="H100" i="15"/>
  <c r="H102" i="15"/>
  <c r="H108" i="15"/>
  <c r="H110" i="15"/>
  <c r="H114" i="15"/>
  <c r="H116" i="15"/>
  <c r="H118" i="15"/>
  <c r="H120" i="15"/>
  <c r="H124" i="15"/>
  <c r="H126" i="15"/>
  <c r="D187" i="15"/>
  <c r="H254" i="15"/>
  <c r="H275" i="15"/>
  <c r="Q102" i="14"/>
  <c r="R188" i="14"/>
  <c r="M195" i="14"/>
  <c r="H159" i="14"/>
  <c r="H197" i="14" s="1"/>
  <c r="G168" i="14"/>
  <c r="M248" i="14"/>
  <c r="G250" i="14"/>
  <c r="H255" i="14"/>
  <c r="E256" i="14"/>
  <c r="U256" i="14"/>
  <c r="Q258" i="14"/>
  <c r="N259" i="14"/>
  <c r="K260" i="14"/>
  <c r="H261" i="14"/>
  <c r="E262" i="14"/>
  <c r="U262" i="14"/>
  <c r="R263" i="14"/>
  <c r="O264" i="14"/>
  <c r="F267" i="14"/>
  <c r="V267" i="14"/>
  <c r="S268" i="14"/>
  <c r="P269" i="14"/>
  <c r="J271" i="14"/>
  <c r="G272" i="14"/>
  <c r="D273" i="14"/>
  <c r="H182" i="15"/>
  <c r="H45" i="15"/>
  <c r="H295" i="15" s="1"/>
  <c r="H184" i="15"/>
  <c r="H267" i="15"/>
  <c r="H198" i="15"/>
  <c r="H281" i="15"/>
  <c r="H204" i="15"/>
  <c r="H287" i="15"/>
  <c r="D212" i="15"/>
  <c r="J212" i="15"/>
  <c r="I253" i="15"/>
  <c r="I264" i="15"/>
  <c r="M168" i="14"/>
  <c r="J169" i="14"/>
  <c r="G170" i="14"/>
  <c r="D171" i="14"/>
  <c r="T171" i="14"/>
  <c r="N173" i="14"/>
  <c r="K174" i="14"/>
  <c r="H175" i="14"/>
  <c r="E176" i="14"/>
  <c r="U176" i="14"/>
  <c r="R177" i="14"/>
  <c r="O178" i="14"/>
  <c r="L179" i="14"/>
  <c r="I159" i="14"/>
  <c r="I197" i="14" s="1"/>
  <c r="D246" i="14"/>
  <c r="H250" i="14"/>
  <c r="V256" i="14"/>
  <c r="L260" i="14"/>
  <c r="V262" i="14"/>
  <c r="S263" i="14"/>
  <c r="P264" i="14"/>
  <c r="G267" i="14"/>
  <c r="Q269" i="14"/>
  <c r="K271" i="14"/>
  <c r="G245" i="14"/>
  <c r="J295" i="15"/>
  <c r="H235" i="14"/>
  <c r="H274" i="14" s="1"/>
  <c r="I250" i="14"/>
  <c r="F251" i="14"/>
  <c r="G256" i="14"/>
  <c r="M260" i="14"/>
  <c r="Q264" i="14"/>
  <c r="H267" i="14"/>
  <c r="L271" i="14"/>
  <c r="H245" i="14"/>
  <c r="J46" i="15"/>
  <c r="K159" i="14"/>
  <c r="K197" i="14" s="1"/>
  <c r="D258" i="14"/>
  <c r="T258" i="14"/>
  <c r="K261" i="14"/>
  <c r="U263" i="14"/>
  <c r="R264" i="14"/>
  <c r="F268" i="14"/>
  <c r="M271" i="14"/>
  <c r="J272" i="14"/>
  <c r="D235" i="14"/>
  <c r="D274" i="14" s="1"/>
  <c r="I245" i="14"/>
  <c r="D88" i="15"/>
  <c r="H104" i="14"/>
  <c r="E105" i="14"/>
  <c r="U105" i="14"/>
  <c r="R106" i="14"/>
  <c r="O107" i="14"/>
  <c r="L108" i="14"/>
  <c r="I109" i="14"/>
  <c r="F110" i="14"/>
  <c r="V110" i="14"/>
  <c r="S111" i="14"/>
  <c r="M113" i="14"/>
  <c r="J114" i="14"/>
  <c r="G115" i="14"/>
  <c r="Q117" i="14"/>
  <c r="N118" i="14"/>
  <c r="K119" i="14"/>
  <c r="P159" i="14"/>
  <c r="P197" i="14" s="1"/>
  <c r="P190" i="14"/>
  <c r="L159" i="14"/>
  <c r="L197" i="14" s="1"/>
  <c r="D178" i="14"/>
  <c r="L261" i="14"/>
  <c r="G268" i="14"/>
  <c r="D45" i="15"/>
  <c r="D46" i="15" s="1"/>
  <c r="D181" i="15"/>
  <c r="D264" i="15"/>
  <c r="D189" i="15"/>
  <c r="D272" i="15"/>
  <c r="D274" i="15"/>
  <c r="D191" i="15"/>
  <c r="D278" i="15"/>
  <c r="D111" i="15"/>
  <c r="D117" i="15"/>
  <c r="D201" i="15"/>
  <c r="D284" i="15"/>
  <c r="D288" i="15"/>
  <c r="D205" i="15"/>
  <c r="D292" i="15"/>
  <c r="D209" i="15"/>
  <c r="D125" i="15"/>
  <c r="D199" i="15"/>
  <c r="E254" i="15"/>
  <c r="M159" i="14"/>
  <c r="M197" i="14" s="1"/>
  <c r="K245" i="14"/>
  <c r="K235" i="14"/>
  <c r="L250" i="14"/>
  <c r="I251" i="14"/>
  <c r="F252" i="14"/>
  <c r="F258" i="14"/>
  <c r="V258" i="14"/>
  <c r="S259" i="14"/>
  <c r="P260" i="14"/>
  <c r="M261" i="14"/>
  <c r="J262" i="14"/>
  <c r="G263" i="14"/>
  <c r="D264" i="14"/>
  <c r="T264" i="14"/>
  <c r="Q265" i="14"/>
  <c r="K267" i="14"/>
  <c r="H268" i="14"/>
  <c r="E269" i="14"/>
  <c r="U269" i="14"/>
  <c r="O271" i="14"/>
  <c r="L272" i="14"/>
  <c r="I273" i="14"/>
  <c r="E45" i="15"/>
  <c r="E46" i="15" s="1"/>
  <c r="E97" i="15"/>
  <c r="I170" i="15"/>
  <c r="I182" i="15"/>
  <c r="N102" i="14"/>
  <c r="M181" i="14"/>
  <c r="J182" i="14"/>
  <c r="G183" i="14"/>
  <c r="D184" i="14"/>
  <c r="T184" i="14"/>
  <c r="Q185" i="14"/>
  <c r="N186" i="14"/>
  <c r="K187" i="14"/>
  <c r="H188" i="14"/>
  <c r="O191" i="14"/>
  <c r="N159" i="14"/>
  <c r="N197" i="14" s="1"/>
  <c r="G252" i="14"/>
  <c r="Q254" i="14"/>
  <c r="G258" i="14"/>
  <c r="D259" i="14"/>
  <c r="T259" i="14"/>
  <c r="K262" i="14"/>
  <c r="U264" i="14"/>
  <c r="R265" i="14"/>
  <c r="F269" i="14"/>
  <c r="P271" i="14"/>
  <c r="M272" i="14"/>
  <c r="J273" i="14"/>
  <c r="P245" i="14"/>
  <c r="F45" i="15"/>
  <c r="F46" i="15" s="1"/>
  <c r="F97" i="15"/>
  <c r="G103" i="15"/>
  <c r="G105" i="15"/>
  <c r="G107" i="15"/>
  <c r="G111" i="15"/>
  <c r="G115" i="15"/>
  <c r="G117" i="15"/>
  <c r="G121" i="15"/>
  <c r="G125" i="15"/>
  <c r="T195" i="14"/>
  <c r="O159" i="14"/>
  <c r="O197" i="14" s="1"/>
  <c r="U181" i="14"/>
  <c r="M235" i="14"/>
  <c r="M274" i="14" s="1"/>
  <c r="G209" i="15"/>
  <c r="G292" i="15"/>
  <c r="H88" i="15"/>
  <c r="K212" i="15"/>
  <c r="K171" i="15"/>
  <c r="H265" i="15"/>
  <c r="H277" i="15"/>
  <c r="H283" i="15"/>
  <c r="H285" i="15"/>
  <c r="K105" i="15"/>
  <c r="K121" i="15"/>
  <c r="J182" i="15"/>
  <c r="J184" i="15"/>
  <c r="J186" i="15"/>
  <c r="J190" i="15"/>
  <c r="J192" i="15"/>
  <c r="J194" i="15"/>
  <c r="J198" i="15"/>
  <c r="J200" i="15"/>
  <c r="J202" i="15"/>
  <c r="J204" i="15"/>
  <c r="J206" i="15"/>
  <c r="J210" i="15"/>
  <c r="E182" i="15"/>
  <c r="K191" i="15"/>
  <c r="E264" i="15"/>
  <c r="E270" i="15"/>
  <c r="E272" i="15"/>
  <c r="E274" i="15"/>
  <c r="E278" i="15"/>
  <c r="E280" i="15"/>
  <c r="E282" i="15"/>
  <c r="E284" i="15"/>
  <c r="E288" i="15"/>
  <c r="E292" i="15"/>
  <c r="N246" i="16"/>
  <c r="N91" i="16"/>
  <c r="K42" i="16"/>
  <c r="K92" i="16"/>
  <c r="K247" i="16"/>
  <c r="H93" i="16"/>
  <c r="H248" i="16"/>
  <c r="R250" i="16"/>
  <c r="R95" i="16"/>
  <c r="O251" i="16"/>
  <c r="O96" i="16"/>
  <c r="L252" i="16"/>
  <c r="L97" i="16"/>
  <c r="I253" i="16"/>
  <c r="I98" i="16"/>
  <c r="F254" i="16"/>
  <c r="F99" i="16"/>
  <c r="V254" i="16"/>
  <c r="V99" i="16"/>
  <c r="M257" i="16"/>
  <c r="M102" i="16"/>
  <c r="D261" i="16"/>
  <c r="D106" i="16"/>
  <c r="T261" i="16"/>
  <c r="T106" i="16"/>
  <c r="Q262" i="16"/>
  <c r="Q107" i="16"/>
  <c r="N263" i="16"/>
  <c r="N108" i="16"/>
  <c r="K264" i="16"/>
  <c r="K109" i="16"/>
  <c r="H265" i="16"/>
  <c r="H110" i="16"/>
  <c r="R267" i="16"/>
  <c r="R112" i="16"/>
  <c r="O268" i="16"/>
  <c r="O113" i="16"/>
  <c r="L269" i="16"/>
  <c r="L114" i="16"/>
  <c r="I270" i="16"/>
  <c r="I115" i="16"/>
  <c r="K183" i="16"/>
  <c r="D97" i="15"/>
  <c r="O42" i="16"/>
  <c r="E190" i="14"/>
  <c r="U190" i="14"/>
  <c r="R191" i="14"/>
  <c r="O192" i="14"/>
  <c r="I194" i="14"/>
  <c r="F195" i="14"/>
  <c r="V195" i="14"/>
  <c r="J245" i="14"/>
  <c r="G246" i="14"/>
  <c r="D247" i="14"/>
  <c r="Q248" i="14"/>
  <c r="K250" i="14"/>
  <c r="H251" i="14"/>
  <c r="E252" i="14"/>
  <c r="R253" i="14"/>
  <c r="O254" i="14"/>
  <c r="L255" i="14"/>
  <c r="I256" i="14"/>
  <c r="D98" i="15"/>
  <c r="D100" i="15"/>
  <c r="D102" i="15"/>
  <c r="D106" i="15"/>
  <c r="D108" i="15"/>
  <c r="D110" i="15"/>
  <c r="D114" i="15"/>
  <c r="D116" i="15"/>
  <c r="D118" i="15"/>
  <c r="D120" i="15"/>
  <c r="D122" i="15"/>
  <c r="D124" i="15"/>
  <c r="D126" i="15"/>
  <c r="H264" i="15"/>
  <c r="J42" i="16"/>
  <c r="K159" i="16"/>
  <c r="R173" i="16"/>
  <c r="L175" i="16"/>
  <c r="I176" i="16"/>
  <c r="S178" i="16"/>
  <c r="P179" i="16"/>
  <c r="M180" i="16"/>
  <c r="J182" i="16"/>
  <c r="G183" i="16"/>
  <c r="E189" i="16"/>
  <c r="U189" i="16"/>
  <c r="S250" i="16"/>
  <c r="N257" i="16"/>
  <c r="E209" i="15"/>
  <c r="H270" i="15"/>
  <c r="H288" i="15"/>
  <c r="J264" i="15"/>
  <c r="Q42" i="16"/>
  <c r="Q169" i="16"/>
  <c r="P257" i="16"/>
  <c r="P180" i="16"/>
  <c r="J260" i="16"/>
  <c r="J183" i="16"/>
  <c r="E190" i="16"/>
  <c r="E267" i="16"/>
  <c r="L170" i="16"/>
  <c r="K182" i="16"/>
  <c r="P246" i="16"/>
  <c r="P236" i="16"/>
  <c r="R42" i="16"/>
  <c r="R169" i="16"/>
  <c r="L188" i="16"/>
  <c r="L265" i="16"/>
  <c r="F267" i="16"/>
  <c r="F190" i="16"/>
  <c r="G195" i="16"/>
  <c r="G272" i="16"/>
  <c r="T273" i="16"/>
  <c r="T196" i="16"/>
  <c r="H81" i="16"/>
  <c r="H120" i="16" s="1"/>
  <c r="H91" i="16"/>
  <c r="M117" i="16"/>
  <c r="J118" i="16"/>
  <c r="G119" i="16"/>
  <c r="D81" i="16"/>
  <c r="D120" i="16" s="1"/>
  <c r="H100" i="16"/>
  <c r="P159" i="16"/>
  <c r="G181" i="15"/>
  <c r="G187" i="15"/>
  <c r="G189" i="15"/>
  <c r="G191" i="15"/>
  <c r="G195" i="15"/>
  <c r="G197" i="15"/>
  <c r="G199" i="15"/>
  <c r="G201" i="15"/>
  <c r="G205" i="15"/>
  <c r="E190" i="15"/>
  <c r="K199" i="15"/>
  <c r="J288" i="15"/>
  <c r="S169" i="16"/>
  <c r="S91" i="16"/>
  <c r="M171" i="16"/>
  <c r="M248" i="16"/>
  <c r="M42" i="16"/>
  <c r="J172" i="16"/>
  <c r="J94" i="16"/>
  <c r="J249" i="16"/>
  <c r="G250" i="16"/>
  <c r="G95" i="16"/>
  <c r="T251" i="16"/>
  <c r="T96" i="16"/>
  <c r="E101" i="16"/>
  <c r="E256" i="16"/>
  <c r="U256" i="16"/>
  <c r="U101" i="16"/>
  <c r="L260" i="16"/>
  <c r="L183" i="16"/>
  <c r="I184" i="16"/>
  <c r="I261" i="16"/>
  <c r="S186" i="16"/>
  <c r="S263" i="16"/>
  <c r="P187" i="16"/>
  <c r="P264" i="16"/>
  <c r="G267" i="16"/>
  <c r="G190" i="16"/>
  <c r="D268" i="16"/>
  <c r="D191" i="16"/>
  <c r="N193" i="16"/>
  <c r="N270" i="16"/>
  <c r="J104" i="16"/>
  <c r="R107" i="16"/>
  <c r="U173" i="16"/>
  <c r="H212" i="15"/>
  <c r="H171" i="15"/>
  <c r="K264" i="15"/>
  <c r="K253" i="15"/>
  <c r="K270" i="15"/>
  <c r="K272" i="15"/>
  <c r="K274" i="15"/>
  <c r="K276" i="15"/>
  <c r="K278" i="15"/>
  <c r="K280" i="15"/>
  <c r="K282" i="15"/>
  <c r="K284" i="15"/>
  <c r="K288" i="15"/>
  <c r="K292" i="15"/>
  <c r="J120" i="16"/>
  <c r="T81" i="16"/>
  <c r="E94" i="16"/>
  <c r="I98" i="15"/>
  <c r="I100" i="15"/>
  <c r="I102" i="15"/>
  <c r="I106" i="15"/>
  <c r="I108" i="15"/>
  <c r="I110" i="15"/>
  <c r="I114" i="15"/>
  <c r="I116" i="15"/>
  <c r="I118" i="15"/>
  <c r="I120" i="15"/>
  <c r="I122" i="15"/>
  <c r="I124" i="15"/>
  <c r="I126" i="15"/>
  <c r="I209" i="15"/>
  <c r="S100" i="16"/>
  <c r="M114" i="16"/>
  <c r="K97" i="15"/>
  <c r="E281" i="15"/>
  <c r="E283" i="15"/>
  <c r="E285" i="15"/>
  <c r="J91" i="16"/>
  <c r="G105" i="16"/>
  <c r="K209" i="15"/>
  <c r="E181" i="15"/>
  <c r="G42" i="16"/>
  <c r="U94" i="16"/>
  <c r="E42" i="16"/>
  <c r="D42" i="16"/>
  <c r="P101" i="16"/>
  <c r="U111" i="16"/>
  <c r="E266" i="16"/>
  <c r="H181" i="15"/>
  <c r="H269" i="15"/>
  <c r="H273" i="15"/>
  <c r="H291" i="15"/>
  <c r="L81" i="16"/>
  <c r="F81" i="16"/>
  <c r="K104" i="16"/>
  <c r="E106" i="16"/>
  <c r="U106" i="16"/>
  <c r="O108" i="16"/>
  <c r="L109" i="16"/>
  <c r="I110" i="16"/>
  <c r="F111" i="16"/>
  <c r="S112" i="16"/>
  <c r="G159" i="16"/>
  <c r="G169" i="16"/>
  <c r="T170" i="16"/>
  <c r="Q171" i="16"/>
  <c r="N172" i="16"/>
  <c r="U175" i="16"/>
  <c r="R176" i="16"/>
  <c r="I251" i="16"/>
  <c r="H263" i="16"/>
  <c r="I265" i="15"/>
  <c r="E267" i="15"/>
  <c r="N42" i="16"/>
  <c r="H159" i="16"/>
  <c r="H198" i="16" s="1"/>
  <c r="H169" i="16"/>
  <c r="E170" i="16"/>
  <c r="E159" i="16"/>
  <c r="U170" i="16"/>
  <c r="U159" i="16"/>
  <c r="U198" i="16" s="1"/>
  <c r="R171" i="16"/>
  <c r="R159" i="16"/>
  <c r="L173" i="16"/>
  <c r="L159" i="16"/>
  <c r="I174" i="16"/>
  <c r="F175" i="16"/>
  <c r="V175" i="16"/>
  <c r="S176" i="16"/>
  <c r="P177" i="16"/>
  <c r="M178" i="16"/>
  <c r="J179" i="16"/>
  <c r="G180" i="16"/>
  <c r="D182" i="16"/>
  <c r="T182" i="16"/>
  <c r="Q183" i="16"/>
  <c r="N184" i="16"/>
  <c r="K185" i="16"/>
  <c r="H186" i="16"/>
  <c r="E187" i="16"/>
  <c r="U187" i="16"/>
  <c r="R188" i="16"/>
  <c r="O189" i="16"/>
  <c r="L190" i="16"/>
  <c r="I191" i="16"/>
  <c r="F192" i="16"/>
  <c r="V192" i="16"/>
  <c r="S193" i="16"/>
  <c r="M195" i="16"/>
  <c r="J196" i="16"/>
  <c r="G197" i="16"/>
  <c r="D159" i="16"/>
  <c r="G206" i="15"/>
  <c r="G208" i="15"/>
  <c r="G210" i="15"/>
  <c r="G170" i="15"/>
  <c r="J289" i="15"/>
  <c r="J291" i="15"/>
  <c r="J293" i="15"/>
  <c r="S42" i="16"/>
  <c r="S120" i="16" s="1"/>
  <c r="Q81" i="16"/>
  <c r="Q120" i="16" s="1"/>
  <c r="Q91" i="16"/>
  <c r="N81" i="16"/>
  <c r="N92" i="16"/>
  <c r="K93" i="16"/>
  <c r="K81" i="16"/>
  <c r="T107" i="16"/>
  <c r="Q108" i="16"/>
  <c r="N109" i="16"/>
  <c r="H111" i="16"/>
  <c r="E112" i="16"/>
  <c r="U112" i="16"/>
  <c r="R113" i="16"/>
  <c r="O114" i="16"/>
  <c r="L115" i="16"/>
  <c r="V117" i="16"/>
  <c r="S118" i="16"/>
  <c r="P119" i="16"/>
  <c r="K181" i="15"/>
  <c r="L246" i="16"/>
  <c r="L42" i="16"/>
  <c r="M251" i="16"/>
  <c r="M174" i="16"/>
  <c r="J252" i="16"/>
  <c r="J175" i="16"/>
  <c r="T42" i="16"/>
  <c r="R81" i="16"/>
  <c r="R91" i="16"/>
  <c r="O92" i="16"/>
  <c r="I94" i="16"/>
  <c r="F95" i="16"/>
  <c r="V95" i="16"/>
  <c r="V81" i="16"/>
  <c r="V120" i="16" s="1"/>
  <c r="S96" i="16"/>
  <c r="P97" i="16"/>
  <c r="M81" i="16"/>
  <c r="M120" i="16" s="1"/>
  <c r="M98" i="16"/>
  <c r="J99" i="16"/>
  <c r="D101" i="16"/>
  <c r="T101" i="16"/>
  <c r="Q102" i="16"/>
  <c r="N104" i="16"/>
  <c r="K105" i="16"/>
  <c r="H106" i="16"/>
  <c r="E107" i="16"/>
  <c r="U107" i="16"/>
  <c r="R108" i="16"/>
  <c r="O109" i="16"/>
  <c r="L110" i="16"/>
  <c r="I111" i="16"/>
  <c r="F112" i="16"/>
  <c r="V112" i="16"/>
  <c r="S113" i="16"/>
  <c r="P114" i="16"/>
  <c r="M115" i="16"/>
  <c r="G117" i="16"/>
  <c r="D118" i="16"/>
  <c r="T118" i="16"/>
  <c r="Q119" i="16"/>
  <c r="P92" i="16"/>
  <c r="O169" i="16"/>
  <c r="H117" i="16"/>
  <c r="U81" i="16"/>
  <c r="U120" i="16" s="1"/>
  <c r="I159" i="16"/>
  <c r="J174" i="16"/>
  <c r="G175" i="16"/>
  <c r="Q177" i="16"/>
  <c r="N178" i="16"/>
  <c r="R183" i="16"/>
  <c r="O184" i="16"/>
  <c r="F187" i="16"/>
  <c r="V187" i="16"/>
  <c r="M190" i="16"/>
  <c r="J191" i="16"/>
  <c r="G192" i="16"/>
  <c r="T193" i="16"/>
  <c r="H197" i="16"/>
  <c r="P169" i="16"/>
  <c r="Q246" i="16"/>
  <c r="N247" i="16"/>
  <c r="K248" i="16"/>
  <c r="H249" i="16"/>
  <c r="E250" i="16"/>
  <c r="U250" i="16"/>
  <c r="O252" i="16"/>
  <c r="L253" i="16"/>
  <c r="I254" i="16"/>
  <c r="F255" i="16"/>
  <c r="V255" i="16"/>
  <c r="S256" i="16"/>
  <c r="M259" i="16"/>
  <c r="G261" i="16"/>
  <c r="D262" i="16"/>
  <c r="T262" i="16"/>
  <c r="Q263" i="16"/>
  <c r="N264" i="16"/>
  <c r="K265" i="16"/>
  <c r="H266" i="16"/>
  <c r="U267" i="16"/>
  <c r="R268" i="16"/>
  <c r="O269" i="16"/>
  <c r="L270" i="16"/>
  <c r="F272" i="16"/>
  <c r="V272" i="16"/>
  <c r="S273" i="16"/>
  <c r="P274" i="16"/>
  <c r="H267" i="17"/>
  <c r="H255" i="17"/>
  <c r="Q110" i="16"/>
  <c r="L117" i="16"/>
  <c r="J159" i="16"/>
  <c r="J198" i="16" s="1"/>
  <c r="N179" i="16"/>
  <c r="F188" i="16"/>
  <c r="N259" i="16"/>
  <c r="H261" i="16"/>
  <c r="E262" i="16"/>
  <c r="U262" i="16"/>
  <c r="R263" i="16"/>
  <c r="I266" i="16"/>
  <c r="V267" i="16"/>
  <c r="S268" i="16"/>
  <c r="P269" i="16"/>
  <c r="M270" i="16"/>
  <c r="D273" i="16"/>
  <c r="Q274" i="16"/>
  <c r="S93" i="16"/>
  <c r="N100" i="16"/>
  <c r="F108" i="16"/>
  <c r="T114" i="16"/>
  <c r="S246" i="16"/>
  <c r="P247" i="16"/>
  <c r="D251" i="16"/>
  <c r="Q252" i="16"/>
  <c r="N253" i="16"/>
  <c r="K254" i="16"/>
  <c r="R257" i="16"/>
  <c r="O259" i="16"/>
  <c r="F262" i="16"/>
  <c r="V262" i="16"/>
  <c r="M265" i="16"/>
  <c r="J266" i="16"/>
  <c r="T268" i="16"/>
  <c r="Q269" i="16"/>
  <c r="H272" i="16"/>
  <c r="D265" i="15"/>
  <c r="D267" i="15"/>
  <c r="D269" i="15"/>
  <c r="D273" i="15"/>
  <c r="D275" i="15"/>
  <c r="D277" i="15"/>
  <c r="D281" i="15"/>
  <c r="D283" i="15"/>
  <c r="D285" i="15"/>
  <c r="D287" i="15"/>
  <c r="D289" i="15"/>
  <c r="D291" i="15"/>
  <c r="D293" i="15"/>
  <c r="D253" i="15"/>
  <c r="F42" i="16"/>
  <c r="F246" i="16"/>
  <c r="V42" i="16"/>
  <c r="F91" i="16"/>
  <c r="V91" i="16"/>
  <c r="S92" i="16"/>
  <c r="P93" i="16"/>
  <c r="M94" i="16"/>
  <c r="J95" i="16"/>
  <c r="G96" i="16"/>
  <c r="D97" i="16"/>
  <c r="T97" i="16"/>
  <c r="Q98" i="16"/>
  <c r="N99" i="16"/>
  <c r="K100" i="16"/>
  <c r="H101" i="16"/>
  <c r="E102" i="16"/>
  <c r="U102" i="16"/>
  <c r="L169" i="16"/>
  <c r="I170" i="16"/>
  <c r="F171" i="16"/>
  <c r="V171" i="16"/>
  <c r="S172" i="16"/>
  <c r="P173" i="16"/>
  <c r="G176" i="16"/>
  <c r="K180" i="16"/>
  <c r="E183" i="16"/>
  <c r="O185" i="16"/>
  <c r="S189" i="16"/>
  <c r="J192" i="16"/>
  <c r="N196" i="16"/>
  <c r="G91" i="16"/>
  <c r="D92" i="16"/>
  <c r="T92" i="16"/>
  <c r="Q93" i="16"/>
  <c r="N94" i="16"/>
  <c r="K95" i="16"/>
  <c r="H96" i="16"/>
  <c r="E97" i="16"/>
  <c r="U97" i="16"/>
  <c r="R98" i="16"/>
  <c r="O99" i="16"/>
  <c r="L100" i="16"/>
  <c r="I101" i="16"/>
  <c r="F102" i="16"/>
  <c r="V102" i="16"/>
  <c r="M159" i="16"/>
  <c r="M198" i="16" s="1"/>
  <c r="S117" i="16"/>
  <c r="N159" i="16"/>
  <c r="N169" i="16"/>
  <c r="K170" i="16"/>
  <c r="H171" i="16"/>
  <c r="E172" i="16"/>
  <c r="U172" i="16"/>
  <c r="O174" i="16"/>
  <c r="F177" i="16"/>
  <c r="V177" i="16"/>
  <c r="D184" i="16"/>
  <c r="T184" i="16"/>
  <c r="Q185" i="16"/>
  <c r="N186" i="16"/>
  <c r="K187" i="16"/>
  <c r="H188" i="16"/>
  <c r="R190" i="16"/>
  <c r="O191" i="16"/>
  <c r="L192" i="16"/>
  <c r="I193" i="16"/>
  <c r="V194" i="16"/>
  <c r="M197" i="16"/>
  <c r="S247" i="16"/>
  <c r="P248" i="16"/>
  <c r="G251" i="16"/>
  <c r="D252" i="16"/>
  <c r="N254" i="16"/>
  <c r="K255" i="16"/>
  <c r="O260" i="16"/>
  <c r="F263" i="16"/>
  <c r="J267" i="16"/>
  <c r="T269" i="16"/>
  <c r="E274" i="16"/>
  <c r="I262" i="16"/>
  <c r="I246" i="16"/>
  <c r="I42" i="16"/>
  <c r="I81" i="16"/>
  <c r="I120" i="16" s="1"/>
  <c r="E104" i="16"/>
  <c r="U104" i="16"/>
  <c r="R105" i="16"/>
  <c r="O106" i="16"/>
  <c r="L107" i="16"/>
  <c r="I108" i="16"/>
  <c r="F109" i="16"/>
  <c r="V109" i="16"/>
  <c r="S110" i="16"/>
  <c r="P111" i="16"/>
  <c r="M112" i="16"/>
  <c r="J113" i="16"/>
  <c r="G114" i="16"/>
  <c r="D115" i="16"/>
  <c r="T115" i="16"/>
  <c r="N117" i="16"/>
  <c r="K118" i="16"/>
  <c r="H119" i="16"/>
  <c r="E81" i="16"/>
  <c r="S109" i="16"/>
  <c r="O159" i="16"/>
  <c r="S173" i="16"/>
  <c r="P174" i="16"/>
  <c r="G177" i="16"/>
  <c r="D178" i="16"/>
  <c r="N180" i="16"/>
  <c r="H183" i="16"/>
  <c r="E184" i="16"/>
  <c r="O186" i="16"/>
  <c r="L187" i="16"/>
  <c r="I188" i="16"/>
  <c r="V189" i="16"/>
  <c r="S190" i="16"/>
  <c r="J193" i="16"/>
  <c r="D195" i="16"/>
  <c r="Q196" i="16"/>
  <c r="N197" i="16"/>
  <c r="M261" i="16"/>
  <c r="G263" i="16"/>
  <c r="D264" i="16"/>
  <c r="T264" i="16"/>
  <c r="H268" i="16"/>
  <c r="U269" i="16"/>
  <c r="R270" i="16"/>
  <c r="F274" i="16"/>
  <c r="L182" i="16"/>
  <c r="I183" i="16"/>
  <c r="F184" i="16"/>
  <c r="V184" i="16"/>
  <c r="S185" i="16"/>
  <c r="P186" i="16"/>
  <c r="M187" i="16"/>
  <c r="J188" i="16"/>
  <c r="G189" i="16"/>
  <c r="D190" i="16"/>
  <c r="T190" i="16"/>
  <c r="Q191" i="16"/>
  <c r="N192" i="16"/>
  <c r="K193" i="16"/>
  <c r="E195" i="16"/>
  <c r="U195" i="16"/>
  <c r="R196" i="16"/>
  <c r="O197" i="16"/>
  <c r="S159" i="16"/>
  <c r="S198" i="16" s="1"/>
  <c r="D192" i="16"/>
  <c r="H246" i="16"/>
  <c r="H236" i="16"/>
  <c r="H275" i="16" s="1"/>
  <c r="E247" i="16"/>
  <c r="U247" i="16"/>
  <c r="R248" i="16"/>
  <c r="O249" i="16"/>
  <c r="L250" i="16"/>
  <c r="V252" i="16"/>
  <c r="S253" i="16"/>
  <c r="P254" i="16"/>
  <c r="M255" i="16"/>
  <c r="J256" i="16"/>
  <c r="G257" i="16"/>
  <c r="D259" i="16"/>
  <c r="T259" i="16"/>
  <c r="Q260" i="16"/>
  <c r="N261" i="16"/>
  <c r="K262" i="16"/>
  <c r="E264" i="16"/>
  <c r="U264" i="16"/>
  <c r="R265" i="16"/>
  <c r="O266" i="16"/>
  <c r="L267" i="16"/>
  <c r="I268" i="16"/>
  <c r="F269" i="16"/>
  <c r="S270" i="16"/>
  <c r="M272" i="16"/>
  <c r="J273" i="16"/>
  <c r="D236" i="16"/>
  <c r="D275" i="16" s="1"/>
  <c r="D269" i="16"/>
  <c r="G81" i="16"/>
  <c r="G120" i="16" s="1"/>
  <c r="I107" i="16"/>
  <c r="Q159" i="16"/>
  <c r="Q198" i="16" s="1"/>
  <c r="R174" i="16"/>
  <c r="O175" i="16"/>
  <c r="F178" i="16"/>
  <c r="V178" i="16"/>
  <c r="D185" i="16"/>
  <c r="T185" i="16"/>
  <c r="Q186" i="16"/>
  <c r="N187" i="16"/>
  <c r="K188" i="16"/>
  <c r="H189" i="16"/>
  <c r="R191" i="16"/>
  <c r="O192" i="16"/>
  <c r="L193" i="16"/>
  <c r="F195" i="16"/>
  <c r="V195" i="16"/>
  <c r="T159" i="16"/>
  <c r="K236" i="16"/>
  <c r="U183" i="16"/>
  <c r="U260" i="16"/>
  <c r="I264" i="16"/>
  <c r="I187" i="16"/>
  <c r="P190" i="16"/>
  <c r="P267" i="16"/>
  <c r="M191" i="16"/>
  <c r="M268" i="16"/>
  <c r="K197" i="16"/>
  <c r="K274" i="16"/>
  <c r="L91" i="16"/>
  <c r="I92" i="16"/>
  <c r="F93" i="16"/>
  <c r="V93" i="16"/>
  <c r="S94" i="16"/>
  <c r="P95" i="16"/>
  <c r="M96" i="16"/>
  <c r="J97" i="16"/>
  <c r="G98" i="16"/>
  <c r="D99" i="16"/>
  <c r="T99" i="16"/>
  <c r="Q100" i="16"/>
  <c r="N101" i="16"/>
  <c r="K102" i="16"/>
  <c r="H104" i="16"/>
  <c r="E105" i="16"/>
  <c r="U105" i="16"/>
  <c r="R106" i="16"/>
  <c r="O107" i="16"/>
  <c r="L108" i="16"/>
  <c r="I109" i="16"/>
  <c r="F110" i="16"/>
  <c r="V110" i="16"/>
  <c r="S111" i="16"/>
  <c r="P112" i="16"/>
  <c r="M113" i="16"/>
  <c r="J114" i="16"/>
  <c r="G115" i="16"/>
  <c r="Q117" i="16"/>
  <c r="N118" i="16"/>
  <c r="K119" i="16"/>
  <c r="M119" i="16"/>
  <c r="M176" i="16"/>
  <c r="D179" i="16"/>
  <c r="H184" i="16"/>
  <c r="E185" i="16"/>
  <c r="O187" i="16"/>
  <c r="V190" i="16"/>
  <c r="S191" i="16"/>
  <c r="Q197" i="16"/>
  <c r="Q178" i="16"/>
  <c r="J236" i="16"/>
  <c r="J275" i="16" s="1"/>
  <c r="M236" i="16"/>
  <c r="M275" i="16" s="1"/>
  <c r="D254" i="16"/>
  <c r="G97" i="16"/>
  <c r="R104" i="16"/>
  <c r="M111" i="16"/>
  <c r="H118" i="16"/>
  <c r="V185" i="16"/>
  <c r="M188" i="16"/>
  <c r="Q192" i="16"/>
  <c r="H195" i="16"/>
  <c r="R184" i="16"/>
  <c r="E130" i="17"/>
  <c r="E89" i="17"/>
  <c r="S104" i="16"/>
  <c r="N111" i="16"/>
  <c r="V116" i="16"/>
  <c r="I118" i="16"/>
  <c r="L236" i="16"/>
  <c r="I236" i="16"/>
  <c r="F248" i="16"/>
  <c r="P250" i="16"/>
  <c r="T254" i="16"/>
  <c r="K257" i="16"/>
  <c r="H259" i="16"/>
  <c r="E260" i="16"/>
  <c r="L263" i="16"/>
  <c r="V265" i="16"/>
  <c r="G270" i="16"/>
  <c r="Q272" i="16"/>
  <c r="O81" i="16"/>
  <c r="O91" i="16"/>
  <c r="L92" i="16"/>
  <c r="I93" i="16"/>
  <c r="F94" i="16"/>
  <c r="V94" i="16"/>
  <c r="S95" i="16"/>
  <c r="P96" i="16"/>
  <c r="M97" i="16"/>
  <c r="J98" i="16"/>
  <c r="G99" i="16"/>
  <c r="D100" i="16"/>
  <c r="T100" i="16"/>
  <c r="Q101" i="16"/>
  <c r="N102" i="16"/>
  <c r="P94" i="16"/>
  <c r="K101" i="16"/>
  <c r="V108" i="16"/>
  <c r="I169" i="16"/>
  <c r="J246" i="16"/>
  <c r="G89" i="17"/>
  <c r="G130" i="17"/>
  <c r="G172" i="17"/>
  <c r="G183" i="17"/>
  <c r="H206" i="15"/>
  <c r="H208" i="15"/>
  <c r="H210" i="15"/>
  <c r="F264" i="15"/>
  <c r="F253" i="15"/>
  <c r="F270" i="15"/>
  <c r="F272" i="15"/>
  <c r="F274" i="15"/>
  <c r="F278" i="15"/>
  <c r="F280" i="15"/>
  <c r="F282" i="15"/>
  <c r="F284" i="15"/>
  <c r="F288" i="15"/>
  <c r="F292" i="15"/>
  <c r="P42" i="16"/>
  <c r="P81" i="16"/>
  <c r="F169" i="16"/>
  <c r="F159" i="16"/>
  <c r="F198" i="16" s="1"/>
  <c r="V169" i="16"/>
  <c r="V159" i="16"/>
  <c r="V198" i="16" s="1"/>
  <c r="S170" i="16"/>
  <c r="P171" i="16"/>
  <c r="M172" i="16"/>
  <c r="J173" i="16"/>
  <c r="G174" i="16"/>
  <c r="Q176" i="16"/>
  <c r="N177" i="16"/>
  <c r="E180" i="16"/>
  <c r="U180" i="16"/>
  <c r="R182" i="16"/>
  <c r="O183" i="16"/>
  <c r="V186" i="16"/>
  <c r="S187" i="16"/>
  <c r="P188" i="16"/>
  <c r="M189" i="16"/>
  <c r="J190" i="16"/>
  <c r="G191" i="16"/>
  <c r="Q193" i="16"/>
  <c r="K195" i="16"/>
  <c r="H196" i="16"/>
  <c r="E197" i="16"/>
  <c r="U197" i="16"/>
  <c r="H173" i="17"/>
  <c r="H214" i="17"/>
  <c r="K173" i="16"/>
  <c r="H174" i="16"/>
  <c r="E175" i="16"/>
  <c r="L178" i="16"/>
  <c r="V180" i="16"/>
  <c r="S182" i="16"/>
  <c r="P183" i="16"/>
  <c r="G186" i="16"/>
  <c r="D187" i="16"/>
  <c r="N189" i="16"/>
  <c r="K190" i="16"/>
  <c r="H191" i="16"/>
  <c r="U192" i="16"/>
  <c r="R193" i="16"/>
  <c r="I196" i="16"/>
  <c r="F197" i="16"/>
  <c r="V197" i="16"/>
  <c r="H179" i="16"/>
  <c r="N195" i="16"/>
  <c r="O246" i="16"/>
  <c r="O236" i="16"/>
  <c r="L247" i="16"/>
  <c r="I248" i="16"/>
  <c r="F249" i="16"/>
  <c r="F236" i="16"/>
  <c r="F275" i="16" s="1"/>
  <c r="V249" i="16"/>
  <c r="V236" i="16"/>
  <c r="P251" i="16"/>
  <c r="M252" i="16"/>
  <c r="J253" i="16"/>
  <c r="G254" i="16"/>
  <c r="D255" i="16"/>
  <c r="T255" i="16"/>
  <c r="Q256" i="16"/>
  <c r="K259" i="16"/>
  <c r="H260" i="16"/>
  <c r="E261" i="16"/>
  <c r="U261" i="16"/>
  <c r="R262" i="16"/>
  <c r="O263" i="16"/>
  <c r="L264" i="16"/>
  <c r="I265" i="16"/>
  <c r="F266" i="16"/>
  <c r="V266" i="16"/>
  <c r="S267" i="16"/>
  <c r="P268" i="16"/>
  <c r="M269" i="16"/>
  <c r="J270" i="16"/>
  <c r="D272" i="16"/>
  <c r="T272" i="16"/>
  <c r="Q273" i="16"/>
  <c r="N274" i="16"/>
  <c r="V246" i="16"/>
  <c r="I173" i="17"/>
  <c r="Q182" i="16"/>
  <c r="N183" i="16"/>
  <c r="K184" i="16"/>
  <c r="H185" i="16"/>
  <c r="E186" i="16"/>
  <c r="U186" i="16"/>
  <c r="R187" i="16"/>
  <c r="O188" i="16"/>
  <c r="L189" i="16"/>
  <c r="I190" i="16"/>
  <c r="F191" i="16"/>
  <c r="V191" i="16"/>
  <c r="S192" i="16"/>
  <c r="P193" i="16"/>
  <c r="J195" i="16"/>
  <c r="G196" i="16"/>
  <c r="D197" i="16"/>
  <c r="T197" i="16"/>
  <c r="I209" i="17"/>
  <c r="I292" i="17"/>
  <c r="I296" i="17"/>
  <c r="I129" i="17"/>
  <c r="E105" i="17"/>
  <c r="E107" i="17"/>
  <c r="E109" i="17"/>
  <c r="E121" i="17"/>
  <c r="E123" i="17"/>
  <c r="E125" i="17"/>
  <c r="E129" i="17"/>
  <c r="I256" i="17"/>
  <c r="I269" i="17"/>
  <c r="I271" i="17"/>
  <c r="I275" i="17"/>
  <c r="I277" i="17"/>
  <c r="I289" i="17"/>
  <c r="I293" i="17"/>
  <c r="K271" i="17"/>
  <c r="I290" i="17"/>
  <c r="I121" i="18"/>
  <c r="J47" i="17"/>
  <c r="K118" i="17"/>
  <c r="E193" i="17"/>
  <c r="E266" i="17"/>
  <c r="J290" i="17"/>
  <c r="T121" i="18"/>
  <c r="Q199" i="18"/>
  <c r="N236" i="16"/>
  <c r="E99" i="17"/>
  <c r="E119" i="17"/>
  <c r="J125" i="17"/>
  <c r="K128" i="17"/>
  <c r="J183" i="17"/>
  <c r="J185" i="17"/>
  <c r="J187" i="17"/>
  <c r="J189" i="17"/>
  <c r="J191" i="17"/>
  <c r="J193" i="17"/>
  <c r="J195" i="17"/>
  <c r="J197" i="17"/>
  <c r="J199" i="17"/>
  <c r="J201" i="17"/>
  <c r="J203" i="17"/>
  <c r="J205" i="17"/>
  <c r="J207" i="17"/>
  <c r="J209" i="17"/>
  <c r="J211" i="17"/>
  <c r="J213" i="17"/>
  <c r="K210" i="17"/>
  <c r="K269" i="17"/>
  <c r="K283" i="17"/>
  <c r="K285" i="17"/>
  <c r="K46" i="19"/>
  <c r="U196" i="16"/>
  <c r="D46" i="17"/>
  <c r="D47" i="17" s="1"/>
  <c r="H99" i="17"/>
  <c r="H88" i="17"/>
  <c r="K105" i="17"/>
  <c r="K184" i="17"/>
  <c r="K206" i="17"/>
  <c r="D270" i="17"/>
  <c r="D272" i="17"/>
  <c r="D274" i="17"/>
  <c r="D280" i="17"/>
  <c r="D282" i="17"/>
  <c r="D292" i="17"/>
  <c r="D296" i="17"/>
  <c r="I266" i="17"/>
  <c r="R246" i="16"/>
  <c r="O247" i="16"/>
  <c r="L248" i="16"/>
  <c r="I249" i="16"/>
  <c r="F250" i="16"/>
  <c r="V250" i="16"/>
  <c r="S251" i="16"/>
  <c r="P252" i="16"/>
  <c r="M253" i="16"/>
  <c r="J254" i="16"/>
  <c r="G255" i="16"/>
  <c r="D256" i="16"/>
  <c r="T256" i="16"/>
  <c r="Q257" i="16"/>
  <c r="G99" i="17"/>
  <c r="K102" i="17"/>
  <c r="D116" i="17"/>
  <c r="D188" i="17"/>
  <c r="D190" i="17"/>
  <c r="D192" i="17"/>
  <c r="D196" i="17"/>
  <c r="D204" i="17"/>
  <c r="D206" i="17"/>
  <c r="D208" i="17"/>
  <c r="D212" i="17"/>
  <c r="F214" i="17"/>
  <c r="J266" i="17"/>
  <c r="O276" i="18"/>
  <c r="Q236" i="16"/>
  <c r="Q275" i="16" s="1"/>
  <c r="F289" i="17"/>
  <c r="F122" i="17"/>
  <c r="F295" i="17"/>
  <c r="F128" i="17"/>
  <c r="I99" i="17"/>
  <c r="F116" i="17"/>
  <c r="I119" i="17"/>
  <c r="K122" i="17"/>
  <c r="F126" i="17"/>
  <c r="E207" i="17"/>
  <c r="F297" i="17"/>
  <c r="F256" i="17"/>
  <c r="F272" i="17"/>
  <c r="F276" i="17"/>
  <c r="F280" i="17"/>
  <c r="E274" i="17"/>
  <c r="P259" i="16"/>
  <c r="M260" i="16"/>
  <c r="J261" i="16"/>
  <c r="G262" i="16"/>
  <c r="D263" i="16"/>
  <c r="T263" i="16"/>
  <c r="Q264" i="16"/>
  <c r="N265" i="16"/>
  <c r="K266" i="16"/>
  <c r="H267" i="16"/>
  <c r="E268" i="16"/>
  <c r="U268" i="16"/>
  <c r="R269" i="16"/>
  <c r="O270" i="16"/>
  <c r="I272" i="16"/>
  <c r="F273" i="16"/>
  <c r="V273" i="16"/>
  <c r="S274" i="16"/>
  <c r="R236" i="16"/>
  <c r="I46" i="17"/>
  <c r="I47" i="17" s="1"/>
  <c r="K99" i="17"/>
  <c r="K88" i="17"/>
  <c r="F190" i="17"/>
  <c r="F192" i="17"/>
  <c r="F194" i="17"/>
  <c r="F198" i="17"/>
  <c r="F206" i="17"/>
  <c r="F208" i="17"/>
  <c r="F210" i="17"/>
  <c r="J172" i="17"/>
  <c r="E203" i="17"/>
  <c r="I207" i="17"/>
  <c r="I211" i="17"/>
  <c r="G266" i="17"/>
  <c r="G268" i="17"/>
  <c r="G270" i="17"/>
  <c r="G272" i="17"/>
  <c r="G274" i="17"/>
  <c r="G276" i="17"/>
  <c r="G280" i="17"/>
  <c r="G282" i="17"/>
  <c r="G284" i="17"/>
  <c r="G294" i="17"/>
  <c r="J280" i="17"/>
  <c r="D247" i="18"/>
  <c r="D43" i="18"/>
  <c r="D121" i="18" s="1"/>
  <c r="D92" i="18"/>
  <c r="T43" i="18"/>
  <c r="T92" i="18"/>
  <c r="Q248" i="18"/>
  <c r="Q93" i="18"/>
  <c r="N249" i="18"/>
  <c r="N94" i="18"/>
  <c r="E236" i="16"/>
  <c r="E275" i="16" s="1"/>
  <c r="U236" i="16"/>
  <c r="U275" i="16" s="1"/>
  <c r="S236" i="16"/>
  <c r="S275" i="16" s="1"/>
  <c r="K46" i="17"/>
  <c r="D104" i="17"/>
  <c r="D110" i="17"/>
  <c r="D120" i="17"/>
  <c r="D126" i="17"/>
  <c r="D88" i="17"/>
  <c r="K194" i="17"/>
  <c r="E43" i="18"/>
  <c r="T236" i="16"/>
  <c r="I103" i="17"/>
  <c r="H192" i="17"/>
  <c r="H194" i="17"/>
  <c r="H210" i="17"/>
  <c r="K190" i="17"/>
  <c r="I199" i="17"/>
  <c r="G246" i="16"/>
  <c r="D247" i="16"/>
  <c r="T247" i="16"/>
  <c r="Q248" i="16"/>
  <c r="N249" i="16"/>
  <c r="K250" i="16"/>
  <c r="H251" i="16"/>
  <c r="E252" i="16"/>
  <c r="U252" i="16"/>
  <c r="R253" i="16"/>
  <c r="O254" i="16"/>
  <c r="L255" i="16"/>
  <c r="I256" i="16"/>
  <c r="F257" i="16"/>
  <c r="V257" i="16"/>
  <c r="E127" i="17"/>
  <c r="J297" i="17"/>
  <c r="J256" i="17"/>
  <c r="J268" i="17"/>
  <c r="J270" i="17"/>
  <c r="J272" i="17"/>
  <c r="J274" i="17"/>
  <c r="J276" i="17"/>
  <c r="J278" i="17"/>
  <c r="J282" i="17"/>
  <c r="J284" i="17"/>
  <c r="J286" i="17"/>
  <c r="J296" i="17"/>
  <c r="G43" i="18"/>
  <c r="G121" i="18" s="1"/>
  <c r="G92" i="18"/>
  <c r="K96" i="18"/>
  <c r="K174" i="18"/>
  <c r="H97" i="18"/>
  <c r="H175" i="18"/>
  <c r="O178" i="18"/>
  <c r="O100" i="18"/>
  <c r="F103" i="18"/>
  <c r="F181" i="18"/>
  <c r="R121" i="18"/>
  <c r="K251" i="18"/>
  <c r="K275" i="17"/>
  <c r="K192" i="17"/>
  <c r="K279" i="17"/>
  <c r="K196" i="17"/>
  <c r="K198" i="17"/>
  <c r="K281" i="17"/>
  <c r="K291" i="17"/>
  <c r="K208" i="17"/>
  <c r="I89" i="17"/>
  <c r="I130" i="17"/>
  <c r="E213" i="17"/>
  <c r="K255" i="17"/>
  <c r="K266" i="17"/>
  <c r="K268" i="17"/>
  <c r="K272" i="17"/>
  <c r="K274" i="17"/>
  <c r="J170" i="18"/>
  <c r="J160" i="18"/>
  <c r="J89" i="17"/>
  <c r="K120" i="17"/>
  <c r="E187" i="17"/>
  <c r="D267" i="17"/>
  <c r="D269" i="17"/>
  <c r="D271" i="17"/>
  <c r="D273" i="17"/>
  <c r="D275" i="17"/>
  <c r="D277" i="17"/>
  <c r="D279" i="17"/>
  <c r="D281" i="17"/>
  <c r="D283" i="17"/>
  <c r="D285" i="17"/>
  <c r="D287" i="17"/>
  <c r="D289" i="17"/>
  <c r="D291" i="17"/>
  <c r="D293" i="17"/>
  <c r="D295" i="17"/>
  <c r="D255" i="17"/>
  <c r="G236" i="16"/>
  <c r="G275" i="16" s="1"/>
  <c r="E185" i="17"/>
  <c r="E268" i="17"/>
  <c r="K107" i="17"/>
  <c r="J127" i="17"/>
  <c r="D172" i="17"/>
  <c r="D183" i="17"/>
  <c r="D185" i="17"/>
  <c r="D189" i="17"/>
  <c r="D197" i="17"/>
  <c r="D199" i="17"/>
  <c r="D201" i="17"/>
  <c r="D205" i="17"/>
  <c r="D213" i="17"/>
  <c r="K204" i="17"/>
  <c r="E209" i="17"/>
  <c r="E189" i="17"/>
  <c r="E199" i="17"/>
  <c r="E205" i="17"/>
  <c r="E211" i="17"/>
  <c r="F277" i="17"/>
  <c r="F291" i="17"/>
  <c r="I276" i="17"/>
  <c r="V121" i="18"/>
  <c r="G173" i="16"/>
  <c r="D174" i="16"/>
  <c r="T174" i="16"/>
  <c r="Q175" i="16"/>
  <c r="N176" i="16"/>
  <c r="K177" i="16"/>
  <c r="H178" i="16"/>
  <c r="E179" i="16"/>
  <c r="U179" i="16"/>
  <c r="R180" i="16"/>
  <c r="G47" i="17"/>
  <c r="K100" i="17"/>
  <c r="K110" i="17"/>
  <c r="K116" i="17"/>
  <c r="K126" i="17"/>
  <c r="I121" i="17"/>
  <c r="L43" i="18"/>
  <c r="O247" i="18"/>
  <c r="O43" i="18"/>
  <c r="H261" i="18"/>
  <c r="H184" i="18"/>
  <c r="U262" i="18"/>
  <c r="U185" i="18"/>
  <c r="O187" i="18"/>
  <c r="O264" i="18"/>
  <c r="I266" i="18"/>
  <c r="I189" i="18"/>
  <c r="V190" i="18"/>
  <c r="V267" i="18"/>
  <c r="S191" i="18"/>
  <c r="S268" i="18"/>
  <c r="P269" i="18"/>
  <c r="P192" i="18"/>
  <c r="J271" i="18"/>
  <c r="J194" i="18"/>
  <c r="D196" i="18"/>
  <c r="D273" i="18"/>
  <c r="N275" i="18"/>
  <c r="N198" i="18"/>
  <c r="N43" i="18"/>
  <c r="N199" i="18" s="1"/>
  <c r="M92" i="18"/>
  <c r="J93" i="18"/>
  <c r="G94" i="18"/>
  <c r="D95" i="18"/>
  <c r="T95" i="18"/>
  <c r="Q96" i="18"/>
  <c r="N97" i="18"/>
  <c r="K98" i="18"/>
  <c r="H99" i="18"/>
  <c r="E100" i="18"/>
  <c r="U100" i="18"/>
  <c r="R101" i="18"/>
  <c r="O102" i="18"/>
  <c r="L103" i="18"/>
  <c r="I105" i="18"/>
  <c r="F106" i="18"/>
  <c r="V106" i="18"/>
  <c r="S107" i="18"/>
  <c r="P108" i="18"/>
  <c r="M109" i="18"/>
  <c r="J110" i="18"/>
  <c r="G111" i="18"/>
  <c r="D112" i="18"/>
  <c r="T112" i="18"/>
  <c r="Q113" i="18"/>
  <c r="N114" i="18"/>
  <c r="K115" i="18"/>
  <c r="H116" i="18"/>
  <c r="U117" i="18"/>
  <c r="L120" i="18"/>
  <c r="L82" i="18"/>
  <c r="L121" i="18" s="1"/>
  <c r="S92" i="18"/>
  <c r="O116" i="18"/>
  <c r="Q118" i="18"/>
  <c r="K160" i="18"/>
  <c r="R185" i="18"/>
  <c r="S237" i="18"/>
  <c r="S276" i="18" s="1"/>
  <c r="J250" i="18"/>
  <c r="G251" i="18"/>
  <c r="D252" i="18"/>
  <c r="T252" i="18"/>
  <c r="Q253" i="18"/>
  <c r="N254" i="18"/>
  <c r="E257" i="18"/>
  <c r="U257" i="18"/>
  <c r="H262" i="18"/>
  <c r="E263" i="18"/>
  <c r="O265" i="18"/>
  <c r="L266" i="18"/>
  <c r="V268" i="18"/>
  <c r="S269" i="18"/>
  <c r="G188" i="17"/>
  <c r="G204" i="17"/>
  <c r="G173" i="18"/>
  <c r="G250" i="18"/>
  <c r="T174" i="18"/>
  <c r="T251" i="18"/>
  <c r="N253" i="18"/>
  <c r="N176" i="18"/>
  <c r="H255" i="18"/>
  <c r="H178" i="18"/>
  <c r="O181" i="18"/>
  <c r="O258" i="18"/>
  <c r="P43" i="18"/>
  <c r="P199" i="18" s="1"/>
  <c r="M82" i="18"/>
  <c r="M121" i="18" s="1"/>
  <c r="F172" i="18"/>
  <c r="G177" i="18"/>
  <c r="T178" i="18"/>
  <c r="T237" i="18"/>
  <c r="R253" i="18"/>
  <c r="Q43" i="18"/>
  <c r="Q121" i="18" s="1"/>
  <c r="O82" i="18"/>
  <c r="O121" i="18" s="1"/>
  <c r="K105" i="18"/>
  <c r="H106" i="18"/>
  <c r="E107" i="18"/>
  <c r="U107" i="18"/>
  <c r="R108" i="18"/>
  <c r="O109" i="18"/>
  <c r="L110" i="18"/>
  <c r="I111" i="18"/>
  <c r="F112" i="18"/>
  <c r="V112" i="18"/>
  <c r="S113" i="18"/>
  <c r="M115" i="18"/>
  <c r="J116" i="18"/>
  <c r="D118" i="18"/>
  <c r="T118" i="18"/>
  <c r="Q119" i="18"/>
  <c r="N82" i="18"/>
  <c r="V92" i="18"/>
  <c r="G172" i="18"/>
  <c r="Q174" i="18"/>
  <c r="N175" i="18"/>
  <c r="U178" i="18"/>
  <c r="L181" i="18"/>
  <c r="E184" i="18"/>
  <c r="I188" i="18"/>
  <c r="S190" i="18"/>
  <c r="O170" i="18"/>
  <c r="O186" i="18"/>
  <c r="E247" i="18"/>
  <c r="E237" i="18"/>
  <c r="U247" i="18"/>
  <c r="U237" i="18"/>
  <c r="U276" i="18" s="1"/>
  <c r="R248" i="18"/>
  <c r="O249" i="18"/>
  <c r="L250" i="18"/>
  <c r="I251" i="18"/>
  <c r="F252" i="18"/>
  <c r="V252" i="18"/>
  <c r="S253" i="18"/>
  <c r="P254" i="18"/>
  <c r="M255" i="18"/>
  <c r="J256" i="18"/>
  <c r="G257" i="18"/>
  <c r="D258" i="18"/>
  <c r="T258" i="18"/>
  <c r="P260" i="18"/>
  <c r="M261" i="18"/>
  <c r="J262" i="18"/>
  <c r="G263" i="18"/>
  <c r="D264" i="18"/>
  <c r="T264" i="18"/>
  <c r="Q265" i="18"/>
  <c r="N266" i="18"/>
  <c r="K267" i="18"/>
  <c r="H268" i="18"/>
  <c r="U269" i="18"/>
  <c r="R270" i="18"/>
  <c r="F274" i="18"/>
  <c r="V274" i="18"/>
  <c r="S275" i="18"/>
  <c r="K255" i="18"/>
  <c r="F273" i="18"/>
  <c r="K183" i="19"/>
  <c r="K171" i="19"/>
  <c r="D47" i="21"/>
  <c r="D131" i="21"/>
  <c r="R43" i="18"/>
  <c r="R276" i="18" s="1"/>
  <c r="P92" i="18"/>
  <c r="P82" i="18"/>
  <c r="N98" i="18"/>
  <c r="K99" i="18"/>
  <c r="H100" i="18"/>
  <c r="E101" i="18"/>
  <c r="U101" i="18"/>
  <c r="R102" i="18"/>
  <c r="O103" i="18"/>
  <c r="E118" i="18"/>
  <c r="U118" i="18"/>
  <c r="R119" i="18"/>
  <c r="O120" i="18"/>
  <c r="F119" i="18"/>
  <c r="I183" i="18"/>
  <c r="F184" i="18"/>
  <c r="P186" i="18"/>
  <c r="M187" i="18"/>
  <c r="J188" i="18"/>
  <c r="G189" i="18"/>
  <c r="D190" i="18"/>
  <c r="T190" i="18"/>
  <c r="K193" i="18"/>
  <c r="H194" i="18"/>
  <c r="U195" i="18"/>
  <c r="R196" i="18"/>
  <c r="O197" i="18"/>
  <c r="P170" i="18"/>
  <c r="V237" i="18"/>
  <c r="V276" i="18" s="1"/>
  <c r="L255" i="18"/>
  <c r="Q274" i="18"/>
  <c r="O115" i="18"/>
  <c r="F118" i="18"/>
  <c r="V118" i="18"/>
  <c r="S119" i="18"/>
  <c r="P120" i="18"/>
  <c r="O199" i="18"/>
  <c r="I172" i="18"/>
  <c r="F173" i="18"/>
  <c r="V173" i="18"/>
  <c r="S174" i="18"/>
  <c r="P175" i="18"/>
  <c r="M176" i="18"/>
  <c r="D179" i="18"/>
  <c r="T179" i="18"/>
  <c r="Q180" i="18"/>
  <c r="N181" i="18"/>
  <c r="R186" i="18"/>
  <c r="G196" i="18"/>
  <c r="D248" i="18"/>
  <c r="D237" i="18"/>
  <c r="T248" i="18"/>
  <c r="Q249" i="18"/>
  <c r="N250" i="18"/>
  <c r="H252" i="18"/>
  <c r="E253" i="18"/>
  <c r="U253" i="18"/>
  <c r="R254" i="18"/>
  <c r="O255" i="18"/>
  <c r="L256" i="18"/>
  <c r="I257" i="18"/>
  <c r="F258" i="18"/>
  <c r="V258" i="18"/>
  <c r="R260" i="18"/>
  <c r="O261" i="18"/>
  <c r="L262" i="18"/>
  <c r="I263" i="18"/>
  <c r="F264" i="18"/>
  <c r="V264" i="18"/>
  <c r="S265" i="18"/>
  <c r="P266" i="18"/>
  <c r="M267" i="18"/>
  <c r="J268" i="18"/>
  <c r="G269" i="18"/>
  <c r="D270" i="18"/>
  <c r="T270" i="18"/>
  <c r="Q271" i="18"/>
  <c r="K273" i="18"/>
  <c r="H274" i="18"/>
  <c r="E275" i="18"/>
  <c r="U275" i="18"/>
  <c r="R274" i="18"/>
  <c r="E172" i="19"/>
  <c r="M184" i="18"/>
  <c r="M106" i="18"/>
  <c r="D187" i="18"/>
  <c r="D109" i="18"/>
  <c r="H191" i="18"/>
  <c r="H113" i="18"/>
  <c r="R193" i="18"/>
  <c r="R115" i="18"/>
  <c r="R92" i="18"/>
  <c r="O93" i="18"/>
  <c r="L94" i="18"/>
  <c r="I95" i="18"/>
  <c r="F96" i="18"/>
  <c r="V96" i="18"/>
  <c r="S97" i="18"/>
  <c r="P98" i="18"/>
  <c r="M99" i="18"/>
  <c r="J100" i="18"/>
  <c r="G101" i="18"/>
  <c r="D102" i="18"/>
  <c r="T102" i="18"/>
  <c r="Q103" i="18"/>
  <c r="N105" i="18"/>
  <c r="K106" i="18"/>
  <c r="H107" i="18"/>
  <c r="E108" i="18"/>
  <c r="U108" i="18"/>
  <c r="R109" i="18"/>
  <c r="O110" i="18"/>
  <c r="L111" i="18"/>
  <c r="I112" i="18"/>
  <c r="F113" i="18"/>
  <c r="V113" i="18"/>
  <c r="M116" i="18"/>
  <c r="G118" i="18"/>
  <c r="D119" i="18"/>
  <c r="T119" i="18"/>
  <c r="Q120" i="18"/>
  <c r="G93" i="18"/>
  <c r="I101" i="18"/>
  <c r="I119" i="18"/>
  <c r="J172" i="18"/>
  <c r="D174" i="18"/>
  <c r="E179" i="18"/>
  <c r="R180" i="18"/>
  <c r="K183" i="18"/>
  <c r="L188" i="18"/>
  <c r="F190" i="18"/>
  <c r="T196" i="18"/>
  <c r="N171" i="18"/>
  <c r="V181" i="18"/>
  <c r="I196" i="18"/>
  <c r="H276" i="18"/>
  <c r="E248" i="18"/>
  <c r="U248" i="18"/>
  <c r="R249" i="18"/>
  <c r="O250" i="18"/>
  <c r="L251" i="18"/>
  <c r="I252" i="18"/>
  <c r="F253" i="18"/>
  <c r="V253" i="18"/>
  <c r="S254" i="18"/>
  <c r="P255" i="18"/>
  <c r="M256" i="18"/>
  <c r="J257" i="18"/>
  <c r="G258" i="18"/>
  <c r="S260" i="18"/>
  <c r="P261" i="18"/>
  <c r="M262" i="18"/>
  <c r="J263" i="18"/>
  <c r="G264" i="18"/>
  <c r="D265" i="18"/>
  <c r="T265" i="18"/>
  <c r="Q266" i="18"/>
  <c r="K268" i="18"/>
  <c r="H269" i="18"/>
  <c r="E270" i="18"/>
  <c r="U270" i="18"/>
  <c r="V275" i="18"/>
  <c r="U256" i="18"/>
  <c r="U268" i="18"/>
  <c r="E295" i="17"/>
  <c r="E255" i="17"/>
  <c r="U43" i="18"/>
  <c r="S82" i="18"/>
  <c r="S121" i="18" s="1"/>
  <c r="L106" i="18"/>
  <c r="Q170" i="18"/>
  <c r="H173" i="18"/>
  <c r="E174" i="18"/>
  <c r="U174" i="18"/>
  <c r="R175" i="18"/>
  <c r="O176" i="18"/>
  <c r="L177" i="18"/>
  <c r="V179" i="18"/>
  <c r="S180" i="18"/>
  <c r="P181" i="18"/>
  <c r="L183" i="18"/>
  <c r="I184" i="18"/>
  <c r="F185" i="18"/>
  <c r="V185" i="18"/>
  <c r="S186" i="18"/>
  <c r="J189" i="18"/>
  <c r="G190" i="18"/>
  <c r="D191" i="18"/>
  <c r="T191" i="18"/>
  <c r="Q192" i="18"/>
  <c r="N193" i="18"/>
  <c r="E196" i="18"/>
  <c r="O171" i="18"/>
  <c r="M192" i="18"/>
  <c r="D260" i="18"/>
  <c r="Q261" i="18"/>
  <c r="R266" i="18"/>
  <c r="L268" i="18"/>
  <c r="I269" i="18"/>
  <c r="F270" i="18"/>
  <c r="M273" i="18"/>
  <c r="G275" i="18"/>
  <c r="G247" i="18"/>
  <c r="J270" i="18"/>
  <c r="F183" i="17"/>
  <c r="F185" i="17"/>
  <c r="F187" i="17"/>
  <c r="F189" i="17"/>
  <c r="F191" i="17"/>
  <c r="F193" i="17"/>
  <c r="F197" i="17"/>
  <c r="F199" i="17"/>
  <c r="F201" i="17"/>
  <c r="F203" i="17"/>
  <c r="F205" i="17"/>
  <c r="F207" i="17"/>
  <c r="F209" i="17"/>
  <c r="F211" i="17"/>
  <c r="F213" i="17"/>
  <c r="F43" i="18"/>
  <c r="F121" i="18" s="1"/>
  <c r="V43" i="18"/>
  <c r="V119" i="18"/>
  <c r="J177" i="18"/>
  <c r="Q187" i="18"/>
  <c r="J237" i="18"/>
  <c r="J276" i="18" s="1"/>
  <c r="H247" i="18"/>
  <c r="D46" i="19"/>
  <c r="L273" i="18"/>
  <c r="L118" i="18"/>
  <c r="E92" i="18"/>
  <c r="E82" i="18"/>
  <c r="U92" i="18"/>
  <c r="U82" i="18"/>
  <c r="F92" i="18"/>
  <c r="S170" i="18"/>
  <c r="S160" i="18"/>
  <c r="S199" i="18" s="1"/>
  <c r="P171" i="18"/>
  <c r="G174" i="18"/>
  <c r="D175" i="18"/>
  <c r="T175" i="18"/>
  <c r="Q176" i="18"/>
  <c r="N177" i="18"/>
  <c r="K178" i="18"/>
  <c r="U180" i="18"/>
  <c r="R181" i="18"/>
  <c r="N183" i="18"/>
  <c r="K184" i="18"/>
  <c r="H185" i="18"/>
  <c r="E186" i="18"/>
  <c r="U186" i="18"/>
  <c r="R187" i="18"/>
  <c r="I190" i="18"/>
  <c r="F191" i="18"/>
  <c r="V191" i="18"/>
  <c r="S192" i="18"/>
  <c r="P193" i="18"/>
  <c r="M194" i="18"/>
  <c r="D197" i="18"/>
  <c r="T197" i="18"/>
  <c r="Q198" i="18"/>
  <c r="K177" i="18"/>
  <c r="P183" i="18"/>
  <c r="K129" i="19"/>
  <c r="K88" i="19"/>
  <c r="E255" i="19"/>
  <c r="H96" i="18"/>
  <c r="D170" i="18"/>
  <c r="D160" i="18"/>
  <c r="T170" i="18"/>
  <c r="T160" i="18"/>
  <c r="Q171" i="18"/>
  <c r="K173" i="18"/>
  <c r="H174" i="18"/>
  <c r="E175" i="18"/>
  <c r="U175" i="18"/>
  <c r="R176" i="18"/>
  <c r="O177" i="18"/>
  <c r="L178" i="18"/>
  <c r="F180" i="18"/>
  <c r="V180" i="18"/>
  <c r="S181" i="18"/>
  <c r="O183" i="18"/>
  <c r="L184" i="18"/>
  <c r="G178" i="18"/>
  <c r="I248" i="18"/>
  <c r="F249" i="18"/>
  <c r="M252" i="18"/>
  <c r="J253" i="18"/>
  <c r="D255" i="18"/>
  <c r="T255" i="18"/>
  <c r="Q256" i="18"/>
  <c r="N257" i="18"/>
  <c r="O260" i="18"/>
  <c r="R271" i="18"/>
  <c r="D87" i="19"/>
  <c r="I92" i="18"/>
  <c r="H105" i="18"/>
  <c r="E170" i="18"/>
  <c r="U160" i="18"/>
  <c r="U199" i="18" s="1"/>
  <c r="R171" i="18"/>
  <c r="O172" i="18"/>
  <c r="F175" i="18"/>
  <c r="V175" i="18"/>
  <c r="S176" i="18"/>
  <c r="M178" i="18"/>
  <c r="J179" i="18"/>
  <c r="J185" i="18"/>
  <c r="G186" i="18"/>
  <c r="T187" i="18"/>
  <c r="Q188" i="18"/>
  <c r="E192" i="18"/>
  <c r="U192" i="18"/>
  <c r="O194" i="18"/>
  <c r="S198" i="18"/>
  <c r="I178" i="18"/>
  <c r="M193" i="18"/>
  <c r="J248" i="18"/>
  <c r="G249" i="18"/>
  <c r="T250" i="18"/>
  <c r="Q251" i="18"/>
  <c r="N252" i="18"/>
  <c r="K253" i="18"/>
  <c r="E255" i="18"/>
  <c r="U255" i="18"/>
  <c r="O257" i="18"/>
  <c r="L258" i="18"/>
  <c r="H260" i="18"/>
  <c r="E261" i="18"/>
  <c r="R262" i="18"/>
  <c r="O263" i="18"/>
  <c r="L264" i="18"/>
  <c r="V266" i="18"/>
  <c r="S267" i="18"/>
  <c r="P268" i="18"/>
  <c r="M269" i="18"/>
  <c r="G271" i="18"/>
  <c r="Q273" i="18"/>
  <c r="N274" i="18"/>
  <c r="V249" i="18"/>
  <c r="E99" i="19"/>
  <c r="E87" i="19"/>
  <c r="H129" i="19"/>
  <c r="H88" i="19"/>
  <c r="J43" i="18"/>
  <c r="H82" i="18"/>
  <c r="H121" i="18" s="1"/>
  <c r="T105" i="18"/>
  <c r="Q106" i="18"/>
  <c r="N107" i="18"/>
  <c r="K108" i="18"/>
  <c r="H109" i="18"/>
  <c r="E110" i="18"/>
  <c r="U110" i="18"/>
  <c r="R111" i="18"/>
  <c r="O112" i="18"/>
  <c r="L113" i="18"/>
  <c r="I114" i="18"/>
  <c r="S116" i="18"/>
  <c r="J119" i="18"/>
  <c r="F120" i="18"/>
  <c r="F170" i="18"/>
  <c r="F160" i="18"/>
  <c r="V170" i="18"/>
  <c r="V160" i="18"/>
  <c r="V199" i="18" s="1"/>
  <c r="S171" i="18"/>
  <c r="P172" i="18"/>
  <c r="J174" i="18"/>
  <c r="G175" i="18"/>
  <c r="D176" i="18"/>
  <c r="T176" i="18"/>
  <c r="Q177" i="18"/>
  <c r="N178" i="18"/>
  <c r="K179" i="18"/>
  <c r="E181" i="18"/>
  <c r="U181" i="18"/>
  <c r="Q183" i="18"/>
  <c r="N184" i="18"/>
  <c r="K185" i="18"/>
  <c r="H186" i="18"/>
  <c r="E187" i="18"/>
  <c r="U187" i="18"/>
  <c r="R188" i="18"/>
  <c r="L190" i="18"/>
  <c r="I191" i="18"/>
  <c r="F192" i="18"/>
  <c r="V192" i="18"/>
  <c r="S193" i="18"/>
  <c r="P194" i="18"/>
  <c r="G197" i="18"/>
  <c r="D198" i="18"/>
  <c r="T198" i="18"/>
  <c r="N237" i="18"/>
  <c r="I260" i="18"/>
  <c r="S262" i="18"/>
  <c r="M264" i="18"/>
  <c r="J265" i="18"/>
  <c r="D267" i="18"/>
  <c r="T267" i="18"/>
  <c r="N269" i="18"/>
  <c r="R273" i="18"/>
  <c r="D250" i="18"/>
  <c r="E262" i="18"/>
  <c r="H46" i="19"/>
  <c r="D99" i="17"/>
  <c r="D101" i="17"/>
  <c r="D103" i="17"/>
  <c r="D105" i="17"/>
  <c r="D107" i="17"/>
  <c r="D109" i="17"/>
  <c r="D113" i="17"/>
  <c r="D115" i="17"/>
  <c r="D117" i="17"/>
  <c r="D119" i="17"/>
  <c r="D121" i="17"/>
  <c r="D123" i="17"/>
  <c r="D125" i="17"/>
  <c r="D127" i="17"/>
  <c r="D129" i="17"/>
  <c r="E105" i="18"/>
  <c r="U105" i="18"/>
  <c r="R106" i="18"/>
  <c r="O107" i="18"/>
  <c r="L108" i="18"/>
  <c r="I109" i="18"/>
  <c r="F110" i="18"/>
  <c r="V110" i="18"/>
  <c r="S111" i="18"/>
  <c r="P112" i="18"/>
  <c r="M113" i="18"/>
  <c r="G170" i="18"/>
  <c r="D171" i="18"/>
  <c r="T171" i="18"/>
  <c r="Q172" i="18"/>
  <c r="N173" i="18"/>
  <c r="E176" i="18"/>
  <c r="U176" i="18"/>
  <c r="R177" i="18"/>
  <c r="L179" i="18"/>
  <c r="I180" i="18"/>
  <c r="N189" i="18"/>
  <c r="E183" i="17"/>
  <c r="U106" i="18"/>
  <c r="U184" i="18"/>
  <c r="L187" i="18"/>
  <c r="L109" i="18"/>
  <c r="F111" i="18"/>
  <c r="F189" i="18"/>
  <c r="V111" i="18"/>
  <c r="V189" i="18"/>
  <c r="P113" i="18"/>
  <c r="P191" i="18"/>
  <c r="N119" i="18"/>
  <c r="N197" i="18"/>
  <c r="K43" i="18"/>
  <c r="K121" i="18" s="1"/>
  <c r="J82" i="18"/>
  <c r="J121" i="18" s="1"/>
  <c r="U97" i="18"/>
  <c r="H170" i="18"/>
  <c r="E171" i="18"/>
  <c r="U171" i="18"/>
  <c r="R172" i="18"/>
  <c r="O173" i="18"/>
  <c r="I175" i="18"/>
  <c r="F176" i="18"/>
  <c r="V176" i="18"/>
  <c r="S177" i="18"/>
  <c r="P178" i="18"/>
  <c r="M179" i="18"/>
  <c r="J180" i="18"/>
  <c r="F88" i="17"/>
  <c r="L275" i="18"/>
  <c r="L198" i="18"/>
  <c r="O92" i="18"/>
  <c r="I170" i="18"/>
  <c r="D183" i="18"/>
  <c r="N185" i="18"/>
  <c r="K186" i="18"/>
  <c r="H187" i="18"/>
  <c r="E188" i="18"/>
  <c r="U188" i="18"/>
  <c r="R189" i="18"/>
  <c r="I192" i="18"/>
  <c r="F193" i="18"/>
  <c r="V193" i="18"/>
  <c r="S194" i="18"/>
  <c r="M196" i="18"/>
  <c r="K190" i="18"/>
  <c r="Q237" i="18"/>
  <c r="H250" i="18"/>
  <c r="U251" i="18"/>
  <c r="L254" i="18"/>
  <c r="P264" i="18"/>
  <c r="M265" i="18"/>
  <c r="J266" i="18"/>
  <c r="K271" i="18"/>
  <c r="Q252" i="18"/>
  <c r="I88" i="19"/>
  <c r="E269" i="18"/>
  <c r="I273" i="18"/>
  <c r="H187" i="19"/>
  <c r="H191" i="19"/>
  <c r="H195" i="19"/>
  <c r="H197" i="19"/>
  <c r="H203" i="19"/>
  <c r="H207" i="19"/>
  <c r="J296" i="19"/>
  <c r="N82" i="20"/>
  <c r="N121" i="20" s="1"/>
  <c r="N92" i="20"/>
  <c r="R118" i="20"/>
  <c r="O119" i="20"/>
  <c r="J114" i="18"/>
  <c r="G115" i="18"/>
  <c r="D116" i="18"/>
  <c r="T116" i="18"/>
  <c r="N118" i="18"/>
  <c r="K119" i="18"/>
  <c r="H120" i="18"/>
  <c r="F247" i="18"/>
  <c r="V247" i="18"/>
  <c r="S248" i="18"/>
  <c r="P249" i="18"/>
  <c r="M250" i="18"/>
  <c r="J251" i="18"/>
  <c r="G252" i="18"/>
  <c r="D253" i="18"/>
  <c r="T253" i="18"/>
  <c r="Q254" i="18"/>
  <c r="N255" i="18"/>
  <c r="K256" i="18"/>
  <c r="H257" i="18"/>
  <c r="E258" i="18"/>
  <c r="U258" i="18"/>
  <c r="Q260" i="18"/>
  <c r="N261" i="18"/>
  <c r="K262" i="18"/>
  <c r="H263" i="18"/>
  <c r="E264" i="18"/>
  <c r="U264" i="18"/>
  <c r="R265" i="18"/>
  <c r="O266" i="18"/>
  <c r="L267" i="18"/>
  <c r="I268" i="18"/>
  <c r="F269" i="18"/>
  <c r="V269" i="18"/>
  <c r="S270" i="18"/>
  <c r="P271" i="18"/>
  <c r="J273" i="18"/>
  <c r="G274" i="18"/>
  <c r="D275" i="18"/>
  <c r="T275" i="18"/>
  <c r="I118" i="19"/>
  <c r="I185" i="19"/>
  <c r="I187" i="19"/>
  <c r="I193" i="19"/>
  <c r="I195" i="19"/>
  <c r="I197" i="19"/>
  <c r="I203" i="19"/>
  <c r="I205" i="19"/>
  <c r="I209" i="19"/>
  <c r="I211" i="19"/>
  <c r="K265" i="19"/>
  <c r="K254" i="19"/>
  <c r="I93" i="20"/>
  <c r="T114" i="18"/>
  <c r="R160" i="18"/>
  <c r="I247" i="18"/>
  <c r="I237" i="18"/>
  <c r="I276" i="18" s="1"/>
  <c r="F248" i="18"/>
  <c r="V248" i="18"/>
  <c r="S249" i="18"/>
  <c r="P250" i="18"/>
  <c r="M251" i="18"/>
  <c r="J252" i="18"/>
  <c r="G253" i="18"/>
  <c r="D254" i="18"/>
  <c r="T254" i="18"/>
  <c r="Q255" i="18"/>
  <c r="N256" i="18"/>
  <c r="K257" i="18"/>
  <c r="H258" i="18"/>
  <c r="T260" i="18"/>
  <c r="H264" i="18"/>
  <c r="E265" i="18"/>
  <c r="S271" i="18"/>
  <c r="J274" i="18"/>
  <c r="J247" i="18"/>
  <c r="F129" i="19"/>
  <c r="F88" i="19"/>
  <c r="D213" i="19"/>
  <c r="I201" i="19"/>
  <c r="D249" i="20"/>
  <c r="D42" i="20"/>
  <c r="T42" i="20"/>
  <c r="Q250" i="20"/>
  <c r="Q173" i="20"/>
  <c r="R255" i="20"/>
  <c r="R178" i="20"/>
  <c r="V260" i="20"/>
  <c r="V183" i="20"/>
  <c r="E271" i="20"/>
  <c r="E194" i="20"/>
  <c r="I275" i="20"/>
  <c r="I198" i="20"/>
  <c r="E47" i="21"/>
  <c r="E260" i="18"/>
  <c r="U260" i="18"/>
  <c r="R261" i="18"/>
  <c r="O262" i="18"/>
  <c r="L263" i="18"/>
  <c r="I264" i="18"/>
  <c r="F265" i="18"/>
  <c r="V265" i="18"/>
  <c r="S266" i="18"/>
  <c r="P267" i="18"/>
  <c r="M268" i="18"/>
  <c r="J269" i="18"/>
  <c r="G270" i="18"/>
  <c r="D271" i="18"/>
  <c r="T271" i="18"/>
  <c r="N273" i="18"/>
  <c r="K274" i="18"/>
  <c r="H275" i="18"/>
  <c r="H272" i="19"/>
  <c r="H189" i="19"/>
  <c r="J87" i="19"/>
  <c r="S255" i="20"/>
  <c r="S100" i="20"/>
  <c r="K42" i="20"/>
  <c r="J105" i="20"/>
  <c r="R183" i="18"/>
  <c r="O184" i="18"/>
  <c r="L185" i="18"/>
  <c r="I186" i="18"/>
  <c r="F187" i="18"/>
  <c r="V187" i="18"/>
  <c r="S188" i="18"/>
  <c r="P189" i="18"/>
  <c r="M190" i="18"/>
  <c r="J191" i="18"/>
  <c r="G192" i="18"/>
  <c r="D193" i="18"/>
  <c r="T193" i="18"/>
  <c r="Q194" i="18"/>
  <c r="K196" i="18"/>
  <c r="H197" i="18"/>
  <c r="E198" i="18"/>
  <c r="U198" i="18"/>
  <c r="K237" i="18"/>
  <c r="K276" i="18" s="1"/>
  <c r="E249" i="18"/>
  <c r="O251" i="18"/>
  <c r="V254" i="18"/>
  <c r="S255" i="18"/>
  <c r="F260" i="18"/>
  <c r="V260" i="18"/>
  <c r="Q267" i="18"/>
  <c r="H270" i="18"/>
  <c r="O273" i="18"/>
  <c r="L274" i="18"/>
  <c r="F237" i="18"/>
  <c r="N247" i="18"/>
  <c r="H99" i="19"/>
  <c r="H101" i="19"/>
  <c r="H103" i="19"/>
  <c r="H105" i="19"/>
  <c r="H107" i="19"/>
  <c r="H109" i="19"/>
  <c r="H111" i="19"/>
  <c r="H113" i="19"/>
  <c r="H115" i="19"/>
  <c r="H117" i="19"/>
  <c r="H119" i="19"/>
  <c r="H121" i="19"/>
  <c r="H123" i="19"/>
  <c r="H125" i="19"/>
  <c r="H127" i="19"/>
  <c r="G120" i="19"/>
  <c r="H266" i="19"/>
  <c r="H270" i="19"/>
  <c r="H274" i="19"/>
  <c r="H294" i="19"/>
  <c r="I42" i="20"/>
  <c r="I121" i="20" s="1"/>
  <c r="S183" i="18"/>
  <c r="P184" i="18"/>
  <c r="M185" i="18"/>
  <c r="J186" i="18"/>
  <c r="G187" i="18"/>
  <c r="D188" i="18"/>
  <c r="T188" i="18"/>
  <c r="Q189" i="18"/>
  <c r="N190" i="18"/>
  <c r="K191" i="18"/>
  <c r="H192" i="18"/>
  <c r="E193" i="18"/>
  <c r="U193" i="18"/>
  <c r="R194" i="18"/>
  <c r="L196" i="18"/>
  <c r="I197" i="18"/>
  <c r="F198" i="18"/>
  <c r="V198" i="18"/>
  <c r="L237" i="18"/>
  <c r="L276" i="18" s="1"/>
  <c r="L247" i="18"/>
  <c r="S250" i="18"/>
  <c r="P251" i="18"/>
  <c r="K258" i="18"/>
  <c r="N263" i="18"/>
  <c r="E266" i="18"/>
  <c r="L269" i="18"/>
  <c r="I270" i="18"/>
  <c r="M274" i="18"/>
  <c r="G184" i="19"/>
  <c r="G188" i="19"/>
  <c r="G190" i="19"/>
  <c r="G206" i="19"/>
  <c r="G212" i="19"/>
  <c r="I266" i="19"/>
  <c r="M170" i="20"/>
  <c r="M247" i="20"/>
  <c r="M42" i="20"/>
  <c r="G249" i="20"/>
  <c r="G172" i="20"/>
  <c r="D250" i="20"/>
  <c r="D173" i="20"/>
  <c r="T173" i="20"/>
  <c r="T95" i="20"/>
  <c r="H254" i="20"/>
  <c r="H177" i="20"/>
  <c r="E255" i="20"/>
  <c r="E178" i="20"/>
  <c r="U255" i="20"/>
  <c r="U178" i="20"/>
  <c r="R256" i="20"/>
  <c r="R179" i="20"/>
  <c r="L258" i="20"/>
  <c r="L181" i="20"/>
  <c r="I183" i="20"/>
  <c r="I260" i="20"/>
  <c r="F261" i="20"/>
  <c r="F184" i="20"/>
  <c r="V184" i="20"/>
  <c r="V261" i="20"/>
  <c r="P263" i="20"/>
  <c r="P186" i="20"/>
  <c r="M187" i="20"/>
  <c r="M264" i="20"/>
  <c r="J265" i="20"/>
  <c r="J188" i="20"/>
  <c r="G189" i="20"/>
  <c r="G266" i="20"/>
  <c r="N192" i="20"/>
  <c r="N269" i="20"/>
  <c r="K193" i="20"/>
  <c r="K270" i="20"/>
  <c r="H271" i="20"/>
  <c r="H194" i="20"/>
  <c r="R196" i="20"/>
  <c r="R273" i="20"/>
  <c r="O274" i="20"/>
  <c r="O197" i="20"/>
  <c r="E82" i="20"/>
  <c r="U82" i="20"/>
  <c r="U121" i="20" s="1"/>
  <c r="F171" i="18"/>
  <c r="V171" i="18"/>
  <c r="S172" i="18"/>
  <c r="P173" i="18"/>
  <c r="M174" i="18"/>
  <c r="J175" i="18"/>
  <c r="G176" i="18"/>
  <c r="D177" i="18"/>
  <c r="T177" i="18"/>
  <c r="Q178" i="18"/>
  <c r="N179" i="18"/>
  <c r="K180" i="18"/>
  <c r="H181" i="18"/>
  <c r="M247" i="18"/>
  <c r="M237" i="18"/>
  <c r="M276" i="18" s="1"/>
  <c r="H254" i="18"/>
  <c r="R256" i="18"/>
  <c r="U261" i="18"/>
  <c r="I265" i="18"/>
  <c r="F266" i="18"/>
  <c r="K275" i="18"/>
  <c r="H213" i="19"/>
  <c r="H172" i="19"/>
  <c r="H186" i="19"/>
  <c r="H190" i="19"/>
  <c r="H196" i="19"/>
  <c r="H202" i="19"/>
  <c r="H206" i="19"/>
  <c r="H210" i="19"/>
  <c r="H212" i="19"/>
  <c r="H193" i="19"/>
  <c r="I198" i="19"/>
  <c r="I207" i="19"/>
  <c r="F275" i="19"/>
  <c r="N170" i="20"/>
  <c r="N247" i="20"/>
  <c r="N42" i="20"/>
  <c r="E173" i="20"/>
  <c r="E250" i="20"/>
  <c r="U250" i="20"/>
  <c r="U173" i="20"/>
  <c r="O252" i="20"/>
  <c r="O175" i="20"/>
  <c r="I177" i="20"/>
  <c r="I254" i="20"/>
  <c r="F255" i="20"/>
  <c r="F178" i="20"/>
  <c r="V178" i="20"/>
  <c r="V255" i="20"/>
  <c r="S179" i="20"/>
  <c r="S256" i="20"/>
  <c r="P257" i="20"/>
  <c r="P180" i="20"/>
  <c r="M181" i="20"/>
  <c r="M258" i="20"/>
  <c r="G184" i="20"/>
  <c r="G106" i="20"/>
  <c r="D107" i="20"/>
  <c r="D185" i="20"/>
  <c r="Q186" i="20"/>
  <c r="Q108" i="20"/>
  <c r="N187" i="20"/>
  <c r="N109" i="20"/>
  <c r="K110" i="20"/>
  <c r="K188" i="20"/>
  <c r="H189" i="20"/>
  <c r="H111" i="20"/>
  <c r="L115" i="20"/>
  <c r="L193" i="20"/>
  <c r="L270" i="20"/>
  <c r="I116" i="20"/>
  <c r="I194" i="20"/>
  <c r="S118" i="20"/>
  <c r="S273" i="20"/>
  <c r="S196" i="20"/>
  <c r="P197" i="20"/>
  <c r="P119" i="20"/>
  <c r="V82" i="20"/>
  <c r="E160" i="18"/>
  <c r="E199" i="18" s="1"/>
  <c r="E250" i="18"/>
  <c r="O252" i="18"/>
  <c r="V255" i="18"/>
  <c r="S256" i="18"/>
  <c r="F261" i="18"/>
  <c r="V261" i="18"/>
  <c r="Q268" i="18"/>
  <c r="H271" i="18"/>
  <c r="U272" i="18"/>
  <c r="O274" i="18"/>
  <c r="R247" i="18"/>
  <c r="K99" i="19"/>
  <c r="K105" i="19"/>
  <c r="K109" i="19"/>
  <c r="K115" i="19"/>
  <c r="K117" i="19"/>
  <c r="K121" i="19"/>
  <c r="K123" i="19"/>
  <c r="K125" i="19"/>
  <c r="G126" i="19"/>
  <c r="I172" i="19"/>
  <c r="I186" i="19"/>
  <c r="I188" i="19"/>
  <c r="I192" i="19"/>
  <c r="I194" i="19"/>
  <c r="I196" i="19"/>
  <c r="I200" i="19"/>
  <c r="I202" i="19"/>
  <c r="I208" i="19"/>
  <c r="I210" i="19"/>
  <c r="I212" i="19"/>
  <c r="K266" i="19"/>
  <c r="K268" i="19"/>
  <c r="K270" i="19"/>
  <c r="K272" i="19"/>
  <c r="K276" i="19"/>
  <c r="K278" i="19"/>
  <c r="K280" i="19"/>
  <c r="K282" i="19"/>
  <c r="K284" i="19"/>
  <c r="K286" i="19"/>
  <c r="K290" i="19"/>
  <c r="K294" i="19"/>
  <c r="N97" i="20"/>
  <c r="L248" i="18"/>
  <c r="P252" i="18"/>
  <c r="E267" i="18"/>
  <c r="I271" i="18"/>
  <c r="S247" i="18"/>
  <c r="J171" i="19"/>
  <c r="J182" i="19"/>
  <c r="J208" i="19"/>
  <c r="J210" i="19"/>
  <c r="D254" i="19"/>
  <c r="D265" i="19"/>
  <c r="L160" i="18"/>
  <c r="L199" i="18" s="1"/>
  <c r="G160" i="18"/>
  <c r="G199" i="18" s="1"/>
  <c r="M248" i="18"/>
  <c r="F267" i="18"/>
  <c r="T247" i="18"/>
  <c r="F46" i="19"/>
  <c r="F98" i="19"/>
  <c r="I116" i="19"/>
  <c r="O114" i="20"/>
  <c r="M160" i="18"/>
  <c r="M199" i="18" s="1"/>
  <c r="H160" i="18"/>
  <c r="H199" i="18" s="1"/>
  <c r="E251" i="18"/>
  <c r="O253" i="18"/>
  <c r="V256" i="18"/>
  <c r="S257" i="18"/>
  <c r="F262" i="18"/>
  <c r="V262" i="18"/>
  <c r="Q269" i="18"/>
  <c r="U273" i="18"/>
  <c r="O275" i="18"/>
  <c r="G45" i="19"/>
  <c r="G213" i="19" s="1"/>
  <c r="G98" i="19"/>
  <c r="G182" i="19"/>
  <c r="G200" i="19"/>
  <c r="G116" i="19"/>
  <c r="G112" i="19"/>
  <c r="F254" i="19"/>
  <c r="F265" i="19"/>
  <c r="F267" i="19"/>
  <c r="F271" i="19"/>
  <c r="F273" i="19"/>
  <c r="F279" i="19"/>
  <c r="F283" i="19"/>
  <c r="F285" i="19"/>
  <c r="F287" i="19"/>
  <c r="F289" i="19"/>
  <c r="F291" i="19"/>
  <c r="F293" i="19"/>
  <c r="F295" i="19"/>
  <c r="O42" i="20"/>
  <c r="L82" i="20"/>
  <c r="L121" i="20" s="1"/>
  <c r="O118" i="20"/>
  <c r="I160" i="18"/>
  <c r="I199" i="18" s="1"/>
  <c r="L249" i="18"/>
  <c r="S252" i="18"/>
  <c r="P253" i="18"/>
  <c r="N265" i="18"/>
  <c r="E268" i="18"/>
  <c r="L271" i="18"/>
  <c r="G129" i="19"/>
  <c r="G88" i="19"/>
  <c r="I204" i="19"/>
  <c r="G254" i="19"/>
  <c r="G265" i="19"/>
  <c r="G267" i="19"/>
  <c r="G269" i="19"/>
  <c r="G271" i="19"/>
  <c r="G273" i="19"/>
  <c r="G279" i="19"/>
  <c r="G281" i="19"/>
  <c r="G283" i="19"/>
  <c r="G285" i="19"/>
  <c r="G287" i="19"/>
  <c r="G289" i="19"/>
  <c r="G291" i="19"/>
  <c r="G293" i="19"/>
  <c r="G295" i="19"/>
  <c r="K82" i="20"/>
  <c r="K121" i="20" s="1"/>
  <c r="K92" i="20"/>
  <c r="E94" i="20"/>
  <c r="R95" i="20"/>
  <c r="L97" i="20"/>
  <c r="M102" i="20"/>
  <c r="J103" i="20"/>
  <c r="F105" i="20"/>
  <c r="V105" i="20"/>
  <c r="P107" i="20"/>
  <c r="M108" i="20"/>
  <c r="D111" i="20"/>
  <c r="H115" i="20"/>
  <c r="E116" i="20"/>
  <c r="K170" i="18"/>
  <c r="P248" i="18"/>
  <c r="P237" i="18"/>
  <c r="M249" i="18"/>
  <c r="H256" i="18"/>
  <c r="R258" i="18"/>
  <c r="K261" i="18"/>
  <c r="U263" i="18"/>
  <c r="I267" i="18"/>
  <c r="F268" i="18"/>
  <c r="T274" i="18"/>
  <c r="I98" i="19"/>
  <c r="I45" i="19"/>
  <c r="I46" i="19" s="1"/>
  <c r="I122" i="19"/>
  <c r="I289" i="19"/>
  <c r="I293" i="19"/>
  <c r="I126" i="19"/>
  <c r="I295" i="19"/>
  <c r="I128" i="19"/>
  <c r="H98" i="19"/>
  <c r="H104" i="19"/>
  <c r="H106" i="19"/>
  <c r="H108" i="19"/>
  <c r="H112" i="19"/>
  <c r="H114" i="19"/>
  <c r="H120" i="19"/>
  <c r="H124" i="19"/>
  <c r="H185" i="19"/>
  <c r="I199" i="19"/>
  <c r="H288" i="19"/>
  <c r="F82" i="20"/>
  <c r="F121" i="20" s="1"/>
  <c r="F94" i="20"/>
  <c r="G99" i="20"/>
  <c r="G82" i="20"/>
  <c r="G121" i="20" s="1"/>
  <c r="M119" i="20"/>
  <c r="J120" i="20"/>
  <c r="L170" i="18"/>
  <c r="E252" i="18"/>
  <c r="O254" i="18"/>
  <c r="V257" i="18"/>
  <c r="S258" i="18"/>
  <c r="F263" i="18"/>
  <c r="V263" i="18"/>
  <c r="Q270" i="18"/>
  <c r="H273" i="18"/>
  <c r="U274" i="18"/>
  <c r="J45" i="19"/>
  <c r="J46" i="19" s="1"/>
  <c r="J265" i="19"/>
  <c r="I279" i="19"/>
  <c r="G94" i="20"/>
  <c r="K98" i="20"/>
  <c r="R101" i="20"/>
  <c r="F99" i="20"/>
  <c r="E172" i="20"/>
  <c r="P237" i="20"/>
  <c r="P247" i="20"/>
  <c r="M237" i="20"/>
  <c r="M248" i="20"/>
  <c r="E295" i="19"/>
  <c r="V42" i="20"/>
  <c r="H260" i="20"/>
  <c r="H183" i="20"/>
  <c r="E261" i="20"/>
  <c r="E184" i="20"/>
  <c r="R262" i="20"/>
  <c r="R185" i="20"/>
  <c r="L264" i="20"/>
  <c r="L187" i="20"/>
  <c r="F189" i="20"/>
  <c r="F266" i="20"/>
  <c r="V266" i="20"/>
  <c r="V189" i="20"/>
  <c r="J193" i="20"/>
  <c r="J270" i="20"/>
  <c r="Q273" i="20"/>
  <c r="Q196" i="20"/>
  <c r="M82" i="20"/>
  <c r="D95" i="20"/>
  <c r="H99" i="20"/>
  <c r="E100" i="20"/>
  <c r="O102" i="20"/>
  <c r="L103" i="20"/>
  <c r="H105" i="20"/>
  <c r="U106" i="20"/>
  <c r="L109" i="20"/>
  <c r="M114" i="20"/>
  <c r="J115" i="20"/>
  <c r="G116" i="20"/>
  <c r="Q118" i="20"/>
  <c r="K120" i="20"/>
  <c r="H82" i="20"/>
  <c r="H121" i="20" s="1"/>
  <c r="S108" i="20"/>
  <c r="S186" i="20"/>
  <c r="Q247" i="20"/>
  <c r="K249" i="20"/>
  <c r="H250" i="20"/>
  <c r="L254" i="20"/>
  <c r="F256" i="20"/>
  <c r="P258" i="20"/>
  <c r="L260" i="20"/>
  <c r="F262" i="20"/>
  <c r="P264" i="20"/>
  <c r="N270" i="20"/>
  <c r="U273" i="20"/>
  <c r="Q42" i="22"/>
  <c r="Q91" i="22"/>
  <c r="S179" i="22"/>
  <c r="S101" i="22"/>
  <c r="D185" i="22"/>
  <c r="D107" i="22"/>
  <c r="E190" i="22"/>
  <c r="E112" i="22"/>
  <c r="H265" i="19"/>
  <c r="H267" i="19"/>
  <c r="H269" i="19"/>
  <c r="H271" i="19"/>
  <c r="H273" i="19"/>
  <c r="H275" i="19"/>
  <c r="H277" i="19"/>
  <c r="H279" i="19"/>
  <c r="H281" i="19"/>
  <c r="H283" i="19"/>
  <c r="H285" i="19"/>
  <c r="H287" i="19"/>
  <c r="H289" i="19"/>
  <c r="H291" i="19"/>
  <c r="H293" i="19"/>
  <c r="H295" i="19"/>
  <c r="J255" i="19"/>
  <c r="E289" i="19"/>
  <c r="O170" i="20"/>
  <c r="O92" i="20"/>
  <c r="V95" i="20"/>
  <c r="V173" i="20"/>
  <c r="J99" i="20"/>
  <c r="J177" i="20"/>
  <c r="Q102" i="20"/>
  <c r="Q180" i="20"/>
  <c r="L110" i="20"/>
  <c r="L188" i="20"/>
  <c r="M115" i="20"/>
  <c r="M193" i="20"/>
  <c r="D118" i="20"/>
  <c r="D196" i="20"/>
  <c r="L42" i="20"/>
  <c r="L199" i="20" s="1"/>
  <c r="T82" i="20"/>
  <c r="D101" i="20"/>
  <c r="K105" i="20"/>
  <c r="Q114" i="20"/>
  <c r="Q160" i="20"/>
  <c r="Q170" i="20"/>
  <c r="N160" i="20"/>
  <c r="N199" i="20" s="1"/>
  <c r="N171" i="20"/>
  <c r="K172" i="20"/>
  <c r="R175" i="20"/>
  <c r="O176" i="20"/>
  <c r="I178" i="20"/>
  <c r="F179" i="20"/>
  <c r="V179" i="20"/>
  <c r="S180" i="20"/>
  <c r="L183" i="20"/>
  <c r="I184" i="20"/>
  <c r="P187" i="20"/>
  <c r="M188" i="20"/>
  <c r="J189" i="20"/>
  <c r="Q192" i="20"/>
  <c r="N193" i="20"/>
  <c r="K194" i="20"/>
  <c r="E196" i="20"/>
  <c r="U196" i="20"/>
  <c r="R197" i="20"/>
  <c r="E112" i="19"/>
  <c r="I265" i="19"/>
  <c r="I254" i="19"/>
  <c r="I267" i="19"/>
  <c r="I269" i="19"/>
  <c r="I271" i="19"/>
  <c r="I273" i="19"/>
  <c r="I275" i="19"/>
  <c r="I277" i="19"/>
  <c r="I287" i="19"/>
  <c r="P92" i="20"/>
  <c r="P170" i="20"/>
  <c r="P42" i="20"/>
  <c r="J94" i="20"/>
  <c r="J172" i="20"/>
  <c r="G95" i="20"/>
  <c r="G173" i="20"/>
  <c r="Q97" i="20"/>
  <c r="Q175" i="20"/>
  <c r="N98" i="20"/>
  <c r="N176" i="20"/>
  <c r="H100" i="20"/>
  <c r="H178" i="20"/>
  <c r="E101" i="20"/>
  <c r="E179" i="20"/>
  <c r="R180" i="20"/>
  <c r="R102" i="20"/>
  <c r="O181" i="20"/>
  <c r="O103" i="20"/>
  <c r="M110" i="20"/>
  <c r="M265" i="20"/>
  <c r="J266" i="20"/>
  <c r="J111" i="20"/>
  <c r="Q92" i="20"/>
  <c r="L99" i="20"/>
  <c r="I100" i="20"/>
  <c r="S102" i="20"/>
  <c r="L105" i="20"/>
  <c r="N115" i="20"/>
  <c r="F95" i="20"/>
  <c r="P97" i="20"/>
  <c r="O109" i="20"/>
  <c r="I111" i="20"/>
  <c r="R170" i="20"/>
  <c r="O160" i="20"/>
  <c r="O199" i="20" s="1"/>
  <c r="L172" i="20"/>
  <c r="I173" i="20"/>
  <c r="P176" i="20"/>
  <c r="M177" i="20"/>
  <c r="J178" i="20"/>
  <c r="G179" i="20"/>
  <c r="T180" i="20"/>
  <c r="Q181" i="20"/>
  <c r="M183" i="20"/>
  <c r="J184" i="20"/>
  <c r="G185" i="20"/>
  <c r="D186" i="20"/>
  <c r="T186" i="20"/>
  <c r="Q187" i="20"/>
  <c r="N188" i="20"/>
  <c r="K189" i="20"/>
  <c r="R192" i="20"/>
  <c r="O193" i="20"/>
  <c r="L194" i="20"/>
  <c r="F196" i="20"/>
  <c r="V196" i="20"/>
  <c r="S197" i="20"/>
  <c r="U237" i="20"/>
  <c r="E45" i="19"/>
  <c r="E46" i="19" s="1"/>
  <c r="J271" i="19"/>
  <c r="J273" i="19"/>
  <c r="J275" i="19"/>
  <c r="J277" i="19"/>
  <c r="J279" i="19"/>
  <c r="J281" i="19"/>
  <c r="J283" i="19"/>
  <c r="J285" i="19"/>
  <c r="J287" i="19"/>
  <c r="J289" i="19"/>
  <c r="J291" i="19"/>
  <c r="J293" i="19"/>
  <c r="J295" i="19"/>
  <c r="E273" i="19"/>
  <c r="Q42" i="20"/>
  <c r="R97" i="20"/>
  <c r="M160" i="20"/>
  <c r="M199" i="20" s="1"/>
  <c r="M172" i="20"/>
  <c r="N183" i="20"/>
  <c r="K184" i="20"/>
  <c r="H185" i="20"/>
  <c r="E186" i="20"/>
  <c r="U186" i="20"/>
  <c r="R187" i="20"/>
  <c r="O188" i="20"/>
  <c r="L189" i="20"/>
  <c r="S192" i="20"/>
  <c r="P193" i="20"/>
  <c r="M194" i="20"/>
  <c r="G196" i="20"/>
  <c r="D197" i="20"/>
  <c r="T197" i="20"/>
  <c r="R42" i="20"/>
  <c r="R92" i="20"/>
  <c r="J100" i="20"/>
  <c r="J255" i="20"/>
  <c r="P82" i="20"/>
  <c r="N105" i="20"/>
  <c r="E108" i="20"/>
  <c r="O110" i="20"/>
  <c r="M116" i="20"/>
  <c r="D119" i="20"/>
  <c r="R107" i="20"/>
  <c r="D160" i="20"/>
  <c r="D170" i="20"/>
  <c r="K177" i="20"/>
  <c r="D237" i="20"/>
  <c r="D276" i="20" s="1"/>
  <c r="U261" i="20"/>
  <c r="D266" i="19"/>
  <c r="D268" i="19"/>
  <c r="D270" i="19"/>
  <c r="D272" i="19"/>
  <c r="D274" i="19"/>
  <c r="D276" i="19"/>
  <c r="D278" i="19"/>
  <c r="D280" i="19"/>
  <c r="D288" i="19"/>
  <c r="D290" i="19"/>
  <c r="E92" i="20"/>
  <c r="Q119" i="20"/>
  <c r="E170" i="20"/>
  <c r="E160" i="20"/>
  <c r="U170" i="20"/>
  <c r="U160" i="20"/>
  <c r="U199" i="20" s="1"/>
  <c r="O250" i="20"/>
  <c r="I252" i="20"/>
  <c r="K197" i="19"/>
  <c r="K199" i="19"/>
  <c r="K201" i="19"/>
  <c r="K203" i="19"/>
  <c r="K205" i="19"/>
  <c r="K207" i="19"/>
  <c r="K209" i="19"/>
  <c r="K211" i="19"/>
  <c r="D172" i="19"/>
  <c r="E278" i="19"/>
  <c r="E280" i="19"/>
  <c r="E290" i="19"/>
  <c r="R82" i="20"/>
  <c r="R93" i="20"/>
  <c r="O82" i="20"/>
  <c r="I172" i="20"/>
  <c r="R237" i="20"/>
  <c r="I256" i="21"/>
  <c r="I267" i="21"/>
  <c r="T101" i="20"/>
  <c r="H106" i="20"/>
  <c r="K108" i="20"/>
  <c r="E110" i="20"/>
  <c r="G170" i="20"/>
  <c r="G160" i="20"/>
  <c r="G199" i="20" s="1"/>
  <c r="V237" i="20"/>
  <c r="V276" i="20" s="1"/>
  <c r="D174" i="21"/>
  <c r="D215" i="21"/>
  <c r="E173" i="21"/>
  <c r="Q94" i="20"/>
  <c r="Q82" i="20"/>
  <c r="Q121" i="20" s="1"/>
  <c r="V101" i="20"/>
  <c r="E118" i="19"/>
  <c r="F182" i="19"/>
  <c r="F184" i="19"/>
  <c r="F186" i="19"/>
  <c r="F188" i="19"/>
  <c r="F190" i="19"/>
  <c r="F192" i="19"/>
  <c r="F196" i="19"/>
  <c r="F198" i="19"/>
  <c r="F200" i="19"/>
  <c r="F202" i="19"/>
  <c r="F204" i="19"/>
  <c r="F206" i="19"/>
  <c r="F208" i="19"/>
  <c r="F210" i="19"/>
  <c r="F212" i="19"/>
  <c r="H280" i="19"/>
  <c r="H282" i="19"/>
  <c r="H292" i="19"/>
  <c r="H254" i="19"/>
  <c r="O95" i="20"/>
  <c r="I97" i="20"/>
  <c r="F98" i="20"/>
  <c r="V98" i="20"/>
  <c r="P100" i="20"/>
  <c r="M101" i="20"/>
  <c r="J102" i="20"/>
  <c r="G103" i="20"/>
  <c r="M98" i="20"/>
  <c r="D102" i="20"/>
  <c r="F160" i="20"/>
  <c r="F199" i="20" s="1"/>
  <c r="P160" i="20"/>
  <c r="I294" i="19"/>
  <c r="T105" i="20"/>
  <c r="H109" i="20"/>
  <c r="R111" i="20"/>
  <c r="I114" i="20"/>
  <c r="F115" i="20"/>
  <c r="S116" i="20"/>
  <c r="J119" i="20"/>
  <c r="D82" i="20"/>
  <c r="D121" i="20" s="1"/>
  <c r="M92" i="20"/>
  <c r="O98" i="20"/>
  <c r="G100" i="20"/>
  <c r="E118" i="20"/>
  <c r="J170" i="20"/>
  <c r="D172" i="20"/>
  <c r="K175" i="20"/>
  <c r="H176" i="20"/>
  <c r="E177" i="20"/>
  <c r="O179" i="20"/>
  <c r="L180" i="20"/>
  <c r="I181" i="20"/>
  <c r="U179" i="20"/>
  <c r="K198" i="20"/>
  <c r="E131" i="21"/>
  <c r="E90" i="21"/>
  <c r="F42" i="20"/>
  <c r="J92" i="20"/>
  <c r="J82" i="20"/>
  <c r="J121" i="20" s="1"/>
  <c r="D94" i="20"/>
  <c r="Q95" i="20"/>
  <c r="K97" i="20"/>
  <c r="H98" i="20"/>
  <c r="E99" i="20"/>
  <c r="R100" i="20"/>
  <c r="O101" i="20"/>
  <c r="L102" i="20"/>
  <c r="I103" i="20"/>
  <c r="K160" i="20"/>
  <c r="K199" i="20" s="1"/>
  <c r="K170" i="20"/>
  <c r="R173" i="20"/>
  <c r="L175" i="20"/>
  <c r="I176" i="20"/>
  <c r="F177" i="20"/>
  <c r="S178" i="20"/>
  <c r="P179" i="20"/>
  <c r="F183" i="20"/>
  <c r="S184" i="20"/>
  <c r="P185" i="20"/>
  <c r="M186" i="20"/>
  <c r="J187" i="20"/>
  <c r="G188" i="20"/>
  <c r="D189" i="20"/>
  <c r="K192" i="20"/>
  <c r="H193" i="20"/>
  <c r="U194" i="20"/>
  <c r="L197" i="20"/>
  <c r="T160" i="20"/>
  <c r="H249" i="20"/>
  <c r="L253" i="20"/>
  <c r="H174" i="21"/>
  <c r="H215" i="21"/>
  <c r="I98" i="20"/>
  <c r="P101" i="20"/>
  <c r="S106" i="20"/>
  <c r="J109" i="20"/>
  <c r="G110" i="20"/>
  <c r="T111" i="20"/>
  <c r="K114" i="20"/>
  <c r="L119" i="20"/>
  <c r="I120" i="20"/>
  <c r="M175" i="20"/>
  <c r="G177" i="20"/>
  <c r="J260" i="20"/>
  <c r="G90" i="21"/>
  <c r="R160" i="20"/>
  <c r="O237" i="20"/>
  <c r="I249" i="20"/>
  <c r="V250" i="20"/>
  <c r="M253" i="20"/>
  <c r="G255" i="20"/>
  <c r="D256" i="20"/>
  <c r="T256" i="20"/>
  <c r="Q257" i="20"/>
  <c r="N258" i="20"/>
  <c r="G261" i="20"/>
  <c r="D262" i="20"/>
  <c r="Q263" i="20"/>
  <c r="N264" i="20"/>
  <c r="K265" i="20"/>
  <c r="H266" i="20"/>
  <c r="O269" i="20"/>
  <c r="I271" i="20"/>
  <c r="P274" i="20"/>
  <c r="F90" i="21"/>
  <c r="H202" i="21"/>
  <c r="R91" i="22"/>
  <c r="R42" i="22"/>
  <c r="S176" i="20"/>
  <c r="M178" i="20"/>
  <c r="J179" i="20"/>
  <c r="G180" i="20"/>
  <c r="D181" i="20"/>
  <c r="T181" i="20"/>
  <c r="R247" i="20"/>
  <c r="L249" i="20"/>
  <c r="I250" i="20"/>
  <c r="M254" i="20"/>
  <c r="G256" i="20"/>
  <c r="D257" i="20"/>
  <c r="T257" i="20"/>
  <c r="Q258" i="20"/>
  <c r="M260" i="20"/>
  <c r="J261" i="20"/>
  <c r="G262" i="20"/>
  <c r="D263" i="20"/>
  <c r="T263" i="20"/>
  <c r="Q264" i="20"/>
  <c r="N265" i="20"/>
  <c r="K266" i="20"/>
  <c r="R269" i="20"/>
  <c r="O270" i="20"/>
  <c r="L271" i="20"/>
  <c r="F273" i="20"/>
  <c r="V273" i="20"/>
  <c r="S274" i="20"/>
  <c r="V160" i="20"/>
  <c r="V199" i="20" s="1"/>
  <c r="S247" i="20"/>
  <c r="S237" i="20"/>
  <c r="N260" i="20"/>
  <c r="K261" i="20"/>
  <c r="H262" i="20"/>
  <c r="E263" i="20"/>
  <c r="U263" i="20"/>
  <c r="R264" i="20"/>
  <c r="O265" i="20"/>
  <c r="L266" i="20"/>
  <c r="S269" i="20"/>
  <c r="P270" i="20"/>
  <c r="M271" i="20"/>
  <c r="G273" i="20"/>
  <c r="D274" i="20"/>
  <c r="T274" i="20"/>
  <c r="O247" i="20"/>
  <c r="G184" i="21"/>
  <c r="G267" i="21"/>
  <c r="G273" i="21"/>
  <c r="G190" i="21"/>
  <c r="G106" i="21"/>
  <c r="G277" i="21"/>
  <c r="G110" i="21"/>
  <c r="G194" i="21"/>
  <c r="G198" i="21"/>
  <c r="G114" i="21"/>
  <c r="G285" i="21"/>
  <c r="G118" i="21"/>
  <c r="G212" i="21"/>
  <c r="G295" i="21"/>
  <c r="J89" i="21"/>
  <c r="J100" i="21"/>
  <c r="K257" i="21"/>
  <c r="H46" i="21"/>
  <c r="H47" i="21" s="1"/>
  <c r="H184" i="21"/>
  <c r="H192" i="21"/>
  <c r="H275" i="21"/>
  <c r="H277" i="21"/>
  <c r="H194" i="21"/>
  <c r="H281" i="21"/>
  <c r="H198" i="21"/>
  <c r="H204" i="21"/>
  <c r="H287" i="21"/>
  <c r="H212" i="21"/>
  <c r="H295" i="21"/>
  <c r="H170" i="20"/>
  <c r="H160" i="20"/>
  <c r="H199" i="20" s="1"/>
  <c r="U171" i="20"/>
  <c r="O173" i="20"/>
  <c r="I175" i="20"/>
  <c r="F176" i="20"/>
  <c r="V176" i="20"/>
  <c r="P178" i="20"/>
  <c r="M179" i="20"/>
  <c r="J180" i="20"/>
  <c r="G181" i="20"/>
  <c r="E247" i="20"/>
  <c r="U247" i="20"/>
  <c r="R248" i="20"/>
  <c r="L250" i="20"/>
  <c r="F252" i="20"/>
  <c r="V252" i="20"/>
  <c r="S253" i="20"/>
  <c r="M255" i="20"/>
  <c r="J256" i="20"/>
  <c r="G257" i="20"/>
  <c r="D258" i="20"/>
  <c r="T258" i="20"/>
  <c r="P260" i="20"/>
  <c r="M261" i="20"/>
  <c r="J262" i="20"/>
  <c r="G263" i="20"/>
  <c r="T264" i="20"/>
  <c r="Q265" i="20"/>
  <c r="E269" i="20"/>
  <c r="R270" i="20"/>
  <c r="F274" i="20"/>
  <c r="D248" i="20"/>
  <c r="G275" i="21"/>
  <c r="I160" i="20"/>
  <c r="D183" i="20"/>
  <c r="T183" i="20"/>
  <c r="Q184" i="20"/>
  <c r="N185" i="20"/>
  <c r="K186" i="20"/>
  <c r="H187" i="20"/>
  <c r="E188" i="20"/>
  <c r="U188" i="20"/>
  <c r="R189" i="20"/>
  <c r="I192" i="20"/>
  <c r="F193" i="20"/>
  <c r="V193" i="20"/>
  <c r="S194" i="20"/>
  <c r="M196" i="20"/>
  <c r="J197" i="20"/>
  <c r="G198" i="20"/>
  <c r="F237" i="20"/>
  <c r="F276" i="20" s="1"/>
  <c r="N261" i="20"/>
  <c r="H263" i="20"/>
  <c r="R265" i="20"/>
  <c r="V269" i="20"/>
  <c r="J273" i="20"/>
  <c r="H267" i="21"/>
  <c r="J160" i="20"/>
  <c r="J199" i="20" s="1"/>
  <c r="G237" i="20"/>
  <c r="G276" i="20" s="1"/>
  <c r="G247" i="20"/>
  <c r="T237" i="20"/>
  <c r="T248" i="20"/>
  <c r="K237" i="20"/>
  <c r="K276" i="20" s="1"/>
  <c r="K251" i="20"/>
  <c r="G257" i="21"/>
  <c r="G270" i="21"/>
  <c r="G276" i="21"/>
  <c r="G278" i="21"/>
  <c r="G280" i="21"/>
  <c r="G284" i="21"/>
  <c r="G290" i="21"/>
  <c r="G292" i="21"/>
  <c r="M180" i="20"/>
  <c r="J181" i="20"/>
  <c r="H237" i="20"/>
  <c r="H276" i="20" s="1"/>
  <c r="H247" i="20"/>
  <c r="U248" i="20"/>
  <c r="F253" i="20"/>
  <c r="V253" i="20"/>
  <c r="P255" i="20"/>
  <c r="M256" i="20"/>
  <c r="J257" i="20"/>
  <c r="G258" i="20"/>
  <c r="G46" i="21"/>
  <c r="G47" i="21" s="1"/>
  <c r="S42" i="20"/>
  <c r="S199" i="20" s="1"/>
  <c r="P93" i="20"/>
  <c r="M111" i="20"/>
  <c r="G183" i="20"/>
  <c r="D184" i="20"/>
  <c r="T184" i="20"/>
  <c r="Q185" i="20"/>
  <c r="N186" i="20"/>
  <c r="K187" i="20"/>
  <c r="H188" i="20"/>
  <c r="E189" i="20"/>
  <c r="U189" i="20"/>
  <c r="L192" i="20"/>
  <c r="I193" i="20"/>
  <c r="F194" i="20"/>
  <c r="V194" i="20"/>
  <c r="P196" i="20"/>
  <c r="M197" i="20"/>
  <c r="J198" i="20"/>
  <c r="O171" i="20"/>
  <c r="I247" i="20"/>
  <c r="I237" i="20"/>
  <c r="D260" i="20"/>
  <c r="Q261" i="20"/>
  <c r="N262" i="20"/>
  <c r="H264" i="20"/>
  <c r="R266" i="20"/>
  <c r="I269" i="20"/>
  <c r="F270" i="20"/>
  <c r="V270" i="20"/>
  <c r="S271" i="20"/>
  <c r="M273" i="20"/>
  <c r="J274" i="20"/>
  <c r="G275" i="20"/>
  <c r="J247" i="20"/>
  <c r="J237" i="20"/>
  <c r="J276" i="20" s="1"/>
  <c r="K252" i="20"/>
  <c r="E254" i="20"/>
  <c r="O256" i="20"/>
  <c r="I258" i="20"/>
  <c r="E237" i="20"/>
  <c r="E276" i="20" s="1"/>
  <c r="F46" i="21"/>
  <c r="F47" i="21" s="1"/>
  <c r="F268" i="21"/>
  <c r="F101" i="21"/>
  <c r="F272" i="21"/>
  <c r="F105" i="21"/>
  <c r="F276" i="21"/>
  <c r="F109" i="21"/>
  <c r="F111" i="21"/>
  <c r="F278" i="21"/>
  <c r="F280" i="21"/>
  <c r="F113" i="21"/>
  <c r="F288" i="21"/>
  <c r="F121" i="21"/>
  <c r="F292" i="21"/>
  <c r="F125" i="21"/>
  <c r="E42" i="20"/>
  <c r="U42" i="20"/>
  <c r="P256" i="20"/>
  <c r="M257" i="20"/>
  <c r="T266" i="20"/>
  <c r="H270" i="20"/>
  <c r="O273" i="20"/>
  <c r="L237" i="20"/>
  <c r="L276" i="20" s="1"/>
  <c r="S82" i="20"/>
  <c r="S121" i="20" s="1"/>
  <c r="S92" i="20"/>
  <c r="E119" i="20"/>
  <c r="Q262" i="20"/>
  <c r="N263" i="20"/>
  <c r="F271" i="20"/>
  <c r="M274" i="20"/>
  <c r="N237" i="20"/>
  <c r="N276" i="20" s="1"/>
  <c r="K101" i="21"/>
  <c r="K89" i="21"/>
  <c r="K174" i="21"/>
  <c r="K215" i="21"/>
  <c r="T250" i="20"/>
  <c r="N252" i="20"/>
  <c r="K253" i="20"/>
  <c r="O257" i="20"/>
  <c r="O263" i="20"/>
  <c r="M269" i="20"/>
  <c r="G271" i="20"/>
  <c r="N274" i="20"/>
  <c r="G208" i="21"/>
  <c r="H89" i="21"/>
  <c r="E109" i="21"/>
  <c r="E125" i="21"/>
  <c r="J173" i="21"/>
  <c r="F267" i="21"/>
  <c r="F256" i="21"/>
  <c r="F277" i="21"/>
  <c r="F281" i="21"/>
  <c r="F285" i="21"/>
  <c r="F287" i="21"/>
  <c r="D267" i="21"/>
  <c r="F91" i="22"/>
  <c r="F81" i="22"/>
  <c r="V91" i="22"/>
  <c r="V81" i="22"/>
  <c r="V120" i="22" s="1"/>
  <c r="M94" i="22"/>
  <c r="J95" i="22"/>
  <c r="G96" i="22"/>
  <c r="D97" i="22"/>
  <c r="T97" i="22"/>
  <c r="Q98" i="22"/>
  <c r="N99" i="22"/>
  <c r="K100" i="22"/>
  <c r="H101" i="22"/>
  <c r="E102" i="22"/>
  <c r="U102" i="22"/>
  <c r="R104" i="22"/>
  <c r="O105" i="22"/>
  <c r="L106" i="22"/>
  <c r="I107" i="22"/>
  <c r="S109" i="22"/>
  <c r="P110" i="22"/>
  <c r="M111" i="22"/>
  <c r="D120" i="21"/>
  <c r="J184" i="21"/>
  <c r="G281" i="21"/>
  <c r="G283" i="21"/>
  <c r="G287" i="21"/>
  <c r="P42" i="22"/>
  <c r="D247" i="20"/>
  <c r="T247" i="20"/>
  <c r="Q248" i="20"/>
  <c r="K250" i="20"/>
  <c r="E252" i="20"/>
  <c r="U252" i="20"/>
  <c r="R253" i="20"/>
  <c r="O254" i="20"/>
  <c r="L255" i="20"/>
  <c r="I256" i="20"/>
  <c r="F257" i="20"/>
  <c r="V257" i="20"/>
  <c r="S258" i="20"/>
  <c r="Q237" i="20"/>
  <c r="Q276" i="20" s="1"/>
  <c r="I47" i="21"/>
  <c r="F185" i="21"/>
  <c r="F187" i="21"/>
  <c r="F189" i="21"/>
  <c r="F193" i="21"/>
  <c r="F195" i="21"/>
  <c r="F197" i="21"/>
  <c r="F201" i="21"/>
  <c r="F203" i="21"/>
  <c r="F205" i="21"/>
  <c r="F207" i="21"/>
  <c r="F209" i="21"/>
  <c r="F211" i="21"/>
  <c r="F213" i="21"/>
  <c r="G81" i="22"/>
  <c r="G120" i="22" s="1"/>
  <c r="S93" i="22"/>
  <c r="S198" i="22"/>
  <c r="J47" i="21"/>
  <c r="D110" i="21"/>
  <c r="D118" i="21"/>
  <c r="G185" i="21"/>
  <c r="G187" i="21"/>
  <c r="G189" i="21"/>
  <c r="G193" i="21"/>
  <c r="G195" i="21"/>
  <c r="G197" i="21"/>
  <c r="G201" i="21"/>
  <c r="G203" i="21"/>
  <c r="G207" i="21"/>
  <c r="G209" i="21"/>
  <c r="G211" i="21"/>
  <c r="G213" i="21"/>
  <c r="I173" i="21"/>
  <c r="K267" i="21"/>
  <c r="T42" i="22"/>
  <c r="D268" i="21"/>
  <c r="D280" i="21"/>
  <c r="D290" i="21"/>
  <c r="D292" i="21"/>
  <c r="D294" i="21"/>
  <c r="D296" i="21"/>
  <c r="D256" i="21"/>
  <c r="U42" i="22"/>
  <c r="D121" i="21"/>
  <c r="E268" i="21"/>
  <c r="E284" i="21"/>
  <c r="E272" i="21"/>
  <c r="F42" i="22"/>
  <c r="V42" i="22"/>
  <c r="H100" i="21"/>
  <c r="H106" i="21"/>
  <c r="H108" i="21"/>
  <c r="H110" i="21"/>
  <c r="H114" i="21"/>
  <c r="H116" i="21"/>
  <c r="H118" i="21"/>
  <c r="H120" i="21"/>
  <c r="H124" i="21"/>
  <c r="H128" i="21"/>
  <c r="E113" i="21"/>
  <c r="E129" i="21"/>
  <c r="F270" i="21"/>
  <c r="F284" i="21"/>
  <c r="F286" i="21"/>
  <c r="H256" i="21"/>
  <c r="G42" i="22"/>
  <c r="H251" i="22"/>
  <c r="H96" i="22"/>
  <c r="E252" i="22"/>
  <c r="E97" i="22"/>
  <c r="E175" i="22"/>
  <c r="N81" i="22"/>
  <c r="N91" i="22"/>
  <c r="F129" i="21"/>
  <c r="G268" i="21"/>
  <c r="G272" i="21"/>
  <c r="G286" i="21"/>
  <c r="G296" i="21"/>
  <c r="D284" i="21"/>
  <c r="H246" i="22"/>
  <c r="H42" i="22"/>
  <c r="E247" i="22"/>
  <c r="E92" i="22"/>
  <c r="U247" i="22"/>
  <c r="U92" i="22"/>
  <c r="O172" i="22"/>
  <c r="O94" i="22"/>
  <c r="P99" i="22"/>
  <c r="P177" i="22"/>
  <c r="Q105" i="22"/>
  <c r="Q183" i="22"/>
  <c r="U264" i="22"/>
  <c r="U109" i="22"/>
  <c r="D42" i="22"/>
  <c r="O81" i="22"/>
  <c r="O120" i="22" s="1"/>
  <c r="O91" i="22"/>
  <c r="L92" i="22"/>
  <c r="L81" i="22"/>
  <c r="T198" i="22"/>
  <c r="I169" i="22"/>
  <c r="I91" i="22"/>
  <c r="I42" i="22"/>
  <c r="V170" i="22"/>
  <c r="V92" i="22"/>
  <c r="P172" i="22"/>
  <c r="P94" i="22"/>
  <c r="T176" i="22"/>
  <c r="T98" i="22"/>
  <c r="K179" i="22"/>
  <c r="K101" i="22"/>
  <c r="H180" i="22"/>
  <c r="H102" i="22"/>
  <c r="E182" i="22"/>
  <c r="E104" i="22"/>
  <c r="U182" i="22"/>
  <c r="U104" i="22"/>
  <c r="R260" i="22"/>
  <c r="R183" i="22"/>
  <c r="R105" i="22"/>
  <c r="O184" i="22"/>
  <c r="O106" i="22"/>
  <c r="I186" i="22"/>
  <c r="I263" i="22"/>
  <c r="I108" i="22"/>
  <c r="F187" i="22"/>
  <c r="F109" i="22"/>
  <c r="S110" i="22"/>
  <c r="S188" i="22"/>
  <c r="M267" i="22"/>
  <c r="M190" i="22"/>
  <c r="J191" i="22"/>
  <c r="J113" i="22"/>
  <c r="G192" i="22"/>
  <c r="G114" i="22"/>
  <c r="D193" i="22"/>
  <c r="D115" i="22"/>
  <c r="D270" i="22"/>
  <c r="T115" i="22"/>
  <c r="T193" i="22"/>
  <c r="N195" i="22"/>
  <c r="N117" i="22"/>
  <c r="K196" i="22"/>
  <c r="K118" i="22"/>
  <c r="H119" i="22"/>
  <c r="H274" i="22"/>
  <c r="H197" i="22"/>
  <c r="E42" i="22"/>
  <c r="P81" i="22"/>
  <c r="P120" i="22" s="1"/>
  <c r="Q81" i="22"/>
  <c r="Q120" i="22" s="1"/>
  <c r="Q96" i="22"/>
  <c r="F169" i="22"/>
  <c r="F100" i="21"/>
  <c r="E184" i="21"/>
  <c r="E190" i="21"/>
  <c r="E192" i="21"/>
  <c r="E194" i="21"/>
  <c r="E198" i="21"/>
  <c r="E200" i="21"/>
  <c r="E202" i="21"/>
  <c r="E204" i="21"/>
  <c r="E208" i="21"/>
  <c r="E212" i="21"/>
  <c r="J246" i="22"/>
  <c r="J42" i="22"/>
  <c r="J169" i="22"/>
  <c r="G247" i="22"/>
  <c r="G170" i="22"/>
  <c r="Q172" i="22"/>
  <c r="Q94" i="22"/>
  <c r="O97" i="22"/>
  <c r="D98" i="22"/>
  <c r="V109" i="22"/>
  <c r="L247" i="20"/>
  <c r="F249" i="20"/>
  <c r="S250" i="20"/>
  <c r="M252" i="20"/>
  <c r="J253" i="20"/>
  <c r="G254" i="20"/>
  <c r="D255" i="20"/>
  <c r="T255" i="20"/>
  <c r="Q256" i="20"/>
  <c r="N257" i="20"/>
  <c r="K258" i="20"/>
  <c r="G100" i="21"/>
  <c r="F184" i="21"/>
  <c r="F173" i="21"/>
  <c r="F190" i="21"/>
  <c r="F192" i="21"/>
  <c r="F194" i="21"/>
  <c r="F198" i="21"/>
  <c r="F200" i="21"/>
  <c r="F202" i="21"/>
  <c r="F204" i="21"/>
  <c r="F208" i="21"/>
  <c r="F212" i="21"/>
  <c r="L93" i="22"/>
  <c r="P97" i="22"/>
  <c r="F127" i="21"/>
  <c r="G215" i="21"/>
  <c r="G174" i="21"/>
  <c r="K278" i="21"/>
  <c r="K292" i="21"/>
  <c r="K294" i="21"/>
  <c r="D281" i="21"/>
  <c r="D283" i="21"/>
  <c r="D295" i="21"/>
  <c r="F175" i="22"/>
  <c r="N259" i="22"/>
  <c r="G101" i="21"/>
  <c r="G103" i="21"/>
  <c r="G105" i="21"/>
  <c r="G109" i="21"/>
  <c r="G111" i="21"/>
  <c r="G113" i="21"/>
  <c r="G117" i="21"/>
  <c r="G119" i="21"/>
  <c r="G123" i="21"/>
  <c r="G125" i="21"/>
  <c r="G127" i="21"/>
  <c r="G129" i="21"/>
  <c r="I184" i="21"/>
  <c r="I190" i="21"/>
  <c r="I192" i="21"/>
  <c r="I194" i="21"/>
  <c r="I196" i="21"/>
  <c r="I198" i="21"/>
  <c r="I200" i="21"/>
  <c r="I202" i="21"/>
  <c r="I204" i="21"/>
  <c r="I208" i="21"/>
  <c r="I212" i="21"/>
  <c r="E267" i="21"/>
  <c r="E283" i="21"/>
  <c r="E91" i="22"/>
  <c r="E81" i="22"/>
  <c r="U91" i="22"/>
  <c r="U81" i="22"/>
  <c r="U120" i="22" s="1"/>
  <c r="R92" i="22"/>
  <c r="R81" i="22"/>
  <c r="R120" i="22" s="1"/>
  <c r="E119" i="22"/>
  <c r="E197" i="22"/>
  <c r="S91" i="22"/>
  <c r="S81" i="22"/>
  <c r="S120" i="22" s="1"/>
  <c r="P92" i="22"/>
  <c r="G169" i="22"/>
  <c r="D170" i="22"/>
  <c r="T170" i="22"/>
  <c r="Q171" i="22"/>
  <c r="N172" i="22"/>
  <c r="K173" i="22"/>
  <c r="H174" i="22"/>
  <c r="U175" i="22"/>
  <c r="R176" i="22"/>
  <c r="L178" i="22"/>
  <c r="I179" i="22"/>
  <c r="V180" i="22"/>
  <c r="S182" i="22"/>
  <c r="M184" i="22"/>
  <c r="G186" i="22"/>
  <c r="T187" i="22"/>
  <c r="N189" i="22"/>
  <c r="H191" i="22"/>
  <c r="U192" i="22"/>
  <c r="L195" i="22"/>
  <c r="I196" i="22"/>
  <c r="V197" i="22"/>
  <c r="E248" i="22"/>
  <c r="P105" i="22"/>
  <c r="P183" i="22"/>
  <c r="F119" i="22"/>
  <c r="F197" i="22"/>
  <c r="D81" i="22"/>
  <c r="D120" i="22" s="1"/>
  <c r="D91" i="22"/>
  <c r="T81" i="22"/>
  <c r="T91" i="22"/>
  <c r="H169" i="22"/>
  <c r="E170" i="22"/>
  <c r="U170" i="22"/>
  <c r="R171" i="22"/>
  <c r="L173" i="22"/>
  <c r="I174" i="22"/>
  <c r="V175" i="22"/>
  <c r="S176" i="22"/>
  <c r="M178" i="22"/>
  <c r="J179" i="22"/>
  <c r="G180" i="22"/>
  <c r="D182" i="22"/>
  <c r="T182" i="22"/>
  <c r="N184" i="22"/>
  <c r="K185" i="22"/>
  <c r="H186" i="22"/>
  <c r="E187" i="22"/>
  <c r="U187" i="22"/>
  <c r="R188" i="22"/>
  <c r="O189" i="22"/>
  <c r="L190" i="22"/>
  <c r="I191" i="22"/>
  <c r="F192" i="22"/>
  <c r="V192" i="22"/>
  <c r="S193" i="22"/>
  <c r="M195" i="22"/>
  <c r="J196" i="22"/>
  <c r="G197" i="22"/>
  <c r="J185" i="22"/>
  <c r="H252" i="22"/>
  <c r="H175" i="22"/>
  <c r="J186" i="22"/>
  <c r="J108" i="22"/>
  <c r="G187" i="22"/>
  <c r="G109" i="22"/>
  <c r="T188" i="22"/>
  <c r="T110" i="22"/>
  <c r="Q189" i="22"/>
  <c r="Q111" i="22"/>
  <c r="N190" i="22"/>
  <c r="N112" i="22"/>
  <c r="K191" i="22"/>
  <c r="K113" i="22"/>
  <c r="E193" i="22"/>
  <c r="E115" i="22"/>
  <c r="U193" i="22"/>
  <c r="U115" i="22"/>
  <c r="L196" i="22"/>
  <c r="L118" i="22"/>
  <c r="I197" i="22"/>
  <c r="I119" i="22"/>
  <c r="G91" i="22"/>
  <c r="N94" i="22"/>
  <c r="K95" i="22"/>
  <c r="L100" i="22"/>
  <c r="M106" i="22"/>
  <c r="T109" i="22"/>
  <c r="Q110" i="22"/>
  <c r="E114" i="22"/>
  <c r="U114" i="22"/>
  <c r="L117" i="22"/>
  <c r="I118" i="22"/>
  <c r="H176" i="22"/>
  <c r="K246" i="22"/>
  <c r="K42" i="22"/>
  <c r="K169" i="22"/>
  <c r="O250" i="22"/>
  <c r="O173" i="22"/>
  <c r="L251" i="22"/>
  <c r="L174" i="22"/>
  <c r="I175" i="22"/>
  <c r="I252" i="22"/>
  <c r="V253" i="22"/>
  <c r="V176" i="22"/>
  <c r="S254" i="22"/>
  <c r="S177" i="22"/>
  <c r="P255" i="22"/>
  <c r="P178" i="22"/>
  <c r="J257" i="22"/>
  <c r="J180" i="22"/>
  <c r="D260" i="22"/>
  <c r="D183" i="22"/>
  <c r="T260" i="22"/>
  <c r="T183" i="22"/>
  <c r="N262" i="22"/>
  <c r="N185" i="22"/>
  <c r="K186" i="22"/>
  <c r="K263" i="22"/>
  <c r="H264" i="22"/>
  <c r="H187" i="22"/>
  <c r="H109" i="22"/>
  <c r="E265" i="22"/>
  <c r="E188" i="22"/>
  <c r="R266" i="22"/>
  <c r="R189" i="22"/>
  <c r="R111" i="22"/>
  <c r="O190" i="22"/>
  <c r="O267" i="22"/>
  <c r="L191" i="22"/>
  <c r="L113" i="22"/>
  <c r="I269" i="22"/>
  <c r="I192" i="22"/>
  <c r="F193" i="22"/>
  <c r="F270" i="22"/>
  <c r="V270" i="22"/>
  <c r="V193" i="22"/>
  <c r="P272" i="22"/>
  <c r="P195" i="22"/>
  <c r="M273" i="22"/>
  <c r="M196" i="22"/>
  <c r="J197" i="22"/>
  <c r="J274" i="22"/>
  <c r="I96" i="22"/>
  <c r="M100" i="22"/>
  <c r="O111" i="22"/>
  <c r="F101" i="23"/>
  <c r="F89" i="23"/>
  <c r="L246" i="22"/>
  <c r="L42" i="22"/>
  <c r="L169" i="22"/>
  <c r="I247" i="22"/>
  <c r="I170" i="22"/>
  <c r="F171" i="22"/>
  <c r="F248" i="22"/>
  <c r="V171" i="22"/>
  <c r="V93" i="22"/>
  <c r="V248" i="22"/>
  <c r="P250" i="22"/>
  <c r="P173" i="22"/>
  <c r="M251" i="22"/>
  <c r="M96" i="22"/>
  <c r="M174" i="22"/>
  <c r="J252" i="22"/>
  <c r="J175" i="22"/>
  <c r="G98" i="22"/>
  <c r="G253" i="22"/>
  <c r="G176" i="22"/>
  <c r="T254" i="22"/>
  <c r="T177" i="22"/>
  <c r="N179" i="22"/>
  <c r="N256" i="22"/>
  <c r="K102" i="22"/>
  <c r="K180" i="22"/>
  <c r="H104" i="22"/>
  <c r="H182" i="22"/>
  <c r="E260" i="22"/>
  <c r="E183" i="22"/>
  <c r="E105" i="22"/>
  <c r="U260" i="22"/>
  <c r="U183" i="22"/>
  <c r="O262" i="22"/>
  <c r="O107" i="22"/>
  <c r="O185" i="22"/>
  <c r="L186" i="22"/>
  <c r="L263" i="22"/>
  <c r="L108" i="22"/>
  <c r="I109" i="22"/>
  <c r="I187" i="22"/>
  <c r="F265" i="22"/>
  <c r="F188" i="22"/>
  <c r="S266" i="22"/>
  <c r="S189" i="22"/>
  <c r="S111" i="22"/>
  <c r="P267" i="22"/>
  <c r="P112" i="22"/>
  <c r="P190" i="22"/>
  <c r="M191" i="22"/>
  <c r="M113" i="22"/>
  <c r="J269" i="22"/>
  <c r="J192" i="22"/>
  <c r="G193" i="22"/>
  <c r="G270" i="22"/>
  <c r="Q195" i="22"/>
  <c r="Q272" i="22"/>
  <c r="N273" i="22"/>
  <c r="N196" i="22"/>
  <c r="K197" i="22"/>
  <c r="K274" i="22"/>
  <c r="K119" i="22"/>
  <c r="F92" i="22"/>
  <c r="M95" i="22"/>
  <c r="J96" i="22"/>
  <c r="G97" i="22"/>
  <c r="Q99" i="22"/>
  <c r="N100" i="22"/>
  <c r="L107" i="22"/>
  <c r="P111" i="22"/>
  <c r="M112" i="22"/>
  <c r="U110" i="22"/>
  <c r="M159" i="22"/>
  <c r="D172" i="22"/>
  <c r="N174" i="22"/>
  <c r="O179" i="22"/>
  <c r="F183" i="22"/>
  <c r="S184" i="22"/>
  <c r="M186" i="22"/>
  <c r="G188" i="22"/>
  <c r="T189" i="22"/>
  <c r="N191" i="22"/>
  <c r="H193" i="22"/>
  <c r="H170" i="22"/>
  <c r="O177" i="22"/>
  <c r="J190" i="22"/>
  <c r="J247" i="22"/>
  <c r="J170" i="22"/>
  <c r="G248" i="22"/>
  <c r="G171" i="22"/>
  <c r="K252" i="22"/>
  <c r="K175" i="22"/>
  <c r="U254" i="22"/>
  <c r="U177" i="22"/>
  <c r="V260" i="22"/>
  <c r="V183" i="22"/>
  <c r="P262" i="22"/>
  <c r="P185" i="22"/>
  <c r="D266" i="22"/>
  <c r="D189" i="22"/>
  <c r="T266" i="22"/>
  <c r="T111" i="22"/>
  <c r="Q267" i="22"/>
  <c r="Q112" i="22"/>
  <c r="Q190" i="22"/>
  <c r="K269" i="22"/>
  <c r="K192" i="22"/>
  <c r="K114" i="22"/>
  <c r="R272" i="22"/>
  <c r="R195" i="22"/>
  <c r="R117" i="22"/>
  <c r="O273" i="22"/>
  <c r="O196" i="22"/>
  <c r="L274" i="22"/>
  <c r="L119" i="22"/>
  <c r="L197" i="22"/>
  <c r="J91" i="22"/>
  <c r="J81" i="22"/>
  <c r="J120" i="22" s="1"/>
  <c r="G92" i="22"/>
  <c r="D93" i="22"/>
  <c r="N95" i="22"/>
  <c r="K96" i="22"/>
  <c r="H97" i="22"/>
  <c r="O100" i="22"/>
  <c r="L101" i="22"/>
  <c r="I102" i="22"/>
  <c r="F104" i="22"/>
  <c r="P106" i="22"/>
  <c r="M107" i="22"/>
  <c r="M81" i="22"/>
  <c r="M120" i="22" s="1"/>
  <c r="H114" i="22"/>
  <c r="U119" i="22"/>
  <c r="N159" i="22"/>
  <c r="N198" i="22" s="1"/>
  <c r="K159" i="22"/>
  <c r="K198" i="22" s="1"/>
  <c r="K190" i="22"/>
  <c r="M42" i="22"/>
  <c r="K91" i="22"/>
  <c r="K81" i="22"/>
  <c r="U98" i="22"/>
  <c r="D111" i="22"/>
  <c r="L159" i="22"/>
  <c r="I159" i="22"/>
  <c r="I198" i="22" s="1"/>
  <c r="Q246" i="22"/>
  <c r="Q236" i="22"/>
  <c r="Q275" i="22" s="1"/>
  <c r="N247" i="22"/>
  <c r="N236" i="22"/>
  <c r="N275" i="22" s="1"/>
  <c r="K248" i="22"/>
  <c r="K236" i="22"/>
  <c r="K275" i="22" s="1"/>
  <c r="H249" i="22"/>
  <c r="U250" i="22"/>
  <c r="R251" i="22"/>
  <c r="O252" i="22"/>
  <c r="L253" i="22"/>
  <c r="I254" i="22"/>
  <c r="F255" i="22"/>
  <c r="V255" i="22"/>
  <c r="S256" i="22"/>
  <c r="P257" i="22"/>
  <c r="M259" i="22"/>
  <c r="J260" i="22"/>
  <c r="G261" i="22"/>
  <c r="D262" i="22"/>
  <c r="T262" i="22"/>
  <c r="Q263" i="22"/>
  <c r="N264" i="22"/>
  <c r="K265" i="22"/>
  <c r="H266" i="22"/>
  <c r="E267" i="22"/>
  <c r="U267" i="22"/>
  <c r="R268" i="22"/>
  <c r="O269" i="22"/>
  <c r="L270" i="22"/>
  <c r="F272" i="22"/>
  <c r="V272" i="22"/>
  <c r="S273" i="22"/>
  <c r="P274" i="22"/>
  <c r="V265" i="22"/>
  <c r="O42" i="22"/>
  <c r="N42" i="22"/>
  <c r="P159" i="22"/>
  <c r="P198" i="22" s="1"/>
  <c r="Q174" i="22"/>
  <c r="H177" i="22"/>
  <c r="E178" i="22"/>
  <c r="R178" i="22"/>
  <c r="R246" i="22"/>
  <c r="R236" i="22"/>
  <c r="R275" i="22" s="1"/>
  <c r="O247" i="22"/>
  <c r="L248" i="22"/>
  <c r="I249" i="22"/>
  <c r="V250" i="22"/>
  <c r="S251" i="22"/>
  <c r="P252" i="22"/>
  <c r="M253" i="22"/>
  <c r="J254" i="22"/>
  <c r="G255" i="22"/>
  <c r="D256" i="22"/>
  <c r="T256" i="22"/>
  <c r="Q257" i="22"/>
  <c r="K260" i="22"/>
  <c r="H261" i="22"/>
  <c r="E262" i="22"/>
  <c r="U262" i="22"/>
  <c r="R263" i="22"/>
  <c r="O264" i="22"/>
  <c r="L265" i="22"/>
  <c r="I266" i="22"/>
  <c r="F267" i="22"/>
  <c r="V267" i="22"/>
  <c r="S268" i="22"/>
  <c r="P269" i="22"/>
  <c r="M270" i="22"/>
  <c r="G272" i="22"/>
  <c r="D273" i="22"/>
  <c r="T273" i="22"/>
  <c r="Q274" i="22"/>
  <c r="J92" i="22"/>
  <c r="G93" i="22"/>
  <c r="D94" i="22"/>
  <c r="N96" i="22"/>
  <c r="K97" i="22"/>
  <c r="H98" i="22"/>
  <c r="O101" i="22"/>
  <c r="L102" i="22"/>
  <c r="I104" i="22"/>
  <c r="F105" i="22"/>
  <c r="P107" i="22"/>
  <c r="M108" i="22"/>
  <c r="J109" i="22"/>
  <c r="G110" i="22"/>
  <c r="Q169" i="22"/>
  <c r="Q159" i="22"/>
  <c r="Q198" i="22" s="1"/>
  <c r="N170" i="22"/>
  <c r="H172" i="22"/>
  <c r="U173" i="22"/>
  <c r="R174" i="22"/>
  <c r="O175" i="22"/>
  <c r="L176" i="22"/>
  <c r="I177" i="22"/>
  <c r="F178" i="22"/>
  <c r="V178" i="22"/>
  <c r="P180" i="22"/>
  <c r="M182" i="22"/>
  <c r="J183" i="22"/>
  <c r="G184" i="22"/>
  <c r="T185" i="22"/>
  <c r="N187" i="22"/>
  <c r="H189" i="22"/>
  <c r="U190" i="22"/>
  <c r="O192" i="22"/>
  <c r="V195" i="22"/>
  <c r="P197" i="22"/>
  <c r="Q193" i="22"/>
  <c r="T94" i="22"/>
  <c r="E99" i="22"/>
  <c r="V104" i="22"/>
  <c r="R169" i="22"/>
  <c r="R159" i="22"/>
  <c r="R198" i="22" s="1"/>
  <c r="O170" i="22"/>
  <c r="L171" i="22"/>
  <c r="I172" i="22"/>
  <c r="V173" i="22"/>
  <c r="S174" i="22"/>
  <c r="P175" i="22"/>
  <c r="M176" i="22"/>
  <c r="J177" i="22"/>
  <c r="G178" i="22"/>
  <c r="D179" i="22"/>
  <c r="T179" i="22"/>
  <c r="Q180" i="22"/>
  <c r="N182" i="22"/>
  <c r="K183" i="22"/>
  <c r="H184" i="22"/>
  <c r="E185" i="22"/>
  <c r="U185" i="22"/>
  <c r="R186" i="22"/>
  <c r="O187" i="22"/>
  <c r="L188" i="22"/>
  <c r="I189" i="22"/>
  <c r="F190" i="22"/>
  <c r="V190" i="22"/>
  <c r="S191" i="22"/>
  <c r="P192" i="22"/>
  <c r="M193" i="22"/>
  <c r="G195" i="22"/>
  <c r="D196" i="22"/>
  <c r="T196" i="22"/>
  <c r="Q197" i="22"/>
  <c r="F180" i="22"/>
  <c r="R193" i="22"/>
  <c r="R99" i="22"/>
  <c r="S169" i="22"/>
  <c r="P170" i="22"/>
  <c r="J172" i="22"/>
  <c r="J159" i="22"/>
  <c r="J198" i="22" s="1"/>
  <c r="O117" i="22"/>
  <c r="D169" i="22"/>
  <c r="D159" i="22"/>
  <c r="M183" i="22"/>
  <c r="J184" i="22"/>
  <c r="G185" i="22"/>
  <c r="D186" i="22"/>
  <c r="T186" i="22"/>
  <c r="Q187" i="22"/>
  <c r="N188" i="22"/>
  <c r="K189" i="22"/>
  <c r="H190" i="22"/>
  <c r="E191" i="22"/>
  <c r="U191" i="22"/>
  <c r="R192" i="22"/>
  <c r="O193" i="22"/>
  <c r="I195" i="22"/>
  <c r="F196" i="22"/>
  <c r="V196" i="22"/>
  <c r="S197" i="22"/>
  <c r="I89" i="21"/>
  <c r="E256" i="21"/>
  <c r="K93" i="22"/>
  <c r="H94" i="22"/>
  <c r="E95" i="22"/>
  <c r="L98" i="22"/>
  <c r="I99" i="22"/>
  <c r="F100" i="22"/>
  <c r="P102" i="22"/>
  <c r="M104" i="22"/>
  <c r="J105" i="22"/>
  <c r="G106" i="22"/>
  <c r="Q108" i="22"/>
  <c r="N109" i="22"/>
  <c r="K110" i="22"/>
  <c r="H111" i="22"/>
  <c r="U112" i="22"/>
  <c r="R113" i="22"/>
  <c r="O114" i="22"/>
  <c r="L115" i="22"/>
  <c r="F117" i="22"/>
  <c r="V117" i="22"/>
  <c r="S118" i="22"/>
  <c r="P119" i="22"/>
  <c r="L91" i="22"/>
  <c r="T99" i="22"/>
  <c r="P117" i="22"/>
  <c r="E169" i="22"/>
  <c r="E159" i="22"/>
  <c r="E198" i="22" s="1"/>
  <c r="U169" i="22"/>
  <c r="U159" i="22"/>
  <c r="U198" i="22" s="1"/>
  <c r="R170" i="22"/>
  <c r="O171" i="22"/>
  <c r="Q173" i="22"/>
  <c r="R109" i="22"/>
  <c r="R264" i="22"/>
  <c r="D274" i="22"/>
  <c r="D119" i="22"/>
  <c r="V95" i="22"/>
  <c r="M98" i="22"/>
  <c r="J99" i="22"/>
  <c r="G100" i="22"/>
  <c r="Q102" i="22"/>
  <c r="N104" i="22"/>
  <c r="K105" i="22"/>
  <c r="H106" i="22"/>
  <c r="E107" i="22"/>
  <c r="U107" i="22"/>
  <c r="R108" i="22"/>
  <c r="O109" i="22"/>
  <c r="L110" i="22"/>
  <c r="I111" i="22"/>
  <c r="F112" i="22"/>
  <c r="V112" i="22"/>
  <c r="S113" i="22"/>
  <c r="P114" i="22"/>
  <c r="M115" i="22"/>
  <c r="G117" i="22"/>
  <c r="D118" i="22"/>
  <c r="T118" i="22"/>
  <c r="Q119" i="22"/>
  <c r="P95" i="22"/>
  <c r="T105" i="22"/>
  <c r="I112" i="22"/>
  <c r="Q117" i="22"/>
  <c r="S170" i="22"/>
  <c r="P171" i="22"/>
  <c r="M172" i="22"/>
  <c r="J173" i="22"/>
  <c r="G174" i="22"/>
  <c r="D175" i="22"/>
  <c r="T175" i="22"/>
  <c r="Q176" i="22"/>
  <c r="K178" i="22"/>
  <c r="H179" i="22"/>
  <c r="U180" i="22"/>
  <c r="R182" i="22"/>
  <c r="O183" i="22"/>
  <c r="L184" i="22"/>
  <c r="F186" i="22"/>
  <c r="S187" i="22"/>
  <c r="M189" i="22"/>
  <c r="O246" i="22"/>
  <c r="O236" i="22"/>
  <c r="L247" i="22"/>
  <c r="L236" i="22"/>
  <c r="I248" i="22"/>
  <c r="S250" i="22"/>
  <c r="P251" i="22"/>
  <c r="M252" i="22"/>
  <c r="G254" i="22"/>
  <c r="D255" i="22"/>
  <c r="T255" i="22"/>
  <c r="N257" i="22"/>
  <c r="K259" i="22"/>
  <c r="H260" i="22"/>
  <c r="E261" i="22"/>
  <c r="U261" i="22"/>
  <c r="R262" i="22"/>
  <c r="O263" i="22"/>
  <c r="L264" i="22"/>
  <c r="I265" i="22"/>
  <c r="F266" i="22"/>
  <c r="V266" i="22"/>
  <c r="S267" i="22"/>
  <c r="P268" i="22"/>
  <c r="M269" i="22"/>
  <c r="J270" i="22"/>
  <c r="D272" i="22"/>
  <c r="T272" i="22"/>
  <c r="Q273" i="22"/>
  <c r="N274" i="22"/>
  <c r="P246" i="22"/>
  <c r="M247" i="22"/>
  <c r="J248" i="22"/>
  <c r="G249" i="22"/>
  <c r="T250" i="22"/>
  <c r="Q251" i="22"/>
  <c r="N252" i="22"/>
  <c r="K253" i="22"/>
  <c r="E255" i="22"/>
  <c r="U255" i="22"/>
  <c r="R256" i="22"/>
  <c r="K184" i="23"/>
  <c r="K173" i="23"/>
  <c r="N179" i="24"/>
  <c r="N256" i="24"/>
  <c r="L172" i="22"/>
  <c r="I173" i="22"/>
  <c r="F174" i="22"/>
  <c r="V174" i="22"/>
  <c r="S175" i="22"/>
  <c r="P176" i="22"/>
  <c r="M177" i="22"/>
  <c r="J178" i="22"/>
  <c r="G179" i="22"/>
  <c r="D180" i="22"/>
  <c r="T180" i="22"/>
  <c r="Q182" i="22"/>
  <c r="N183" i="22"/>
  <c r="K184" i="22"/>
  <c r="H185" i="22"/>
  <c r="E186" i="22"/>
  <c r="U186" i="22"/>
  <c r="R187" i="22"/>
  <c r="O188" i="22"/>
  <c r="L189" i="22"/>
  <c r="I190" i="22"/>
  <c r="F191" i="22"/>
  <c r="V191" i="22"/>
  <c r="S192" i="22"/>
  <c r="P193" i="22"/>
  <c r="J195" i="22"/>
  <c r="G196" i="22"/>
  <c r="D197" i="22"/>
  <c r="T197" i="22"/>
  <c r="S246" i="22"/>
  <c r="P247" i="22"/>
  <c r="M248" i="22"/>
  <c r="J249" i="22"/>
  <c r="T251" i="22"/>
  <c r="Q252" i="22"/>
  <c r="N253" i="22"/>
  <c r="H255" i="22"/>
  <c r="E256" i="22"/>
  <c r="U256" i="22"/>
  <c r="O259" i="22"/>
  <c r="L260" i="22"/>
  <c r="I261" i="22"/>
  <c r="V262" i="22"/>
  <c r="S263" i="22"/>
  <c r="M265" i="22"/>
  <c r="J266" i="22"/>
  <c r="G267" i="22"/>
  <c r="D268" i="22"/>
  <c r="Q269" i="22"/>
  <c r="N270" i="22"/>
  <c r="H272" i="22"/>
  <c r="E273" i="22"/>
  <c r="U273" i="22"/>
  <c r="R274" i="22"/>
  <c r="F159" i="22"/>
  <c r="V159" i="22"/>
  <c r="D246" i="22"/>
  <c r="T246" i="22"/>
  <c r="Q247" i="22"/>
  <c r="M260" i="22"/>
  <c r="J261" i="22"/>
  <c r="D263" i="22"/>
  <c r="T263" i="22"/>
  <c r="Q264" i="22"/>
  <c r="N265" i="22"/>
  <c r="K266" i="22"/>
  <c r="H267" i="22"/>
  <c r="E268" i="22"/>
  <c r="R269" i="22"/>
  <c r="O270" i="22"/>
  <c r="I272" i="22"/>
  <c r="F273" i="22"/>
  <c r="V273" i="22"/>
  <c r="S274" i="22"/>
  <c r="F47" i="23"/>
  <c r="G159" i="22"/>
  <c r="G198" i="22" s="1"/>
  <c r="K170" i="22"/>
  <c r="E246" i="22"/>
  <c r="U246" i="22"/>
  <c r="R247" i="22"/>
  <c r="O248" i="22"/>
  <c r="L249" i="22"/>
  <c r="I250" i="22"/>
  <c r="F251" i="22"/>
  <c r="V251" i="22"/>
  <c r="S252" i="22"/>
  <c r="P253" i="22"/>
  <c r="J255" i="22"/>
  <c r="G256" i="22"/>
  <c r="D257" i="22"/>
  <c r="N260" i="22"/>
  <c r="K261" i="22"/>
  <c r="H262" i="22"/>
  <c r="E263" i="22"/>
  <c r="U263" i="22"/>
  <c r="O265" i="22"/>
  <c r="L266" i="22"/>
  <c r="F268" i="22"/>
  <c r="V268" i="22"/>
  <c r="S269" i="22"/>
  <c r="P270" i="22"/>
  <c r="J272" i="22"/>
  <c r="G273" i="22"/>
  <c r="T274" i="22"/>
  <c r="E270" i="23"/>
  <c r="E187" i="23"/>
  <c r="E274" i="23"/>
  <c r="E191" i="23"/>
  <c r="E193" i="23"/>
  <c r="E276" i="23"/>
  <c r="E197" i="23"/>
  <c r="E280" i="23"/>
  <c r="E288" i="23"/>
  <c r="E205" i="23"/>
  <c r="E290" i="23"/>
  <c r="E207" i="23"/>
  <c r="E292" i="23"/>
  <c r="E209" i="23"/>
  <c r="E211" i="23"/>
  <c r="E294" i="23"/>
  <c r="J47" i="23"/>
  <c r="H159" i="22"/>
  <c r="F246" i="22"/>
  <c r="F236" i="22"/>
  <c r="V246" i="22"/>
  <c r="V236" i="22"/>
  <c r="V275" i="22" s="1"/>
  <c r="S247" i="22"/>
  <c r="P248" i="22"/>
  <c r="M249" i="22"/>
  <c r="J250" i="22"/>
  <c r="D252" i="22"/>
  <c r="T252" i="22"/>
  <c r="Q253" i="22"/>
  <c r="N254" i="22"/>
  <c r="H256" i="22"/>
  <c r="E257" i="22"/>
  <c r="U257" i="22"/>
  <c r="D257" i="23"/>
  <c r="J100" i="22"/>
  <c r="G101" i="22"/>
  <c r="D102" i="22"/>
  <c r="T102" i="22"/>
  <c r="G246" i="22"/>
  <c r="D247" i="22"/>
  <c r="T247" i="22"/>
  <c r="Q248" i="22"/>
  <c r="N249" i="22"/>
  <c r="K250" i="22"/>
  <c r="U252" i="22"/>
  <c r="R253" i="22"/>
  <c r="O254" i="22"/>
  <c r="L255" i="22"/>
  <c r="I256" i="22"/>
  <c r="F257" i="22"/>
  <c r="V257" i="22"/>
  <c r="D131" i="23"/>
  <c r="H236" i="22"/>
  <c r="H275" i="22" s="1"/>
  <c r="R248" i="22"/>
  <c r="O249" i="22"/>
  <c r="L250" i="22"/>
  <c r="I251" i="22"/>
  <c r="F252" i="22"/>
  <c r="V252" i="22"/>
  <c r="S253" i="22"/>
  <c r="P254" i="22"/>
  <c r="J256" i="22"/>
  <c r="G257" i="22"/>
  <c r="D259" i="22"/>
  <c r="T259" i="22"/>
  <c r="Q260" i="22"/>
  <c r="N261" i="22"/>
  <c r="K262" i="22"/>
  <c r="H263" i="22"/>
  <c r="E264" i="22"/>
  <c r="R265" i="22"/>
  <c r="O266" i="22"/>
  <c r="L267" i="22"/>
  <c r="I268" i="22"/>
  <c r="F269" i="22"/>
  <c r="V269" i="22"/>
  <c r="S270" i="22"/>
  <c r="M272" i="22"/>
  <c r="J273" i="22"/>
  <c r="G274" i="22"/>
  <c r="E131" i="23"/>
  <c r="E90" i="23"/>
  <c r="M169" i="22"/>
  <c r="I236" i="22"/>
  <c r="I246" i="22"/>
  <c r="F247" i="22"/>
  <c r="E259" i="22"/>
  <c r="U259" i="22"/>
  <c r="O261" i="22"/>
  <c r="L262" i="22"/>
  <c r="F264" i="22"/>
  <c r="V264" i="22"/>
  <c r="S265" i="22"/>
  <c r="P266" i="22"/>
  <c r="J268" i="22"/>
  <c r="G269" i="22"/>
  <c r="T270" i="22"/>
  <c r="N272" i="22"/>
  <c r="K273" i="22"/>
  <c r="M236" i="22"/>
  <c r="M275" i="22" s="1"/>
  <c r="H81" i="22"/>
  <c r="H120" i="22" s="1"/>
  <c r="N169" i="22"/>
  <c r="J236" i="22"/>
  <c r="J275" i="22" s="1"/>
  <c r="D248" i="22"/>
  <c r="T248" i="22"/>
  <c r="Q249" i="22"/>
  <c r="N250" i="22"/>
  <c r="K251" i="22"/>
  <c r="F259" i="22"/>
  <c r="V259" i="22"/>
  <c r="S260" i="22"/>
  <c r="P261" i="22"/>
  <c r="I81" i="22"/>
  <c r="H91" i="22"/>
  <c r="P169" i="22"/>
  <c r="U248" i="22"/>
  <c r="R249" i="22"/>
  <c r="F253" i="22"/>
  <c r="M256" i="22"/>
  <c r="G259" i="22"/>
  <c r="Q261" i="22"/>
  <c r="U265" i="22"/>
  <c r="L268" i="22"/>
  <c r="T184" i="22"/>
  <c r="Q185" i="22"/>
  <c r="N186" i="22"/>
  <c r="K187" i="22"/>
  <c r="H188" i="22"/>
  <c r="E189" i="22"/>
  <c r="U189" i="22"/>
  <c r="R190" i="22"/>
  <c r="O191" i="22"/>
  <c r="L192" i="22"/>
  <c r="I193" i="22"/>
  <c r="V194" i="22"/>
  <c r="S195" i="22"/>
  <c r="P196" i="22"/>
  <c r="M197" i="22"/>
  <c r="S249" i="22"/>
  <c r="D254" i="22"/>
  <c r="K257" i="22"/>
  <c r="H259" i="22"/>
  <c r="R261" i="22"/>
  <c r="I264" i="22"/>
  <c r="M268" i="22"/>
  <c r="O169" i="22"/>
  <c r="L170" i="22"/>
  <c r="I171" i="22"/>
  <c r="F172" i="22"/>
  <c r="V172" i="22"/>
  <c r="S173" i="22"/>
  <c r="P174" i="22"/>
  <c r="M175" i="22"/>
  <c r="J176" i="22"/>
  <c r="G177" i="22"/>
  <c r="D178" i="22"/>
  <c r="T178" i="22"/>
  <c r="Q179" i="22"/>
  <c r="N180" i="22"/>
  <c r="K182" i="22"/>
  <c r="H183" i="22"/>
  <c r="E184" i="22"/>
  <c r="U184" i="22"/>
  <c r="R185" i="22"/>
  <c r="O186" i="22"/>
  <c r="L187" i="22"/>
  <c r="I188" i="22"/>
  <c r="F189" i="22"/>
  <c r="V189" i="22"/>
  <c r="S190" i="22"/>
  <c r="P191" i="22"/>
  <c r="M192" i="22"/>
  <c r="J193" i="22"/>
  <c r="D195" i="22"/>
  <c r="T195" i="22"/>
  <c r="Q196" i="22"/>
  <c r="N197" i="22"/>
  <c r="O159" i="22"/>
  <c r="V169" i="22"/>
  <c r="T249" i="22"/>
  <c r="E254" i="22"/>
  <c r="L257" i="22"/>
  <c r="I259" i="22"/>
  <c r="S261" i="22"/>
  <c r="J264" i="22"/>
  <c r="N268" i="22"/>
  <c r="E46" i="23"/>
  <c r="E47" i="23" s="1"/>
  <c r="H248" i="22"/>
  <c r="U249" i="22"/>
  <c r="R250" i="22"/>
  <c r="O251" i="22"/>
  <c r="F254" i="22"/>
  <c r="M257" i="22"/>
  <c r="J259" i="22"/>
  <c r="K264" i="22"/>
  <c r="U266" i="22"/>
  <c r="P273" i="22"/>
  <c r="L259" i="22"/>
  <c r="I260" i="22"/>
  <c r="F261" i="22"/>
  <c r="V261" i="22"/>
  <c r="S262" i="22"/>
  <c r="P263" i="22"/>
  <c r="M264" i="22"/>
  <c r="J265" i="22"/>
  <c r="G266" i="22"/>
  <c r="D267" i="22"/>
  <c r="T267" i="22"/>
  <c r="Q268" i="22"/>
  <c r="N269" i="22"/>
  <c r="K270" i="22"/>
  <c r="E272" i="22"/>
  <c r="U272" i="22"/>
  <c r="R273" i="22"/>
  <c r="O274" i="22"/>
  <c r="I46" i="23"/>
  <c r="I47" i="23" s="1"/>
  <c r="D90" i="23"/>
  <c r="I193" i="23"/>
  <c r="I276" i="23"/>
  <c r="I109" i="23"/>
  <c r="I195" i="23"/>
  <c r="I111" i="23"/>
  <c r="I197" i="23"/>
  <c r="I113" i="23"/>
  <c r="I119" i="23"/>
  <c r="I203" i="23"/>
  <c r="I121" i="23"/>
  <c r="I205" i="23"/>
  <c r="I129" i="23"/>
  <c r="I213" i="23"/>
  <c r="J101" i="23"/>
  <c r="J103" i="23"/>
  <c r="J105" i="23"/>
  <c r="J107" i="23"/>
  <c r="J109" i="23"/>
  <c r="J111" i="23"/>
  <c r="J113" i="23"/>
  <c r="J115" i="23"/>
  <c r="J117" i="23"/>
  <c r="J119" i="23"/>
  <c r="J121" i="23"/>
  <c r="J123" i="23"/>
  <c r="J125" i="23"/>
  <c r="J127" i="23"/>
  <c r="J129" i="23"/>
  <c r="D100" i="23"/>
  <c r="E185" i="23"/>
  <c r="E195" i="23"/>
  <c r="E201" i="23"/>
  <c r="E203" i="23"/>
  <c r="E213" i="23"/>
  <c r="N248" i="22"/>
  <c r="K249" i="22"/>
  <c r="E251" i="22"/>
  <c r="U251" i="22"/>
  <c r="R252" i="22"/>
  <c r="O253" i="22"/>
  <c r="L254" i="22"/>
  <c r="I255" i="22"/>
  <c r="F256" i="22"/>
  <c r="V256" i="22"/>
  <c r="S257" i="22"/>
  <c r="P236" i="22"/>
  <c r="P275" i="22" s="1"/>
  <c r="E100" i="23"/>
  <c r="F185" i="23"/>
  <c r="F187" i="23"/>
  <c r="F189" i="23"/>
  <c r="F191" i="23"/>
  <c r="F193" i="23"/>
  <c r="F195" i="23"/>
  <c r="F197" i="23"/>
  <c r="F199" i="23"/>
  <c r="F201" i="23"/>
  <c r="F203" i="23"/>
  <c r="F205" i="23"/>
  <c r="F209" i="23"/>
  <c r="F211" i="23"/>
  <c r="F213" i="23"/>
  <c r="D186" i="23"/>
  <c r="G271" i="23"/>
  <c r="G273" i="23"/>
  <c r="G277" i="23"/>
  <c r="G281" i="23"/>
  <c r="G287" i="23"/>
  <c r="G289" i="23"/>
  <c r="G295" i="23"/>
  <c r="G297" i="23"/>
  <c r="M96" i="24"/>
  <c r="G185" i="23"/>
  <c r="G173" i="23"/>
  <c r="F207" i="23"/>
  <c r="H298" i="23"/>
  <c r="H257" i="23"/>
  <c r="R259" i="22"/>
  <c r="O260" i="22"/>
  <c r="L261" i="22"/>
  <c r="I262" i="22"/>
  <c r="F263" i="22"/>
  <c r="V263" i="22"/>
  <c r="S264" i="22"/>
  <c r="P265" i="22"/>
  <c r="M266" i="22"/>
  <c r="J267" i="22"/>
  <c r="G268" i="22"/>
  <c r="D269" i="22"/>
  <c r="T269" i="22"/>
  <c r="Q270" i="22"/>
  <c r="K272" i="22"/>
  <c r="H273" i="22"/>
  <c r="E274" i="22"/>
  <c r="U274" i="22"/>
  <c r="D267" i="23"/>
  <c r="D46" i="23"/>
  <c r="D47" i="23" s="1"/>
  <c r="E118" i="23"/>
  <c r="E120" i="23"/>
  <c r="E122" i="23"/>
  <c r="E124" i="23"/>
  <c r="E126" i="23"/>
  <c r="I298" i="23"/>
  <c r="I257" i="23"/>
  <c r="I292" i="23"/>
  <c r="S259" i="22"/>
  <c r="P260" i="22"/>
  <c r="M261" i="22"/>
  <c r="J262" i="22"/>
  <c r="G263" i="22"/>
  <c r="D264" i="22"/>
  <c r="T264" i="22"/>
  <c r="Q265" i="22"/>
  <c r="N266" i="22"/>
  <c r="K267" i="22"/>
  <c r="H268" i="22"/>
  <c r="E269" i="22"/>
  <c r="U269" i="22"/>
  <c r="R270" i="22"/>
  <c r="L272" i="22"/>
  <c r="I273" i="22"/>
  <c r="F274" i="22"/>
  <c r="V274" i="22"/>
  <c r="S236" i="22"/>
  <c r="S275" i="22" s="1"/>
  <c r="F100" i="23"/>
  <c r="F102" i="23"/>
  <c r="F104" i="23"/>
  <c r="F106" i="23"/>
  <c r="F108" i="23"/>
  <c r="F110" i="23"/>
  <c r="F114" i="23"/>
  <c r="F116" i="23"/>
  <c r="F118" i="23"/>
  <c r="F120" i="23"/>
  <c r="F122" i="23"/>
  <c r="F124" i="23"/>
  <c r="F126" i="23"/>
  <c r="F128" i="23"/>
  <c r="F130" i="23"/>
  <c r="I185" i="23"/>
  <c r="I187" i="23"/>
  <c r="I189" i="23"/>
  <c r="I191" i="23"/>
  <c r="I199" i="23"/>
  <c r="I201" i="23"/>
  <c r="I207" i="23"/>
  <c r="I209" i="23"/>
  <c r="D236" i="22"/>
  <c r="D275" i="22" s="1"/>
  <c r="T236" i="22"/>
  <c r="T275" i="22" s="1"/>
  <c r="G100" i="23"/>
  <c r="G102" i="23"/>
  <c r="G104" i="23"/>
  <c r="G106" i="23"/>
  <c r="G108" i="23"/>
  <c r="G110" i="23"/>
  <c r="G114" i="23"/>
  <c r="G116" i="23"/>
  <c r="G118" i="23"/>
  <c r="G120" i="23"/>
  <c r="G122" i="23"/>
  <c r="G124" i="23"/>
  <c r="G126" i="23"/>
  <c r="G128" i="23"/>
  <c r="G130" i="23"/>
  <c r="J185" i="23"/>
  <c r="J187" i="23"/>
  <c r="J189" i="23"/>
  <c r="J191" i="23"/>
  <c r="J193" i="23"/>
  <c r="J199" i="23"/>
  <c r="J201" i="23"/>
  <c r="J203" i="23"/>
  <c r="J209" i="23"/>
  <c r="J211" i="23"/>
  <c r="K298" i="23"/>
  <c r="K257" i="23"/>
  <c r="V247" i="22"/>
  <c r="S248" i="22"/>
  <c r="P249" i="22"/>
  <c r="M250" i="22"/>
  <c r="J251" i="22"/>
  <c r="G252" i="22"/>
  <c r="D253" i="22"/>
  <c r="T253" i="22"/>
  <c r="Q254" i="22"/>
  <c r="N255" i="22"/>
  <c r="K256" i="22"/>
  <c r="H257" i="22"/>
  <c r="E236" i="22"/>
  <c r="E275" i="22" s="1"/>
  <c r="U236" i="22"/>
  <c r="U275" i="22" s="1"/>
  <c r="G184" i="23"/>
  <c r="G46" i="23"/>
  <c r="G47" i="23" s="1"/>
  <c r="G269" i="23"/>
  <c r="G186" i="23"/>
  <c r="G208" i="23"/>
  <c r="G291" i="23"/>
  <c r="G210" i="23"/>
  <c r="G293" i="23"/>
  <c r="H100" i="23"/>
  <c r="H89" i="23"/>
  <c r="G192" i="23"/>
  <c r="D270" i="23"/>
  <c r="E253" i="22"/>
  <c r="U253" i="22"/>
  <c r="R254" i="22"/>
  <c r="O255" i="22"/>
  <c r="L256" i="22"/>
  <c r="I257" i="22"/>
  <c r="M262" i="22"/>
  <c r="J263" i="22"/>
  <c r="G264" i="22"/>
  <c r="D265" i="22"/>
  <c r="T265" i="22"/>
  <c r="Q266" i="22"/>
  <c r="N267" i="22"/>
  <c r="K268" i="22"/>
  <c r="H269" i="22"/>
  <c r="E270" i="22"/>
  <c r="U270" i="22"/>
  <c r="O272" i="22"/>
  <c r="L273" i="22"/>
  <c r="I274" i="22"/>
  <c r="H47" i="23"/>
  <c r="I100" i="23"/>
  <c r="I89" i="23"/>
  <c r="D103" i="23"/>
  <c r="D184" i="23"/>
  <c r="D188" i="23"/>
  <c r="D190" i="23"/>
  <c r="I211" i="23"/>
  <c r="E272" i="23"/>
  <c r="E278" i="23"/>
  <c r="E282" i="23"/>
  <c r="G236" i="22"/>
  <c r="G275" i="22" s="1"/>
  <c r="J131" i="23"/>
  <c r="J90" i="23"/>
  <c r="E184" i="23"/>
  <c r="E186" i="23"/>
  <c r="E198" i="23"/>
  <c r="E200" i="23"/>
  <c r="K131" i="23"/>
  <c r="K90" i="23"/>
  <c r="F186" i="23"/>
  <c r="F188" i="23"/>
  <c r="F198" i="23"/>
  <c r="F200" i="23"/>
  <c r="F202" i="23"/>
  <c r="K47" i="23"/>
  <c r="G188" i="23"/>
  <c r="G190" i="23"/>
  <c r="G200" i="23"/>
  <c r="G202" i="23"/>
  <c r="D185" i="23"/>
  <c r="D268" i="23"/>
  <c r="D272" i="23"/>
  <c r="D189" i="23"/>
  <c r="E101" i="23"/>
  <c r="E103" i="23"/>
  <c r="E105" i="23"/>
  <c r="E107" i="23"/>
  <c r="E109" i="23"/>
  <c r="E111" i="23"/>
  <c r="E113" i="23"/>
  <c r="E115" i="23"/>
  <c r="E117" i="23"/>
  <c r="E119" i="23"/>
  <c r="E121" i="23"/>
  <c r="E123" i="23"/>
  <c r="E125" i="23"/>
  <c r="E127" i="23"/>
  <c r="E129" i="23"/>
  <c r="I268" i="23"/>
  <c r="I270" i="23"/>
  <c r="I272" i="23"/>
  <c r="I274" i="23"/>
  <c r="I278" i="23"/>
  <c r="I280" i="23"/>
  <c r="I282" i="23"/>
  <c r="I284" i="23"/>
  <c r="I286" i="23"/>
  <c r="I288" i="23"/>
  <c r="I290" i="23"/>
  <c r="I294" i="23"/>
  <c r="I296" i="23"/>
  <c r="J100" i="23"/>
  <c r="D207" i="23"/>
  <c r="J256" i="23"/>
  <c r="K267" i="23"/>
  <c r="K284" i="23"/>
  <c r="G247" i="24"/>
  <c r="G42" i="24"/>
  <c r="D42" i="24"/>
  <c r="T42" i="24"/>
  <c r="T171" i="24"/>
  <c r="L93" i="24"/>
  <c r="I94" i="24"/>
  <c r="F95" i="24"/>
  <c r="V95" i="24"/>
  <c r="S96" i="24"/>
  <c r="P97" i="24"/>
  <c r="M98" i="24"/>
  <c r="G100" i="24"/>
  <c r="T101" i="24"/>
  <c r="Q102" i="24"/>
  <c r="J105" i="24"/>
  <c r="G106" i="24"/>
  <c r="D107" i="24"/>
  <c r="T107" i="24"/>
  <c r="Q108" i="24"/>
  <c r="N109" i="24"/>
  <c r="K110" i="24"/>
  <c r="H111" i="24"/>
  <c r="E112" i="24"/>
  <c r="U112" i="24"/>
  <c r="R113" i="24"/>
  <c r="O114" i="24"/>
  <c r="L115" i="24"/>
  <c r="I116" i="24"/>
  <c r="V117" i="24"/>
  <c r="S118" i="24"/>
  <c r="P119" i="24"/>
  <c r="M120" i="24"/>
  <c r="K100" i="23"/>
  <c r="I198" i="23"/>
  <c r="K294" i="23"/>
  <c r="H247" i="24"/>
  <c r="H42" i="24"/>
  <c r="I252" i="24"/>
  <c r="I97" i="24"/>
  <c r="O190" i="24"/>
  <c r="O267" i="24"/>
  <c r="P82" i="24"/>
  <c r="P121" i="24" s="1"/>
  <c r="M82" i="24"/>
  <c r="M121" i="24" s="1"/>
  <c r="J94" i="24"/>
  <c r="G95" i="24"/>
  <c r="T96" i="24"/>
  <c r="Q97" i="24"/>
  <c r="N98" i="24"/>
  <c r="U101" i="24"/>
  <c r="R102" i="24"/>
  <c r="O103" i="24"/>
  <c r="M172" i="24"/>
  <c r="D173" i="23"/>
  <c r="L42" i="24"/>
  <c r="R92" i="24"/>
  <c r="L94" i="24"/>
  <c r="I95" i="24"/>
  <c r="V96" i="24"/>
  <c r="S97" i="24"/>
  <c r="P98" i="24"/>
  <c r="M99" i="24"/>
  <c r="D102" i="24"/>
  <c r="T102" i="24"/>
  <c r="Q103" i="24"/>
  <c r="M101" i="24"/>
  <c r="K176" i="24"/>
  <c r="N248" i="24"/>
  <c r="K249" i="24"/>
  <c r="L254" i="24"/>
  <c r="S257" i="24"/>
  <c r="P258" i="24"/>
  <c r="V262" i="24"/>
  <c r="J266" i="24"/>
  <c r="T268" i="24"/>
  <c r="E173" i="23"/>
  <c r="K292" i="23"/>
  <c r="K42" i="24"/>
  <c r="M42" i="24"/>
  <c r="E108" i="24"/>
  <c r="O110" i="24"/>
  <c r="L111" i="24"/>
  <c r="V113" i="24"/>
  <c r="S114" i="24"/>
  <c r="I177" i="24"/>
  <c r="O175" i="24"/>
  <c r="I250" i="24"/>
  <c r="F173" i="23"/>
  <c r="D197" i="23"/>
  <c r="E267" i="23"/>
  <c r="E269" i="23"/>
  <c r="E271" i="23"/>
  <c r="E273" i="23"/>
  <c r="E275" i="23"/>
  <c r="E277" i="23"/>
  <c r="E281" i="23"/>
  <c r="E283" i="23"/>
  <c r="E285" i="23"/>
  <c r="E287" i="23"/>
  <c r="E289" i="23"/>
  <c r="E291" i="23"/>
  <c r="E293" i="23"/>
  <c r="E295" i="23"/>
  <c r="E297" i="23"/>
  <c r="K270" i="23"/>
  <c r="D276" i="23"/>
  <c r="K181" i="24"/>
  <c r="K103" i="24"/>
  <c r="T82" i="24"/>
  <c r="N102" i="24"/>
  <c r="F267" i="23"/>
  <c r="F256" i="23"/>
  <c r="F269" i="23"/>
  <c r="F271" i="23"/>
  <c r="F273" i="23"/>
  <c r="F275" i="23"/>
  <c r="F277" i="23"/>
  <c r="F281" i="23"/>
  <c r="F283" i="23"/>
  <c r="F285" i="23"/>
  <c r="F287" i="23"/>
  <c r="F289" i="23"/>
  <c r="F291" i="23"/>
  <c r="F293" i="23"/>
  <c r="F295" i="23"/>
  <c r="F297" i="23"/>
  <c r="H278" i="23"/>
  <c r="K280" i="23"/>
  <c r="I183" i="24"/>
  <c r="I105" i="24"/>
  <c r="V261" i="24"/>
  <c r="V106" i="24"/>
  <c r="D190" i="24"/>
  <c r="D112" i="24"/>
  <c r="R273" i="24"/>
  <c r="R118" i="24"/>
  <c r="O95" i="24"/>
  <c r="J160" i="24"/>
  <c r="J199" i="24" s="1"/>
  <c r="K177" i="24"/>
  <c r="H173" i="23"/>
  <c r="G256" i="23"/>
  <c r="K290" i="23"/>
  <c r="N42" i="24"/>
  <c r="N199" i="24" s="1"/>
  <c r="F92" i="24"/>
  <c r="F82" i="24"/>
  <c r="F121" i="24" s="1"/>
  <c r="V92" i="24"/>
  <c r="S93" i="24"/>
  <c r="S82" i="24"/>
  <c r="P94" i="24"/>
  <c r="L96" i="24"/>
  <c r="I112" i="24"/>
  <c r="I173" i="23"/>
  <c r="D191" i="23"/>
  <c r="O247" i="24"/>
  <c r="O42" i="24"/>
  <c r="O121" i="24" s="1"/>
  <c r="G92" i="24"/>
  <c r="G82" i="24"/>
  <c r="G121" i="24" s="1"/>
  <c r="D93" i="24"/>
  <c r="T93" i="24"/>
  <c r="K96" i="24"/>
  <c r="H97" i="24"/>
  <c r="R105" i="24"/>
  <c r="L107" i="24"/>
  <c r="I108" i="24"/>
  <c r="F109" i="24"/>
  <c r="S110" i="24"/>
  <c r="P111" i="24"/>
  <c r="M112" i="24"/>
  <c r="G114" i="24"/>
  <c r="T115" i="24"/>
  <c r="K118" i="24"/>
  <c r="J113" i="24"/>
  <c r="K107" i="23"/>
  <c r="K111" i="23"/>
  <c r="K121" i="23"/>
  <c r="K129" i="23"/>
  <c r="J173" i="23"/>
  <c r="P42" i="24"/>
  <c r="S186" i="24"/>
  <c r="S263" i="24"/>
  <c r="Q269" i="24"/>
  <c r="Q192" i="24"/>
  <c r="H92" i="24"/>
  <c r="E93" i="24"/>
  <c r="U93" i="24"/>
  <c r="R94" i="24"/>
  <c r="F98" i="24"/>
  <c r="V98" i="24"/>
  <c r="S99" i="24"/>
  <c r="P100" i="24"/>
  <c r="G103" i="24"/>
  <c r="S170" i="24"/>
  <c r="P171" i="24"/>
  <c r="J173" i="24"/>
  <c r="K184" i="24"/>
  <c r="F191" i="24"/>
  <c r="Q42" i="24"/>
  <c r="I82" i="24"/>
  <c r="I121" i="24" s="1"/>
  <c r="I92" i="24"/>
  <c r="F93" i="24"/>
  <c r="V93" i="24"/>
  <c r="S94" i="24"/>
  <c r="P95" i="24"/>
  <c r="J97" i="24"/>
  <c r="G98" i="24"/>
  <c r="D99" i="24"/>
  <c r="T99" i="24"/>
  <c r="Q100" i="24"/>
  <c r="N101" i="24"/>
  <c r="K102" i="24"/>
  <c r="H103" i="24"/>
  <c r="D105" i="24"/>
  <c r="T105" i="24"/>
  <c r="Q106" i="24"/>
  <c r="N107" i="24"/>
  <c r="K108" i="24"/>
  <c r="H109" i="24"/>
  <c r="E110" i="24"/>
  <c r="U110" i="24"/>
  <c r="R111" i="24"/>
  <c r="O112" i="24"/>
  <c r="L113" i="24"/>
  <c r="D82" i="24"/>
  <c r="V186" i="24"/>
  <c r="K269" i="23"/>
  <c r="K271" i="23"/>
  <c r="K273" i="23"/>
  <c r="K275" i="23"/>
  <c r="K277" i="23"/>
  <c r="K279" i="23"/>
  <c r="K281" i="23"/>
  <c r="K283" i="23"/>
  <c r="K285" i="23"/>
  <c r="K287" i="23"/>
  <c r="K289" i="23"/>
  <c r="K291" i="23"/>
  <c r="K293" i="23"/>
  <c r="K295" i="23"/>
  <c r="K297" i="23"/>
  <c r="R42" i="24"/>
  <c r="R264" i="24"/>
  <c r="R109" i="24"/>
  <c r="J92" i="24"/>
  <c r="J82" i="24"/>
  <c r="J121" i="24" s="1"/>
  <c r="E105" i="24"/>
  <c r="U105" i="24"/>
  <c r="R106" i="24"/>
  <c r="L108" i="24"/>
  <c r="I109" i="24"/>
  <c r="F110" i="24"/>
  <c r="V110" i="24"/>
  <c r="S111" i="24"/>
  <c r="P112" i="24"/>
  <c r="E82" i="24"/>
  <c r="N105" i="24"/>
  <c r="G89" i="23"/>
  <c r="G267" i="23"/>
  <c r="S42" i="24"/>
  <c r="U82" i="24"/>
  <c r="U121" i="24" s="1"/>
  <c r="O106" i="24"/>
  <c r="G175" i="24"/>
  <c r="N178" i="24"/>
  <c r="H180" i="24"/>
  <c r="E256" i="23"/>
  <c r="H267" i="23"/>
  <c r="L92" i="24"/>
  <c r="I93" i="24"/>
  <c r="F94" i="24"/>
  <c r="V94" i="24"/>
  <c r="S95" i="24"/>
  <c r="P96" i="24"/>
  <c r="J98" i="24"/>
  <c r="G99" i="24"/>
  <c r="D100" i="24"/>
  <c r="T100" i="24"/>
  <c r="Q101" i="24"/>
  <c r="V82" i="24"/>
  <c r="V121" i="24" s="1"/>
  <c r="P115" i="24"/>
  <c r="D171" i="24"/>
  <c r="Q172" i="24"/>
  <c r="N173" i="24"/>
  <c r="I267" i="23"/>
  <c r="E42" i="24"/>
  <c r="U42" i="24"/>
  <c r="M92" i="24"/>
  <c r="J93" i="24"/>
  <c r="Q96" i="24"/>
  <c r="E100" i="24"/>
  <c r="R101" i="24"/>
  <c r="E106" i="24"/>
  <c r="U106" i="24"/>
  <c r="L109" i="24"/>
  <c r="I110" i="24"/>
  <c r="S112" i="24"/>
  <c r="S92" i="24"/>
  <c r="H160" i="24"/>
  <c r="H170" i="24"/>
  <c r="E171" i="24"/>
  <c r="U171" i="24"/>
  <c r="R172" i="24"/>
  <c r="O173" i="24"/>
  <c r="L174" i="24"/>
  <c r="I175" i="24"/>
  <c r="F176" i="24"/>
  <c r="V176" i="24"/>
  <c r="S177" i="24"/>
  <c r="P178" i="24"/>
  <c r="J180" i="24"/>
  <c r="G181" i="24"/>
  <c r="F42" i="24"/>
  <c r="V42" i="24"/>
  <c r="N92" i="24"/>
  <c r="K93" i="24"/>
  <c r="H94" i="24"/>
  <c r="E95" i="24"/>
  <c r="U95" i="24"/>
  <c r="R96" i="24"/>
  <c r="I99" i="24"/>
  <c r="V100" i="24"/>
  <c r="F106" i="24"/>
  <c r="S107" i="24"/>
  <c r="M109" i="24"/>
  <c r="G111" i="24"/>
  <c r="T112" i="24"/>
  <c r="N114" i="24"/>
  <c r="H116" i="24"/>
  <c r="O119" i="24"/>
  <c r="I170" i="24"/>
  <c r="F171" i="24"/>
  <c r="V171" i="24"/>
  <c r="S172" i="24"/>
  <c r="P173" i="24"/>
  <c r="J175" i="24"/>
  <c r="G176" i="24"/>
  <c r="D177" i="24"/>
  <c r="Q178" i="24"/>
  <c r="T183" i="24"/>
  <c r="Q184" i="24"/>
  <c r="E188" i="24"/>
  <c r="U188" i="24"/>
  <c r="R189" i="24"/>
  <c r="L191" i="24"/>
  <c r="F160" i="24"/>
  <c r="F199" i="24" s="1"/>
  <c r="Q82" i="24"/>
  <c r="O92" i="24"/>
  <c r="M93" i="24"/>
  <c r="J116" i="24"/>
  <c r="D170" i="24"/>
  <c r="D160" i="24"/>
  <c r="T170" i="24"/>
  <c r="T160" i="24"/>
  <c r="Q171" i="24"/>
  <c r="N172" i="24"/>
  <c r="K173" i="24"/>
  <c r="E175" i="24"/>
  <c r="U175" i="24"/>
  <c r="R176" i="24"/>
  <c r="L178" i="24"/>
  <c r="F180" i="24"/>
  <c r="S181" i="24"/>
  <c r="O183" i="24"/>
  <c r="L184" i="24"/>
  <c r="F186" i="24"/>
  <c r="S187" i="24"/>
  <c r="P188" i="24"/>
  <c r="M189" i="24"/>
  <c r="G191" i="24"/>
  <c r="D192" i="24"/>
  <c r="T192" i="24"/>
  <c r="Q193" i="24"/>
  <c r="N194" i="24"/>
  <c r="H196" i="24"/>
  <c r="E197" i="24"/>
  <c r="U197" i="24"/>
  <c r="R198" i="24"/>
  <c r="L276" i="24"/>
  <c r="I248" i="24"/>
  <c r="P251" i="24"/>
  <c r="M252" i="24"/>
  <c r="N257" i="24"/>
  <c r="D261" i="24"/>
  <c r="Q262" i="24"/>
  <c r="H265" i="24"/>
  <c r="E266" i="24"/>
  <c r="O268" i="24"/>
  <c r="M95" i="24"/>
  <c r="J96" i="24"/>
  <c r="G97" i="24"/>
  <c r="D98" i="24"/>
  <c r="T98" i="24"/>
  <c r="Q99" i="24"/>
  <c r="N100" i="24"/>
  <c r="K101" i="24"/>
  <c r="H102" i="24"/>
  <c r="E103" i="24"/>
  <c r="U103" i="24"/>
  <c r="R82" i="24"/>
  <c r="R121" i="24" s="1"/>
  <c r="P92" i="24"/>
  <c r="T119" i="24"/>
  <c r="E160" i="24"/>
  <c r="E170" i="24"/>
  <c r="U160" i="24"/>
  <c r="U199" i="24" s="1"/>
  <c r="U170" i="24"/>
  <c r="R171" i="24"/>
  <c r="O172" i="24"/>
  <c r="L173" i="24"/>
  <c r="I174" i="24"/>
  <c r="F175" i="24"/>
  <c r="V175" i="24"/>
  <c r="S176" i="24"/>
  <c r="P177" i="24"/>
  <c r="M178" i="24"/>
  <c r="G180" i="24"/>
  <c r="D181" i="24"/>
  <c r="T181" i="24"/>
  <c r="P183" i="24"/>
  <c r="M184" i="24"/>
  <c r="D187" i="24"/>
  <c r="T187" i="24"/>
  <c r="Q188" i="24"/>
  <c r="H191" i="24"/>
  <c r="U192" i="24"/>
  <c r="R193" i="24"/>
  <c r="O194" i="24"/>
  <c r="I196" i="24"/>
  <c r="F197" i="24"/>
  <c r="V197" i="24"/>
  <c r="S198" i="24"/>
  <c r="J248" i="24"/>
  <c r="Q251" i="24"/>
  <c r="K253" i="24"/>
  <c r="R256" i="24"/>
  <c r="O257" i="24"/>
  <c r="U261" i="24"/>
  <c r="R262" i="24"/>
  <c r="I265" i="24"/>
  <c r="F266" i="24"/>
  <c r="F170" i="24"/>
  <c r="V170" i="24"/>
  <c r="S171" i="24"/>
  <c r="P172" i="24"/>
  <c r="M173" i="24"/>
  <c r="J174" i="24"/>
  <c r="D176" i="24"/>
  <c r="T176" i="24"/>
  <c r="Q177" i="24"/>
  <c r="K179" i="24"/>
  <c r="E181" i="24"/>
  <c r="U181" i="24"/>
  <c r="Q183" i="24"/>
  <c r="N184" i="24"/>
  <c r="E187" i="24"/>
  <c r="U187" i="24"/>
  <c r="R188" i="24"/>
  <c r="O189" i="24"/>
  <c r="L190" i="24"/>
  <c r="I191" i="24"/>
  <c r="V192" i="24"/>
  <c r="J196" i="24"/>
  <c r="D198" i="24"/>
  <c r="G160" i="24"/>
  <c r="G199" i="24" s="1"/>
  <c r="K174" i="24"/>
  <c r="H175" i="24"/>
  <c r="E176" i="24"/>
  <c r="U176" i="24"/>
  <c r="R177" i="24"/>
  <c r="O178" i="24"/>
  <c r="L179" i="24"/>
  <c r="F181" i="24"/>
  <c r="R183" i="24"/>
  <c r="O184" i="24"/>
  <c r="L185" i="24"/>
  <c r="I186" i="24"/>
  <c r="F187" i="24"/>
  <c r="S188" i="24"/>
  <c r="P189" i="24"/>
  <c r="M190" i="24"/>
  <c r="G192" i="24"/>
  <c r="T193" i="24"/>
  <c r="K196" i="24"/>
  <c r="H197" i="24"/>
  <c r="U198" i="24"/>
  <c r="O237" i="24"/>
  <c r="I249" i="24"/>
  <c r="P252" i="24"/>
  <c r="M253" i="24"/>
  <c r="T256" i="24"/>
  <c r="O96" i="24"/>
  <c r="L97" i="24"/>
  <c r="I98" i="24"/>
  <c r="F99" i="24"/>
  <c r="V99" i="24"/>
  <c r="S100" i="24"/>
  <c r="P101" i="24"/>
  <c r="M102" i="24"/>
  <c r="J103" i="24"/>
  <c r="J170" i="24"/>
  <c r="G171" i="24"/>
  <c r="D172" i="24"/>
  <c r="T172" i="24"/>
  <c r="Q173" i="24"/>
  <c r="N174" i="24"/>
  <c r="H176" i="24"/>
  <c r="U177" i="24"/>
  <c r="R178" i="24"/>
  <c r="O179" i="24"/>
  <c r="I181" i="24"/>
  <c r="U183" i="24"/>
  <c r="R184" i="24"/>
  <c r="I187" i="24"/>
  <c r="F188" i="24"/>
  <c r="P190" i="24"/>
  <c r="D194" i="24"/>
  <c r="K197" i="24"/>
  <c r="R247" i="24"/>
  <c r="R237" i="24"/>
  <c r="R276" i="24" s="1"/>
  <c r="O248" i="24"/>
  <c r="L249" i="24"/>
  <c r="V251" i="24"/>
  <c r="S252" i="24"/>
  <c r="P253" i="24"/>
  <c r="M254" i="24"/>
  <c r="T257" i="24"/>
  <c r="D263" i="24"/>
  <c r="K266" i="24"/>
  <c r="U268" i="24"/>
  <c r="R269" i="24"/>
  <c r="O174" i="24"/>
  <c r="I176" i="24"/>
  <c r="F177" i="24"/>
  <c r="V177" i="24"/>
  <c r="S178" i="24"/>
  <c r="P179" i="24"/>
  <c r="M180" i="24"/>
  <c r="J181" i="24"/>
  <c r="F183" i="24"/>
  <c r="V183" i="24"/>
  <c r="P185" i="24"/>
  <c r="M186" i="24"/>
  <c r="J187" i="24"/>
  <c r="D189" i="24"/>
  <c r="T189" i="24"/>
  <c r="Q190" i="24"/>
  <c r="N191" i="24"/>
  <c r="H193" i="24"/>
  <c r="E194" i="24"/>
  <c r="U194" i="24"/>
  <c r="O196" i="24"/>
  <c r="L197" i="24"/>
  <c r="I198" i="24"/>
  <c r="K160" i="24"/>
  <c r="K199" i="24" s="1"/>
  <c r="N266" i="24"/>
  <c r="N189" i="24"/>
  <c r="H82" i="24"/>
  <c r="H121" i="24" s="1"/>
  <c r="L160" i="24"/>
  <c r="L199" i="24" s="1"/>
  <c r="M175" i="24"/>
  <c r="G177" i="24"/>
  <c r="T178" i="24"/>
  <c r="T184" i="24"/>
  <c r="Q185" i="24"/>
  <c r="E189" i="24"/>
  <c r="U189" i="24"/>
  <c r="S270" i="24"/>
  <c r="S193" i="24"/>
  <c r="M170" i="24"/>
  <c r="M160" i="24"/>
  <c r="J171" i="24"/>
  <c r="G172" i="24"/>
  <c r="D173" i="24"/>
  <c r="T173" i="24"/>
  <c r="Q174" i="24"/>
  <c r="N175" i="24"/>
  <c r="H177" i="24"/>
  <c r="E178" i="24"/>
  <c r="U178" i="24"/>
  <c r="R179" i="24"/>
  <c r="O180" i="24"/>
  <c r="L181" i="24"/>
  <c r="V160" i="24"/>
  <c r="V199" i="24" s="1"/>
  <c r="K82" i="24"/>
  <c r="K121" i="24" s="1"/>
  <c r="N170" i="24"/>
  <c r="K171" i="24"/>
  <c r="H172" i="24"/>
  <c r="E173" i="24"/>
  <c r="U173" i="24"/>
  <c r="R174" i="24"/>
  <c r="L176" i="24"/>
  <c r="F178" i="24"/>
  <c r="S179" i="24"/>
  <c r="P180" i="24"/>
  <c r="M181" i="24"/>
  <c r="V184" i="24"/>
  <c r="S185" i="24"/>
  <c r="P186" i="24"/>
  <c r="M187" i="24"/>
  <c r="J188" i="24"/>
  <c r="G189" i="24"/>
  <c r="T190" i="24"/>
  <c r="Q191" i="24"/>
  <c r="N192" i="24"/>
  <c r="K193" i="24"/>
  <c r="H194" i="24"/>
  <c r="R196" i="24"/>
  <c r="O197" i="24"/>
  <c r="L198" i="24"/>
  <c r="G170" i="24"/>
  <c r="F237" i="24"/>
  <c r="F276" i="24" s="1"/>
  <c r="F247" i="24"/>
  <c r="V237" i="24"/>
  <c r="V276" i="24" s="1"/>
  <c r="V247" i="24"/>
  <c r="S248" i="24"/>
  <c r="P249" i="24"/>
  <c r="M250" i="24"/>
  <c r="J251" i="24"/>
  <c r="G252" i="24"/>
  <c r="D253" i="24"/>
  <c r="T253" i="24"/>
  <c r="Q254" i="24"/>
  <c r="N255" i="24"/>
  <c r="K256" i="24"/>
  <c r="H257" i="24"/>
  <c r="E258" i="24"/>
  <c r="N261" i="24"/>
  <c r="H263" i="24"/>
  <c r="U264" i="24"/>
  <c r="R265" i="24"/>
  <c r="O266" i="24"/>
  <c r="L267" i="24"/>
  <c r="I268" i="24"/>
  <c r="P271" i="24"/>
  <c r="G274" i="24"/>
  <c r="L82" i="24"/>
  <c r="L121" i="24" s="1"/>
  <c r="O170" i="24"/>
  <c r="O160" i="24"/>
  <c r="O199" i="24" s="1"/>
  <c r="L171" i="24"/>
  <c r="I172" i="24"/>
  <c r="F173" i="24"/>
  <c r="V173" i="24"/>
  <c r="S174" i="24"/>
  <c r="P175" i="24"/>
  <c r="M176" i="24"/>
  <c r="J177" i="24"/>
  <c r="G178" i="24"/>
  <c r="T179" i="24"/>
  <c r="Q180" i="24"/>
  <c r="N181" i="24"/>
  <c r="J183" i="24"/>
  <c r="G184" i="24"/>
  <c r="D185" i="24"/>
  <c r="T185" i="24"/>
  <c r="Q186" i="24"/>
  <c r="N187" i="24"/>
  <c r="K188" i="24"/>
  <c r="H189" i="24"/>
  <c r="E190" i="24"/>
  <c r="U190" i="24"/>
  <c r="R191" i="24"/>
  <c r="O192" i="24"/>
  <c r="L193" i="24"/>
  <c r="I194" i="24"/>
  <c r="V195" i="24"/>
  <c r="S196" i="24"/>
  <c r="P197" i="24"/>
  <c r="M198" i="24"/>
  <c r="D248" i="24"/>
  <c r="T248" i="24"/>
  <c r="H252" i="24"/>
  <c r="E253" i="24"/>
  <c r="U253" i="24"/>
  <c r="I257" i="24"/>
  <c r="F258" i="24"/>
  <c r="L262" i="24"/>
  <c r="I263" i="24"/>
  <c r="V193" i="24"/>
  <c r="V270" i="24"/>
  <c r="G275" i="24"/>
  <c r="G198" i="24"/>
  <c r="L105" i="24"/>
  <c r="I106" i="24"/>
  <c r="F107" i="24"/>
  <c r="V107" i="24"/>
  <c r="S108" i="24"/>
  <c r="P109" i="24"/>
  <c r="M110" i="24"/>
  <c r="J111" i="24"/>
  <c r="G112" i="24"/>
  <c r="D113" i="24"/>
  <c r="T113" i="24"/>
  <c r="Q114" i="24"/>
  <c r="N115" i="24"/>
  <c r="K116" i="24"/>
  <c r="E118" i="24"/>
  <c r="U118" i="24"/>
  <c r="R119" i="24"/>
  <c r="O120" i="24"/>
  <c r="P170" i="24"/>
  <c r="P160" i="24"/>
  <c r="M171" i="24"/>
  <c r="J172" i="24"/>
  <c r="G173" i="24"/>
  <c r="T174" i="24"/>
  <c r="Q175" i="24"/>
  <c r="N176" i="24"/>
  <c r="H178" i="24"/>
  <c r="U179" i="24"/>
  <c r="R180" i="24"/>
  <c r="O181" i="24"/>
  <c r="K183" i="24"/>
  <c r="H184" i="24"/>
  <c r="E185" i="24"/>
  <c r="U185" i="24"/>
  <c r="R186" i="24"/>
  <c r="O187" i="24"/>
  <c r="L188" i="24"/>
  <c r="I189" i="24"/>
  <c r="F190" i="24"/>
  <c r="V190" i="24"/>
  <c r="S191" i="24"/>
  <c r="P192" i="24"/>
  <c r="M193" i="24"/>
  <c r="J194" i="24"/>
  <c r="D196" i="24"/>
  <c r="T196" i="24"/>
  <c r="Q197" i="24"/>
  <c r="N198" i="24"/>
  <c r="M105" i="24"/>
  <c r="J106" i="24"/>
  <c r="G107" i="24"/>
  <c r="D108" i="24"/>
  <c r="T108" i="24"/>
  <c r="Q109" i="24"/>
  <c r="N110" i="24"/>
  <c r="K111" i="24"/>
  <c r="H112" i="24"/>
  <c r="E113" i="24"/>
  <c r="U113" i="24"/>
  <c r="R114" i="24"/>
  <c r="O115" i="24"/>
  <c r="L116" i="24"/>
  <c r="F118" i="24"/>
  <c r="V118" i="24"/>
  <c r="S119" i="24"/>
  <c r="P120" i="24"/>
  <c r="N82" i="24"/>
  <c r="N121" i="24" s="1"/>
  <c r="Q170" i="24"/>
  <c r="N171" i="24"/>
  <c r="K172" i="24"/>
  <c r="H173" i="24"/>
  <c r="U174" i="24"/>
  <c r="R175" i="24"/>
  <c r="L177" i="24"/>
  <c r="S180" i="24"/>
  <c r="I184" i="24"/>
  <c r="F185" i="24"/>
  <c r="G190" i="24"/>
  <c r="D191" i="24"/>
  <c r="K194" i="24"/>
  <c r="R197" i="24"/>
  <c r="G186" i="24"/>
  <c r="K190" i="24"/>
  <c r="I237" i="24"/>
  <c r="I276" i="24" s="1"/>
  <c r="F248" i="24"/>
  <c r="P250" i="24"/>
  <c r="J252" i="24"/>
  <c r="N99" i="24"/>
  <c r="K100" i="24"/>
  <c r="H101" i="24"/>
  <c r="E102" i="24"/>
  <c r="U102" i="24"/>
  <c r="R103" i="24"/>
  <c r="R170" i="24"/>
  <c r="R160" i="24"/>
  <c r="R199" i="24" s="1"/>
  <c r="O171" i="24"/>
  <c r="L172" i="24"/>
  <c r="I173" i="24"/>
  <c r="V174" i="24"/>
  <c r="S175" i="24"/>
  <c r="P176" i="24"/>
  <c r="M177" i="24"/>
  <c r="J178" i="24"/>
  <c r="D180" i="24"/>
  <c r="T180" i="24"/>
  <c r="Q181" i="24"/>
  <c r="M183" i="24"/>
  <c r="J184" i="24"/>
  <c r="D186" i="24"/>
  <c r="T186" i="24"/>
  <c r="Q187" i="24"/>
  <c r="H190" i="24"/>
  <c r="E191" i="24"/>
  <c r="U191" i="24"/>
  <c r="P198" i="24"/>
  <c r="U260" i="24"/>
  <c r="F265" i="24"/>
  <c r="P267" i="24"/>
  <c r="M268" i="24"/>
  <c r="D271" i="24"/>
  <c r="R190" i="24"/>
  <c r="R267" i="24"/>
  <c r="O105" i="24"/>
  <c r="L106" i="24"/>
  <c r="F108" i="24"/>
  <c r="V108" i="24"/>
  <c r="S109" i="24"/>
  <c r="P110" i="24"/>
  <c r="M111" i="24"/>
  <c r="J112" i="24"/>
  <c r="G113" i="24"/>
  <c r="D114" i="24"/>
  <c r="T114" i="24"/>
  <c r="Q115" i="24"/>
  <c r="N116" i="24"/>
  <c r="H118" i="24"/>
  <c r="E119" i="24"/>
  <c r="U119" i="24"/>
  <c r="R120" i="24"/>
  <c r="S160" i="24"/>
  <c r="G174" i="24"/>
  <c r="D175" i="24"/>
  <c r="T175" i="24"/>
  <c r="Q176" i="24"/>
  <c r="N177" i="24"/>
  <c r="H179" i="24"/>
  <c r="E180" i="24"/>
  <c r="U180" i="24"/>
  <c r="R181" i="24"/>
  <c r="N183" i="24"/>
  <c r="E186" i="24"/>
  <c r="U186" i="24"/>
  <c r="R187" i="24"/>
  <c r="O188" i="24"/>
  <c r="L189" i="24"/>
  <c r="I190" i="24"/>
  <c r="V191" i="24"/>
  <c r="S192" i="24"/>
  <c r="M194" i="24"/>
  <c r="G196" i="24"/>
  <c r="T197" i="24"/>
  <c r="Q198" i="24"/>
  <c r="H237" i="24"/>
  <c r="E237" i="24"/>
  <c r="E276" i="24" s="1"/>
  <c r="O251" i="24"/>
  <c r="L252" i="24"/>
  <c r="H183" i="24"/>
  <c r="E184" i="24"/>
  <c r="U184" i="24"/>
  <c r="R185" i="24"/>
  <c r="O186" i="24"/>
  <c r="L187" i="24"/>
  <c r="I188" i="24"/>
  <c r="F189" i="24"/>
  <c r="V189" i="24"/>
  <c r="S190" i="24"/>
  <c r="P191" i="24"/>
  <c r="M192" i="24"/>
  <c r="J193" i="24"/>
  <c r="G194" i="24"/>
  <c r="Q196" i="24"/>
  <c r="N197" i="24"/>
  <c r="K198" i="24"/>
  <c r="D247" i="24"/>
  <c r="T237" i="24"/>
  <c r="E252" i="24"/>
  <c r="U252" i="24"/>
  <c r="I256" i="24"/>
  <c r="F257" i="24"/>
  <c r="S258" i="24"/>
  <c r="I247" i="24"/>
  <c r="E200" i="25"/>
  <c r="I160" i="24"/>
  <c r="I199" i="24" s="1"/>
  <c r="E247" i="24"/>
  <c r="U237" i="24"/>
  <c r="U276" i="24" s="1"/>
  <c r="R248" i="24"/>
  <c r="F252" i="24"/>
  <c r="V252" i="24"/>
  <c r="P254" i="24"/>
  <c r="G257" i="24"/>
  <c r="M261" i="24"/>
  <c r="Q265" i="24"/>
  <c r="H268" i="24"/>
  <c r="R270" i="24"/>
  <c r="O271" i="24"/>
  <c r="F274" i="24"/>
  <c r="L247" i="24"/>
  <c r="H131" i="25"/>
  <c r="H90" i="25"/>
  <c r="P181" i="24"/>
  <c r="E248" i="24"/>
  <c r="U248" i="24"/>
  <c r="R249" i="24"/>
  <c r="F253" i="24"/>
  <c r="V253" i="24"/>
  <c r="P255" i="24"/>
  <c r="J257" i="24"/>
  <c r="G258" i="24"/>
  <c r="S260" i="24"/>
  <c r="M262" i="24"/>
  <c r="J263" i="24"/>
  <c r="V248" i="24"/>
  <c r="S249" i="24"/>
  <c r="M251" i="24"/>
  <c r="G253" i="24"/>
  <c r="D254" i="24"/>
  <c r="T254" i="24"/>
  <c r="K257" i="24"/>
  <c r="H258" i="24"/>
  <c r="D260" i="24"/>
  <c r="N262" i="24"/>
  <c r="K263" i="24"/>
  <c r="H264" i="24"/>
  <c r="E265" i="24"/>
  <c r="U265" i="24"/>
  <c r="R266" i="24"/>
  <c r="I269" i="24"/>
  <c r="S271" i="24"/>
  <c r="J274" i="24"/>
  <c r="E267" i="25"/>
  <c r="E46" i="25"/>
  <c r="E47" i="25" s="1"/>
  <c r="E184" i="25"/>
  <c r="E281" i="25"/>
  <c r="E198" i="25"/>
  <c r="E206" i="25"/>
  <c r="E289" i="25"/>
  <c r="E208" i="25"/>
  <c r="E291" i="25"/>
  <c r="E293" i="25"/>
  <c r="E210" i="25"/>
  <c r="J90" i="25"/>
  <c r="J247" i="24"/>
  <c r="J237" i="24"/>
  <c r="J276" i="24" s="1"/>
  <c r="G248" i="24"/>
  <c r="D249" i="24"/>
  <c r="T249" i="24"/>
  <c r="Q250" i="24"/>
  <c r="N251" i="24"/>
  <c r="K252" i="24"/>
  <c r="H253" i="24"/>
  <c r="E254" i="24"/>
  <c r="U254" i="24"/>
  <c r="R255" i="24"/>
  <c r="O256" i="24"/>
  <c r="L257" i="24"/>
  <c r="I258" i="24"/>
  <c r="E260" i="24"/>
  <c r="R261" i="24"/>
  <c r="L263" i="24"/>
  <c r="I264" i="24"/>
  <c r="V265" i="24"/>
  <c r="S266" i="24"/>
  <c r="J269" i="24"/>
  <c r="T271" i="24"/>
  <c r="N273" i="24"/>
  <c r="K274" i="24"/>
  <c r="H275" i="24"/>
  <c r="G237" i="24"/>
  <c r="G276" i="24" s="1"/>
  <c r="H248" i="24"/>
  <c r="F100" i="25"/>
  <c r="F46" i="25"/>
  <c r="F47" i="25" s="1"/>
  <c r="F102" i="25"/>
  <c r="F269" i="25"/>
  <c r="F114" i="25"/>
  <c r="F281" i="25"/>
  <c r="F118" i="25"/>
  <c r="F285" i="25"/>
  <c r="F120" i="25"/>
  <c r="F287" i="25"/>
  <c r="F122" i="25"/>
  <c r="F289" i="25"/>
  <c r="F124" i="25"/>
  <c r="F291" i="25"/>
  <c r="F126" i="25"/>
  <c r="F293" i="25"/>
  <c r="F128" i="25"/>
  <c r="F295" i="25"/>
  <c r="F130" i="25"/>
  <c r="F297" i="25"/>
  <c r="K247" i="24"/>
  <c r="E249" i="24"/>
  <c r="U249" i="24"/>
  <c r="R250" i="24"/>
  <c r="I253" i="24"/>
  <c r="F254" i="24"/>
  <c r="V254" i="24"/>
  <c r="P256" i="24"/>
  <c r="M257" i="24"/>
  <c r="J258" i="24"/>
  <c r="F260" i="24"/>
  <c r="V260" i="24"/>
  <c r="S261" i="24"/>
  <c r="P262" i="24"/>
  <c r="M263" i="24"/>
  <c r="J264" i="24"/>
  <c r="G265" i="24"/>
  <c r="D266" i="24"/>
  <c r="T266" i="24"/>
  <c r="Q267" i="24"/>
  <c r="N268" i="24"/>
  <c r="K269" i="24"/>
  <c r="H270" i="24"/>
  <c r="E271" i="24"/>
  <c r="U271" i="24"/>
  <c r="O273" i="24"/>
  <c r="L274" i="24"/>
  <c r="I275" i="24"/>
  <c r="F249" i="24"/>
  <c r="V249" i="24"/>
  <c r="S250" i="24"/>
  <c r="J253" i="24"/>
  <c r="G254" i="24"/>
  <c r="D255" i="24"/>
  <c r="Q256" i="24"/>
  <c r="K258" i="24"/>
  <c r="G260" i="24"/>
  <c r="T261" i="24"/>
  <c r="N263" i="24"/>
  <c r="K264" i="24"/>
  <c r="U266" i="24"/>
  <c r="L269" i="24"/>
  <c r="I270" i="24"/>
  <c r="F271" i="24"/>
  <c r="V271" i="24"/>
  <c r="P273" i="24"/>
  <c r="M274" i="24"/>
  <c r="J275" i="24"/>
  <c r="H47" i="25"/>
  <c r="G90" i="25"/>
  <c r="Q160" i="24"/>
  <c r="M237" i="24"/>
  <c r="M276" i="24" s="1"/>
  <c r="G249" i="24"/>
  <c r="D250" i="24"/>
  <c r="T250" i="24"/>
  <c r="N252" i="24"/>
  <c r="H254" i="24"/>
  <c r="E255" i="24"/>
  <c r="U255" i="24"/>
  <c r="L258" i="24"/>
  <c r="H260" i="24"/>
  <c r="E261" i="24"/>
  <c r="O263" i="24"/>
  <c r="L264" i="24"/>
  <c r="V266" i="24"/>
  <c r="S267" i="24"/>
  <c r="P268" i="24"/>
  <c r="M269" i="24"/>
  <c r="J270" i="24"/>
  <c r="G271" i="24"/>
  <c r="Q273" i="24"/>
  <c r="N274" i="24"/>
  <c r="K275" i="24"/>
  <c r="K237" i="24"/>
  <c r="K276" i="24" s="1"/>
  <c r="N247" i="24"/>
  <c r="K248" i="24"/>
  <c r="H249" i="24"/>
  <c r="E250" i="24"/>
  <c r="U250" i="24"/>
  <c r="R251" i="24"/>
  <c r="O252" i="24"/>
  <c r="L253" i="24"/>
  <c r="I254" i="24"/>
  <c r="F255" i="24"/>
  <c r="V255" i="24"/>
  <c r="S256" i="24"/>
  <c r="I260" i="24"/>
  <c r="F261" i="24"/>
  <c r="P263" i="24"/>
  <c r="M264" i="24"/>
  <c r="J265" i="24"/>
  <c r="D267" i="24"/>
  <c r="T267" i="24"/>
  <c r="Q268" i="24"/>
  <c r="N269" i="24"/>
  <c r="K270" i="24"/>
  <c r="L275" i="24"/>
  <c r="J184" i="25"/>
  <c r="J46" i="25"/>
  <c r="J267" i="25"/>
  <c r="J269" i="25"/>
  <c r="J186" i="25"/>
  <c r="L248" i="24"/>
  <c r="F250" i="24"/>
  <c r="V250" i="24"/>
  <c r="S251" i="24"/>
  <c r="J254" i="24"/>
  <c r="G255" i="24"/>
  <c r="Q257" i="24"/>
  <c r="N258" i="24"/>
  <c r="J260" i="24"/>
  <c r="G261" i="24"/>
  <c r="D262" i="24"/>
  <c r="T262" i="24"/>
  <c r="Q263" i="24"/>
  <c r="N264" i="24"/>
  <c r="K265" i="24"/>
  <c r="H266" i="24"/>
  <c r="E267" i="24"/>
  <c r="U267" i="24"/>
  <c r="R268" i="24"/>
  <c r="O269" i="24"/>
  <c r="L270" i="24"/>
  <c r="I271" i="24"/>
  <c r="V272" i="24"/>
  <c r="S273" i="24"/>
  <c r="P274" i="24"/>
  <c r="M275" i="24"/>
  <c r="N237" i="24"/>
  <c r="N276" i="24" s="1"/>
  <c r="F268" i="25"/>
  <c r="F256" i="25"/>
  <c r="P237" i="24"/>
  <c r="G250" i="24"/>
  <c r="T251" i="24"/>
  <c r="K254" i="24"/>
  <c r="H255" i="24"/>
  <c r="R257" i="24"/>
  <c r="K260" i="24"/>
  <c r="H261" i="24"/>
  <c r="U262" i="24"/>
  <c r="O264" i="24"/>
  <c r="L265" i="24"/>
  <c r="I266" i="24"/>
  <c r="F267" i="24"/>
  <c r="V267" i="24"/>
  <c r="P269" i="24"/>
  <c r="M270" i="24"/>
  <c r="D273" i="24"/>
  <c r="T273" i="24"/>
  <c r="N275" i="24"/>
  <c r="Q237" i="24"/>
  <c r="Q247" i="24"/>
  <c r="H250" i="24"/>
  <c r="U251" i="24"/>
  <c r="O253" i="24"/>
  <c r="I255" i="24"/>
  <c r="V256" i="24"/>
  <c r="L260" i="24"/>
  <c r="I261" i="24"/>
  <c r="F262" i="24"/>
  <c r="P264" i="24"/>
  <c r="M265" i="24"/>
  <c r="G267" i="24"/>
  <c r="D268" i="24"/>
  <c r="N270" i="24"/>
  <c r="E273" i="24"/>
  <c r="U273" i="24"/>
  <c r="R274" i="24"/>
  <c r="O275" i="24"/>
  <c r="J255" i="24"/>
  <c r="D257" i="24"/>
  <c r="Q258" i="24"/>
  <c r="M260" i="24"/>
  <c r="J261" i="24"/>
  <c r="T263" i="24"/>
  <c r="Q264" i="24"/>
  <c r="N265" i="24"/>
  <c r="E268" i="24"/>
  <c r="O270" i="24"/>
  <c r="L271" i="24"/>
  <c r="F273" i="24"/>
  <c r="V273" i="24"/>
  <c r="S274" i="24"/>
  <c r="L192" i="24"/>
  <c r="I193" i="24"/>
  <c r="F194" i="24"/>
  <c r="V194" i="24"/>
  <c r="P196" i="24"/>
  <c r="M197" i="24"/>
  <c r="J198" i="24"/>
  <c r="S247" i="24"/>
  <c r="S237" i="24"/>
  <c r="P248" i="24"/>
  <c r="M249" i="24"/>
  <c r="J250" i="24"/>
  <c r="K261" i="24"/>
  <c r="U263" i="24"/>
  <c r="O265" i="24"/>
  <c r="F268" i="24"/>
  <c r="P270" i="24"/>
  <c r="M271" i="24"/>
  <c r="G273" i="24"/>
  <c r="D274" i="24"/>
  <c r="F131" i="25"/>
  <c r="F90" i="25"/>
  <c r="F185" i="25"/>
  <c r="F173" i="25"/>
  <c r="D237" i="24"/>
  <c r="I110" i="25"/>
  <c r="I122" i="25"/>
  <c r="K190" i="25"/>
  <c r="K192" i="25"/>
  <c r="K196" i="25"/>
  <c r="K198" i="25"/>
  <c r="K200" i="25"/>
  <c r="K202" i="25"/>
  <c r="K204" i="25"/>
  <c r="K212" i="25"/>
  <c r="K214" i="25"/>
  <c r="K257" i="25"/>
  <c r="K269" i="25"/>
  <c r="K273" i="25"/>
  <c r="K275" i="25"/>
  <c r="K277" i="25"/>
  <c r="K279" i="25"/>
  <c r="K285" i="25"/>
  <c r="K293" i="25"/>
  <c r="M121" i="26"/>
  <c r="D100" i="25"/>
  <c r="D46" i="25"/>
  <c r="D47" i="25" s="1"/>
  <c r="D104" i="25"/>
  <c r="D188" i="25"/>
  <c r="D106" i="25"/>
  <c r="D190" i="25"/>
  <c r="D200" i="25"/>
  <c r="D116" i="25"/>
  <c r="D204" i="25"/>
  <c r="D120" i="25"/>
  <c r="D122" i="25"/>
  <c r="D206" i="25"/>
  <c r="D124" i="25"/>
  <c r="D208" i="25"/>
  <c r="D128" i="25"/>
  <c r="D212" i="25"/>
  <c r="D130" i="25"/>
  <c r="D214" i="25"/>
  <c r="E100" i="25"/>
  <c r="E102" i="25"/>
  <c r="E104" i="25"/>
  <c r="E106" i="25"/>
  <c r="E108" i="25"/>
  <c r="E110" i="25"/>
  <c r="E114" i="25"/>
  <c r="E116" i="25"/>
  <c r="E118" i="25"/>
  <c r="E120" i="25"/>
  <c r="E122" i="25"/>
  <c r="E124" i="25"/>
  <c r="E126" i="25"/>
  <c r="E128" i="25"/>
  <c r="E130" i="25"/>
  <c r="H100" i="25"/>
  <c r="G47" i="25"/>
  <c r="I106" i="25"/>
  <c r="P257" i="24"/>
  <c r="M258" i="24"/>
  <c r="I124" i="25"/>
  <c r="G131" i="25"/>
  <c r="D194" i="25"/>
  <c r="D271" i="25"/>
  <c r="I212" i="25"/>
  <c r="I295" i="25"/>
  <c r="I214" i="25"/>
  <c r="I297" i="25"/>
  <c r="J100" i="25"/>
  <c r="J102" i="25"/>
  <c r="J104" i="25"/>
  <c r="J106" i="25"/>
  <c r="J108" i="25"/>
  <c r="J110" i="25"/>
  <c r="J112" i="25"/>
  <c r="J114" i="25"/>
  <c r="J116" i="25"/>
  <c r="J118" i="25"/>
  <c r="J120" i="25"/>
  <c r="J122" i="25"/>
  <c r="J124" i="25"/>
  <c r="J126" i="25"/>
  <c r="J128" i="25"/>
  <c r="J130" i="25"/>
  <c r="I118" i="25"/>
  <c r="I173" i="25"/>
  <c r="I185" i="25"/>
  <c r="I273" i="25"/>
  <c r="J289" i="25"/>
  <c r="J206" i="25"/>
  <c r="J291" i="25"/>
  <c r="J208" i="25"/>
  <c r="J214" i="25"/>
  <c r="J297" i="25"/>
  <c r="K100" i="25"/>
  <c r="K89" i="25"/>
  <c r="K102" i="25"/>
  <c r="K104" i="25"/>
  <c r="K106" i="25"/>
  <c r="K108" i="25"/>
  <c r="K110" i="25"/>
  <c r="K112" i="25"/>
  <c r="K114" i="25"/>
  <c r="K116" i="25"/>
  <c r="K118" i="25"/>
  <c r="K120" i="25"/>
  <c r="K122" i="25"/>
  <c r="K124" i="25"/>
  <c r="K126" i="25"/>
  <c r="K128" i="25"/>
  <c r="K130" i="25"/>
  <c r="I112" i="25"/>
  <c r="J173" i="25"/>
  <c r="J185" i="25"/>
  <c r="J257" i="25"/>
  <c r="J298" i="25"/>
  <c r="K184" i="25"/>
  <c r="K46" i="25"/>
  <c r="K47" i="25" s="1"/>
  <c r="K188" i="25"/>
  <c r="K271" i="25"/>
  <c r="D89" i="25"/>
  <c r="I102" i="25"/>
  <c r="K215" i="25"/>
  <c r="K174" i="25"/>
  <c r="I46" i="25"/>
  <c r="I47" i="25" s="1"/>
  <c r="E89" i="25"/>
  <c r="E101" i="25"/>
  <c r="D184" i="25"/>
  <c r="D186" i="25"/>
  <c r="D192" i="25"/>
  <c r="D202" i="25"/>
  <c r="D210" i="25"/>
  <c r="J204" i="25"/>
  <c r="D267" i="25"/>
  <c r="D269" i="25"/>
  <c r="D273" i="25"/>
  <c r="D275" i="25"/>
  <c r="D277" i="25"/>
  <c r="D281" i="25"/>
  <c r="D283" i="25"/>
  <c r="D285" i="25"/>
  <c r="D287" i="25"/>
  <c r="D289" i="25"/>
  <c r="D291" i="25"/>
  <c r="D293" i="25"/>
  <c r="D295" i="25"/>
  <c r="D297" i="25"/>
  <c r="D252" i="24"/>
  <c r="T252" i="24"/>
  <c r="Q253" i="24"/>
  <c r="N254" i="24"/>
  <c r="K255" i="24"/>
  <c r="H256" i="24"/>
  <c r="E257" i="24"/>
  <c r="U257" i="24"/>
  <c r="R258" i="24"/>
  <c r="F101" i="25"/>
  <c r="F103" i="25"/>
  <c r="F105" i="25"/>
  <c r="F107" i="25"/>
  <c r="F109" i="25"/>
  <c r="F111" i="25"/>
  <c r="F113" i="25"/>
  <c r="I89" i="25"/>
  <c r="J103" i="25"/>
  <c r="E215" i="25"/>
  <c r="E186" i="25"/>
  <c r="E188" i="25"/>
  <c r="E190" i="25"/>
  <c r="E192" i="25"/>
  <c r="E194" i="25"/>
  <c r="E202" i="25"/>
  <c r="E204" i="25"/>
  <c r="E212" i="25"/>
  <c r="E214" i="25"/>
  <c r="O260" i="24"/>
  <c r="L261" i="24"/>
  <c r="F263" i="24"/>
  <c r="V263" i="24"/>
  <c r="S264" i="24"/>
  <c r="P265" i="24"/>
  <c r="M266" i="24"/>
  <c r="J267" i="24"/>
  <c r="G268" i="24"/>
  <c r="D269" i="24"/>
  <c r="T269" i="24"/>
  <c r="Q270" i="24"/>
  <c r="N271" i="24"/>
  <c r="H273" i="24"/>
  <c r="E274" i="24"/>
  <c r="U274" i="24"/>
  <c r="R275" i="24"/>
  <c r="I120" i="25"/>
  <c r="F184" i="25"/>
  <c r="F186" i="25"/>
  <c r="F188" i="25"/>
  <c r="F190" i="25"/>
  <c r="F192" i="25"/>
  <c r="F194" i="25"/>
  <c r="F198" i="25"/>
  <c r="F200" i="25"/>
  <c r="F202" i="25"/>
  <c r="F204" i="25"/>
  <c r="F206" i="25"/>
  <c r="F208" i="25"/>
  <c r="F210" i="25"/>
  <c r="F212" i="25"/>
  <c r="F214" i="25"/>
  <c r="F267" i="25"/>
  <c r="F271" i="25"/>
  <c r="F273" i="25"/>
  <c r="F275" i="25"/>
  <c r="F277" i="25"/>
  <c r="F283" i="25"/>
  <c r="T247" i="24"/>
  <c r="I114" i="25"/>
  <c r="K206" i="25"/>
  <c r="U247" i="24"/>
  <c r="H184" i="25"/>
  <c r="H173" i="25"/>
  <c r="H186" i="25"/>
  <c r="H190" i="25"/>
  <c r="H192" i="25"/>
  <c r="H194" i="25"/>
  <c r="H198" i="25"/>
  <c r="H202" i="25"/>
  <c r="H204" i="25"/>
  <c r="H206" i="25"/>
  <c r="H298" i="25"/>
  <c r="H257" i="25"/>
  <c r="H269" i="25"/>
  <c r="H271" i="25"/>
  <c r="H273" i="25"/>
  <c r="H275" i="25"/>
  <c r="H277" i="25"/>
  <c r="H281" i="25"/>
  <c r="H283" i="25"/>
  <c r="H285" i="25"/>
  <c r="H287" i="25"/>
  <c r="H289" i="25"/>
  <c r="V264" i="24"/>
  <c r="S265" i="24"/>
  <c r="P266" i="24"/>
  <c r="M267" i="24"/>
  <c r="J268" i="24"/>
  <c r="G269" i="24"/>
  <c r="T270" i="24"/>
  <c r="Q271" i="24"/>
  <c r="K273" i="24"/>
  <c r="H274" i="24"/>
  <c r="E275" i="24"/>
  <c r="U275" i="24"/>
  <c r="I104" i="25"/>
  <c r="I186" i="25"/>
  <c r="I192" i="25"/>
  <c r="I194" i="25"/>
  <c r="I200" i="25"/>
  <c r="I210" i="25"/>
  <c r="D198" i="25"/>
  <c r="I267" i="25"/>
  <c r="I271" i="25"/>
  <c r="I275" i="25"/>
  <c r="I279" i="25"/>
  <c r="I281" i="25"/>
  <c r="I283" i="25"/>
  <c r="I285" i="25"/>
  <c r="I287" i="25"/>
  <c r="I289" i="25"/>
  <c r="I291" i="25"/>
  <c r="I293" i="25"/>
  <c r="D265" i="24"/>
  <c r="T265" i="24"/>
  <c r="Q266" i="24"/>
  <c r="N267" i="24"/>
  <c r="K268" i="24"/>
  <c r="H269" i="24"/>
  <c r="U270" i="24"/>
  <c r="R271" i="24"/>
  <c r="L273" i="24"/>
  <c r="I274" i="24"/>
  <c r="F275" i="24"/>
  <c r="V275" i="24"/>
  <c r="I128" i="25"/>
  <c r="J188" i="25"/>
  <c r="J190" i="25"/>
  <c r="J194" i="25"/>
  <c r="J196" i="25"/>
  <c r="J198" i="25"/>
  <c r="J200" i="25"/>
  <c r="J202" i="25"/>
  <c r="J210" i="25"/>
  <c r="J212" i="25"/>
  <c r="J273" i="25"/>
  <c r="J275" i="25"/>
  <c r="D256" i="25"/>
  <c r="H267" i="25"/>
  <c r="I247" i="26"/>
  <c r="I42" i="26"/>
  <c r="R92" i="26"/>
  <c r="O93" i="26"/>
  <c r="I95" i="26"/>
  <c r="P98" i="26"/>
  <c r="M99" i="26"/>
  <c r="G101" i="26"/>
  <c r="Q103" i="26"/>
  <c r="N105" i="26"/>
  <c r="H107" i="26"/>
  <c r="U108" i="26"/>
  <c r="J106" i="26"/>
  <c r="G185" i="25"/>
  <c r="E268" i="25"/>
  <c r="E270" i="25"/>
  <c r="E272" i="25"/>
  <c r="E274" i="25"/>
  <c r="E276" i="25"/>
  <c r="E278" i="25"/>
  <c r="E280" i="25"/>
  <c r="E282" i="25"/>
  <c r="E284" i="25"/>
  <c r="E286" i="25"/>
  <c r="E288" i="25"/>
  <c r="E290" i="25"/>
  <c r="E292" i="25"/>
  <c r="E296" i="25"/>
  <c r="E256" i="25"/>
  <c r="J42" i="26"/>
  <c r="J276" i="26" s="1"/>
  <c r="K106" i="26"/>
  <c r="G256" i="25"/>
  <c r="K267" i="25"/>
  <c r="L42" i="26"/>
  <c r="H268" i="25"/>
  <c r="H270" i="25"/>
  <c r="H272" i="25"/>
  <c r="H274" i="25"/>
  <c r="H276" i="25"/>
  <c r="H278" i="25"/>
  <c r="H280" i="25"/>
  <c r="H282" i="25"/>
  <c r="H284" i="25"/>
  <c r="H286" i="25"/>
  <c r="H288" i="25"/>
  <c r="H290" i="25"/>
  <c r="H292" i="25"/>
  <c r="H296" i="25"/>
  <c r="M42" i="26"/>
  <c r="F92" i="26"/>
  <c r="V92" i="26"/>
  <c r="S93" i="26"/>
  <c r="G97" i="26"/>
  <c r="D98" i="26"/>
  <c r="T98" i="26"/>
  <c r="H102" i="26"/>
  <c r="U103" i="26"/>
  <c r="R105" i="26"/>
  <c r="D108" i="26"/>
  <c r="J160" i="26"/>
  <c r="K185" i="25"/>
  <c r="I268" i="25"/>
  <c r="I270" i="25"/>
  <c r="I272" i="25"/>
  <c r="I274" i="25"/>
  <c r="I276" i="25"/>
  <c r="I278" i="25"/>
  <c r="I280" i="25"/>
  <c r="I282" i="25"/>
  <c r="I284" i="25"/>
  <c r="I286" i="25"/>
  <c r="I288" i="25"/>
  <c r="I290" i="25"/>
  <c r="I292" i="25"/>
  <c r="I294" i="25"/>
  <c r="I296" i="25"/>
  <c r="I257" i="25"/>
  <c r="J268" i="25"/>
  <c r="N42" i="26"/>
  <c r="K42" i="26"/>
  <c r="K121" i="26" s="1"/>
  <c r="E108" i="26"/>
  <c r="D173" i="25"/>
  <c r="H92" i="26"/>
  <c r="E93" i="26"/>
  <c r="U93" i="26"/>
  <c r="I97" i="26"/>
  <c r="F98" i="26"/>
  <c r="P100" i="26"/>
  <c r="J102" i="26"/>
  <c r="G103" i="26"/>
  <c r="I82" i="26"/>
  <c r="F93" i="26"/>
  <c r="J82" i="26"/>
  <c r="J121" i="26" s="1"/>
  <c r="U109" i="26"/>
  <c r="N160" i="26"/>
  <c r="N199" i="26" s="1"/>
  <c r="N170" i="26"/>
  <c r="G173" i="25"/>
  <c r="O42" i="26"/>
  <c r="I92" i="26"/>
  <c r="S102" i="26"/>
  <c r="O111" i="26"/>
  <c r="O160" i="26"/>
  <c r="S42" i="26"/>
  <c r="U197" i="26"/>
  <c r="U119" i="26"/>
  <c r="T102" i="26"/>
  <c r="D170" i="26"/>
  <c r="D42" i="26"/>
  <c r="E175" i="26"/>
  <c r="E252" i="26"/>
  <c r="U175" i="26"/>
  <c r="U252" i="26"/>
  <c r="S181" i="26"/>
  <c r="S258" i="26"/>
  <c r="M92" i="26"/>
  <c r="E92" i="26"/>
  <c r="E42" i="26"/>
  <c r="U92" i="26"/>
  <c r="U42" i="26"/>
  <c r="R93" i="26"/>
  <c r="R171" i="26"/>
  <c r="F97" i="26"/>
  <c r="F175" i="26"/>
  <c r="D181" i="26"/>
  <c r="D103" i="26"/>
  <c r="Q260" i="26"/>
  <c r="Q105" i="26"/>
  <c r="H263" i="26"/>
  <c r="H108" i="26"/>
  <c r="E187" i="26"/>
  <c r="E109" i="26"/>
  <c r="F269" i="26"/>
  <c r="F114" i="26"/>
  <c r="S270" i="26"/>
  <c r="S193" i="26"/>
  <c r="S115" i="26"/>
  <c r="J273" i="26"/>
  <c r="J118" i="26"/>
  <c r="D198" i="26"/>
  <c r="D120" i="26"/>
  <c r="N92" i="26"/>
  <c r="N82" i="26"/>
  <c r="N121" i="26" s="1"/>
  <c r="T97" i="26"/>
  <c r="F247" i="26"/>
  <c r="F42" i="26"/>
  <c r="V247" i="26"/>
  <c r="V42" i="26"/>
  <c r="N178" i="26"/>
  <c r="N100" i="26"/>
  <c r="O82" i="26"/>
  <c r="O121" i="26" s="1"/>
  <c r="O92" i="26"/>
  <c r="U97" i="26"/>
  <c r="G247" i="26"/>
  <c r="G42" i="26"/>
  <c r="G276" i="26" s="1"/>
  <c r="P82" i="26"/>
  <c r="P121" i="26" s="1"/>
  <c r="N93" i="26"/>
  <c r="K297" i="25"/>
  <c r="H247" i="26"/>
  <c r="H42" i="26"/>
  <c r="K94" i="26"/>
  <c r="H95" i="26"/>
  <c r="R97" i="26"/>
  <c r="O98" i="26"/>
  <c r="L99" i="26"/>
  <c r="F101" i="26"/>
  <c r="V101" i="26"/>
  <c r="P103" i="26"/>
  <c r="M105" i="26"/>
  <c r="G107" i="26"/>
  <c r="T108" i="26"/>
  <c r="Q109" i="26"/>
  <c r="N110" i="26"/>
  <c r="K111" i="26"/>
  <c r="H112" i="26"/>
  <c r="R114" i="26"/>
  <c r="V98" i="26"/>
  <c r="S95" i="26"/>
  <c r="M97" i="26"/>
  <c r="J98" i="26"/>
  <c r="G99" i="26"/>
  <c r="D100" i="26"/>
  <c r="T100" i="26"/>
  <c r="Q101" i="26"/>
  <c r="N102" i="26"/>
  <c r="K103" i="26"/>
  <c r="H105" i="26"/>
  <c r="E106" i="26"/>
  <c r="U106" i="26"/>
  <c r="O108" i="26"/>
  <c r="L109" i="26"/>
  <c r="F111" i="26"/>
  <c r="V111" i="26"/>
  <c r="S112" i="26"/>
  <c r="M114" i="26"/>
  <c r="J115" i="26"/>
  <c r="G116" i="26"/>
  <c r="H82" i="26"/>
  <c r="M160" i="26"/>
  <c r="M199" i="26" s="1"/>
  <c r="J171" i="26"/>
  <c r="G172" i="26"/>
  <c r="D173" i="26"/>
  <c r="S255" i="26"/>
  <c r="L193" i="26"/>
  <c r="I194" i="26"/>
  <c r="S196" i="26"/>
  <c r="P197" i="26"/>
  <c r="L276" i="26"/>
  <c r="I276" i="26"/>
  <c r="F249" i="26"/>
  <c r="D255" i="26"/>
  <c r="T255" i="26"/>
  <c r="K273" i="26"/>
  <c r="K196" i="26"/>
  <c r="N98" i="26"/>
  <c r="K99" i="26"/>
  <c r="H100" i="26"/>
  <c r="E101" i="26"/>
  <c r="U101" i="26"/>
  <c r="R102" i="26"/>
  <c r="O103" i="26"/>
  <c r="L82" i="26"/>
  <c r="V109" i="26"/>
  <c r="Q160" i="26"/>
  <c r="Q199" i="26" s="1"/>
  <c r="K172" i="26"/>
  <c r="H173" i="26"/>
  <c r="R175" i="26"/>
  <c r="O176" i="26"/>
  <c r="L177" i="26"/>
  <c r="I178" i="26"/>
  <c r="F179" i="26"/>
  <c r="S180" i="26"/>
  <c r="P181" i="26"/>
  <c r="G185" i="26"/>
  <c r="V250" i="26"/>
  <c r="Q257" i="26"/>
  <c r="G47" i="27"/>
  <c r="E176" i="26"/>
  <c r="E253" i="26"/>
  <c r="Q82" i="26"/>
  <c r="Q121" i="26" s="1"/>
  <c r="P92" i="26"/>
  <c r="N183" i="26"/>
  <c r="R187" i="26"/>
  <c r="O188" i="26"/>
  <c r="I190" i="26"/>
  <c r="M194" i="26"/>
  <c r="G250" i="26"/>
  <c r="U256" i="26"/>
  <c r="Q92" i="26"/>
  <c r="E98" i="26"/>
  <c r="O106" i="26"/>
  <c r="O183" i="26"/>
  <c r="L184" i="26"/>
  <c r="I185" i="26"/>
  <c r="F186" i="26"/>
  <c r="S187" i="26"/>
  <c r="M189" i="26"/>
  <c r="D192" i="26"/>
  <c r="T192" i="26"/>
  <c r="N194" i="26"/>
  <c r="H196" i="26"/>
  <c r="H100" i="27"/>
  <c r="H89" i="27"/>
  <c r="D271" i="26"/>
  <c r="D194" i="26"/>
  <c r="T271" i="26"/>
  <c r="T194" i="26"/>
  <c r="R82" i="26"/>
  <c r="R121" i="26" s="1"/>
  <c r="T160" i="26"/>
  <c r="T199" i="26" s="1"/>
  <c r="Q171" i="26"/>
  <c r="R176" i="26"/>
  <c r="I179" i="26"/>
  <c r="P183" i="26"/>
  <c r="G186" i="26"/>
  <c r="U192" i="26"/>
  <c r="R247" i="26"/>
  <c r="R237" i="26"/>
  <c r="R276" i="26" s="1"/>
  <c r="O248" i="26"/>
  <c r="L249" i="26"/>
  <c r="I250" i="26"/>
  <c r="S252" i="26"/>
  <c r="P253" i="26"/>
  <c r="M254" i="26"/>
  <c r="J255" i="26"/>
  <c r="G256" i="26"/>
  <c r="J107" i="26"/>
  <c r="G108" i="26"/>
  <c r="D109" i="26"/>
  <c r="T109" i="26"/>
  <c r="Q110" i="26"/>
  <c r="N111" i="26"/>
  <c r="E114" i="26"/>
  <c r="U114" i="26"/>
  <c r="R115" i="26"/>
  <c r="O116" i="26"/>
  <c r="I118" i="26"/>
  <c r="F119" i="26"/>
  <c r="V119" i="26"/>
  <c r="S82" i="26"/>
  <c r="U170" i="26"/>
  <c r="L173" i="26"/>
  <c r="V175" i="26"/>
  <c r="S176" i="26"/>
  <c r="M178" i="26"/>
  <c r="J179" i="26"/>
  <c r="T181" i="26"/>
  <c r="Q183" i="26"/>
  <c r="N184" i="26"/>
  <c r="K185" i="26"/>
  <c r="H186" i="26"/>
  <c r="U187" i="26"/>
  <c r="R188" i="26"/>
  <c r="O189" i="26"/>
  <c r="F192" i="26"/>
  <c r="V192" i="26"/>
  <c r="P194" i="26"/>
  <c r="J196" i="26"/>
  <c r="G197" i="26"/>
  <c r="T82" i="26"/>
  <c r="T121" i="26" s="1"/>
  <c r="V170" i="26"/>
  <c r="S171" i="26"/>
  <c r="M173" i="26"/>
  <c r="G175" i="26"/>
  <c r="D176" i="26"/>
  <c r="T176" i="26"/>
  <c r="K179" i="26"/>
  <c r="H180" i="26"/>
  <c r="E181" i="26"/>
  <c r="U181" i="26"/>
  <c r="R183" i="26"/>
  <c r="I186" i="26"/>
  <c r="F187" i="26"/>
  <c r="V187" i="26"/>
  <c r="P189" i="26"/>
  <c r="D193" i="26"/>
  <c r="T193" i="26"/>
  <c r="Q194" i="26"/>
  <c r="H197" i="26"/>
  <c r="E198" i="26"/>
  <c r="D247" i="26"/>
  <c r="T247" i="26"/>
  <c r="Q248" i="26"/>
  <c r="K250" i="26"/>
  <c r="O254" i="26"/>
  <c r="L255" i="26"/>
  <c r="I256" i="26"/>
  <c r="V257" i="26"/>
  <c r="U82" i="26"/>
  <c r="G160" i="26"/>
  <c r="D160" i="26"/>
  <c r="D199" i="26" s="1"/>
  <c r="T171" i="26"/>
  <c r="N173" i="26"/>
  <c r="U176" i="26"/>
  <c r="O178" i="26"/>
  <c r="L179" i="26"/>
  <c r="I180" i="26"/>
  <c r="F181" i="26"/>
  <c r="V181" i="26"/>
  <c r="S183" i="26"/>
  <c r="P184" i="26"/>
  <c r="M185" i="26"/>
  <c r="J186" i="26"/>
  <c r="T188" i="26"/>
  <c r="E193" i="26"/>
  <c r="J108" i="26"/>
  <c r="G109" i="26"/>
  <c r="T110" i="26"/>
  <c r="Q111" i="26"/>
  <c r="H114" i="26"/>
  <c r="E115" i="26"/>
  <c r="U115" i="26"/>
  <c r="R116" i="26"/>
  <c r="L118" i="26"/>
  <c r="I119" i="26"/>
  <c r="F120" i="26"/>
  <c r="V82" i="26"/>
  <c r="V121" i="26" s="1"/>
  <c r="H170" i="26"/>
  <c r="H160" i="26"/>
  <c r="E171" i="26"/>
  <c r="U171" i="26"/>
  <c r="O173" i="26"/>
  <c r="I175" i="26"/>
  <c r="F176" i="26"/>
  <c r="V176" i="26"/>
  <c r="P178" i="26"/>
  <c r="M179" i="26"/>
  <c r="J180" i="26"/>
  <c r="D105" i="26"/>
  <c r="T105" i="26"/>
  <c r="Q106" i="26"/>
  <c r="N107" i="26"/>
  <c r="K108" i="26"/>
  <c r="H109" i="26"/>
  <c r="R111" i="26"/>
  <c r="I114" i="26"/>
  <c r="F115" i="26"/>
  <c r="V115" i="26"/>
  <c r="S116" i="26"/>
  <c r="M118" i="26"/>
  <c r="J119" i="26"/>
  <c r="D82" i="26"/>
  <c r="D121" i="26" s="1"/>
  <c r="I160" i="26"/>
  <c r="I170" i="26"/>
  <c r="F171" i="26"/>
  <c r="V171" i="26"/>
  <c r="P173" i="26"/>
  <c r="J175" i="26"/>
  <c r="G176" i="26"/>
  <c r="D177" i="26"/>
  <c r="N179" i="26"/>
  <c r="K180" i="26"/>
  <c r="H181" i="26"/>
  <c r="E183" i="26"/>
  <c r="U183" i="26"/>
  <c r="R184" i="26"/>
  <c r="O185" i="26"/>
  <c r="L186" i="26"/>
  <c r="I187" i="26"/>
  <c r="S189" i="26"/>
  <c r="P190" i="26"/>
  <c r="J192" i="26"/>
  <c r="L160" i="26"/>
  <c r="E105" i="26"/>
  <c r="U105" i="26"/>
  <c r="R106" i="26"/>
  <c r="O107" i="26"/>
  <c r="L108" i="26"/>
  <c r="I109" i="26"/>
  <c r="S111" i="26"/>
  <c r="P112" i="26"/>
  <c r="J114" i="26"/>
  <c r="G115" i="26"/>
  <c r="D116" i="26"/>
  <c r="T116" i="26"/>
  <c r="N118" i="26"/>
  <c r="K119" i="26"/>
  <c r="E82" i="26"/>
  <c r="E121" i="26" s="1"/>
  <c r="J170" i="26"/>
  <c r="G171" i="26"/>
  <c r="D172" i="26"/>
  <c r="Q173" i="26"/>
  <c r="K175" i="26"/>
  <c r="E177" i="26"/>
  <c r="R178" i="26"/>
  <c r="O179" i="26"/>
  <c r="L180" i="26"/>
  <c r="F183" i="26"/>
  <c r="F105" i="26"/>
  <c r="V105" i="26"/>
  <c r="S106" i="26"/>
  <c r="P107" i="26"/>
  <c r="M108" i="26"/>
  <c r="J109" i="26"/>
  <c r="D111" i="26"/>
  <c r="T111" i="26"/>
  <c r="Q112" i="26"/>
  <c r="K114" i="26"/>
  <c r="H115" i="26"/>
  <c r="E116" i="26"/>
  <c r="U116" i="26"/>
  <c r="O118" i="26"/>
  <c r="L119" i="26"/>
  <c r="I120" i="26"/>
  <c r="F82" i="26"/>
  <c r="F121" i="26" s="1"/>
  <c r="K170" i="26"/>
  <c r="K160" i="26"/>
  <c r="H171" i="26"/>
  <c r="E172" i="26"/>
  <c r="G183" i="26"/>
  <c r="D184" i="26"/>
  <c r="T184" i="26"/>
  <c r="N186" i="26"/>
  <c r="K187" i="26"/>
  <c r="E189" i="26"/>
  <c r="R190" i="26"/>
  <c r="I193" i="26"/>
  <c r="F194" i="26"/>
  <c r="I115" i="26"/>
  <c r="F116" i="26"/>
  <c r="V116" i="26"/>
  <c r="P118" i="26"/>
  <c r="M119" i="26"/>
  <c r="J120" i="26"/>
  <c r="G82" i="26"/>
  <c r="I171" i="26"/>
  <c r="F172" i="26"/>
  <c r="M175" i="26"/>
  <c r="J176" i="26"/>
  <c r="G177" i="26"/>
  <c r="D178" i="26"/>
  <c r="Q179" i="26"/>
  <c r="N180" i="26"/>
  <c r="K181" i="26"/>
  <c r="E184" i="26"/>
  <c r="U184" i="26"/>
  <c r="O186" i="26"/>
  <c r="L187" i="26"/>
  <c r="F189" i="26"/>
  <c r="V189" i="26"/>
  <c r="S190" i="26"/>
  <c r="M192" i="26"/>
  <c r="J193" i="26"/>
  <c r="G194" i="26"/>
  <c r="V183" i="26"/>
  <c r="S184" i="26"/>
  <c r="P185" i="26"/>
  <c r="M186" i="26"/>
  <c r="J187" i="26"/>
  <c r="D189" i="26"/>
  <c r="T189" i="26"/>
  <c r="Q190" i="26"/>
  <c r="K192" i="26"/>
  <c r="H193" i="26"/>
  <c r="E194" i="26"/>
  <c r="U194" i="26"/>
  <c r="O196" i="26"/>
  <c r="L197" i="26"/>
  <c r="P247" i="26"/>
  <c r="P237" i="26"/>
  <c r="P276" i="26" s="1"/>
  <c r="M248" i="26"/>
  <c r="J249" i="26"/>
  <c r="Q252" i="26"/>
  <c r="N253" i="26"/>
  <c r="K254" i="26"/>
  <c r="H255" i="26"/>
  <c r="E256" i="26"/>
  <c r="O258" i="26"/>
  <c r="L260" i="26"/>
  <c r="I261" i="26"/>
  <c r="F262" i="26"/>
  <c r="S263" i="26"/>
  <c r="P264" i="26"/>
  <c r="M265" i="26"/>
  <c r="J266" i="26"/>
  <c r="Q269" i="26"/>
  <c r="N270" i="26"/>
  <c r="K271" i="26"/>
  <c r="E273" i="26"/>
  <c r="U273" i="26"/>
  <c r="R274" i="26"/>
  <c r="E47" i="27"/>
  <c r="D90" i="27"/>
  <c r="R173" i="26"/>
  <c r="L175" i="26"/>
  <c r="I176" i="26"/>
  <c r="F177" i="26"/>
  <c r="S178" i="26"/>
  <c r="P179" i="26"/>
  <c r="M180" i="26"/>
  <c r="J181" i="26"/>
  <c r="V194" i="26"/>
  <c r="P196" i="26"/>
  <c r="M197" i="26"/>
  <c r="Q247" i="26"/>
  <c r="N248" i="26"/>
  <c r="K249" i="26"/>
  <c r="H250" i="26"/>
  <c r="O253" i="26"/>
  <c r="L254" i="26"/>
  <c r="I255" i="26"/>
  <c r="F256" i="26"/>
  <c r="V256" i="26"/>
  <c r="M260" i="26"/>
  <c r="J261" i="26"/>
  <c r="G262" i="26"/>
  <c r="T263" i="26"/>
  <c r="N265" i="26"/>
  <c r="H267" i="26"/>
  <c r="T173" i="26"/>
  <c r="N175" i="26"/>
  <c r="K176" i="26"/>
  <c r="H177" i="26"/>
  <c r="E178" i="26"/>
  <c r="U178" i="26"/>
  <c r="R179" i="26"/>
  <c r="O180" i="26"/>
  <c r="L181" i="26"/>
  <c r="I183" i="26"/>
  <c r="F184" i="26"/>
  <c r="V184" i="26"/>
  <c r="P186" i="26"/>
  <c r="M187" i="26"/>
  <c r="G189" i="26"/>
  <c r="D190" i="26"/>
  <c r="T190" i="26"/>
  <c r="N192" i="26"/>
  <c r="K193" i="26"/>
  <c r="H194" i="26"/>
  <c r="R196" i="26"/>
  <c r="O197" i="26"/>
  <c r="M170" i="26"/>
  <c r="S247" i="26"/>
  <c r="P248" i="26"/>
  <c r="M249" i="26"/>
  <c r="J250" i="26"/>
  <c r="K255" i="26"/>
  <c r="H256" i="26"/>
  <c r="U257" i="26"/>
  <c r="I248" i="26"/>
  <c r="K183" i="26"/>
  <c r="H184" i="26"/>
  <c r="E185" i="26"/>
  <c r="R186" i="26"/>
  <c r="O187" i="26"/>
  <c r="L188" i="26"/>
  <c r="I189" i="26"/>
  <c r="V190" i="26"/>
  <c r="P192" i="26"/>
  <c r="M193" i="26"/>
  <c r="J194" i="26"/>
  <c r="D196" i="26"/>
  <c r="T196" i="26"/>
  <c r="Q197" i="26"/>
  <c r="O170" i="26"/>
  <c r="E237" i="26"/>
  <c r="E276" i="26" s="1"/>
  <c r="U247" i="26"/>
  <c r="U237" i="26"/>
  <c r="R248" i="26"/>
  <c r="L250" i="26"/>
  <c r="F252" i="26"/>
  <c r="V252" i="26"/>
  <c r="N261" i="26"/>
  <c r="K262" i="26"/>
  <c r="E264" i="26"/>
  <c r="R265" i="26"/>
  <c r="V269" i="26"/>
  <c r="P271" i="26"/>
  <c r="G274" i="26"/>
  <c r="D275" i="26"/>
  <c r="J47" i="27"/>
  <c r="P170" i="26"/>
  <c r="M171" i="26"/>
  <c r="J172" i="26"/>
  <c r="G173" i="26"/>
  <c r="Q175" i="26"/>
  <c r="N176" i="26"/>
  <c r="K177" i="26"/>
  <c r="H178" i="26"/>
  <c r="E179" i="26"/>
  <c r="U179" i="26"/>
  <c r="R180" i="26"/>
  <c r="O181" i="26"/>
  <c r="L183" i="26"/>
  <c r="I184" i="26"/>
  <c r="F185" i="26"/>
  <c r="S186" i="26"/>
  <c r="P187" i="26"/>
  <c r="M188" i="26"/>
  <c r="J189" i="26"/>
  <c r="Q192" i="26"/>
  <c r="N193" i="26"/>
  <c r="K194" i="26"/>
  <c r="E196" i="26"/>
  <c r="U196" i="26"/>
  <c r="R197" i="26"/>
  <c r="Q170" i="26"/>
  <c r="F237" i="26"/>
  <c r="F276" i="26" s="1"/>
  <c r="V237" i="26"/>
  <c r="V276" i="26" s="1"/>
  <c r="S248" i="26"/>
  <c r="M250" i="26"/>
  <c r="G252" i="26"/>
  <c r="N255" i="26"/>
  <c r="K256" i="26"/>
  <c r="H257" i="26"/>
  <c r="E258" i="26"/>
  <c r="U258" i="26"/>
  <c r="O261" i="26"/>
  <c r="L262" i="26"/>
  <c r="I263" i="26"/>
  <c r="F264" i="26"/>
  <c r="G269" i="26"/>
  <c r="D270" i="26"/>
  <c r="Q271" i="26"/>
  <c r="K47" i="27"/>
  <c r="D186" i="26"/>
  <c r="T186" i="26"/>
  <c r="Q187" i="26"/>
  <c r="N188" i="26"/>
  <c r="K189" i="26"/>
  <c r="H190" i="26"/>
  <c r="R192" i="26"/>
  <c r="O193" i="26"/>
  <c r="L194" i="26"/>
  <c r="F196" i="26"/>
  <c r="V196" i="26"/>
  <c r="S197" i="26"/>
  <c r="P160" i="26"/>
  <c r="P199" i="26" s="1"/>
  <c r="T170" i="26"/>
  <c r="D248" i="26"/>
  <c r="T248" i="26"/>
  <c r="N250" i="26"/>
  <c r="H252" i="26"/>
  <c r="O255" i="26"/>
  <c r="L256" i="26"/>
  <c r="I257" i="26"/>
  <c r="F258" i="26"/>
  <c r="V258" i="26"/>
  <c r="R170" i="26"/>
  <c r="O171" i="26"/>
  <c r="L172" i="26"/>
  <c r="I173" i="26"/>
  <c r="S175" i="26"/>
  <c r="P176" i="26"/>
  <c r="M177" i="26"/>
  <c r="J178" i="26"/>
  <c r="G179" i="26"/>
  <c r="T180" i="26"/>
  <c r="Q181" i="26"/>
  <c r="O250" i="26"/>
  <c r="I252" i="26"/>
  <c r="F253" i="26"/>
  <c r="M256" i="26"/>
  <c r="J257" i="26"/>
  <c r="G258" i="26"/>
  <c r="D260" i="26"/>
  <c r="Q261" i="26"/>
  <c r="K263" i="26"/>
  <c r="H264" i="26"/>
  <c r="I269" i="26"/>
  <c r="F270" i="26"/>
  <c r="S271" i="26"/>
  <c r="J274" i="26"/>
  <c r="S170" i="26"/>
  <c r="S160" i="26"/>
  <c r="P171" i="26"/>
  <c r="M172" i="26"/>
  <c r="J173" i="26"/>
  <c r="D175" i="26"/>
  <c r="T175" i="26"/>
  <c r="Q176" i="26"/>
  <c r="K178" i="26"/>
  <c r="H179" i="26"/>
  <c r="U180" i="26"/>
  <c r="R181" i="26"/>
  <c r="R160" i="26"/>
  <c r="R199" i="26" s="1"/>
  <c r="P250" i="26"/>
  <c r="J252" i="26"/>
  <c r="G253" i="26"/>
  <c r="N256" i="26"/>
  <c r="K257" i="26"/>
  <c r="H258" i="26"/>
  <c r="E260" i="26"/>
  <c r="L263" i="26"/>
  <c r="I264" i="26"/>
  <c r="P267" i="26"/>
  <c r="J269" i="26"/>
  <c r="G270" i="26"/>
  <c r="N273" i="26"/>
  <c r="K274" i="26"/>
  <c r="D171" i="26"/>
  <c r="F260" i="26"/>
  <c r="S261" i="26"/>
  <c r="M263" i="26"/>
  <c r="D266" i="26"/>
  <c r="Q267" i="26"/>
  <c r="K269" i="26"/>
  <c r="H270" i="26"/>
  <c r="U271" i="26"/>
  <c r="O273" i="26"/>
  <c r="L274" i="26"/>
  <c r="E160" i="26"/>
  <c r="E199" i="26" s="1"/>
  <c r="U160" i="26"/>
  <c r="K237" i="26"/>
  <c r="K276" i="26" s="1"/>
  <c r="H248" i="26"/>
  <c r="H237" i="26"/>
  <c r="R250" i="26"/>
  <c r="L252" i="26"/>
  <c r="I253" i="26"/>
  <c r="F254" i="26"/>
  <c r="P256" i="26"/>
  <c r="M257" i="26"/>
  <c r="J258" i="26"/>
  <c r="G260" i="26"/>
  <c r="D261" i="26"/>
  <c r="T261" i="26"/>
  <c r="Q262" i="26"/>
  <c r="N263" i="26"/>
  <c r="K264" i="26"/>
  <c r="E266" i="26"/>
  <c r="U266" i="26"/>
  <c r="R267" i="26"/>
  <c r="L269" i="26"/>
  <c r="I270" i="26"/>
  <c r="F271" i="26"/>
  <c r="V271" i="26"/>
  <c r="P273" i="26"/>
  <c r="M274" i="26"/>
  <c r="F160" i="26"/>
  <c r="F199" i="26" s="1"/>
  <c r="V160" i="26"/>
  <c r="E170" i="26"/>
  <c r="L247" i="26"/>
  <c r="S250" i="26"/>
  <c r="M252" i="26"/>
  <c r="J253" i="26"/>
  <c r="G254" i="26"/>
  <c r="Q256" i="26"/>
  <c r="N257" i="26"/>
  <c r="K258" i="26"/>
  <c r="H260" i="26"/>
  <c r="E261" i="26"/>
  <c r="U261" i="26"/>
  <c r="O263" i="26"/>
  <c r="L264" i="26"/>
  <c r="F266" i="26"/>
  <c r="V266" i="26"/>
  <c r="S267" i="26"/>
  <c r="M269" i="26"/>
  <c r="J270" i="26"/>
  <c r="G271" i="26"/>
  <c r="Q273" i="26"/>
  <c r="N274" i="26"/>
  <c r="E247" i="26"/>
  <c r="F170" i="26"/>
  <c r="M237" i="26"/>
  <c r="M276" i="26" s="1"/>
  <c r="M247" i="26"/>
  <c r="J248" i="26"/>
  <c r="G249" i="26"/>
  <c r="T250" i="26"/>
  <c r="N252" i="26"/>
  <c r="K253" i="26"/>
  <c r="H254" i="26"/>
  <c r="E255" i="26"/>
  <c r="U255" i="26"/>
  <c r="O257" i="26"/>
  <c r="L258" i="26"/>
  <c r="I260" i="26"/>
  <c r="V261" i="26"/>
  <c r="P263" i="26"/>
  <c r="M264" i="26"/>
  <c r="G266" i="26"/>
  <c r="D267" i="26"/>
  <c r="T267" i="26"/>
  <c r="N269" i="26"/>
  <c r="K270" i="26"/>
  <c r="H271" i="26"/>
  <c r="R273" i="26"/>
  <c r="O274" i="26"/>
  <c r="G173" i="27"/>
  <c r="G185" i="27"/>
  <c r="D183" i="26"/>
  <c r="T183" i="26"/>
  <c r="Q184" i="26"/>
  <c r="N185" i="26"/>
  <c r="K186" i="26"/>
  <c r="H187" i="26"/>
  <c r="R189" i="26"/>
  <c r="I192" i="26"/>
  <c r="F193" i="26"/>
  <c r="V193" i="26"/>
  <c r="S194" i="26"/>
  <c r="M196" i="26"/>
  <c r="J197" i="26"/>
  <c r="G170" i="26"/>
  <c r="N247" i="26"/>
  <c r="N237" i="26"/>
  <c r="N276" i="26" s="1"/>
  <c r="K248" i="26"/>
  <c r="U250" i="26"/>
  <c r="O252" i="26"/>
  <c r="L253" i="26"/>
  <c r="I254" i="26"/>
  <c r="F255" i="26"/>
  <c r="P257" i="26"/>
  <c r="M258" i="26"/>
  <c r="J260" i="26"/>
  <c r="G261" i="26"/>
  <c r="D262" i="26"/>
  <c r="Q263" i="26"/>
  <c r="N264" i="26"/>
  <c r="K265" i="26"/>
  <c r="H266" i="26"/>
  <c r="U267" i="26"/>
  <c r="O269" i="26"/>
  <c r="L270" i="26"/>
  <c r="I271" i="26"/>
  <c r="S273" i="26"/>
  <c r="P274" i="26"/>
  <c r="O247" i="26"/>
  <c r="O237" i="26"/>
  <c r="L248" i="26"/>
  <c r="I249" i="26"/>
  <c r="F250" i="26"/>
  <c r="P252" i="26"/>
  <c r="M253" i="26"/>
  <c r="J254" i="26"/>
  <c r="G255" i="26"/>
  <c r="D256" i="26"/>
  <c r="T256" i="26"/>
  <c r="N258" i="26"/>
  <c r="K260" i="26"/>
  <c r="H261" i="26"/>
  <c r="E262" i="26"/>
  <c r="R263" i="26"/>
  <c r="O264" i="26"/>
  <c r="L265" i="26"/>
  <c r="I266" i="26"/>
  <c r="V267" i="26"/>
  <c r="P269" i="26"/>
  <c r="M270" i="26"/>
  <c r="J271" i="26"/>
  <c r="D273" i="26"/>
  <c r="T273" i="26"/>
  <c r="Q274" i="26"/>
  <c r="K247" i="26"/>
  <c r="F100" i="27"/>
  <c r="F89" i="27"/>
  <c r="F106" i="27"/>
  <c r="F108" i="27"/>
  <c r="F110" i="27"/>
  <c r="F114" i="27"/>
  <c r="F118" i="27"/>
  <c r="F120" i="27"/>
  <c r="F124" i="27"/>
  <c r="F128" i="27"/>
  <c r="D298" i="27"/>
  <c r="D257" i="27"/>
  <c r="F185" i="27"/>
  <c r="F173" i="27"/>
  <c r="E298" i="27"/>
  <c r="E257" i="27"/>
  <c r="I89" i="27"/>
  <c r="I100" i="27"/>
  <c r="H173" i="27"/>
  <c r="H185" i="27"/>
  <c r="G268" i="27"/>
  <c r="G270" i="27"/>
  <c r="G272" i="27"/>
  <c r="G276" i="27"/>
  <c r="G278" i="27"/>
  <c r="G280" i="27"/>
  <c r="G284" i="27"/>
  <c r="G288" i="27"/>
  <c r="G290" i="27"/>
  <c r="G292" i="27"/>
  <c r="G294" i="27"/>
  <c r="G296" i="27"/>
  <c r="J100" i="27"/>
  <c r="J89" i="27"/>
  <c r="J185" i="27"/>
  <c r="R269" i="26"/>
  <c r="O270" i="26"/>
  <c r="L271" i="26"/>
  <c r="F273" i="26"/>
  <c r="V273" i="26"/>
  <c r="S274" i="26"/>
  <c r="I268" i="27"/>
  <c r="I256" i="27"/>
  <c r="I270" i="27"/>
  <c r="I272" i="27"/>
  <c r="I276" i="27"/>
  <c r="I278" i="27"/>
  <c r="I284" i="27"/>
  <c r="I288" i="27"/>
  <c r="I290" i="27"/>
  <c r="I292" i="27"/>
  <c r="I294" i="27"/>
  <c r="I296" i="27"/>
  <c r="N260" i="26"/>
  <c r="K261" i="26"/>
  <c r="H262" i="26"/>
  <c r="E263" i="26"/>
  <c r="U263" i="26"/>
  <c r="R264" i="26"/>
  <c r="O265" i="26"/>
  <c r="L266" i="26"/>
  <c r="I267" i="26"/>
  <c r="S269" i="26"/>
  <c r="P270" i="26"/>
  <c r="M271" i="26"/>
  <c r="G273" i="26"/>
  <c r="D274" i="26"/>
  <c r="T274" i="26"/>
  <c r="E89" i="27"/>
  <c r="J268" i="27"/>
  <c r="J256" i="27"/>
  <c r="J270" i="27"/>
  <c r="J272" i="27"/>
  <c r="J276" i="27"/>
  <c r="J278" i="27"/>
  <c r="J284" i="27"/>
  <c r="J288" i="27"/>
  <c r="J290" i="27"/>
  <c r="J292" i="27"/>
  <c r="J294" i="27"/>
  <c r="J296" i="27"/>
  <c r="O260" i="26"/>
  <c r="L261" i="26"/>
  <c r="I262" i="26"/>
  <c r="F263" i="26"/>
  <c r="V263" i="26"/>
  <c r="S264" i="26"/>
  <c r="P265" i="26"/>
  <c r="M266" i="26"/>
  <c r="D269" i="26"/>
  <c r="T269" i="26"/>
  <c r="Q270" i="26"/>
  <c r="N271" i="26"/>
  <c r="H273" i="26"/>
  <c r="E274" i="26"/>
  <c r="U274" i="26"/>
  <c r="D47" i="27"/>
  <c r="F46" i="27"/>
  <c r="F47" i="27" s="1"/>
  <c r="I117" i="27"/>
  <c r="K268" i="27"/>
  <c r="K270" i="27"/>
  <c r="K272" i="27"/>
  <c r="K276" i="27"/>
  <c r="K278" i="27"/>
  <c r="K284" i="27"/>
  <c r="K288" i="27"/>
  <c r="K290" i="27"/>
  <c r="K292" i="27"/>
  <c r="K294" i="27"/>
  <c r="K296" i="27"/>
  <c r="P260" i="26"/>
  <c r="M261" i="26"/>
  <c r="J262" i="26"/>
  <c r="G263" i="26"/>
  <c r="D264" i="26"/>
  <c r="T264" i="26"/>
  <c r="Q265" i="26"/>
  <c r="N266" i="26"/>
  <c r="E269" i="26"/>
  <c r="U269" i="26"/>
  <c r="R270" i="26"/>
  <c r="O271" i="26"/>
  <c r="I273" i="26"/>
  <c r="F274" i="26"/>
  <c r="V274" i="26"/>
  <c r="Q237" i="26"/>
  <c r="Q276" i="26" s="1"/>
  <c r="I127" i="27"/>
  <c r="S253" i="26"/>
  <c r="M255" i="26"/>
  <c r="J256" i="26"/>
  <c r="D258" i="26"/>
  <c r="T258" i="26"/>
  <c r="I46" i="27"/>
  <c r="I47" i="27" s="1"/>
  <c r="I103" i="27"/>
  <c r="F184" i="27"/>
  <c r="F190" i="27"/>
  <c r="F192" i="27"/>
  <c r="F194" i="27"/>
  <c r="F198" i="27"/>
  <c r="F202" i="27"/>
  <c r="F204" i="27"/>
  <c r="F208" i="27"/>
  <c r="F212" i="27"/>
  <c r="S237" i="26"/>
  <c r="S260" i="26"/>
  <c r="P261" i="26"/>
  <c r="M262" i="26"/>
  <c r="J263" i="26"/>
  <c r="G264" i="26"/>
  <c r="T265" i="26"/>
  <c r="Q266" i="26"/>
  <c r="H269" i="26"/>
  <c r="E270" i="26"/>
  <c r="U270" i="26"/>
  <c r="R271" i="26"/>
  <c r="L273" i="26"/>
  <c r="I274" i="26"/>
  <c r="F275" i="26"/>
  <c r="T237" i="26"/>
  <c r="T276" i="26" s="1"/>
  <c r="H47" i="27"/>
  <c r="I123" i="27"/>
  <c r="D237" i="26"/>
  <c r="D276" i="26" s="1"/>
  <c r="J101" i="27"/>
  <c r="J103" i="27"/>
  <c r="J105" i="27"/>
  <c r="J109" i="27"/>
  <c r="J111" i="27"/>
  <c r="J117" i="27"/>
  <c r="J121" i="27"/>
  <c r="J123" i="27"/>
  <c r="J125" i="27"/>
  <c r="J127" i="27"/>
  <c r="J129" i="27"/>
  <c r="K101" i="27"/>
  <c r="K103" i="27"/>
  <c r="K105" i="27"/>
  <c r="K109" i="27"/>
  <c r="K111" i="27"/>
  <c r="K117" i="27"/>
  <c r="K121" i="27"/>
  <c r="K123" i="27"/>
  <c r="K125" i="27"/>
  <c r="K127" i="27"/>
  <c r="K129" i="27"/>
  <c r="I109" i="27"/>
  <c r="J247" i="26"/>
  <c r="G248" i="26"/>
  <c r="D249" i="26"/>
  <c r="Q250" i="26"/>
  <c r="K252" i="26"/>
  <c r="H253" i="26"/>
  <c r="E254" i="26"/>
  <c r="R255" i="26"/>
  <c r="O256" i="26"/>
  <c r="L257" i="26"/>
  <c r="I258" i="26"/>
  <c r="K184" i="27"/>
  <c r="K173" i="27"/>
  <c r="D173" i="27"/>
  <c r="F256" i="27"/>
  <c r="K89" i="27"/>
  <c r="G256" i="27"/>
  <c r="H256" i="27"/>
  <c r="E173" i="27"/>
  <c r="K256" i="27"/>
  <c r="D268" i="27"/>
  <c r="E268" i="27"/>
  <c r="I173" i="27"/>
  <c r="J173" i="27"/>
  <c r="G89" i="27"/>
  <c r="T71" i="6" l="1"/>
  <c r="T28" i="6"/>
  <c r="T181" i="6"/>
  <c r="K213" i="19"/>
  <c r="K172" i="19"/>
  <c r="F255" i="13"/>
  <c r="F296" i="13"/>
  <c r="F129" i="11"/>
  <c r="F89" i="11"/>
  <c r="D120" i="12"/>
  <c r="T34" i="8"/>
  <c r="K33" i="8"/>
  <c r="T33" i="8" s="1"/>
  <c r="T26" i="8"/>
  <c r="S56" i="9"/>
  <c r="J22" i="9"/>
  <c r="S121" i="9"/>
  <c r="O84" i="7"/>
  <c r="F79" i="7"/>
  <c r="T21" i="8"/>
  <c r="M60" i="8"/>
  <c r="J22" i="8"/>
  <c r="P14" i="8"/>
  <c r="G34" i="8"/>
  <c r="R33" i="9"/>
  <c r="R66" i="9"/>
  <c r="N144" i="6"/>
  <c r="N172" i="6" s="1"/>
  <c r="N173" i="6"/>
  <c r="D121" i="6"/>
  <c r="D94" i="6"/>
  <c r="D120" i="6" s="1"/>
  <c r="L129" i="6"/>
  <c r="T102" i="5"/>
  <c r="T115" i="5"/>
  <c r="T103" i="5"/>
  <c r="Q151" i="4"/>
  <c r="Q166" i="4"/>
  <c r="S101" i="4"/>
  <c r="S100" i="4"/>
  <c r="S114" i="4"/>
  <c r="Q28" i="6"/>
  <c r="Q27" i="6"/>
  <c r="L101" i="4"/>
  <c r="L100" i="4"/>
  <c r="L114" i="4"/>
  <c r="J66" i="5"/>
  <c r="J53" i="5"/>
  <c r="L102" i="4"/>
  <c r="L54" i="4"/>
  <c r="L153" i="4"/>
  <c r="V53" i="5"/>
  <c r="V66" i="5"/>
  <c r="V54" i="5"/>
  <c r="T120" i="4"/>
  <c r="T92" i="4"/>
  <c r="T119" i="4" s="1"/>
  <c r="T28" i="5"/>
  <c r="T27" i="5"/>
  <c r="J103" i="4"/>
  <c r="J127" i="4"/>
  <c r="J130" i="4" s="1"/>
  <c r="O175" i="4"/>
  <c r="P54" i="5"/>
  <c r="R123" i="4"/>
  <c r="E121" i="20"/>
  <c r="F199" i="18"/>
  <c r="D89" i="17"/>
  <c r="D130" i="17"/>
  <c r="J214" i="17"/>
  <c r="J173" i="17"/>
  <c r="P275" i="16"/>
  <c r="I128" i="15"/>
  <c r="I88" i="15"/>
  <c r="K129" i="13"/>
  <c r="D198" i="12"/>
  <c r="T125" i="9"/>
  <c r="K120" i="9"/>
  <c r="S14" i="8"/>
  <c r="J34" i="8"/>
  <c r="S23" i="8" s="1"/>
  <c r="T15" i="8"/>
  <c r="Q112" i="8"/>
  <c r="G33" i="9"/>
  <c r="P112" i="9"/>
  <c r="O112" i="8"/>
  <c r="O14" i="8"/>
  <c r="F34" i="8"/>
  <c r="T120" i="10"/>
  <c r="G33" i="7"/>
  <c r="R34" i="9"/>
  <c r="R32" i="9"/>
  <c r="R67" i="9"/>
  <c r="M92" i="8"/>
  <c r="H67" i="8"/>
  <c r="R21" i="7"/>
  <c r="R79" i="7"/>
  <c r="I98" i="7"/>
  <c r="R98" i="7" s="1"/>
  <c r="J120" i="7"/>
  <c r="V103" i="6"/>
  <c r="V129" i="6" s="1"/>
  <c r="V102" i="6"/>
  <c r="V115" i="6"/>
  <c r="V173" i="6"/>
  <c r="V144" i="6"/>
  <c r="V172" i="6" s="1"/>
  <c r="R131" i="9"/>
  <c r="L167" i="6"/>
  <c r="L152" i="6"/>
  <c r="F104" i="6"/>
  <c r="F55" i="6"/>
  <c r="F154" i="6"/>
  <c r="R33" i="7"/>
  <c r="D54" i="6"/>
  <c r="D80" i="6" s="1"/>
  <c r="D53" i="6"/>
  <c r="D66" i="6"/>
  <c r="P102" i="6"/>
  <c r="P115" i="6"/>
  <c r="H121" i="5"/>
  <c r="H94" i="5"/>
  <c r="L120" i="6"/>
  <c r="H115" i="5"/>
  <c r="H102" i="5"/>
  <c r="J56" i="6"/>
  <c r="J79" i="6"/>
  <c r="D102" i="5"/>
  <c r="D115" i="5"/>
  <c r="P94" i="5"/>
  <c r="P121" i="5"/>
  <c r="O72" i="5"/>
  <c r="O45" i="5"/>
  <c r="R71" i="4"/>
  <c r="R44" i="4"/>
  <c r="K153" i="6"/>
  <c r="R27" i="6"/>
  <c r="R28" i="6"/>
  <c r="Q172" i="4"/>
  <c r="Q143" i="4"/>
  <c r="Q171" i="4" s="1"/>
  <c r="L154" i="5"/>
  <c r="L104" i="5"/>
  <c r="L55" i="5"/>
  <c r="F53" i="5"/>
  <c r="F66" i="5"/>
  <c r="D28" i="5"/>
  <c r="D27" i="5"/>
  <c r="F151" i="4"/>
  <c r="F166" i="4"/>
  <c r="E101" i="4"/>
  <c r="E128" i="4" s="1"/>
  <c r="D19" i="6"/>
  <c r="D28" i="6" s="1"/>
  <c r="G71" i="4"/>
  <c r="G44" i="4"/>
  <c r="G70" i="4" s="1"/>
  <c r="O104" i="5"/>
  <c r="O55" i="5"/>
  <c r="O154" i="5"/>
  <c r="U72" i="6"/>
  <c r="U45" i="6"/>
  <c r="U71" i="6" s="1"/>
  <c r="J180" i="6"/>
  <c r="J155" i="6"/>
  <c r="L104" i="6"/>
  <c r="L154" i="6"/>
  <c r="L55" i="6"/>
  <c r="I215" i="27"/>
  <c r="I174" i="27"/>
  <c r="P276" i="20"/>
  <c r="G215" i="27"/>
  <c r="G174" i="27"/>
  <c r="L199" i="26"/>
  <c r="H121" i="26"/>
  <c r="J215" i="25"/>
  <c r="J174" i="25"/>
  <c r="D276" i="24"/>
  <c r="S276" i="24"/>
  <c r="E199" i="24"/>
  <c r="G131" i="23"/>
  <c r="G90" i="23"/>
  <c r="F298" i="23"/>
  <c r="F257" i="23"/>
  <c r="L198" i="22"/>
  <c r="H296" i="19"/>
  <c r="H255" i="19"/>
  <c r="Q199" i="20"/>
  <c r="V121" i="20"/>
  <c r="E276" i="18"/>
  <c r="K297" i="17"/>
  <c r="K256" i="17"/>
  <c r="T120" i="16"/>
  <c r="E295" i="15"/>
  <c r="J274" i="14"/>
  <c r="J89" i="13"/>
  <c r="J129" i="13"/>
  <c r="I129" i="13"/>
  <c r="I89" i="13"/>
  <c r="K213" i="13"/>
  <c r="O120" i="12"/>
  <c r="J129" i="11"/>
  <c r="J89" i="11"/>
  <c r="S92" i="9"/>
  <c r="J87" i="9"/>
  <c r="S87" i="9" s="1"/>
  <c r="E87" i="9"/>
  <c r="N88" i="9"/>
  <c r="J98" i="9"/>
  <c r="S79" i="9"/>
  <c r="K67" i="8"/>
  <c r="T67" i="8" s="1"/>
  <c r="K66" i="8"/>
  <c r="T66" i="8" s="1"/>
  <c r="T47" i="8"/>
  <c r="T121" i="8"/>
  <c r="K120" i="8"/>
  <c r="T120" i="8" s="1"/>
  <c r="M112" i="8"/>
  <c r="D131" i="8"/>
  <c r="D132" i="8"/>
  <c r="R79" i="8"/>
  <c r="T25" i="8"/>
  <c r="R144" i="6"/>
  <c r="R172" i="6" s="1"/>
  <c r="R173" i="6"/>
  <c r="D22" i="8"/>
  <c r="H87" i="7"/>
  <c r="Q87" i="7" s="1"/>
  <c r="Q88" i="7"/>
  <c r="O87" i="8"/>
  <c r="T47" i="7"/>
  <c r="K66" i="7"/>
  <c r="T66" i="7" s="1"/>
  <c r="Q23" i="7"/>
  <c r="Q47" i="8"/>
  <c r="E120" i="7"/>
  <c r="N120" i="7" s="1"/>
  <c r="N121" i="7"/>
  <c r="Q16" i="7"/>
  <c r="O167" i="6"/>
  <c r="O153" i="6"/>
  <c r="O152" i="6"/>
  <c r="R132" i="9"/>
  <c r="N167" i="6"/>
  <c r="N153" i="6"/>
  <c r="N152" i="6"/>
  <c r="G98" i="7"/>
  <c r="P98" i="7" s="1"/>
  <c r="P79" i="7"/>
  <c r="I72" i="6"/>
  <c r="D152" i="5"/>
  <c r="D167" i="5"/>
  <c r="D153" i="5"/>
  <c r="D181" i="5" s="1"/>
  <c r="L121" i="6"/>
  <c r="R120" i="4"/>
  <c r="R92" i="4"/>
  <c r="P27" i="6"/>
  <c r="S94" i="5"/>
  <c r="S121" i="5"/>
  <c r="T71" i="4"/>
  <c r="T44" i="4"/>
  <c r="Q53" i="5"/>
  <c r="Q66" i="5"/>
  <c r="H72" i="5"/>
  <c r="H45" i="5"/>
  <c r="G114" i="4"/>
  <c r="G100" i="4"/>
  <c r="I66" i="5"/>
  <c r="I53" i="5"/>
  <c r="L53" i="6"/>
  <c r="L66" i="6"/>
  <c r="I152" i="4"/>
  <c r="I180" i="4" s="1"/>
  <c r="I151" i="4"/>
  <c r="I166" i="4"/>
  <c r="J45" i="5"/>
  <c r="J71" i="5" s="1"/>
  <c r="J72" i="5"/>
  <c r="K45" i="5"/>
  <c r="K72" i="5"/>
  <c r="J55" i="4"/>
  <c r="J78" i="4"/>
  <c r="J81" i="4" s="1"/>
  <c r="S199" i="24"/>
  <c r="F215" i="27"/>
  <c r="F174" i="27"/>
  <c r="V199" i="26"/>
  <c r="O199" i="26"/>
  <c r="K90" i="25"/>
  <c r="K131" i="25"/>
  <c r="F215" i="25"/>
  <c r="F174" i="25"/>
  <c r="T199" i="24"/>
  <c r="D121" i="24"/>
  <c r="E298" i="21"/>
  <c r="E257" i="21"/>
  <c r="P121" i="20"/>
  <c r="N276" i="18"/>
  <c r="D129" i="19"/>
  <c r="D88" i="19"/>
  <c r="E296" i="19"/>
  <c r="U121" i="18"/>
  <c r="T276" i="18"/>
  <c r="D214" i="17"/>
  <c r="D173" i="17"/>
  <c r="O120" i="16"/>
  <c r="O198" i="16"/>
  <c r="D198" i="16"/>
  <c r="G198" i="16"/>
  <c r="F128" i="15"/>
  <c r="F88" i="15"/>
  <c r="J296" i="13"/>
  <c r="L120" i="12"/>
  <c r="P120" i="10"/>
  <c r="P198" i="10"/>
  <c r="V198" i="10"/>
  <c r="D120" i="10"/>
  <c r="T27" i="8"/>
  <c r="P112" i="8"/>
  <c r="G131" i="8"/>
  <c r="S125" i="8"/>
  <c r="T30" i="8"/>
  <c r="S55" i="9"/>
  <c r="J67" i="9"/>
  <c r="K173" i="17"/>
  <c r="T79" i="7"/>
  <c r="K98" i="7"/>
  <c r="T98" i="7" s="1"/>
  <c r="Q167" i="6"/>
  <c r="U180" i="5"/>
  <c r="U155" i="5"/>
  <c r="J115" i="5"/>
  <c r="J102" i="5"/>
  <c r="J103" i="5"/>
  <c r="J129" i="5" s="1"/>
  <c r="U27" i="5"/>
  <c r="U28" i="5"/>
  <c r="U181" i="5" s="1"/>
  <c r="U167" i="5"/>
  <c r="M66" i="6"/>
  <c r="M53" i="6"/>
  <c r="R72" i="5"/>
  <c r="R45" i="5"/>
  <c r="H75" i="5"/>
  <c r="D71" i="4"/>
  <c r="D44" i="4"/>
  <c r="T154" i="6"/>
  <c r="T104" i="6"/>
  <c r="T55" i="6"/>
  <c r="Q121" i="5"/>
  <c r="Q94" i="5"/>
  <c r="Q120" i="5" s="1"/>
  <c r="R75" i="6"/>
  <c r="P127" i="4"/>
  <c r="P103" i="4"/>
  <c r="M120" i="5"/>
  <c r="U56" i="5"/>
  <c r="U79" i="5"/>
  <c r="T143" i="4"/>
  <c r="T171" i="4" s="1"/>
  <c r="T172" i="4"/>
  <c r="S143" i="4"/>
  <c r="S171" i="4" s="1"/>
  <c r="V19" i="5"/>
  <c r="V71" i="5" s="1"/>
  <c r="P71" i="4"/>
  <c r="P44" i="4"/>
  <c r="H120" i="4"/>
  <c r="H92" i="4"/>
  <c r="S27" i="5"/>
  <c r="S28" i="5"/>
  <c r="J44" i="4"/>
  <c r="J71" i="4"/>
  <c r="L19" i="3"/>
  <c r="J172" i="4"/>
  <c r="J143" i="4"/>
  <c r="J171" i="4" s="1"/>
  <c r="H103" i="4"/>
  <c r="H127" i="4"/>
  <c r="H130" i="4" s="1"/>
  <c r="E72" i="6"/>
  <c r="E45" i="6"/>
  <c r="E71" i="6" s="1"/>
  <c r="K55" i="4"/>
  <c r="K78" i="4"/>
  <c r="T120" i="6"/>
  <c r="U154" i="6"/>
  <c r="U104" i="6"/>
  <c r="U55" i="6"/>
  <c r="R120" i="16"/>
  <c r="S276" i="26"/>
  <c r="O275" i="22"/>
  <c r="K298" i="27"/>
  <c r="K257" i="27"/>
  <c r="S199" i="26"/>
  <c r="G121" i="26"/>
  <c r="T276" i="24"/>
  <c r="E121" i="24"/>
  <c r="I131" i="23"/>
  <c r="I90" i="23"/>
  <c r="I131" i="21"/>
  <c r="I90" i="21"/>
  <c r="I199" i="20"/>
  <c r="S276" i="20"/>
  <c r="I298" i="21"/>
  <c r="I257" i="21"/>
  <c r="G255" i="19"/>
  <c r="G296" i="19"/>
  <c r="G46" i="19"/>
  <c r="R199" i="18"/>
  <c r="Q276" i="18"/>
  <c r="E198" i="16"/>
  <c r="T197" i="14"/>
  <c r="I213" i="13"/>
  <c r="I172" i="13"/>
  <c r="E129" i="13"/>
  <c r="M120" i="12"/>
  <c r="K129" i="11"/>
  <c r="K89" i="11"/>
  <c r="H120" i="12"/>
  <c r="O198" i="10"/>
  <c r="F213" i="11"/>
  <c r="G99" i="9"/>
  <c r="G98" i="9"/>
  <c r="P98" i="9" s="1"/>
  <c r="P79" i="9"/>
  <c r="T18" i="8"/>
  <c r="D125" i="7"/>
  <c r="M125" i="7" s="1"/>
  <c r="M126" i="7"/>
  <c r="G172" i="19"/>
  <c r="G99" i="8"/>
  <c r="P99" i="8" s="1"/>
  <c r="G98" i="8"/>
  <c r="P79" i="8"/>
  <c r="F172" i="19"/>
  <c r="O79" i="8"/>
  <c r="F99" i="8"/>
  <c r="O99" i="8" s="1"/>
  <c r="F98" i="8"/>
  <c r="Q88" i="9"/>
  <c r="Q56" i="9"/>
  <c r="Q121" i="9"/>
  <c r="H22" i="9"/>
  <c r="S121" i="8"/>
  <c r="R25" i="9"/>
  <c r="O56" i="8"/>
  <c r="F55" i="8"/>
  <c r="O55" i="8" s="1"/>
  <c r="G55" i="9"/>
  <c r="G120" i="10"/>
  <c r="N60" i="7"/>
  <c r="G22" i="7"/>
  <c r="D131" i="7"/>
  <c r="M112" i="7"/>
  <c r="R30" i="7"/>
  <c r="D155" i="6"/>
  <c r="D180" i="6"/>
  <c r="O115" i="6"/>
  <c r="V124" i="5"/>
  <c r="L45" i="6"/>
  <c r="L71" i="6" s="1"/>
  <c r="P53" i="6"/>
  <c r="P66" i="6"/>
  <c r="T33" i="7"/>
  <c r="U71" i="5"/>
  <c r="S28" i="6"/>
  <c r="S27" i="6"/>
  <c r="Q72" i="5"/>
  <c r="Q45" i="5"/>
  <c r="Q71" i="5" s="1"/>
  <c r="V53" i="4"/>
  <c r="V79" i="4" s="1"/>
  <c r="V52" i="4"/>
  <c r="V65" i="4"/>
  <c r="Q102" i="5"/>
  <c r="Q115" i="5"/>
  <c r="L19" i="5"/>
  <c r="L172" i="5" s="1"/>
  <c r="M72" i="6"/>
  <c r="I144" i="5"/>
  <c r="I173" i="5"/>
  <c r="U75" i="6"/>
  <c r="G115" i="5"/>
  <c r="G103" i="5"/>
  <c r="G102" i="5"/>
  <c r="M124" i="5"/>
  <c r="U72" i="5"/>
  <c r="N78" i="4"/>
  <c r="N81" i="4" s="1"/>
  <c r="F19" i="5"/>
  <c r="M102" i="5"/>
  <c r="M115" i="5"/>
  <c r="M103" i="5"/>
  <c r="M129" i="5" s="1"/>
  <c r="L180" i="5"/>
  <c r="L155" i="5"/>
  <c r="J28" i="5"/>
  <c r="J27" i="5"/>
  <c r="U55" i="4"/>
  <c r="U78" i="4"/>
  <c r="U81" i="4" s="1"/>
  <c r="H18" i="4"/>
  <c r="H27" i="4" s="1"/>
  <c r="H79" i="4" s="1"/>
  <c r="F70" i="4"/>
  <c r="L54" i="5"/>
  <c r="L53" i="5"/>
  <c r="L66" i="5"/>
  <c r="V143" i="4"/>
  <c r="V171" i="4" s="1"/>
  <c r="M154" i="5"/>
  <c r="M104" i="5"/>
  <c r="M55" i="5"/>
  <c r="E215" i="27"/>
  <c r="E174" i="27"/>
  <c r="E131" i="25"/>
  <c r="E90" i="25"/>
  <c r="K298" i="25"/>
  <c r="D199" i="24"/>
  <c r="G298" i="23"/>
  <c r="G257" i="23"/>
  <c r="T121" i="24"/>
  <c r="K120" i="22"/>
  <c r="T120" i="22"/>
  <c r="L120" i="22"/>
  <c r="G298" i="21"/>
  <c r="R276" i="20"/>
  <c r="P276" i="18"/>
  <c r="E129" i="19"/>
  <c r="E88" i="19"/>
  <c r="E121" i="18"/>
  <c r="E297" i="17"/>
  <c r="E256" i="17"/>
  <c r="K199" i="18"/>
  <c r="V275" i="16"/>
  <c r="K275" i="16"/>
  <c r="E120" i="16"/>
  <c r="K120" i="16"/>
  <c r="Q120" i="14"/>
  <c r="H129" i="13"/>
  <c r="H89" i="13"/>
  <c r="K213" i="11"/>
  <c r="K172" i="11"/>
  <c r="E129" i="11"/>
  <c r="I198" i="10"/>
  <c r="F99" i="9"/>
  <c r="O87" i="9"/>
  <c r="S95" i="7"/>
  <c r="J92" i="7"/>
  <c r="S92" i="7" s="1"/>
  <c r="T17" i="8"/>
  <c r="D98" i="7"/>
  <c r="D99" i="7"/>
  <c r="M79" i="7"/>
  <c r="R15" i="7"/>
  <c r="N47" i="7"/>
  <c r="E67" i="7"/>
  <c r="E66" i="7"/>
  <c r="J103" i="6"/>
  <c r="J129" i="6" s="1"/>
  <c r="M167" i="6"/>
  <c r="M152" i="6"/>
  <c r="P121" i="6"/>
  <c r="P94" i="6"/>
  <c r="K72" i="6"/>
  <c r="L72" i="6"/>
  <c r="M45" i="6"/>
  <c r="M71" i="6" s="1"/>
  <c r="I53" i="6"/>
  <c r="I66" i="6"/>
  <c r="T34" i="7"/>
  <c r="T32" i="7"/>
  <c r="H75" i="6"/>
  <c r="Q173" i="5"/>
  <c r="T100" i="4"/>
  <c r="T114" i="4"/>
  <c r="T101" i="4"/>
  <c r="I173" i="6"/>
  <c r="S54" i="5"/>
  <c r="S80" i="5" s="1"/>
  <c r="S53" i="5"/>
  <c r="S66" i="5"/>
  <c r="F53" i="4"/>
  <c r="F79" i="4" s="1"/>
  <c r="F52" i="4"/>
  <c r="F65" i="4"/>
  <c r="Q45" i="6"/>
  <c r="Q71" i="6" s="1"/>
  <c r="N28" i="5"/>
  <c r="N27" i="5"/>
  <c r="Q153" i="6"/>
  <c r="Q181" i="6" s="1"/>
  <c r="E75" i="6"/>
  <c r="U172" i="4"/>
  <c r="U143" i="4"/>
  <c r="D143" i="4"/>
  <c r="D171" i="4" s="1"/>
  <c r="D172" i="4"/>
  <c r="P55" i="4"/>
  <c r="P78" i="4"/>
  <c r="P81" i="4" s="1"/>
  <c r="N65" i="4"/>
  <c r="E154" i="6"/>
  <c r="E104" i="6"/>
  <c r="E55" i="6"/>
  <c r="O54" i="5"/>
  <c r="O53" i="5"/>
  <c r="O66" i="5"/>
  <c r="L151" i="4"/>
  <c r="L166" i="4"/>
  <c r="H90" i="27"/>
  <c r="H131" i="27"/>
  <c r="J215" i="23"/>
  <c r="J174" i="23"/>
  <c r="H298" i="27"/>
  <c r="H257" i="27"/>
  <c r="I298" i="27"/>
  <c r="I257" i="27"/>
  <c r="K199" i="26"/>
  <c r="I199" i="26"/>
  <c r="H215" i="23"/>
  <c r="H174" i="23"/>
  <c r="J298" i="23"/>
  <c r="J257" i="23"/>
  <c r="D198" i="22"/>
  <c r="M198" i="22"/>
  <c r="H298" i="21"/>
  <c r="H257" i="21"/>
  <c r="I174" i="21"/>
  <c r="I215" i="21"/>
  <c r="F298" i="21"/>
  <c r="F257" i="21"/>
  <c r="J131" i="21"/>
  <c r="J90" i="21"/>
  <c r="P199" i="20"/>
  <c r="T121" i="20"/>
  <c r="F276" i="18"/>
  <c r="F89" i="17"/>
  <c r="F130" i="17"/>
  <c r="K214" i="17"/>
  <c r="K47" i="17"/>
  <c r="N275" i="16"/>
  <c r="T198" i="16"/>
  <c r="F213" i="13"/>
  <c r="G213" i="13"/>
  <c r="Q275" i="10"/>
  <c r="J213" i="11"/>
  <c r="J47" i="11"/>
  <c r="J120" i="10"/>
  <c r="D275" i="10"/>
  <c r="H55" i="9"/>
  <c r="Q60" i="9"/>
  <c r="Q112" i="7"/>
  <c r="H131" i="7"/>
  <c r="E67" i="9"/>
  <c r="E66" i="9"/>
  <c r="N66" i="9" s="1"/>
  <c r="N47" i="9"/>
  <c r="D121" i="7"/>
  <c r="M122" i="7"/>
  <c r="K131" i="8"/>
  <c r="K132" i="8"/>
  <c r="T132" i="8" s="1"/>
  <c r="T112" i="8"/>
  <c r="S88" i="9"/>
  <c r="Q125" i="8"/>
  <c r="N125" i="9"/>
  <c r="O125" i="8"/>
  <c r="Q28" i="7"/>
  <c r="O56" i="7"/>
  <c r="F55" i="7"/>
  <c r="R153" i="6"/>
  <c r="R181" i="6" s="1"/>
  <c r="R152" i="6"/>
  <c r="R167" i="6"/>
  <c r="E131" i="7"/>
  <c r="N112" i="7"/>
  <c r="E132" i="7"/>
  <c r="N132" i="7" s="1"/>
  <c r="M28" i="9"/>
  <c r="M29" i="9"/>
  <c r="M21" i="9"/>
  <c r="M31" i="9"/>
  <c r="M25" i="9"/>
  <c r="M27" i="9"/>
  <c r="M16" i="9"/>
  <c r="M24" i="9"/>
  <c r="M32" i="9"/>
  <c r="M34" i="9"/>
  <c r="M18" i="9"/>
  <c r="M30" i="9"/>
  <c r="M26" i="9"/>
  <c r="M19" i="9"/>
  <c r="M15" i="9"/>
  <c r="R103" i="6"/>
  <c r="R129" i="6" s="1"/>
  <c r="R102" i="6"/>
  <c r="R115" i="6"/>
  <c r="I121" i="6"/>
  <c r="H172" i="6"/>
  <c r="K102" i="5"/>
  <c r="K103" i="5"/>
  <c r="K115" i="5"/>
  <c r="E19" i="5"/>
  <c r="E28" i="5" s="1"/>
  <c r="E80" i="5" s="1"/>
  <c r="S124" i="5"/>
  <c r="T14" i="7"/>
  <c r="K75" i="6"/>
  <c r="K45" i="6"/>
  <c r="R167" i="5"/>
  <c r="T53" i="5"/>
  <c r="T66" i="5"/>
  <c r="D100" i="4"/>
  <c r="D114" i="4"/>
  <c r="P19" i="6"/>
  <c r="P172" i="6" s="1"/>
  <c r="G155" i="6"/>
  <c r="J72" i="6"/>
  <c r="J45" i="6"/>
  <c r="E172" i="4"/>
  <c r="E143" i="4"/>
  <c r="S72" i="5"/>
  <c r="E56" i="5"/>
  <c r="E79" i="5"/>
  <c r="D120" i="4"/>
  <c r="D92" i="4"/>
  <c r="D119" i="4" s="1"/>
  <c r="G166" i="4"/>
  <c r="G152" i="4"/>
  <c r="G151" i="4"/>
  <c r="G92" i="4"/>
  <c r="G119" i="4" s="1"/>
  <c r="G120" i="4"/>
  <c r="V28" i="5"/>
  <c r="V27" i="5"/>
  <c r="I44" i="4"/>
  <c r="I70" i="4" s="1"/>
  <c r="V154" i="6"/>
  <c r="V104" i="6"/>
  <c r="V55" i="6"/>
  <c r="F75" i="6"/>
  <c r="F143" i="4"/>
  <c r="F171" i="4" s="1"/>
  <c r="I90" i="27"/>
  <c r="I131" i="27"/>
  <c r="R198" i="16"/>
  <c r="G298" i="27"/>
  <c r="G257" i="27"/>
  <c r="H215" i="25"/>
  <c r="H174" i="25"/>
  <c r="E215" i="23"/>
  <c r="E174" i="23"/>
  <c r="K131" i="21"/>
  <c r="K90" i="21"/>
  <c r="F131" i="21"/>
  <c r="O121" i="20"/>
  <c r="K296" i="19"/>
  <c r="K255" i="19"/>
  <c r="F295" i="15"/>
  <c r="F254" i="15"/>
  <c r="I212" i="15"/>
  <c r="O276" i="12"/>
  <c r="O275" i="10"/>
  <c r="T87" i="9"/>
  <c r="K99" i="9"/>
  <c r="T19" i="8"/>
  <c r="O121" i="9"/>
  <c r="O88" i="9"/>
  <c r="F22" i="9"/>
  <c r="T28" i="8"/>
  <c r="R112" i="8"/>
  <c r="I131" i="8"/>
  <c r="I132" i="8"/>
  <c r="O27" i="8"/>
  <c r="T22" i="8"/>
  <c r="O47" i="8"/>
  <c r="F66" i="8"/>
  <c r="F67" i="8"/>
  <c r="O67" i="8" s="1"/>
  <c r="P125" i="8"/>
  <c r="H99" i="7"/>
  <c r="Q99" i="7" s="1"/>
  <c r="Q79" i="7"/>
  <c r="H98" i="7"/>
  <c r="Q98" i="7" s="1"/>
  <c r="N121" i="8"/>
  <c r="E120" i="8"/>
  <c r="G89" i="11"/>
  <c r="P66" i="7"/>
  <c r="Q25" i="7"/>
  <c r="T56" i="7"/>
  <c r="K55" i="7"/>
  <c r="T55" i="7" s="1"/>
  <c r="O92" i="7"/>
  <c r="Q155" i="6"/>
  <c r="Q180" i="6"/>
  <c r="U153" i="6"/>
  <c r="U181" i="6" s="1"/>
  <c r="U152" i="6"/>
  <c r="U167" i="6"/>
  <c r="G102" i="6"/>
  <c r="G115" i="6"/>
  <c r="M87" i="7"/>
  <c r="U103" i="6"/>
  <c r="U129" i="6" s="1"/>
  <c r="U102" i="6"/>
  <c r="U115" i="6"/>
  <c r="Q19" i="7"/>
  <c r="P60" i="8"/>
  <c r="H80" i="6"/>
  <c r="H176" i="6"/>
  <c r="P75" i="6"/>
  <c r="G28" i="5"/>
  <c r="G27" i="5"/>
  <c r="O155" i="5"/>
  <c r="O180" i="5"/>
  <c r="S173" i="5"/>
  <c r="V121" i="5"/>
  <c r="V94" i="5"/>
  <c r="D53" i="5"/>
  <c r="D66" i="5"/>
  <c r="D54" i="5"/>
  <c r="D80" i="5" s="1"/>
  <c r="D71" i="6"/>
  <c r="Q52" i="4"/>
  <c r="Q65" i="4"/>
  <c r="F92" i="4"/>
  <c r="F119" i="4" s="1"/>
  <c r="H56" i="5"/>
  <c r="H79" i="5"/>
  <c r="R53" i="4"/>
  <c r="R52" i="4"/>
  <c r="R65" i="4"/>
  <c r="G143" i="4"/>
  <c r="G171" i="4" s="1"/>
  <c r="G172" i="4"/>
  <c r="M176" i="5"/>
  <c r="T27" i="4"/>
  <c r="Q33" i="7"/>
  <c r="I128" i="5"/>
  <c r="I105" i="5"/>
  <c r="O121" i="5"/>
  <c r="O94" i="5"/>
  <c r="G153" i="4"/>
  <c r="G102" i="4"/>
  <c r="G54" i="4"/>
  <c r="T173" i="5"/>
  <c r="I154" i="5"/>
  <c r="I104" i="5"/>
  <c r="I55" i="5"/>
  <c r="Q123" i="4"/>
  <c r="G215" i="25"/>
  <c r="G174" i="25"/>
  <c r="J88" i="19"/>
  <c r="J129" i="19"/>
  <c r="G296" i="13"/>
  <c r="G255" i="13"/>
  <c r="F132" i="9"/>
  <c r="O120" i="9"/>
  <c r="G254" i="15"/>
  <c r="P131" i="9"/>
  <c r="S112" i="9"/>
  <c r="J131" i="9"/>
  <c r="F120" i="7"/>
  <c r="O121" i="7"/>
  <c r="R92" i="8"/>
  <c r="R125" i="8"/>
  <c r="S79" i="7"/>
  <c r="J98" i="7"/>
  <c r="O121" i="8"/>
  <c r="F120" i="8"/>
  <c r="T32" i="8"/>
  <c r="S56" i="7"/>
  <c r="S121" i="7"/>
  <c r="J22" i="7"/>
  <c r="V153" i="6"/>
  <c r="V181" i="6" s="1"/>
  <c r="V167" i="6"/>
  <c r="V152" i="6"/>
  <c r="M124" i="6"/>
  <c r="M94" i="6"/>
  <c r="E103" i="6"/>
  <c r="E129" i="6" s="1"/>
  <c r="E102" i="6"/>
  <c r="E115" i="6"/>
  <c r="G104" i="6"/>
  <c r="G55" i="6"/>
  <c r="G154" i="6"/>
  <c r="G45" i="6"/>
  <c r="G72" i="6"/>
  <c r="D121" i="5"/>
  <c r="D94" i="5"/>
  <c r="D120" i="5" s="1"/>
  <c r="U71" i="4"/>
  <c r="U44" i="4"/>
  <c r="S54" i="4"/>
  <c r="S153" i="4"/>
  <c r="S102" i="4"/>
  <c r="S27" i="4"/>
  <c r="O120" i="4"/>
  <c r="O92" i="4"/>
  <c r="O119" i="4" s="1"/>
  <c r="K152" i="5"/>
  <c r="K167" i="5"/>
  <c r="N102" i="4"/>
  <c r="N54" i="4"/>
  <c r="N153" i="4"/>
  <c r="R74" i="4"/>
  <c r="M100" i="4"/>
  <c r="M114" i="4"/>
  <c r="F28" i="5"/>
  <c r="F181" i="5" s="1"/>
  <c r="F27" i="5"/>
  <c r="F128" i="5" s="1"/>
  <c r="V100" i="4"/>
  <c r="V114" i="4"/>
  <c r="V101" i="4"/>
  <c r="V128" i="4" s="1"/>
  <c r="E78" i="4"/>
  <c r="E81" i="4" s="1"/>
  <c r="E55" i="4"/>
  <c r="O53" i="4"/>
  <c r="O79" i="4" s="1"/>
  <c r="O52" i="4"/>
  <c r="O65" i="4"/>
  <c r="T172" i="5"/>
  <c r="D154" i="6"/>
  <c r="D104" i="6"/>
  <c r="D55" i="6"/>
  <c r="J92" i="4"/>
  <c r="J120" i="4"/>
  <c r="F45" i="5"/>
  <c r="F71" i="5" s="1"/>
  <c r="J215" i="27"/>
  <c r="J174" i="27"/>
  <c r="D215" i="25"/>
  <c r="D174" i="25"/>
  <c r="P199" i="24"/>
  <c r="I275" i="22"/>
  <c r="T276" i="20"/>
  <c r="O276" i="20"/>
  <c r="E174" i="21"/>
  <c r="E215" i="21"/>
  <c r="R121" i="20"/>
  <c r="U276" i="20"/>
  <c r="E213" i="19"/>
  <c r="D276" i="18"/>
  <c r="D297" i="17"/>
  <c r="D256" i="17"/>
  <c r="K130" i="17"/>
  <c r="K89" i="17"/>
  <c r="H130" i="17"/>
  <c r="H89" i="17"/>
  <c r="M276" i="12"/>
  <c r="I276" i="12"/>
  <c r="G276" i="12"/>
  <c r="I255" i="11"/>
  <c r="K120" i="12"/>
  <c r="L198" i="12"/>
  <c r="H132" i="9"/>
  <c r="Q120" i="9"/>
  <c r="U198" i="10"/>
  <c r="N121" i="9"/>
  <c r="E120" i="9"/>
  <c r="R121" i="7"/>
  <c r="I120" i="7"/>
  <c r="S88" i="8"/>
  <c r="J87" i="8"/>
  <c r="S87" i="8" s="1"/>
  <c r="Q92" i="8"/>
  <c r="G67" i="9"/>
  <c r="G66" i="9"/>
  <c r="P47" i="9"/>
  <c r="D120" i="9"/>
  <c r="M120" i="9" s="1"/>
  <c r="T31" i="8"/>
  <c r="P121" i="8"/>
  <c r="G120" i="8"/>
  <c r="P120" i="8" s="1"/>
  <c r="O121" i="6"/>
  <c r="O94" i="6"/>
  <c r="E47" i="17"/>
  <c r="E34" i="7"/>
  <c r="N22" i="7" s="1"/>
  <c r="E33" i="7"/>
  <c r="N14" i="7"/>
  <c r="Q20" i="7"/>
  <c r="K28" i="6"/>
  <c r="K27" i="6"/>
  <c r="N88" i="7"/>
  <c r="E87" i="7"/>
  <c r="R18" i="7"/>
  <c r="G121" i="6"/>
  <c r="G94" i="6"/>
  <c r="G120" i="6" s="1"/>
  <c r="Q29" i="7"/>
  <c r="I120" i="6"/>
  <c r="D173" i="6"/>
  <c r="D144" i="6"/>
  <c r="N125" i="7"/>
  <c r="T103" i="6"/>
  <c r="T129" i="6" s="1"/>
  <c r="T102" i="6"/>
  <c r="T115" i="6"/>
  <c r="M176" i="6"/>
  <c r="M144" i="6"/>
  <c r="M172" i="6" s="1"/>
  <c r="P72" i="6"/>
  <c r="P45" i="6"/>
  <c r="P71" i="6" s="1"/>
  <c r="K128" i="6"/>
  <c r="K105" i="6"/>
  <c r="E181" i="5"/>
  <c r="K56" i="6"/>
  <c r="K79" i="6"/>
  <c r="U102" i="5"/>
  <c r="U115" i="5"/>
  <c r="E71" i="4"/>
  <c r="E44" i="4"/>
  <c r="P28" i="5"/>
  <c r="P27" i="5"/>
  <c r="Q100" i="4"/>
  <c r="Q114" i="4"/>
  <c r="O19" i="6"/>
  <c r="O172" i="6" s="1"/>
  <c r="I28" i="6"/>
  <c r="I27" i="6"/>
  <c r="T166" i="4"/>
  <c r="T152" i="4"/>
  <c r="T180" i="4" s="1"/>
  <c r="T151" i="4"/>
  <c r="L27" i="4"/>
  <c r="T65" i="4"/>
  <c r="N167" i="5"/>
  <c r="O179" i="4"/>
  <c r="O154" i="4"/>
  <c r="G167" i="5"/>
  <c r="G152" i="5"/>
  <c r="G27" i="4"/>
  <c r="Q14" i="7"/>
  <c r="M75" i="5"/>
  <c r="J153" i="4"/>
  <c r="J102" i="4"/>
  <c r="J54" i="4"/>
  <c r="D173" i="5"/>
  <c r="J174" i="21"/>
  <c r="J215" i="21"/>
  <c r="J298" i="27"/>
  <c r="J257" i="27"/>
  <c r="O276" i="26"/>
  <c r="D131" i="25"/>
  <c r="D90" i="25"/>
  <c r="H276" i="24"/>
  <c r="Q121" i="24"/>
  <c r="H199" i="24"/>
  <c r="E298" i="23"/>
  <c r="E257" i="23"/>
  <c r="I215" i="23"/>
  <c r="I174" i="23"/>
  <c r="F215" i="23"/>
  <c r="F174" i="23"/>
  <c r="F275" i="22"/>
  <c r="R199" i="20"/>
  <c r="E199" i="20"/>
  <c r="I296" i="19"/>
  <c r="I255" i="19"/>
  <c r="D255" i="19"/>
  <c r="D296" i="19"/>
  <c r="G296" i="11"/>
  <c r="G132" i="9"/>
  <c r="T88" i="8"/>
  <c r="K87" i="8"/>
  <c r="T87" i="8" s="1"/>
  <c r="T47" i="9"/>
  <c r="K66" i="9"/>
  <c r="H87" i="8"/>
  <c r="Q88" i="8"/>
  <c r="Q92" i="9"/>
  <c r="Q99" i="9"/>
  <c r="K47" i="21"/>
  <c r="K34" i="9"/>
  <c r="K33" i="9"/>
  <c r="T79" i="9"/>
  <c r="T14" i="9"/>
  <c r="T112" i="9"/>
  <c r="M125" i="8"/>
  <c r="D67" i="9"/>
  <c r="M67" i="9" s="1"/>
  <c r="P87" i="8"/>
  <c r="G87" i="7"/>
  <c r="P87" i="7" s="1"/>
  <c r="P88" i="7"/>
  <c r="D176" i="6"/>
  <c r="H102" i="6"/>
  <c r="H115" i="6"/>
  <c r="P153" i="6"/>
  <c r="P152" i="6"/>
  <c r="P167" i="6"/>
  <c r="S72" i="6"/>
  <c r="S45" i="6"/>
  <c r="S71" i="6" s="1"/>
  <c r="D103" i="6"/>
  <c r="D129" i="6" s="1"/>
  <c r="D102" i="6"/>
  <c r="D115" i="6"/>
  <c r="S144" i="6"/>
  <c r="S172" i="6" s="1"/>
  <c r="S173" i="6"/>
  <c r="R66" i="6"/>
  <c r="R53" i="6"/>
  <c r="E103" i="5"/>
  <c r="E129" i="5" s="1"/>
  <c r="E115" i="5"/>
  <c r="E102" i="5"/>
  <c r="N66" i="6"/>
  <c r="N54" i="6"/>
  <c r="N53" i="6"/>
  <c r="L176" i="5"/>
  <c r="O19" i="5"/>
  <c r="O28" i="5" s="1"/>
  <c r="O173" i="5"/>
  <c r="G52" i="4"/>
  <c r="G65" i="4"/>
  <c r="G53" i="4"/>
  <c r="G79" i="4" s="1"/>
  <c r="K176" i="5"/>
  <c r="H173" i="5"/>
  <c r="H144" i="5"/>
  <c r="N54" i="5"/>
  <c r="N80" i="5" s="1"/>
  <c r="N53" i="5"/>
  <c r="N66" i="5"/>
  <c r="L124" i="5"/>
  <c r="T78" i="4"/>
  <c r="T81" i="4" s="1"/>
  <c r="T55" i="4"/>
  <c r="E103" i="4"/>
  <c r="E127" i="4"/>
  <c r="E130" i="4" s="1"/>
  <c r="I171" i="4"/>
  <c r="O144" i="5"/>
  <c r="M44" i="4"/>
  <c r="M71" i="4"/>
  <c r="R79" i="5"/>
  <c r="F100" i="4"/>
  <c r="F114" i="4"/>
  <c r="F101" i="4"/>
  <c r="F128" i="4" s="1"/>
  <c r="D172" i="5"/>
  <c r="H175" i="4"/>
  <c r="M92" i="4"/>
  <c r="M119" i="4" s="1"/>
  <c r="M120" i="4"/>
  <c r="L121" i="26"/>
  <c r="H276" i="26"/>
  <c r="G199" i="26"/>
  <c r="G298" i="25"/>
  <c r="G257" i="25"/>
  <c r="Q276" i="24"/>
  <c r="G215" i="23"/>
  <c r="G174" i="23"/>
  <c r="O198" i="22"/>
  <c r="H131" i="21"/>
  <c r="H90" i="21"/>
  <c r="I276" i="20"/>
  <c r="M121" i="20"/>
  <c r="I129" i="19"/>
  <c r="G276" i="18"/>
  <c r="P121" i="18"/>
  <c r="O275" i="16"/>
  <c r="N198" i="16"/>
  <c r="I198" i="16"/>
  <c r="F129" i="13"/>
  <c r="J120" i="14"/>
  <c r="E120" i="14"/>
  <c r="D296" i="13"/>
  <c r="D129" i="13"/>
  <c r="I213" i="11"/>
  <c r="I172" i="11"/>
  <c r="K198" i="12"/>
  <c r="G198" i="12"/>
  <c r="L276" i="12"/>
  <c r="O198" i="12"/>
  <c r="D89" i="11"/>
  <c r="D255" i="11"/>
  <c r="D296" i="11"/>
  <c r="Q125" i="9"/>
  <c r="U120" i="10"/>
  <c r="T79" i="8"/>
  <c r="K99" i="8"/>
  <c r="T99" i="8" s="1"/>
  <c r="K98" i="8"/>
  <c r="T98" i="8" s="1"/>
  <c r="J99" i="8"/>
  <c r="S99" i="8" s="1"/>
  <c r="J98" i="8"/>
  <c r="S79" i="8"/>
  <c r="T20" i="8"/>
  <c r="M87" i="8"/>
  <c r="S47" i="8"/>
  <c r="R17" i="9"/>
  <c r="N79" i="8"/>
  <c r="E98" i="8"/>
  <c r="E99" i="8"/>
  <c r="N99" i="8" s="1"/>
  <c r="M112" i="9"/>
  <c r="D132" i="9"/>
  <c r="M132" i="9" s="1"/>
  <c r="D131" i="9"/>
  <c r="M131" i="9" s="1"/>
  <c r="M79" i="9"/>
  <c r="D99" i="9"/>
  <c r="M99" i="9" s="1"/>
  <c r="D98" i="9"/>
  <c r="T24" i="8"/>
  <c r="F87" i="7"/>
  <c r="O87" i="7" s="1"/>
  <c r="S153" i="6"/>
  <c r="S181" i="6" s="1"/>
  <c r="S152" i="6"/>
  <c r="S167" i="6"/>
  <c r="H124" i="6"/>
  <c r="H94" i="6"/>
  <c r="H120" i="6" s="1"/>
  <c r="Q30" i="7"/>
  <c r="K115" i="6"/>
  <c r="H71" i="6"/>
  <c r="Q22" i="7"/>
  <c r="K66" i="6"/>
  <c r="I172" i="6"/>
  <c r="N103" i="6"/>
  <c r="R27" i="5"/>
  <c r="R56" i="5" s="1"/>
  <c r="R28" i="5"/>
  <c r="G54" i="6"/>
  <c r="G53" i="6"/>
  <c r="G66" i="6"/>
  <c r="N144" i="5"/>
  <c r="N173" i="5"/>
  <c r="Q27" i="5"/>
  <c r="Q28" i="5"/>
  <c r="E172" i="5"/>
  <c r="H180" i="5"/>
  <c r="H155" i="5"/>
  <c r="K28" i="5"/>
  <c r="K27" i="5"/>
  <c r="F94" i="5"/>
  <c r="D166" i="4"/>
  <c r="D152" i="4"/>
  <c r="D180" i="4" s="1"/>
  <c r="D151" i="4"/>
  <c r="U101" i="4"/>
  <c r="U128" i="4" s="1"/>
  <c r="T45" i="5"/>
  <c r="T71" i="5" s="1"/>
  <c r="V92" i="4"/>
  <c r="V119" i="4" s="1"/>
  <c r="I180" i="5"/>
  <c r="I155" i="5"/>
  <c r="L102" i="5"/>
  <c r="L115" i="5"/>
  <c r="L44" i="4"/>
  <c r="L70" i="4" s="1"/>
  <c r="N72" i="5"/>
  <c r="L175" i="4"/>
  <c r="L121" i="5"/>
  <c r="L94" i="5"/>
  <c r="L120" i="5" s="1"/>
  <c r="I52" i="4"/>
  <c r="I65" i="4"/>
  <c r="I53" i="4"/>
  <c r="I79" i="4" s="1"/>
  <c r="I45" i="5"/>
  <c r="I71" i="5" s="1"/>
  <c r="K131" i="27"/>
  <c r="K90" i="27"/>
  <c r="K174" i="23"/>
  <c r="K215" i="23"/>
  <c r="F298" i="27"/>
  <c r="F257" i="27"/>
  <c r="D215" i="27"/>
  <c r="D174" i="27"/>
  <c r="K215" i="27"/>
  <c r="K174" i="27"/>
  <c r="E90" i="27"/>
  <c r="E131" i="27"/>
  <c r="U121" i="26"/>
  <c r="D298" i="25"/>
  <c r="D257" i="25"/>
  <c r="M199" i="24"/>
  <c r="I120" i="22"/>
  <c r="D298" i="23"/>
  <c r="H198" i="22"/>
  <c r="E120" i="22"/>
  <c r="G131" i="21"/>
  <c r="D199" i="20"/>
  <c r="I213" i="19"/>
  <c r="T199" i="18"/>
  <c r="J199" i="18"/>
  <c r="R275" i="16"/>
  <c r="I297" i="17"/>
  <c r="P120" i="16"/>
  <c r="D295" i="15"/>
  <c r="D254" i="15"/>
  <c r="F120" i="16"/>
  <c r="H128" i="15"/>
  <c r="D128" i="15"/>
  <c r="E128" i="15"/>
  <c r="E88" i="15"/>
  <c r="K120" i="14"/>
  <c r="D276" i="12"/>
  <c r="H129" i="11"/>
  <c r="H89" i="11"/>
  <c r="Q120" i="10"/>
  <c r="Q121" i="7"/>
  <c r="H120" i="7"/>
  <c r="Q120" i="7" s="1"/>
  <c r="S120" i="8"/>
  <c r="E22" i="9"/>
  <c r="T14" i="8"/>
  <c r="D98" i="8"/>
  <c r="M79" i="8"/>
  <c r="D99" i="8"/>
  <c r="R88" i="8"/>
  <c r="I22" i="8"/>
  <c r="Q17" i="7"/>
  <c r="K121" i="6"/>
  <c r="K94" i="6"/>
  <c r="I89" i="11"/>
  <c r="R66" i="7"/>
  <c r="F181" i="6"/>
  <c r="Q26" i="7"/>
  <c r="J131" i="7"/>
  <c r="J132" i="7"/>
  <c r="S112" i="7"/>
  <c r="Q121" i="6"/>
  <c r="Q94" i="6"/>
  <c r="T172" i="6"/>
  <c r="Q27" i="7"/>
  <c r="Q153" i="5"/>
  <c r="Q181" i="5" s="1"/>
  <c r="Q152" i="5"/>
  <c r="Q167" i="5"/>
  <c r="R18" i="4"/>
  <c r="R27" i="4" s="1"/>
  <c r="R180" i="4" s="1"/>
  <c r="P167" i="5"/>
  <c r="P152" i="5"/>
  <c r="N172" i="4"/>
  <c r="N143" i="4"/>
  <c r="N171" i="4" s="1"/>
  <c r="K144" i="5"/>
  <c r="K172" i="5" s="1"/>
  <c r="K173" i="5"/>
  <c r="F167" i="5"/>
  <c r="R120" i="6"/>
  <c r="H104" i="6"/>
  <c r="H55" i="6"/>
  <c r="H154" i="6"/>
  <c r="E124" i="5"/>
  <c r="K152" i="4"/>
  <c r="K180" i="4" s="1"/>
  <c r="K151" i="4"/>
  <c r="K166" i="4"/>
  <c r="S115" i="5"/>
  <c r="T72" i="5"/>
  <c r="O115" i="5"/>
  <c r="O102" i="5"/>
  <c r="O103" i="5"/>
  <c r="O129" i="5" s="1"/>
  <c r="N44" i="4"/>
  <c r="N71" i="4"/>
  <c r="N71" i="5"/>
  <c r="J167" i="5"/>
  <c r="J152" i="5"/>
  <c r="J153" i="5"/>
  <c r="J181" i="5" s="1"/>
  <c r="K19" i="5"/>
  <c r="K120" i="5" s="1"/>
  <c r="I101" i="4"/>
  <c r="I128" i="4" s="1"/>
  <c r="I100" i="4"/>
  <c r="I114" i="4"/>
  <c r="V120" i="6"/>
  <c r="I102" i="6"/>
  <c r="I115" i="6"/>
  <c r="I103" i="6"/>
  <c r="I129" i="6" s="1"/>
  <c r="E176" i="5"/>
  <c r="O173" i="6"/>
  <c r="G144" i="5"/>
  <c r="G172" i="5" s="1"/>
  <c r="E120" i="4"/>
  <c r="F215" i="21"/>
  <c r="F174" i="21"/>
  <c r="T199" i="20"/>
  <c r="G214" i="17"/>
  <c r="G173" i="17"/>
  <c r="L120" i="16"/>
  <c r="K198" i="16"/>
  <c r="I46" i="15"/>
  <c r="F212" i="15"/>
  <c r="F171" i="15"/>
  <c r="D213" i="13"/>
  <c r="F296" i="11"/>
  <c r="F255" i="11"/>
  <c r="H213" i="11"/>
  <c r="H172" i="11"/>
  <c r="G213" i="11"/>
  <c r="G172" i="11"/>
  <c r="H99" i="8"/>
  <c r="H98" i="8"/>
  <c r="Q79" i="8"/>
  <c r="T29" i="8"/>
  <c r="S56" i="8"/>
  <c r="R56" i="8"/>
  <c r="I55" i="8"/>
  <c r="T23" i="8"/>
  <c r="S66" i="9"/>
  <c r="N56" i="8"/>
  <c r="E55" i="8"/>
  <c r="N55" i="8" s="1"/>
  <c r="N79" i="7"/>
  <c r="D34" i="7"/>
  <c r="M22" i="7" s="1"/>
  <c r="D33" i="7"/>
  <c r="M14" i="7"/>
  <c r="R67" i="7"/>
  <c r="R29" i="7"/>
  <c r="R16" i="7"/>
  <c r="U66" i="6"/>
  <c r="U54" i="6"/>
  <c r="U80" i="6" s="1"/>
  <c r="U53" i="6"/>
  <c r="E181" i="6"/>
  <c r="S103" i="6"/>
  <c r="S129" i="6" s="1"/>
  <c r="S102" i="6"/>
  <c r="S115" i="6"/>
  <c r="Q115" i="6"/>
  <c r="S54" i="6"/>
  <c r="S80" i="6" s="1"/>
  <c r="S53" i="6"/>
  <c r="S66" i="6"/>
  <c r="I94" i="5"/>
  <c r="I121" i="5"/>
  <c r="P124" i="6"/>
  <c r="V173" i="5"/>
  <c r="V144" i="5"/>
  <c r="S176" i="5"/>
  <c r="H56" i="6"/>
  <c r="H79" i="6"/>
  <c r="P144" i="5"/>
  <c r="P172" i="5" s="1"/>
  <c r="T152" i="5"/>
  <c r="T167" i="5"/>
  <c r="T153" i="5"/>
  <c r="T181" i="5" s="1"/>
  <c r="T153" i="4"/>
  <c r="T102" i="4"/>
  <c r="T54" i="4"/>
  <c r="P152" i="4"/>
  <c r="P180" i="4" s="1"/>
  <c r="P151" i="4"/>
  <c r="P166" i="4"/>
  <c r="L172" i="4"/>
  <c r="L143" i="4"/>
  <c r="L171" i="4" s="1"/>
  <c r="N100" i="4"/>
  <c r="N114" i="4"/>
  <c r="S128" i="5"/>
  <c r="S105" i="5"/>
  <c r="D71" i="5"/>
  <c r="F172" i="5"/>
  <c r="D65" i="4"/>
  <c r="O101" i="4"/>
  <c r="O128" i="4" s="1"/>
  <c r="O100" i="4"/>
  <c r="O114" i="4"/>
  <c r="E154" i="4"/>
  <c r="E179" i="4"/>
  <c r="H70" i="4"/>
  <c r="S151" i="4"/>
  <c r="S166" i="4"/>
  <c r="S152" i="4"/>
  <c r="S180" i="4" s="1"/>
  <c r="K124" i="5"/>
  <c r="K44" i="4"/>
  <c r="E72" i="5"/>
  <c r="F120" i="6"/>
  <c r="L53" i="4"/>
  <c r="L79" i="4" s="1"/>
  <c r="L52" i="4"/>
  <c r="L65" i="4"/>
  <c r="G66" i="5"/>
  <c r="G54" i="5"/>
  <c r="G80" i="5" s="1"/>
  <c r="G53" i="5"/>
  <c r="N120" i="16"/>
  <c r="S121" i="26"/>
  <c r="D215" i="23"/>
  <c r="D174" i="23"/>
  <c r="H131" i="23"/>
  <c r="H90" i="23"/>
  <c r="D298" i="21"/>
  <c r="D257" i="21"/>
  <c r="H215" i="27"/>
  <c r="H174" i="27"/>
  <c r="U199" i="26"/>
  <c r="H199" i="26"/>
  <c r="I298" i="25"/>
  <c r="E298" i="25"/>
  <c r="E257" i="25"/>
  <c r="P276" i="24"/>
  <c r="S121" i="24"/>
  <c r="V198" i="22"/>
  <c r="F296" i="19"/>
  <c r="F255" i="19"/>
  <c r="J213" i="19"/>
  <c r="J172" i="19"/>
  <c r="D199" i="18"/>
  <c r="T275" i="16"/>
  <c r="I214" i="17"/>
  <c r="I275" i="16"/>
  <c r="L198" i="16"/>
  <c r="K295" i="15"/>
  <c r="K254" i="15"/>
  <c r="K274" i="14"/>
  <c r="G129" i="13"/>
  <c r="K47" i="13"/>
  <c r="D89" i="13"/>
  <c r="V120" i="10"/>
  <c r="S67" i="8"/>
  <c r="J120" i="9"/>
  <c r="S120" i="9" s="1"/>
  <c r="S125" i="9"/>
  <c r="Q112" i="9"/>
  <c r="Q47" i="9"/>
  <c r="H33" i="9"/>
  <c r="H34" i="9"/>
  <c r="Q23" i="9" s="1"/>
  <c r="P92" i="9"/>
  <c r="S27" i="8"/>
  <c r="S112" i="8"/>
  <c r="J131" i="8"/>
  <c r="J132" i="8"/>
  <c r="S132" i="8" s="1"/>
  <c r="J88" i="7"/>
  <c r="S89" i="7"/>
  <c r="P27" i="8"/>
  <c r="I99" i="9"/>
  <c r="R99" i="9" s="1"/>
  <c r="I98" i="9"/>
  <c r="R98" i="9" s="1"/>
  <c r="R79" i="9"/>
  <c r="G66" i="8"/>
  <c r="P47" i="8"/>
  <c r="G67" i="8"/>
  <c r="P67" i="8" s="1"/>
  <c r="P56" i="8"/>
  <c r="G55" i="8"/>
  <c r="P55" i="8" s="1"/>
  <c r="O60" i="9"/>
  <c r="F47" i="17"/>
  <c r="F34" i="7"/>
  <c r="O14" i="7" s="1"/>
  <c r="F33" i="7"/>
  <c r="O33" i="7" s="1"/>
  <c r="K131" i="7"/>
  <c r="T112" i="7"/>
  <c r="K132" i="7"/>
  <c r="T132" i="7" s="1"/>
  <c r="R47" i="8"/>
  <c r="Q32" i="7"/>
  <c r="O105" i="6"/>
  <c r="I181" i="6"/>
  <c r="E66" i="6"/>
  <c r="E54" i="6"/>
  <c r="E80" i="6" s="1"/>
  <c r="E53" i="6"/>
  <c r="E180" i="6"/>
  <c r="E155" i="6"/>
  <c r="I45" i="6"/>
  <c r="I71" i="6" s="1"/>
  <c r="I75" i="6"/>
  <c r="K87" i="7"/>
  <c r="T87" i="7" s="1"/>
  <c r="T92" i="7"/>
  <c r="G172" i="6"/>
  <c r="Q105" i="6"/>
  <c r="Q128" i="6"/>
  <c r="V54" i="6"/>
  <c r="V80" i="6" s="1"/>
  <c r="V53" i="6"/>
  <c r="V66" i="6"/>
  <c r="Q54" i="6"/>
  <c r="Q80" i="6" s="1"/>
  <c r="Q53" i="6"/>
  <c r="Q66" i="6"/>
  <c r="M105" i="6"/>
  <c r="M128" i="6"/>
  <c r="M172" i="5"/>
  <c r="H180" i="6"/>
  <c r="H155" i="6"/>
  <c r="S172" i="5"/>
  <c r="R144" i="5"/>
  <c r="O172" i="4"/>
  <c r="O143" i="4"/>
  <c r="D153" i="4"/>
  <c r="D102" i="4"/>
  <c r="D54" i="4"/>
  <c r="N151" i="4"/>
  <c r="N166" i="4"/>
  <c r="F103" i="6"/>
  <c r="F129" i="6" s="1"/>
  <c r="F102" i="6"/>
  <c r="F115" i="6"/>
  <c r="N115" i="5"/>
  <c r="N102" i="5"/>
  <c r="N103" i="5"/>
  <c r="N129" i="5" s="1"/>
  <c r="O27" i="6"/>
  <c r="O128" i="6" s="1"/>
  <c r="O28" i="6"/>
  <c r="O80" i="6" s="1"/>
  <c r="J152" i="4"/>
  <c r="J180" i="4" s="1"/>
  <c r="J151" i="4"/>
  <c r="J166" i="4"/>
  <c r="H19" i="5"/>
  <c r="H28" i="5" s="1"/>
  <c r="T120" i="5"/>
  <c r="D78" i="4"/>
  <c r="D55" i="4"/>
  <c r="M179" i="4"/>
  <c r="M154" i="4"/>
  <c r="M152" i="5"/>
  <c r="M167" i="5"/>
  <c r="M153" i="5"/>
  <c r="M181" i="5" s="1"/>
  <c r="H55" i="4"/>
  <c r="H78" i="4"/>
  <c r="H81" i="4" s="1"/>
  <c r="P66" i="5"/>
  <c r="M55" i="4"/>
  <c r="M78" i="4"/>
  <c r="V167" i="5"/>
  <c r="H143" i="4"/>
  <c r="H172" i="4"/>
  <c r="R127" i="4"/>
  <c r="R130" i="4" s="1"/>
  <c r="R103" i="4"/>
  <c r="N27" i="4"/>
  <c r="I215" i="25"/>
  <c r="I174" i="25"/>
  <c r="G90" i="27"/>
  <c r="G131" i="27"/>
  <c r="J131" i="27"/>
  <c r="J90" i="27"/>
  <c r="F131" i="27"/>
  <c r="F90" i="27"/>
  <c r="U276" i="26"/>
  <c r="I121" i="26"/>
  <c r="J199" i="26"/>
  <c r="I131" i="25"/>
  <c r="I90" i="25"/>
  <c r="F298" i="25"/>
  <c r="F257" i="25"/>
  <c r="J47" i="25"/>
  <c r="J131" i="25"/>
  <c r="Q199" i="24"/>
  <c r="O276" i="24"/>
  <c r="F198" i="22"/>
  <c r="L275" i="22"/>
  <c r="F131" i="23"/>
  <c r="F90" i="23"/>
  <c r="N120" i="22"/>
  <c r="F120" i="22"/>
  <c r="M276" i="20"/>
  <c r="N121" i="18"/>
  <c r="L275" i="16"/>
  <c r="H297" i="17"/>
  <c r="H256" i="17"/>
  <c r="G212" i="15"/>
  <c r="G171" i="15"/>
  <c r="P198" i="16"/>
  <c r="I295" i="15"/>
  <c r="I254" i="15"/>
  <c r="P275" i="10"/>
  <c r="P88" i="9"/>
  <c r="P121" i="9"/>
  <c r="G22" i="9"/>
  <c r="R88" i="7"/>
  <c r="I87" i="7"/>
  <c r="R87" i="7" s="1"/>
  <c r="O55" i="9"/>
  <c r="K55" i="9"/>
  <c r="T55" i="9" s="1"/>
  <c r="E66" i="8"/>
  <c r="N66" i="8" s="1"/>
  <c r="N47" i="8"/>
  <c r="E67" i="8"/>
  <c r="N67" i="8" s="1"/>
  <c r="T16" i="8"/>
  <c r="Q121" i="8"/>
  <c r="H22" i="8"/>
  <c r="T155" i="6"/>
  <c r="T180" i="6"/>
  <c r="L173" i="6"/>
  <c r="L144" i="6"/>
  <c r="L172" i="6" s="1"/>
  <c r="G256" i="17"/>
  <c r="G131" i="7"/>
  <c r="P131" i="7" s="1"/>
  <c r="G132" i="7"/>
  <c r="P112" i="7"/>
  <c r="Q31" i="7"/>
  <c r="O92" i="8"/>
  <c r="Q24" i="7"/>
  <c r="G176" i="6"/>
  <c r="G19" i="6"/>
  <c r="G28" i="6" s="1"/>
  <c r="G181" i="6" s="1"/>
  <c r="R45" i="6"/>
  <c r="R71" i="6" s="1"/>
  <c r="R72" i="6"/>
  <c r="H124" i="5"/>
  <c r="F54" i="6"/>
  <c r="F80" i="6" s="1"/>
  <c r="F53" i="6"/>
  <c r="F66" i="6"/>
  <c r="L128" i="6"/>
  <c r="L105" i="6"/>
  <c r="T54" i="6"/>
  <c r="T80" i="6" s="1"/>
  <c r="T53" i="6"/>
  <c r="T66" i="6"/>
  <c r="H181" i="6"/>
  <c r="S153" i="5"/>
  <c r="S181" i="5" s="1"/>
  <c r="S152" i="5"/>
  <c r="S167" i="5"/>
  <c r="Q120" i="4"/>
  <c r="Q92" i="4"/>
  <c r="Q119" i="4" s="1"/>
  <c r="N28" i="6"/>
  <c r="N27" i="6"/>
  <c r="V75" i="5"/>
  <c r="N121" i="5"/>
  <c r="R115" i="5"/>
  <c r="K103" i="4"/>
  <c r="K127" i="4"/>
  <c r="S52" i="4"/>
  <c r="S53" i="4"/>
  <c r="S79" i="4" s="1"/>
  <c r="S65" i="4"/>
  <c r="K92" i="4"/>
  <c r="K120" i="4"/>
  <c r="Q44" i="4"/>
  <c r="Q70" i="4" s="1"/>
  <c r="U154" i="4"/>
  <c r="U179" i="4"/>
  <c r="V152" i="4"/>
  <c r="V180" i="4" s="1"/>
  <c r="V151" i="4"/>
  <c r="V166" i="4"/>
  <c r="M152" i="4"/>
  <c r="M180" i="4" s="1"/>
  <c r="T121" i="5"/>
  <c r="M45" i="5"/>
  <c r="M71" i="5" s="1"/>
  <c r="M72" i="5"/>
  <c r="U94" i="5"/>
  <c r="U120" i="5" s="1"/>
  <c r="P79" i="5"/>
  <c r="P56" i="5"/>
  <c r="R94" i="5"/>
  <c r="N92" i="4"/>
  <c r="N119" i="4" s="1"/>
  <c r="J181" i="6"/>
  <c r="V155" i="5"/>
  <c r="V180" i="5"/>
  <c r="M54" i="5"/>
  <c r="M80" i="5" s="1"/>
  <c r="M53" i="5"/>
  <c r="M66" i="5"/>
  <c r="I171" i="15" l="1"/>
  <c r="T54" i="5"/>
  <c r="T80" i="5" s="1"/>
  <c r="M98" i="7"/>
  <c r="D172" i="11"/>
  <c r="G128" i="5"/>
  <c r="G105" i="5"/>
  <c r="S154" i="6"/>
  <c r="S104" i="6"/>
  <c r="S55" i="6"/>
  <c r="P55" i="7"/>
  <c r="Q54" i="5"/>
  <c r="Q80" i="5" s="1"/>
  <c r="G99" i="7"/>
  <c r="K172" i="13"/>
  <c r="F154" i="4"/>
  <c r="F179" i="4"/>
  <c r="K181" i="6"/>
  <c r="H120" i="5"/>
  <c r="G34" i="7"/>
  <c r="P22" i="7" s="1"/>
  <c r="P80" i="5"/>
  <c r="P87" i="9"/>
  <c r="R120" i="5"/>
  <c r="R103" i="5"/>
  <c r="R129" i="5" s="1"/>
  <c r="V79" i="6"/>
  <c r="V56" i="6"/>
  <c r="G89" i="13"/>
  <c r="Q14" i="9"/>
  <c r="U79" i="6"/>
  <c r="U56" i="6"/>
  <c r="K179" i="4"/>
  <c r="K154" i="4"/>
  <c r="K120" i="6"/>
  <c r="K103" i="6"/>
  <c r="K129" i="6" s="1"/>
  <c r="N56" i="6"/>
  <c r="N79" i="6"/>
  <c r="G255" i="11"/>
  <c r="Q127" i="4"/>
  <c r="Q103" i="4"/>
  <c r="K104" i="6"/>
  <c r="K55" i="6"/>
  <c r="K154" i="6"/>
  <c r="P66" i="9"/>
  <c r="G88" i="15"/>
  <c r="K153" i="5"/>
  <c r="K181" i="5" s="1"/>
  <c r="O120" i="8"/>
  <c r="F132" i="8"/>
  <c r="O132" i="8" s="1"/>
  <c r="F105" i="5"/>
  <c r="G129" i="5"/>
  <c r="P70" i="4"/>
  <c r="P53" i="4"/>
  <c r="P79" i="4" s="1"/>
  <c r="J105" i="5"/>
  <c r="J128" i="5"/>
  <c r="T70" i="4"/>
  <c r="T53" i="4"/>
  <c r="T79" i="4" s="1"/>
  <c r="F152" i="4"/>
  <c r="F180" i="4" s="1"/>
  <c r="R70" i="4"/>
  <c r="G47" i="11"/>
  <c r="T120" i="9"/>
  <c r="K132" i="9"/>
  <c r="T132" i="9" s="1"/>
  <c r="K119" i="4"/>
  <c r="K101" i="4"/>
  <c r="K128" i="4" s="1"/>
  <c r="Q33" i="9"/>
  <c r="Q66" i="9"/>
  <c r="K70" i="4"/>
  <c r="K53" i="4"/>
  <c r="K79" i="4" s="1"/>
  <c r="I103" i="4"/>
  <c r="I127" i="4"/>
  <c r="Q180" i="5"/>
  <c r="Q155" i="5"/>
  <c r="N98" i="8"/>
  <c r="E172" i="13"/>
  <c r="N80" i="6"/>
  <c r="T33" i="9"/>
  <c r="T98" i="9"/>
  <c r="K46" i="15"/>
  <c r="G180" i="5"/>
  <c r="G155" i="5"/>
  <c r="Q101" i="4"/>
  <c r="Q128" i="4" s="1"/>
  <c r="O120" i="5"/>
  <c r="Q78" i="4"/>
  <c r="Q55" i="4"/>
  <c r="T56" i="5"/>
  <c r="T79" i="5"/>
  <c r="N131" i="7"/>
  <c r="E255" i="11"/>
  <c r="T131" i="8"/>
  <c r="K255" i="13"/>
  <c r="S79" i="5"/>
  <c r="S56" i="5"/>
  <c r="E89" i="13"/>
  <c r="K81" i="4"/>
  <c r="L79" i="6"/>
  <c r="L56" i="6"/>
  <c r="N180" i="6"/>
  <c r="N155" i="6"/>
  <c r="D154" i="5"/>
  <c r="D104" i="5"/>
  <c r="D55" i="5"/>
  <c r="L127" i="4"/>
  <c r="L130" i="4" s="1"/>
  <c r="L103" i="4"/>
  <c r="F98" i="7"/>
  <c r="F99" i="7"/>
  <c r="O99" i="7" s="1"/>
  <c r="O79" i="7"/>
  <c r="F173" i="17"/>
  <c r="N104" i="6"/>
  <c r="N55" i="6"/>
  <c r="N154" i="6"/>
  <c r="H171" i="4"/>
  <c r="H152" i="4"/>
  <c r="H180" i="4" s="1"/>
  <c r="S78" i="4"/>
  <c r="S81" i="4" s="1"/>
  <c r="S55" i="4"/>
  <c r="T79" i="6"/>
  <c r="T56" i="6"/>
  <c r="P132" i="7"/>
  <c r="J154" i="4"/>
  <c r="J179" i="4"/>
  <c r="O171" i="4"/>
  <c r="O152" i="4"/>
  <c r="O180" i="4" s="1"/>
  <c r="N127" i="4"/>
  <c r="N103" i="4"/>
  <c r="L103" i="5"/>
  <c r="T34" i="9"/>
  <c r="T32" i="9"/>
  <c r="T31" i="9"/>
  <c r="T30" i="9"/>
  <c r="T29" i="9"/>
  <c r="T28" i="9"/>
  <c r="T27" i="9"/>
  <c r="T26" i="9"/>
  <c r="T25" i="9"/>
  <c r="T24" i="9"/>
  <c r="T23" i="9"/>
  <c r="T19" i="9"/>
  <c r="T20" i="9"/>
  <c r="T18" i="9"/>
  <c r="T17" i="9"/>
  <c r="T22" i="9"/>
  <c r="T16" i="9"/>
  <c r="T15" i="9"/>
  <c r="T21" i="9"/>
  <c r="H46" i="15"/>
  <c r="G153" i="5"/>
  <c r="G181" i="5" s="1"/>
  <c r="P154" i="5"/>
  <c r="P104" i="5"/>
  <c r="P55" i="5"/>
  <c r="K155" i="5"/>
  <c r="K180" i="5"/>
  <c r="Q53" i="4"/>
  <c r="Q79" i="4" s="1"/>
  <c r="P120" i="6"/>
  <c r="G172" i="13"/>
  <c r="L54" i="6"/>
  <c r="L80" i="6" s="1"/>
  <c r="N181" i="6"/>
  <c r="O71" i="5"/>
  <c r="P105" i="6"/>
  <c r="P128" i="6"/>
  <c r="V128" i="6"/>
  <c r="V105" i="6"/>
  <c r="L128" i="4"/>
  <c r="K130" i="4"/>
  <c r="M81" i="4"/>
  <c r="N101" i="4"/>
  <c r="N128" i="4" s="1"/>
  <c r="V172" i="5"/>
  <c r="V153" i="5"/>
  <c r="V181" i="5" s="1"/>
  <c r="H172" i="13"/>
  <c r="R87" i="8"/>
  <c r="E128" i="5"/>
  <c r="E105" i="5"/>
  <c r="P155" i="6"/>
  <c r="P180" i="6"/>
  <c r="T128" i="6"/>
  <c r="T105" i="6"/>
  <c r="E128" i="6"/>
  <c r="E105" i="6"/>
  <c r="J172" i="11"/>
  <c r="S98" i="7"/>
  <c r="I255" i="13"/>
  <c r="P105" i="5"/>
  <c r="K71" i="6"/>
  <c r="K54" i="6"/>
  <c r="K80" i="6" s="1"/>
  <c r="R155" i="6"/>
  <c r="R180" i="6"/>
  <c r="D120" i="7"/>
  <c r="M121" i="7"/>
  <c r="R120" i="8"/>
  <c r="P55" i="9"/>
  <c r="I56" i="5"/>
  <c r="I79" i="5"/>
  <c r="S120" i="5"/>
  <c r="S103" i="5"/>
  <c r="S129" i="5" s="1"/>
  <c r="J99" i="9"/>
  <c r="F54" i="5"/>
  <c r="F80" i="5" s="1"/>
  <c r="P103" i="6"/>
  <c r="P129" i="6" s="1"/>
  <c r="O34" i="8"/>
  <c r="F33" i="8"/>
  <c r="O32" i="8"/>
  <c r="O24" i="8"/>
  <c r="O16" i="8"/>
  <c r="O25" i="8"/>
  <c r="O17" i="8"/>
  <c r="O26" i="8"/>
  <c r="O18" i="8"/>
  <c r="O19" i="8"/>
  <c r="O23" i="8"/>
  <c r="O15" i="8"/>
  <c r="O21" i="8"/>
  <c r="O31" i="8"/>
  <c r="O29" i="8"/>
  <c r="O20" i="8"/>
  <c r="O30" i="8"/>
  <c r="O28" i="8"/>
  <c r="K89" i="13"/>
  <c r="T154" i="5"/>
  <c r="T104" i="5"/>
  <c r="T55" i="5"/>
  <c r="Q104" i="6"/>
  <c r="Q55" i="6"/>
  <c r="Q154" i="6"/>
  <c r="L128" i="5"/>
  <c r="L105" i="5"/>
  <c r="P181" i="6"/>
  <c r="E47" i="11"/>
  <c r="N33" i="7"/>
  <c r="V103" i="4"/>
  <c r="V127" i="4"/>
  <c r="P128" i="5"/>
  <c r="T128" i="4"/>
  <c r="M180" i="6"/>
  <c r="M155" i="6"/>
  <c r="J154" i="5"/>
  <c r="J104" i="5"/>
  <c r="J55" i="5"/>
  <c r="I172" i="5"/>
  <c r="I153" i="5"/>
  <c r="I181" i="5" s="1"/>
  <c r="P56" i="6"/>
  <c r="P79" i="6"/>
  <c r="D70" i="4"/>
  <c r="D53" i="4"/>
  <c r="D79" i="4" s="1"/>
  <c r="I54" i="5"/>
  <c r="I80" i="5" s="1"/>
  <c r="P104" i="6"/>
  <c r="P55" i="6"/>
  <c r="P154" i="6"/>
  <c r="M55" i="8"/>
  <c r="M22" i="8"/>
  <c r="D34" i="8"/>
  <c r="S120" i="7"/>
  <c r="S22" i="9"/>
  <c r="J34" i="9"/>
  <c r="Q154" i="5"/>
  <c r="Q104" i="5"/>
  <c r="Q55" i="5"/>
  <c r="E70" i="4"/>
  <c r="E53" i="4"/>
  <c r="E79" i="4" s="1"/>
  <c r="O104" i="6"/>
  <c r="O154" i="6"/>
  <c r="O55" i="6"/>
  <c r="R172" i="5"/>
  <c r="R153" i="5"/>
  <c r="R181" i="5" s="1"/>
  <c r="S154" i="4"/>
  <c r="S179" i="4"/>
  <c r="J155" i="5"/>
  <c r="J180" i="5"/>
  <c r="O27" i="7"/>
  <c r="N79" i="5"/>
  <c r="N56" i="5"/>
  <c r="H103" i="6"/>
  <c r="H129" i="6" s="1"/>
  <c r="N34" i="7"/>
  <c r="N16" i="7"/>
  <c r="N19" i="7"/>
  <c r="N18" i="7"/>
  <c r="N25" i="7"/>
  <c r="N30" i="7"/>
  <c r="N31" i="7"/>
  <c r="N24" i="7"/>
  <c r="N21" i="7"/>
  <c r="N20" i="7"/>
  <c r="N26" i="7"/>
  <c r="N15" i="7"/>
  <c r="N17" i="7"/>
  <c r="N32" i="7"/>
  <c r="N29" i="7"/>
  <c r="N28" i="7"/>
  <c r="N23" i="7"/>
  <c r="R120" i="7"/>
  <c r="I132" i="7"/>
  <c r="R132" i="7" s="1"/>
  <c r="F154" i="5"/>
  <c r="F104" i="5"/>
  <c r="F55" i="5"/>
  <c r="F155" i="5"/>
  <c r="F180" i="5"/>
  <c r="M120" i="6"/>
  <c r="M103" i="6"/>
  <c r="M129" i="6" s="1"/>
  <c r="O55" i="7"/>
  <c r="F67" i="7"/>
  <c r="O67" i="7" s="1"/>
  <c r="M153" i="6"/>
  <c r="M181" i="6" s="1"/>
  <c r="P54" i="6"/>
  <c r="P80" i="6" s="1"/>
  <c r="P28" i="6"/>
  <c r="O180" i="6"/>
  <c r="O155" i="6"/>
  <c r="S98" i="9"/>
  <c r="J171" i="15"/>
  <c r="F56" i="5"/>
  <c r="F79" i="5"/>
  <c r="P120" i="5"/>
  <c r="P103" i="5"/>
  <c r="P129" i="5" s="1"/>
  <c r="D79" i="6"/>
  <c r="D56" i="6"/>
  <c r="Q120" i="6"/>
  <c r="Q103" i="6"/>
  <c r="Q129" i="6" s="1"/>
  <c r="M99" i="8"/>
  <c r="N172" i="5"/>
  <c r="N153" i="5"/>
  <c r="N181" i="5" s="1"/>
  <c r="S180" i="6"/>
  <c r="S155" i="6"/>
  <c r="N128" i="6"/>
  <c r="Q27" i="9"/>
  <c r="D172" i="6"/>
  <c r="D153" i="6"/>
  <c r="D181" i="6" s="1"/>
  <c r="D56" i="5"/>
  <c r="D79" i="5"/>
  <c r="U128" i="6"/>
  <c r="U105" i="6"/>
  <c r="E171" i="4"/>
  <c r="E152" i="4"/>
  <c r="E180" i="4" s="1"/>
  <c r="U171" i="4"/>
  <c r="U152" i="4"/>
  <c r="U180" i="4" s="1"/>
  <c r="T103" i="4"/>
  <c r="T127" i="4"/>
  <c r="O99" i="9"/>
  <c r="L71" i="5"/>
  <c r="L28" i="5"/>
  <c r="L181" i="5" s="1"/>
  <c r="K99" i="7"/>
  <c r="T99" i="7" s="1"/>
  <c r="G103" i="4"/>
  <c r="G127" i="4"/>
  <c r="R119" i="4"/>
  <c r="R101" i="4"/>
  <c r="R128" i="4" s="1"/>
  <c r="O181" i="6"/>
  <c r="D103" i="5"/>
  <c r="D129" i="5" s="1"/>
  <c r="I99" i="7"/>
  <c r="R99" i="7" s="1"/>
  <c r="S127" i="4"/>
  <c r="S103" i="4"/>
  <c r="T131" i="7"/>
  <c r="K255" i="11"/>
  <c r="J87" i="7"/>
  <c r="S88" i="7"/>
  <c r="F79" i="6"/>
  <c r="F56" i="6"/>
  <c r="N128" i="5"/>
  <c r="N105" i="5"/>
  <c r="O66" i="7"/>
  <c r="P179" i="4"/>
  <c r="P154" i="4"/>
  <c r="I120" i="5"/>
  <c r="I103" i="5"/>
  <c r="I129" i="5" s="1"/>
  <c r="M33" i="7"/>
  <c r="D47" i="11"/>
  <c r="H172" i="5"/>
  <c r="H153" i="5"/>
  <c r="H181" i="5" s="1"/>
  <c r="N105" i="6"/>
  <c r="H128" i="6"/>
  <c r="H105" i="6"/>
  <c r="U128" i="5"/>
  <c r="U105" i="5"/>
  <c r="O120" i="6"/>
  <c r="O103" i="6"/>
  <c r="O129" i="6" s="1"/>
  <c r="N120" i="9"/>
  <c r="E132" i="9"/>
  <c r="V180" i="6"/>
  <c r="V155" i="6"/>
  <c r="V120" i="5"/>
  <c r="V103" i="5"/>
  <c r="V129" i="5" s="1"/>
  <c r="N120" i="8"/>
  <c r="E132" i="8"/>
  <c r="N132" i="8" s="1"/>
  <c r="F34" i="9"/>
  <c r="O132" i="9" s="1"/>
  <c r="H132" i="7"/>
  <c r="Q132" i="7" s="1"/>
  <c r="L179" i="4"/>
  <c r="L154" i="4"/>
  <c r="E71" i="5"/>
  <c r="R71" i="5"/>
  <c r="R54" i="5"/>
  <c r="R80" i="5" s="1"/>
  <c r="G101" i="4"/>
  <c r="G128" i="4" s="1"/>
  <c r="N87" i="9"/>
  <c r="E99" i="9"/>
  <c r="V80" i="5"/>
  <c r="S128" i="4"/>
  <c r="F103" i="4"/>
  <c r="F127" i="4"/>
  <c r="F130" i="4" s="1"/>
  <c r="R56" i="6"/>
  <c r="R79" i="6"/>
  <c r="Q87" i="8"/>
  <c r="U103" i="5"/>
  <c r="U129" i="5" s="1"/>
  <c r="J119" i="4"/>
  <c r="J101" i="4"/>
  <c r="J128" i="4" s="1"/>
  <c r="M103" i="4"/>
  <c r="M127" i="4"/>
  <c r="M66" i="7"/>
  <c r="V154" i="5"/>
  <c r="V104" i="5"/>
  <c r="V55" i="5"/>
  <c r="J71" i="6"/>
  <c r="J54" i="6"/>
  <c r="J80" i="6" s="1"/>
  <c r="H255" i="11"/>
  <c r="Q131" i="7"/>
  <c r="L152" i="4"/>
  <c r="L180" i="4" s="1"/>
  <c r="N66" i="7"/>
  <c r="T131" i="9"/>
  <c r="Q128" i="5"/>
  <c r="Q105" i="5"/>
  <c r="Q22" i="9"/>
  <c r="Q87" i="9"/>
  <c r="J255" i="13"/>
  <c r="K71" i="5"/>
  <c r="K54" i="5"/>
  <c r="K80" i="5" s="1"/>
  <c r="I34" i="8"/>
  <c r="D128" i="5"/>
  <c r="D105" i="5"/>
  <c r="G34" i="9"/>
  <c r="P67" i="9" s="1"/>
  <c r="Q152" i="4"/>
  <c r="Q180" i="4" s="1"/>
  <c r="O22" i="8"/>
  <c r="E120" i="5"/>
  <c r="M31" i="7"/>
  <c r="M26" i="7"/>
  <c r="M29" i="7"/>
  <c r="M21" i="7"/>
  <c r="M32" i="7"/>
  <c r="M24" i="7"/>
  <c r="M16" i="7"/>
  <c r="M27" i="7"/>
  <c r="M19" i="7"/>
  <c r="M30" i="7"/>
  <c r="M34" i="7"/>
  <c r="M28" i="7"/>
  <c r="M20" i="7"/>
  <c r="M15" i="7"/>
  <c r="M18" i="7"/>
  <c r="M17" i="7"/>
  <c r="M25" i="7"/>
  <c r="M23" i="7"/>
  <c r="M67" i="7"/>
  <c r="G79" i="6"/>
  <c r="G56" i="6"/>
  <c r="V154" i="4"/>
  <c r="V179" i="4"/>
  <c r="Q120" i="8"/>
  <c r="O29" i="7"/>
  <c r="O21" i="7"/>
  <c r="O32" i="7"/>
  <c r="O24" i="7"/>
  <c r="O16" i="7"/>
  <c r="O19" i="7"/>
  <c r="O30" i="7"/>
  <c r="O34" i="7"/>
  <c r="O26" i="7"/>
  <c r="O20" i="7"/>
  <c r="O17" i="7"/>
  <c r="O23" i="7"/>
  <c r="O31" i="7"/>
  <c r="O28" i="7"/>
  <c r="O25" i="7"/>
  <c r="O18" i="7"/>
  <c r="O15" i="7"/>
  <c r="G56" i="5"/>
  <c r="G79" i="5"/>
  <c r="S79" i="6"/>
  <c r="S56" i="6"/>
  <c r="N70" i="4"/>
  <c r="N53" i="4"/>
  <c r="N79" i="4" s="1"/>
  <c r="S132" i="7"/>
  <c r="G80" i="6"/>
  <c r="J172" i="13"/>
  <c r="R54" i="6"/>
  <c r="R80" i="6" s="1"/>
  <c r="K67" i="9"/>
  <c r="T67" i="9" s="1"/>
  <c r="T154" i="4"/>
  <c r="T179" i="4"/>
  <c r="N27" i="7"/>
  <c r="M101" i="4"/>
  <c r="M128" i="4" s="1"/>
  <c r="U70" i="4"/>
  <c r="U53" i="4"/>
  <c r="U79" i="4" s="1"/>
  <c r="K129" i="5"/>
  <c r="N67" i="7"/>
  <c r="E89" i="11"/>
  <c r="Q103" i="5"/>
  <c r="Q129" i="5" s="1"/>
  <c r="M56" i="6"/>
  <c r="M79" i="6"/>
  <c r="H71" i="5"/>
  <c r="H54" i="5"/>
  <c r="H80" i="5" s="1"/>
  <c r="P33" i="9"/>
  <c r="G46" i="15"/>
  <c r="V56" i="5"/>
  <c r="V79" i="5"/>
  <c r="P34" i="8"/>
  <c r="G33" i="8"/>
  <c r="P98" i="8" s="1"/>
  <c r="P21" i="8"/>
  <c r="P18" i="8"/>
  <c r="P32" i="8"/>
  <c r="P29" i="8"/>
  <c r="P30" i="8"/>
  <c r="P26" i="8"/>
  <c r="P20" i="8"/>
  <c r="P17" i="8"/>
  <c r="P15" i="8"/>
  <c r="P16" i="8"/>
  <c r="P28" i="8"/>
  <c r="P25" i="8"/>
  <c r="P23" i="8"/>
  <c r="P19" i="8"/>
  <c r="P24" i="8"/>
  <c r="P31" i="8"/>
  <c r="T66" i="9"/>
  <c r="K88" i="15"/>
  <c r="S55" i="7"/>
  <c r="S22" i="7"/>
  <c r="J34" i="7"/>
  <c r="O120" i="7"/>
  <c r="F132" i="7"/>
  <c r="O132" i="7" s="1"/>
  <c r="G128" i="6"/>
  <c r="G105" i="6"/>
  <c r="K105" i="5"/>
  <c r="K128" i="5"/>
  <c r="O79" i="5"/>
  <c r="O56" i="5"/>
  <c r="N154" i="5"/>
  <c r="N104" i="5"/>
  <c r="N55" i="5"/>
  <c r="M105" i="5"/>
  <c r="M128" i="5"/>
  <c r="P99" i="9"/>
  <c r="M54" i="6"/>
  <c r="M80" i="6" s="1"/>
  <c r="S67" i="9"/>
  <c r="Q131" i="9"/>
  <c r="Q55" i="8"/>
  <c r="H34" i="8"/>
  <c r="Q67" i="8" s="1"/>
  <c r="Q154" i="4"/>
  <c r="Q179" i="4"/>
  <c r="O127" i="4"/>
  <c r="O103" i="4"/>
  <c r="S131" i="7"/>
  <c r="J255" i="11"/>
  <c r="D154" i="4"/>
  <c r="D179" i="4"/>
  <c r="O105" i="5"/>
  <c r="O128" i="5"/>
  <c r="E34" i="9"/>
  <c r="N22" i="9" s="1"/>
  <c r="R154" i="5"/>
  <c r="R104" i="5"/>
  <c r="R55" i="5"/>
  <c r="R180" i="5"/>
  <c r="R155" i="5"/>
  <c r="Q132" i="9"/>
  <c r="N180" i="5"/>
  <c r="N55" i="9"/>
  <c r="R78" i="4"/>
  <c r="R81" i="4" s="1"/>
  <c r="R55" i="4"/>
  <c r="G103" i="6"/>
  <c r="G129" i="6" s="1"/>
  <c r="T99" i="9"/>
  <c r="Q55" i="9"/>
  <c r="H67" i="9"/>
  <c r="Q67" i="9" s="1"/>
  <c r="O80" i="5"/>
  <c r="P120" i="7"/>
  <c r="V78" i="4"/>
  <c r="V55" i="4"/>
  <c r="J70" i="4"/>
  <c r="J53" i="4"/>
  <c r="J79" i="4" s="1"/>
  <c r="P130" i="4"/>
  <c r="V128" i="5"/>
  <c r="M132" i="8"/>
  <c r="F47" i="11"/>
  <c r="R128" i="5"/>
  <c r="H128" i="5"/>
  <c r="H105" i="5"/>
  <c r="L180" i="6"/>
  <c r="L155" i="6"/>
  <c r="T129" i="5"/>
  <c r="S22" i="8"/>
  <c r="S55" i="8"/>
  <c r="M155" i="5"/>
  <c r="M180" i="5"/>
  <c r="F128" i="6"/>
  <c r="F105" i="6"/>
  <c r="M98" i="9"/>
  <c r="D171" i="15"/>
  <c r="R171" i="4"/>
  <c r="E79" i="6"/>
  <c r="E56" i="6"/>
  <c r="P180" i="5"/>
  <c r="P155" i="5"/>
  <c r="I55" i="4"/>
  <c r="I78" i="4"/>
  <c r="I81" i="4" s="1"/>
  <c r="N129" i="6"/>
  <c r="M70" i="4"/>
  <c r="M53" i="4"/>
  <c r="M79" i="4" s="1"/>
  <c r="G55" i="4"/>
  <c r="G78" i="4"/>
  <c r="G81" i="4" s="1"/>
  <c r="I104" i="6"/>
  <c r="I55" i="6"/>
  <c r="I154" i="6"/>
  <c r="I180" i="6"/>
  <c r="I155" i="6"/>
  <c r="N155" i="5"/>
  <c r="S131" i="9"/>
  <c r="J254" i="15"/>
  <c r="R79" i="4"/>
  <c r="O56" i="6"/>
  <c r="G154" i="4"/>
  <c r="G179" i="4"/>
  <c r="D101" i="4"/>
  <c r="D128" i="4" s="1"/>
  <c r="V105" i="5"/>
  <c r="O71" i="6"/>
  <c r="D180" i="5"/>
  <c r="D155" i="5"/>
  <c r="D255" i="13"/>
  <c r="R105" i="5"/>
  <c r="H103" i="5"/>
  <c r="H129" i="5" s="1"/>
  <c r="L153" i="6"/>
  <c r="L181" i="6" s="1"/>
  <c r="Q56" i="6"/>
  <c r="Q79" i="6"/>
  <c r="O131" i="7"/>
  <c r="L55" i="4"/>
  <c r="L78" i="4"/>
  <c r="L81" i="4" s="1"/>
  <c r="S128" i="6"/>
  <c r="S105" i="6"/>
  <c r="D172" i="13"/>
  <c r="F120" i="5"/>
  <c r="F103" i="5"/>
  <c r="F129" i="5" s="1"/>
  <c r="O172" i="5"/>
  <c r="O153" i="5"/>
  <c r="O181" i="5" s="1"/>
  <c r="N98" i="7"/>
  <c r="O79" i="6"/>
  <c r="U180" i="6"/>
  <c r="U155" i="6"/>
  <c r="G180" i="4"/>
  <c r="I54" i="6"/>
  <c r="I80" i="6" s="1"/>
  <c r="M131" i="7"/>
  <c r="F172" i="13"/>
  <c r="O98" i="8"/>
  <c r="S104" i="5"/>
  <c r="S55" i="5"/>
  <c r="S154" i="5"/>
  <c r="K155" i="6"/>
  <c r="J56" i="5"/>
  <c r="J79" i="5"/>
  <c r="T105" i="5"/>
  <c r="T128" i="5"/>
  <c r="M120" i="8"/>
  <c r="U80" i="5"/>
  <c r="M56" i="5"/>
  <c r="M79" i="5"/>
  <c r="N179" i="4"/>
  <c r="N154" i="4"/>
  <c r="S180" i="5"/>
  <c r="S155" i="5"/>
  <c r="D81" i="4"/>
  <c r="N152" i="4"/>
  <c r="N180" i="4" s="1"/>
  <c r="Q34" i="9"/>
  <c r="Q31" i="9"/>
  <c r="Q24" i="9"/>
  <c r="Q21" i="9"/>
  <c r="Q29" i="9"/>
  <c r="Q18" i="9"/>
  <c r="Q26" i="9"/>
  <c r="Q15" i="9"/>
  <c r="Q16" i="9"/>
  <c r="Q25" i="9"/>
  <c r="Q28" i="9"/>
  <c r="Q20" i="9"/>
  <c r="Q32" i="9"/>
  <c r="Q17" i="9"/>
  <c r="Q30" i="9"/>
  <c r="Q19" i="9"/>
  <c r="T155" i="5"/>
  <c r="T180" i="5"/>
  <c r="R55" i="8"/>
  <c r="I67" i="8"/>
  <c r="R67" i="8" s="1"/>
  <c r="I128" i="6"/>
  <c r="I105" i="6"/>
  <c r="P153" i="5"/>
  <c r="P181" i="5" s="1"/>
  <c r="K154" i="5"/>
  <c r="K104" i="5"/>
  <c r="K55" i="5"/>
  <c r="K56" i="5"/>
  <c r="K79" i="5"/>
  <c r="D128" i="6"/>
  <c r="D105" i="6"/>
  <c r="P120" i="9"/>
  <c r="N87" i="7"/>
  <c r="E99" i="7"/>
  <c r="N99" i="7" s="1"/>
  <c r="Q98" i="9"/>
  <c r="O78" i="4"/>
  <c r="O81" i="4" s="1"/>
  <c r="O55" i="4"/>
  <c r="G71" i="6"/>
  <c r="O22" i="7"/>
  <c r="J132" i="9"/>
  <c r="S132" i="9" s="1"/>
  <c r="G154" i="5"/>
  <c r="G104" i="5"/>
  <c r="G55" i="5"/>
  <c r="O66" i="8"/>
  <c r="F89" i="13"/>
  <c r="D103" i="4"/>
  <c r="D127" i="4"/>
  <c r="D130" i="4" s="1"/>
  <c r="R128" i="6"/>
  <c r="R105" i="6"/>
  <c r="F78" i="4"/>
  <c r="F55" i="4"/>
  <c r="I79" i="6"/>
  <c r="I56" i="6"/>
  <c r="M99" i="7"/>
  <c r="L56" i="5"/>
  <c r="L79" i="5"/>
  <c r="H119" i="4"/>
  <c r="H101" i="4"/>
  <c r="H128" i="4" s="1"/>
  <c r="K180" i="6"/>
  <c r="U154" i="5"/>
  <c r="U104" i="5"/>
  <c r="U55" i="5"/>
  <c r="G132" i="8"/>
  <c r="P132" i="8" s="1"/>
  <c r="I179" i="4"/>
  <c r="I154" i="4"/>
  <c r="Q79" i="5"/>
  <c r="Q56" i="5"/>
  <c r="K67" i="7"/>
  <c r="T67" i="7" s="1"/>
  <c r="R104" i="6"/>
  <c r="R154" i="6"/>
  <c r="R55" i="6"/>
  <c r="J33" i="8"/>
  <c r="S98" i="8" s="1"/>
  <c r="S32" i="8"/>
  <c r="S24" i="8"/>
  <c r="S16" i="8"/>
  <c r="S19" i="8"/>
  <c r="S34" i="8"/>
  <c r="S28" i="8"/>
  <c r="S20" i="8"/>
  <c r="S26" i="8"/>
  <c r="S29" i="8"/>
  <c r="S15" i="8"/>
  <c r="S21" i="8"/>
  <c r="S17" i="8"/>
  <c r="S18" i="8"/>
  <c r="S25" i="8"/>
  <c r="S31" i="8"/>
  <c r="S30" i="8"/>
  <c r="J54" i="5"/>
  <c r="J80" i="5" s="1"/>
  <c r="P22" i="8"/>
  <c r="O33" i="8" l="1"/>
  <c r="O131" i="8"/>
  <c r="F47" i="13"/>
  <c r="P99" i="7"/>
  <c r="N99" i="9"/>
  <c r="N130" i="4"/>
  <c r="P33" i="8"/>
  <c r="G47" i="13"/>
  <c r="Q22" i="8"/>
  <c r="I33" i="8"/>
  <c r="R29" i="8"/>
  <c r="R21" i="8"/>
  <c r="R15" i="8"/>
  <c r="R32" i="8"/>
  <c r="R24" i="8"/>
  <c r="R16" i="8"/>
  <c r="R25" i="8"/>
  <c r="R17" i="8"/>
  <c r="R26" i="8"/>
  <c r="R18" i="8"/>
  <c r="R19" i="8"/>
  <c r="R34" i="8"/>
  <c r="R28" i="8"/>
  <c r="R20" i="8"/>
  <c r="R30" i="8"/>
  <c r="R31" i="8"/>
  <c r="R99" i="8"/>
  <c r="R14" i="8"/>
  <c r="R27" i="8"/>
  <c r="R23" i="8"/>
  <c r="N132" i="9"/>
  <c r="V130" i="4"/>
  <c r="R132" i="8"/>
  <c r="P33" i="7"/>
  <c r="P66" i="8"/>
  <c r="P131" i="8"/>
  <c r="G130" i="4"/>
  <c r="S99" i="9"/>
  <c r="O98" i="7"/>
  <c r="F172" i="11"/>
  <c r="O130" i="4"/>
  <c r="M130" i="4"/>
  <c r="Q130" i="4"/>
  <c r="I130" i="4"/>
  <c r="P22" i="9"/>
  <c r="S87" i="7"/>
  <c r="J99" i="7"/>
  <c r="S99" i="7" s="1"/>
  <c r="T130" i="4"/>
  <c r="Q81" i="4"/>
  <c r="Q34" i="8"/>
  <c r="H33" i="8"/>
  <c r="Q31" i="8"/>
  <c r="Q15" i="8"/>
  <c r="Q26" i="8"/>
  <c r="Q18" i="8"/>
  <c r="Q19" i="8"/>
  <c r="Q17" i="8"/>
  <c r="Q28" i="8"/>
  <c r="Q25" i="8"/>
  <c r="Q16" i="8"/>
  <c r="Q24" i="8"/>
  <c r="Q30" i="8"/>
  <c r="Q21" i="8"/>
  <c r="Q20" i="8"/>
  <c r="Q32" i="8"/>
  <c r="Q29" i="8"/>
  <c r="Q132" i="8"/>
  <c r="Q27" i="8"/>
  <c r="Q14" i="8"/>
  <c r="Q23" i="8"/>
  <c r="O34" i="9"/>
  <c r="O30" i="9"/>
  <c r="O28" i="9"/>
  <c r="O17" i="9"/>
  <c r="O25" i="9"/>
  <c r="O19" i="9"/>
  <c r="O15" i="9"/>
  <c r="O20" i="9"/>
  <c r="O31" i="9"/>
  <c r="O14" i="9"/>
  <c r="O32" i="9"/>
  <c r="O16" i="9"/>
  <c r="O18" i="9"/>
  <c r="O21" i="9"/>
  <c r="O26" i="9"/>
  <c r="O24" i="9"/>
  <c r="O29" i="9"/>
  <c r="O33" i="9"/>
  <c r="O23" i="9"/>
  <c r="O27" i="9"/>
  <c r="O67" i="9"/>
  <c r="Q99" i="8"/>
  <c r="P34" i="7"/>
  <c r="P26" i="7"/>
  <c r="P28" i="7"/>
  <c r="P16" i="7"/>
  <c r="P15" i="7"/>
  <c r="P19" i="7"/>
  <c r="P21" i="7"/>
  <c r="P17" i="7"/>
  <c r="P30" i="7"/>
  <c r="P24" i="7"/>
  <c r="P29" i="7"/>
  <c r="P27" i="7"/>
  <c r="P18" i="7"/>
  <c r="P32" i="7"/>
  <c r="P31" i="7"/>
  <c r="P20" i="7"/>
  <c r="P25" i="7"/>
  <c r="P67" i="7"/>
  <c r="P14" i="7"/>
  <c r="P23" i="7"/>
  <c r="L80" i="5"/>
  <c r="V81" i="4"/>
  <c r="S34" i="7"/>
  <c r="S14" i="7"/>
  <c r="S27" i="7"/>
  <c r="S25" i="7"/>
  <c r="S24" i="7"/>
  <c r="S21" i="7"/>
  <c r="S15" i="7"/>
  <c r="S29" i="7"/>
  <c r="S67" i="7"/>
  <c r="S20" i="7"/>
  <c r="S32" i="7"/>
  <c r="S18" i="7"/>
  <c r="S30" i="7"/>
  <c r="S31" i="7"/>
  <c r="S28" i="7"/>
  <c r="S17" i="7"/>
  <c r="S16" i="7"/>
  <c r="S19" i="7"/>
  <c r="S26" i="7"/>
  <c r="S23" i="7"/>
  <c r="S33" i="7"/>
  <c r="O22" i="9"/>
  <c r="S24" i="9"/>
  <c r="S21" i="9"/>
  <c r="S32" i="9"/>
  <c r="S34" i="9"/>
  <c r="S26" i="9"/>
  <c r="S19" i="9"/>
  <c r="S30" i="9"/>
  <c r="S20" i="9"/>
  <c r="S16" i="9"/>
  <c r="S28" i="9"/>
  <c r="S14" i="9"/>
  <c r="S18" i="9"/>
  <c r="S17" i="9"/>
  <c r="S27" i="9"/>
  <c r="S31" i="9"/>
  <c r="S25" i="9"/>
  <c r="S29" i="9"/>
  <c r="S15" i="9"/>
  <c r="S23" i="9"/>
  <c r="S33" i="9"/>
  <c r="N32" i="9"/>
  <c r="N17" i="9"/>
  <c r="N34" i="9"/>
  <c r="N25" i="9"/>
  <c r="N18" i="9"/>
  <c r="N30" i="9"/>
  <c r="N26" i="9"/>
  <c r="N19" i="9"/>
  <c r="N20" i="9"/>
  <c r="N28" i="9"/>
  <c r="N33" i="9"/>
  <c r="N29" i="9"/>
  <c r="N31" i="9"/>
  <c r="N24" i="9"/>
  <c r="N14" i="9"/>
  <c r="N16" i="9"/>
  <c r="N21" i="9"/>
  <c r="N15" i="9"/>
  <c r="N23" i="9"/>
  <c r="N27" i="9"/>
  <c r="M120" i="7"/>
  <c r="D132" i="7"/>
  <c r="M132" i="7" s="1"/>
  <c r="S33" i="8"/>
  <c r="S66" i="8"/>
  <c r="J47" i="13"/>
  <c r="S130" i="4"/>
  <c r="N67" i="9"/>
  <c r="S131" i="8"/>
  <c r="F81" i="4"/>
  <c r="M34" i="8"/>
  <c r="D33" i="8"/>
  <c r="M31" i="8"/>
  <c r="M15" i="8"/>
  <c r="M32" i="8"/>
  <c r="M24" i="8"/>
  <c r="M16" i="8"/>
  <c r="M25" i="8"/>
  <c r="M17" i="8"/>
  <c r="M26" i="8"/>
  <c r="M18" i="8"/>
  <c r="M20" i="8"/>
  <c r="M28" i="8"/>
  <c r="M19" i="8"/>
  <c r="M14" i="8"/>
  <c r="M67" i="8"/>
  <c r="M21" i="8"/>
  <c r="M30" i="8"/>
  <c r="M29" i="8"/>
  <c r="M23" i="8"/>
  <c r="M27" i="8"/>
  <c r="R22" i="8"/>
  <c r="P34" i="9"/>
  <c r="P28" i="9"/>
  <c r="P25" i="9"/>
  <c r="P18" i="9"/>
  <c r="P26" i="9"/>
  <c r="P19" i="9"/>
  <c r="P20" i="9"/>
  <c r="P31" i="9"/>
  <c r="P30" i="9"/>
  <c r="P32" i="9"/>
  <c r="P17" i="9"/>
  <c r="P21" i="9"/>
  <c r="P24" i="9"/>
  <c r="P15" i="9"/>
  <c r="P29" i="9"/>
  <c r="P16" i="9"/>
  <c r="P27" i="9"/>
  <c r="P14" i="9"/>
  <c r="P23" i="9"/>
  <c r="L129" i="5"/>
  <c r="P132" i="9"/>
  <c r="R33" i="8" l="1"/>
  <c r="I47" i="13"/>
  <c r="R66" i="8"/>
  <c r="R98" i="8"/>
  <c r="R131" i="8"/>
  <c r="M33" i="8"/>
  <c r="D47" i="13"/>
  <c r="M66" i="8"/>
  <c r="M131" i="8"/>
  <c r="M98" i="8"/>
  <c r="Q33" i="8"/>
  <c r="H47" i="13"/>
  <c r="Q66" i="8"/>
  <c r="Q131" i="8"/>
  <c r="Q98" i="8"/>
</calcChain>
</file>

<file path=xl/sharedStrings.xml><?xml version="1.0" encoding="utf-8"?>
<sst xmlns="http://schemas.openxmlformats.org/spreadsheetml/2006/main" count="5698" uniqueCount="228">
  <si>
    <t>INDICE CUADROS EJECUCIÓN GASTOS DEL PRESUPUESTO GENERAL DE LA NACIÓN - PGN</t>
  </si>
  <si>
    <t>Cuadro No. 1. Apropiaciones agregadas de gastos PGN 2000-2026 por fuente</t>
  </si>
  <si>
    <t>Cuadro No. 2. Ejecución desagregada de gastos PGN 2000-2018 por compromisos, obligaciones y pagos</t>
  </si>
  <si>
    <t>Cuadro No. 3. Ejecución desagregada de gastos PGN 2000-2018 - Recurso Nación por compromisos, obligaciones y pagos</t>
  </si>
  <si>
    <t>Cuadro No. 4. Ejecución desagregada de gastos PGN 2000-2018 - Recurso Propios por compromisos, obligaciones y pagos</t>
  </si>
  <si>
    <t>Cuadro No. 5. Ejecución desagregada de gastos PGN por compromisos, obligaciones y pagos del 2019-2026</t>
  </si>
  <si>
    <t>Cuadro No. 6. Ejecución desagregada de gastos PGN Recurso Nación por compromisos, obligaciones y pagos del 2019 al 2026</t>
  </si>
  <si>
    <t>Cuadro No. 7. Ejecución desagregada de gastos PGN Recurso Propios por compromisos, obligaciones y pagos del 2019 al 2026</t>
  </si>
  <si>
    <t>Cuadro No. 8.A Ejecución Sectorial de gastos PGN por compromisos, obligaciones y pagos del 2000-2018</t>
  </si>
  <si>
    <t>Cuadro No. 8.B Ejecución Sectorial de gastos PGN por compromisos, obligaciones y pagos del 2019 al 2026</t>
  </si>
  <si>
    <t>Cuadro No. 9.A Ejecución Sectorial de gastos PGN Recurso Nación por compromisos, obligaciones y pagos del 2000 al 2018</t>
  </si>
  <si>
    <t>Cuadro No. 9.B Ejecución Sectorial de gastos PGN Recurso Nación por compromisos, obligaciones y pagos del 2019 al 2026</t>
  </si>
  <si>
    <t>Cuadro No. 10.A Ejecución Sectorial de gastos PGN Recurso Propios por compromisos, obligación y pago del 2000 al 2018</t>
  </si>
  <si>
    <t>Cuadro No. 10.B Ejecución Sectorial de gastos PGN Recurso Propios por compromisos, obligaciones y pagos del 2019 al 2026</t>
  </si>
  <si>
    <t>Cuadro No. 11.A Ejecución Sectorial Funcionamiento de gastos PGN por compromisos, obligaciones y pagos del 2000 al 2018</t>
  </si>
  <si>
    <t>Cuadro No. 11.B Ejecución Sectorial Funcionamiento de gastos PGN por compromisos, obligaciones y pagos del 2019 al 2026</t>
  </si>
  <si>
    <t>Cuadro No. 12.A Ejecución Sectorial Funcionamiento de gastos PGN Recurso Nación por compromisos, obligaciones y pagos del 2000 al 2018</t>
  </si>
  <si>
    <t>Cuadro No. 12.B Ejecución Sectorial Funcionamiento de gastos PGN Recurso Nación por compromisos, obligaciones y pagos del 2019 al 2026</t>
  </si>
  <si>
    <t>Cuadro No. 13.A Ejecución Sectorial Funcionamiento de gastos PGN Recurso Propios por compromisos, obligaciones y pagos del 2000 al 2018</t>
  </si>
  <si>
    <t>Cuadro No. 13.B Ejecución Sectorial Funcionamiento de gastos PGN Recurso Propios por compromisos, obligaciones y pagos del 2019 al 2026</t>
  </si>
  <si>
    <t>Cuadro No. 14.A Ejecución Sectorial Inversión de gastos PGN por compromisos, obligaciones y pagos del 2000 al 2018</t>
  </si>
  <si>
    <t>Cuadro No. 14.B Ejecución Sectorial Inversión de gastos PGN por compromisos, obligaciones y pagos del 2019 al 2026</t>
  </si>
  <si>
    <t>Cuadro No. 15.A Ejecución Sectorial Inversión de gastos PGN Recurso Nación por compromisos, obligaciones y pagos del 2000 al 2018</t>
  </si>
  <si>
    <t>Cuadro No. 15.B Ejecución Sectorial Inversión de gastos PGN Recurso Nación por compromisos, obligaciones y pagos del 2019 al 2026</t>
  </si>
  <si>
    <t>Cuadro No. 16.A Ejecución Sectorial Inversión de gastos PGN Recurso Propios por compromisos, obligaciones y pagos del 2000 al 2018</t>
  </si>
  <si>
    <t>Cuadro No. 16.B Ejecución Sectorial Inversión de gastos PGN Recurso Propios por compromisos, obligaciones y pagos del 2019-2026</t>
  </si>
  <si>
    <t>Deflactores 27/01/2026</t>
  </si>
  <si>
    <t>2000</t>
  </si>
  <si>
    <t>2001</t>
  </si>
  <si>
    <t>2002</t>
  </si>
  <si>
    <t>2003</t>
  </si>
  <si>
    <t>2005</t>
  </si>
  <si>
    <t>2006</t>
  </si>
  <si>
    <t>2007</t>
  </si>
  <si>
    <t>2008</t>
  </si>
  <si>
    <t>2009</t>
  </si>
  <si>
    <t>2026*</t>
  </si>
  <si>
    <t>Apropiaciones Presupuesto General de la Nación - PGN</t>
  </si>
  <si>
    <t>CONCEPTO</t>
  </si>
  <si>
    <t>I.</t>
  </si>
  <si>
    <t>FUNCIONAMIENTO</t>
  </si>
  <si>
    <t>II.</t>
  </si>
  <si>
    <t>SERVICIO DE LA DEUDA</t>
  </si>
  <si>
    <t>DEUDA EXTERNA</t>
  </si>
  <si>
    <t>DEUDA INTERNA</t>
  </si>
  <si>
    <t>III.</t>
  </si>
  <si>
    <t>INVERSIÓN</t>
  </si>
  <si>
    <t>IV.</t>
  </si>
  <si>
    <t>TOTAL SIN DEUDA (I + III)</t>
  </si>
  <si>
    <t>V.</t>
  </si>
  <si>
    <t>TOTAL  (I + II + III)</t>
  </si>
  <si>
    <t>* Información con corte a 28 de febrero</t>
  </si>
  <si>
    <t>Fuente: Dirección General de Presupuesto Público Nacional. Ejecución del Presupuesto General de la Nación.</t>
  </si>
  <si>
    <t>Apropiaciones con Fuente Nación</t>
  </si>
  <si>
    <t>Apropiaciones con Fuente Propios</t>
  </si>
  <si>
    <t>Apropiaciones Presupuesto General de la Nación-PGN</t>
  </si>
  <si>
    <t xml:space="preserve">Gastos de Personal </t>
  </si>
  <si>
    <t>Gastos Generales</t>
  </si>
  <si>
    <t>Transferencias</t>
  </si>
  <si>
    <t>Operación Comercial</t>
  </si>
  <si>
    <t>Amortización</t>
  </si>
  <si>
    <t>Intereses</t>
  </si>
  <si>
    <t>Compromisos Presupuesto General de la Nación-PGN</t>
  </si>
  <si>
    <t>TOTAL CON DEUDA (I + II + III)</t>
  </si>
  <si>
    <t>VI.</t>
  </si>
  <si>
    <t>PRESUPUESTO SIN DEUDA</t>
  </si>
  <si>
    <t>VII.</t>
  </si>
  <si>
    <t>% COMPROMISOS/ PRESUPUESTO   ( IV / VI )</t>
  </si>
  <si>
    <t>Porcentaje Compromisos PGN</t>
  </si>
  <si>
    <t>Obligaciones Presupuesto General de la Nación-PGN</t>
  </si>
  <si>
    <t>% OBLIGACIONES / PRESUPUESTO   ( IV / VI )</t>
  </si>
  <si>
    <t xml:space="preserve">Porcentaje Obligaciones PGN </t>
  </si>
  <si>
    <t>Pagos Presupuesto General de la Nación-PGN</t>
  </si>
  <si>
    <t>% PAGOS / PRESUPUESTO   ( IV / VI )</t>
  </si>
  <si>
    <t>Porcentaje Pagos PGN</t>
  </si>
  <si>
    <t>Apropiaciones Fuente Nación</t>
  </si>
  <si>
    <t>Compromisos Fuente Nación</t>
  </si>
  <si>
    <t>% COMPROMISOS / PRESUPUESTO   ( IV / VI )</t>
  </si>
  <si>
    <t>Porcentaje Compromisos Fuente Nación</t>
  </si>
  <si>
    <t>Obligaciones Fuente Nación</t>
  </si>
  <si>
    <t>Porcentaje Fuente Nación</t>
  </si>
  <si>
    <t>Pagos Fuente Nación</t>
  </si>
  <si>
    <t>Porcentaje Pagos Fuente Nación</t>
  </si>
  <si>
    <t>Apropiaciones Fuente Propios</t>
  </si>
  <si>
    <t>Compromisos Fuente Propios</t>
  </si>
  <si>
    <t>Porcentaje Compromisos Fuente Propios</t>
  </si>
  <si>
    <t>Obligaciones Fuente Propios</t>
  </si>
  <si>
    <t>Porcentaje Obligaciones Fuente Propios</t>
  </si>
  <si>
    <t>Pagos Fuente Propios</t>
  </si>
  <si>
    <t>Porcentaje Pagos Fuente Propios</t>
  </si>
  <si>
    <t>Apropiaciones PGN 2019 - 2026</t>
  </si>
  <si>
    <t xml:space="preserve">Porcentaje de participación por tipo y cuenta del total </t>
  </si>
  <si>
    <t>Gastos de Personal</t>
  </si>
  <si>
    <t>Adquisición de Bienes y Servicios</t>
  </si>
  <si>
    <t>Gastos de Comercialización y Producción</t>
  </si>
  <si>
    <t>Adquisición de Activos Financieros</t>
  </si>
  <si>
    <t>Disminución de Pasivos</t>
  </si>
  <si>
    <t>Gastos por Tributos, Multas, Sanciones e Intereses de Mora</t>
  </si>
  <si>
    <t>Principal</t>
  </si>
  <si>
    <t>Comisiones y Otros Gastos</t>
  </si>
  <si>
    <t>Fondo de Contingencias</t>
  </si>
  <si>
    <t>Compromisos PGN 2019-2026</t>
  </si>
  <si>
    <t>Porcentaje de ejecución compromisos/apropiación</t>
  </si>
  <si>
    <t>Comisiones Y Otros Gastos</t>
  </si>
  <si>
    <t>Fondo de Contigencias</t>
  </si>
  <si>
    <t>Obligaciones PGN 2019-2026</t>
  </si>
  <si>
    <t>Porcentaje de ejecución Obligación/apropiación</t>
  </si>
  <si>
    <t>Pagos PGN 2019-2026</t>
  </si>
  <si>
    <t>Porcentaje de ejecución pagos/apropiación</t>
  </si>
  <si>
    <t>Apropiaciones Fuente Nación 2019-2026</t>
  </si>
  <si>
    <t>Compromisos Fuente Nación 2019-2026</t>
  </si>
  <si>
    <t>Porcentaje de ejecución compromiso/apropiación</t>
  </si>
  <si>
    <t>Obligaciones Fuente Nación 2019-2026</t>
  </si>
  <si>
    <t>Porcentaje de ejecución obligaciones/apropiación</t>
  </si>
  <si>
    <t>Pagos Fuente Nación 2019 - 2026</t>
  </si>
  <si>
    <t>Apropiaciones Fuente Propios 2019 - 2026</t>
  </si>
  <si>
    <t>Compromisos Fuente Propios  2019 - 2026</t>
  </si>
  <si>
    <t>Obligaciones Fuente Propios 2019-2026</t>
  </si>
  <si>
    <t>Pagos Fuente Propios 2019 - 2026</t>
  </si>
  <si>
    <t>Apropiaciones Presupuesto General de la Nación por Sector</t>
  </si>
  <si>
    <t>Sector</t>
  </si>
  <si>
    <t>2004</t>
  </si>
  <si>
    <t xml:space="preserve">2009 </t>
  </si>
  <si>
    <t>AGRICULTURA Y DESARROLLO RURAL</t>
  </si>
  <si>
    <t>AMBIENTE Y DESARROLLO SOSTENIBLE</t>
  </si>
  <si>
    <t>CIENCIA, TECNOLOGÍA E INNOVACIÓN</t>
  </si>
  <si>
    <t>COMERCIO, INDUSTRIA Y TURISMO</t>
  </si>
  <si>
    <t>CONGRESO DE LA REPÚBLICA</t>
  </si>
  <si>
    <t>CULTURA</t>
  </si>
  <si>
    <t>DEFENSA Y POLICÍA</t>
  </si>
  <si>
    <t>DEPORTE Y RECREACIÓN</t>
  </si>
  <si>
    <t>EDUCACIÓN</t>
  </si>
  <si>
    <t>EMPLEO PÚBLICO</t>
  </si>
  <si>
    <t>FISCALÍA</t>
  </si>
  <si>
    <t>HACIENDA</t>
  </si>
  <si>
    <t>IGUALDAD Y EQUIDAD</t>
  </si>
  <si>
    <t>INCLUSIÓN SOCIAL Y RECONCILIACIÓN</t>
  </si>
  <si>
    <t>INFORMACIÓN ESTADÍSTICA</t>
  </si>
  <si>
    <t>INTELIGENCIA</t>
  </si>
  <si>
    <t>INTERIOR Y JUSTICIA</t>
  </si>
  <si>
    <t>MINAS Y ENERGÍA</t>
  </si>
  <si>
    <t>ORGANISMOS DE CONTROL</t>
  </si>
  <si>
    <t>PLANEACIÓN</t>
  </si>
  <si>
    <t>PRESIDENCIA DE LA REPÚBLICA</t>
  </si>
  <si>
    <t>RAMA JUDICIAL</t>
  </si>
  <si>
    <t>REGISTRADURÍA</t>
  </si>
  <si>
    <t>RELACIONES EXTERIORES</t>
  </si>
  <si>
    <t>SALUD, PROTECCIÓN SOCIAL Y TRABAJO</t>
  </si>
  <si>
    <t>SISTEMA INTEGRAL DE VERDAD, JUSTICIA, REPARACIÓN Y NO REPETICIÓN</t>
  </si>
  <si>
    <t>TECNOLOGÍAS DE LA INFORMACIÓN Y LAS COMUNICACIONES</t>
  </si>
  <si>
    <t>TRANSPORTE</t>
  </si>
  <si>
    <t>VIVIENDA, CIUDAD Y TERRITORIO</t>
  </si>
  <si>
    <t>TOTAL  SIN DEUDA</t>
  </si>
  <si>
    <t>Compromisos Presupuesto General de la Nación por Sector</t>
  </si>
  <si>
    <t>TOTAL SIN DEUDA</t>
  </si>
  <si>
    <t xml:space="preserve">Porcentaje de Ejecución - Compromisos/Apropiación PGN por Sector </t>
  </si>
  <si>
    <t xml:space="preserve">Obligaciones Presupuesto General de la Nación por Sector </t>
  </si>
  <si>
    <t xml:space="preserve">Porcentaje de Ejecución - Obligaciones/Apropiación PGN Sector </t>
  </si>
  <si>
    <t xml:space="preserve">Pagos Presupuesto General de la Nación por Sector </t>
  </si>
  <si>
    <t xml:space="preserve">Porcentaje de Ejecución - Pagos/Apropiación PGN por Sector </t>
  </si>
  <si>
    <t>INTERIOR</t>
  </si>
  <si>
    <t>JUSTICIA Y DEL DERECHO</t>
  </si>
  <si>
    <t>SALUD Y PROTECCIÓN SOCIAL</t>
  </si>
  <si>
    <t>TRABAJO</t>
  </si>
  <si>
    <t>Apropiaciones Fuente Nación por Sector</t>
  </si>
  <si>
    <t>Compromisos Fuente Nación por Sector</t>
  </si>
  <si>
    <t>Porcentaje de Ejecución - Compromisos/Apropiación Fuente Nación por Sector</t>
  </si>
  <si>
    <t>Obligaciones Fuente Nación por Sector</t>
  </si>
  <si>
    <t>Porcentaje de Ejecución - Obligación/Apropiación Fuente Nación por Sector</t>
  </si>
  <si>
    <t>Pagos Fuente Nación por Sector</t>
  </si>
  <si>
    <t>Porcentaje de Ejecución - Pagos/Apropiación Fuente Nación por Sector</t>
  </si>
  <si>
    <t>Apropiaciones Fuente Propios por Sector</t>
  </si>
  <si>
    <t>Compromisos Fuente Propios por Sector</t>
  </si>
  <si>
    <t>Porcentaje de Ejecución - Compromisos/Apropiación Fuente Propios por Sector</t>
  </si>
  <si>
    <t>Obligaciones Fuente Propios por Sector</t>
  </si>
  <si>
    <t>Porcentaje de Ejecución - Obligaciones/Apropiación Fuente Propios por Sector</t>
  </si>
  <si>
    <t>Pagos Fuente Propios por Sector</t>
  </si>
  <si>
    <t>Porcentaje de Ejecución - Pagos/Apropiación Fuente Propios por Sector</t>
  </si>
  <si>
    <t>Apropiaciones Presupuesto General de la Nación Funcionamiento por Sector</t>
  </si>
  <si>
    <t>TOTAL FUNCIONAMIENTO</t>
  </si>
  <si>
    <t>Compromisos Presupuesto General de la Nación Funcionamiento por Sector</t>
  </si>
  <si>
    <t>Porcentaje de Ejecución - Compromisos/Apropiación PGN Funcionamiento por Sector</t>
  </si>
  <si>
    <t>Obligaciones Presupuesto General de la Nación Funcionamiento por Sector</t>
  </si>
  <si>
    <t>Porcentaje de Ejecución - Obligaciones/Apropiación PGN Funcionamiento por Sector</t>
  </si>
  <si>
    <t xml:space="preserve">Pagos Presupuesto General de la Nación Funcionamiento por Sector </t>
  </si>
  <si>
    <t>Porcentaje de Ejecución -Pagos/Apropiación PGN Funcionamiento por Sector</t>
  </si>
  <si>
    <t>Cuadro No. 11.B Ejecución Sectorial Funcionamiento de gastos PGN por compromiso, obligaciones y pagos del 2019 al 2026</t>
  </si>
  <si>
    <t>2025*</t>
  </si>
  <si>
    <t>Compromisos Fuente Nación Funcionamiento por Sector</t>
  </si>
  <si>
    <t>Porcentaje de Ejecución - Compromisos/Apropiación Fuente Nación Funcionamiento por Sector</t>
  </si>
  <si>
    <t>Obligaciones Fuente Nación Funcionamiento por Sector</t>
  </si>
  <si>
    <t>Porcentaje de Ejecución - Obligaciones/Apropiación Fuente Nación Funcionamiento por Sector</t>
  </si>
  <si>
    <t>Pagos Fuente Nación Funcionamiento por Sector</t>
  </si>
  <si>
    <t>Porcentaje de Ejecución -Pagos/Apropiación Fuente Nación Funcionamiento por Sector</t>
  </si>
  <si>
    <t>Apropiaciones Fuente Propios Funcionamiento por Sector</t>
  </si>
  <si>
    <t>Compromisos Fuente Propios Funcionamiento por Sector</t>
  </si>
  <si>
    <t>Porcentaje de Ejecución - Compromisos/Apropiación Fuente Propios Funcionamiento por Sector</t>
  </si>
  <si>
    <t>Obligaciones Fuente Propios Funcionamiento por Sector</t>
  </si>
  <si>
    <t>Porcentaje de Ejecución - Obligaciones/Apropiación Fuente Propios Funcionamiento por Sector</t>
  </si>
  <si>
    <t>Pagos Fuente Propios Funcionamiento por Sector</t>
  </si>
  <si>
    <t>Porcentaje de Ejecución-Pagos/Apropiación Fuente Propios Funcionamiento por Sector</t>
  </si>
  <si>
    <t>Apropiaciones Presupuesto General de la Nación Inversión por Sector</t>
  </si>
  <si>
    <t>TOTAL INVERSIÓN</t>
  </si>
  <si>
    <t>Compromisos Presupuesto General de la Nación Inversión por Sector</t>
  </si>
  <si>
    <t>Porcentaje de Ejecución - Compromisos/Apropiación PGN Inversión por Sector</t>
  </si>
  <si>
    <t>Obligaciones Presupuesto General de la Nación Inversión por Sector</t>
  </si>
  <si>
    <t>Porcentaje de Ejecución - Obligaciones/Apropiación PGN Inversión por Sector</t>
  </si>
  <si>
    <t xml:space="preserve">Pagos Presupuesto General de la Nación Inversión por Sector </t>
  </si>
  <si>
    <t>Porcentaje de Ejecución -Pagos/Apropiación PGN Inversión por Sector</t>
  </si>
  <si>
    <t xml:space="preserve"> </t>
  </si>
  <si>
    <t>Apropiaciones Fuente Nación Inversión por Sector</t>
  </si>
  <si>
    <t>Compromisos Fuente Nación Inversión por Sector</t>
  </si>
  <si>
    <t>Porcentaje de Ejecución - Compromisos/Apropiación Fuente Nación Inversión por Sector</t>
  </si>
  <si>
    <t>Obligaciones Fuente Nación Inversión por Sector</t>
  </si>
  <si>
    <t>Porcentaje de Ejecución - Obligaciones/Apropiación Fuente Nación Inversión por Sector</t>
  </si>
  <si>
    <t>Pagos Fuente Nación Inversión por Sector</t>
  </si>
  <si>
    <t>Porcentaje de Ejecución -Pagos/Apropiación Fuente Nación Inversión por Sector</t>
  </si>
  <si>
    <t>Cuadro No. 16.A Ejecución Sectorial Inversión de gastos PGN Recurso Propios por compromiso, obligaciones y pagos del 2000 al 2018</t>
  </si>
  <si>
    <t>Apropiaciones Fuente Propios Inversión por Sector</t>
  </si>
  <si>
    <t>Compromisos Fuente Propios Inversión por Sector</t>
  </si>
  <si>
    <t>Porcentaje de Ejecución - Compromisos/Apropiación Fuente Propios Inversión por Sector</t>
  </si>
  <si>
    <t>Obligaciones Fuente Propios Inversión por Sector</t>
  </si>
  <si>
    <t>Porcentaje de Ejecución - Obligaciones/Apropiación Fuente Propios Inversión por Sector</t>
  </si>
  <si>
    <t>Pagos Fuente Propios Inversión por Sector</t>
  </si>
  <si>
    <t>Porcentaje de Ejecución -Pagos/Apropiación Fuente Propios Inversión por Sector</t>
  </si>
  <si>
    <t>Cuadro No. 16.B Ejecución Sectorial Inversión de gastos PGN Recurso Propios por compromiso, obligaciones y pagos del 2019 al 2026</t>
  </si>
  <si>
    <t>Cifras a precios constantes de 2026</t>
  </si>
  <si>
    <t>Valores en miles de millones de pesos (precios constantes de 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</si>
</sst>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1" formatCode="_-* #,##0_-;\-* #,##0_-;_-* &quot;-&quot;_-;_-@_-"/>
    <numFmt numFmtId="43" formatCode="_-* #,##0.00_-;\-* #,##0.00_-;_-* &quot;-&quot;??_-;_-@_-"/>
    <numFmt numFmtId="164" formatCode="_(* #,##0_);_(* \(#,##0\);_(* &quot;-&quot;??_);_(@_)"/>
    <numFmt numFmtId="165" formatCode="#,##0.0"/>
    <numFmt numFmtId="166" formatCode="_(* #,##0.0_);_(* \(#,##0.0\);_(* &quot;-&quot;??_);_(@_)"/>
    <numFmt numFmtId="167" formatCode="_-* #,##0.0_-;\-* #,##0.0_-;_-* &quot;-&quot;?_-;_-@_-"/>
    <numFmt numFmtId="168" formatCode="_-* #,##0_-;\-* #,##0_-;_-* &quot;-&quot;?_-;_-@_-"/>
    <numFmt numFmtId="169" formatCode="_(* #,##0.00_);_(* \(#,##0.00\);_(* \-??_);_(@_)"/>
    <numFmt numFmtId="170" formatCode="_-* #,##0.00\ _P_t_a_-;\-* #,##0.00\ _P_t_a_-;_-* &quot;-&quot;??\ _P_t_a_-;_-@_-"/>
    <numFmt numFmtId="171" formatCode="_ * #,##0.00_ ;_ * \-#,##0.00_ ;_ * &quot;-&quot;??_ ;_ @_ 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sz val="10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sz val="8"/>
      <color rgb="FFC00000"/>
      <name val="Arial"/>
      <family val="2"/>
    </font>
    <font>
      <b/>
      <u/>
      <sz val="8"/>
      <color rgb="FFC00000"/>
      <name val="Arial"/>
      <family val="2"/>
    </font>
    <font>
      <sz val="8"/>
      <color rgb="FFB68D47"/>
      <name val="Arial"/>
      <family val="2"/>
    </font>
    <font>
      <b/>
      <sz val="14"/>
      <color rgb="FF185D87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8"/>
      <color theme="0" tint="-0.249977111117893"/>
      <name val="Arial"/>
      <family val="2"/>
    </font>
    <font>
      <sz val="8"/>
      <color theme="0" tint="-0.34998626667073579"/>
      <name val="Arial"/>
      <family val="2"/>
    </font>
    <font>
      <b/>
      <sz val="14"/>
      <color theme="1"/>
      <name val="Arial"/>
      <family val="2"/>
    </font>
    <font>
      <i/>
      <sz val="8"/>
      <color theme="1"/>
      <name val="Arial"/>
      <family val="2"/>
    </font>
    <font>
      <i/>
      <sz val="8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 tint="0.249977111117893"/>
      <name val="Arial"/>
      <family val="2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rgb="FF185D87"/>
      <name val="Arial"/>
      <family val="2"/>
    </font>
    <font>
      <i/>
      <sz val="8"/>
      <color rgb="FF185D87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theme="4" tint="0.79998168889431442"/>
      </bottom>
      <diagonal/>
    </border>
    <border>
      <left/>
      <right/>
      <top style="thin">
        <color theme="4" tint="0.79998168889431442"/>
      </top>
      <bottom style="thin">
        <color theme="4" tint="0.79998168889431442"/>
      </bottom>
      <diagonal/>
    </border>
    <border>
      <left/>
      <right/>
      <top style="thin">
        <color theme="4" tint="0.79998168889431442"/>
      </top>
      <bottom/>
      <diagonal/>
    </border>
    <border>
      <left/>
      <right style="medium">
        <color rgb="FFB68D47"/>
      </right>
      <top/>
      <bottom style="thin">
        <color theme="4" tint="0.79998168889431442"/>
      </bottom>
      <diagonal/>
    </border>
    <border>
      <left/>
      <right style="thin">
        <color rgb="FF16ADB9"/>
      </right>
      <top/>
      <bottom/>
      <diagonal/>
    </border>
    <border>
      <left/>
      <right style="medium">
        <color rgb="FF16ADB9"/>
      </right>
      <top/>
      <bottom/>
      <diagonal/>
    </border>
    <border>
      <left/>
      <right style="medium">
        <color rgb="FF16ADB9"/>
      </right>
      <top style="thin">
        <color theme="4" tint="0.79998168889431442"/>
      </top>
      <bottom style="thin">
        <color theme="4" tint="0.79998168889431442"/>
      </bottom>
      <diagonal/>
    </border>
    <border>
      <left/>
      <right style="medium">
        <color rgb="FF16ADB9"/>
      </right>
      <top/>
      <bottom style="thin">
        <color theme="4" tint="0.79998168889431442"/>
      </bottom>
      <diagonal/>
    </border>
    <border>
      <left/>
      <right/>
      <top/>
      <bottom style="medium">
        <color rgb="FF16ADB9"/>
      </bottom>
      <diagonal/>
    </border>
    <border>
      <left/>
      <right style="medium">
        <color rgb="FF16ADB9"/>
      </right>
      <top/>
      <bottom style="medium">
        <color rgb="FF16ADB9"/>
      </bottom>
      <diagonal/>
    </border>
    <border>
      <left style="medium">
        <color rgb="FF16ADB9"/>
      </left>
      <right/>
      <top style="thin">
        <color theme="4" tint="0.79998168889431442"/>
      </top>
      <bottom style="thin">
        <color theme="4" tint="0.79998168889431442"/>
      </bottom>
      <diagonal/>
    </border>
    <border>
      <left style="medium">
        <color rgb="FF16ADB9"/>
      </left>
      <right/>
      <top/>
      <bottom style="medium">
        <color rgb="FF16ADB9"/>
      </bottom>
      <diagonal/>
    </border>
    <border>
      <left/>
      <right/>
      <top style="medium">
        <color rgb="FF16ADB9"/>
      </top>
      <bottom/>
      <diagonal/>
    </border>
    <border>
      <left/>
      <right/>
      <top style="medium">
        <color rgb="FF16ADB9"/>
      </top>
      <bottom style="medium">
        <color rgb="FF16ADB9"/>
      </bottom>
      <diagonal/>
    </border>
  </borders>
  <cellStyleXfs count="16">
    <xf numFmtId="0" fontId="0" fillId="0" borderId="0"/>
    <xf numFmtId="0" fontId="2" fillId="0" borderId="0"/>
    <xf numFmtId="169" fontId="2" fillId="0" borderId="0"/>
    <xf numFmtId="0" fontId="3" fillId="0" borderId="0"/>
    <xf numFmtId="9" fontId="3" fillId="0" borderId="0"/>
    <xf numFmtId="170" fontId="3" fillId="0" borderId="0"/>
    <xf numFmtId="171" fontId="3" fillId="0" borderId="0"/>
    <xf numFmtId="0" fontId="3" fillId="0" borderId="0"/>
    <xf numFmtId="43" fontId="1" fillId="0" borderId="0"/>
    <xf numFmtId="43" fontId="1" fillId="0" borderId="0"/>
    <xf numFmtId="41" fontId="1" fillId="0" borderId="0"/>
    <xf numFmtId="43" fontId="1" fillId="0" borderId="0"/>
    <xf numFmtId="43" fontId="5" fillId="0" borderId="0"/>
    <xf numFmtId="0" fontId="5" fillId="0" borderId="0"/>
    <xf numFmtId="41" fontId="5" fillId="0" borderId="0"/>
    <xf numFmtId="0" fontId="21" fillId="0" borderId="0"/>
  </cellStyleXfs>
  <cellXfs count="184">
    <xf numFmtId="0" fontId="0" fillId="0" borderId="0" xfId="0"/>
    <xf numFmtId="0" fontId="4" fillId="2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/>
    <xf numFmtId="11" fontId="5" fillId="0" borderId="0" xfId="0" applyNumberFormat="1" applyFont="1"/>
    <xf numFmtId="0" fontId="5" fillId="2" borderId="0" xfId="0" applyFont="1" applyFill="1"/>
    <xf numFmtId="164" fontId="5" fillId="2" borderId="0" xfId="9" applyNumberFormat="1" applyFont="1" applyFill="1"/>
    <xf numFmtId="0" fontId="4" fillId="0" borderId="0" xfId="0" applyFont="1" applyAlignment="1">
      <alignment horizontal="left" vertical="center"/>
    </xf>
    <xf numFmtId="164" fontId="5" fillId="0" borderId="0" xfId="0" applyNumberFormat="1" applyFont="1"/>
    <xf numFmtId="165" fontId="5" fillId="0" borderId="0" xfId="0" applyNumberFormat="1" applyFont="1"/>
    <xf numFmtId="43" fontId="5" fillId="0" borderId="0" xfId="9" applyFont="1"/>
    <xf numFmtId="41" fontId="5" fillId="0" borderId="0" xfId="10" applyFont="1"/>
    <xf numFmtId="3" fontId="6" fillId="0" borderId="0" xfId="0" applyNumberFormat="1" applyFont="1"/>
    <xf numFmtId="0" fontId="6" fillId="0" borderId="0" xfId="0" applyFont="1"/>
    <xf numFmtId="164" fontId="5" fillId="0" borderId="0" xfId="9" applyNumberFormat="1" applyFont="1"/>
    <xf numFmtId="0" fontId="6" fillId="0" borderId="0" xfId="0" applyFont="1" applyAlignment="1">
      <alignment horizontal="left"/>
    </xf>
    <xf numFmtId="0" fontId="7" fillId="0" borderId="0" xfId="0" applyFont="1"/>
    <xf numFmtId="0" fontId="6" fillId="0" borderId="0" xfId="0" applyFont="1" applyAlignment="1">
      <alignment horizontal="right" vertical="center" wrapText="1"/>
    </xf>
    <xf numFmtId="164" fontId="6" fillId="0" borderId="0" xfId="9" applyNumberFormat="1" applyFont="1" applyAlignment="1">
      <alignment horizontal="right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166" fontId="5" fillId="0" borderId="0" xfId="0" applyNumberFormat="1" applyFont="1"/>
    <xf numFmtId="167" fontId="5" fillId="0" borderId="0" xfId="0" applyNumberFormat="1" applyFont="1"/>
    <xf numFmtId="168" fontId="5" fillId="0" borderId="0" xfId="0" applyNumberFormat="1" applyFont="1"/>
    <xf numFmtId="41" fontId="6" fillId="0" borderId="0" xfId="10" applyFont="1"/>
    <xf numFmtId="0" fontId="8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9" fillId="0" borderId="0" xfId="0" applyFont="1" applyAlignment="1">
      <alignment horizontal="center"/>
    </xf>
    <xf numFmtId="165" fontId="5" fillId="2" borderId="0" xfId="0" applyNumberFormat="1" applyFont="1" applyFill="1"/>
    <xf numFmtId="0" fontId="6" fillId="2" borderId="0" xfId="0" applyFont="1" applyFill="1" applyAlignment="1">
      <alignment horizontal="center" vertical="center"/>
    </xf>
    <xf numFmtId="164" fontId="4" fillId="2" borderId="0" xfId="9" applyNumberFormat="1" applyFont="1" applyFill="1" applyAlignment="1">
      <alignment horizontal="right" vertical="center"/>
    </xf>
    <xf numFmtId="0" fontId="6" fillId="3" borderId="0" xfId="0" applyFont="1" applyFill="1" applyAlignment="1">
      <alignment horizontal="center" vertical="center"/>
    </xf>
    <xf numFmtId="164" fontId="6" fillId="3" borderId="0" xfId="9" applyNumberFormat="1" applyFont="1" applyFill="1" applyAlignment="1">
      <alignment horizontal="right" vertical="center"/>
    </xf>
    <xf numFmtId="0" fontId="6" fillId="4" borderId="2" xfId="0" applyFont="1" applyFill="1" applyBorder="1" applyAlignment="1">
      <alignment horizontal="center" vertical="center"/>
    </xf>
    <xf numFmtId="164" fontId="6" fillId="4" borderId="2" xfId="9" applyNumberFormat="1" applyFont="1" applyFill="1" applyBorder="1" applyAlignment="1">
      <alignment horizontal="right" vertical="center"/>
    </xf>
    <xf numFmtId="0" fontId="6" fillId="4" borderId="1" xfId="0" applyFont="1" applyFill="1" applyBorder="1" applyAlignment="1">
      <alignment horizontal="center" vertical="center"/>
    </xf>
    <xf numFmtId="164" fontId="6" fillId="4" borderId="1" xfId="9" applyNumberFormat="1" applyFont="1" applyFill="1" applyBorder="1" applyAlignment="1">
      <alignment horizontal="right" vertical="center"/>
    </xf>
    <xf numFmtId="0" fontId="4" fillId="2" borderId="0" xfId="0" applyFont="1" applyFill="1" applyAlignment="1">
      <alignment horizontal="center" vertical="center"/>
    </xf>
    <xf numFmtId="164" fontId="6" fillId="3" borderId="0" xfId="9" applyNumberFormat="1" applyFont="1" applyFill="1" applyAlignment="1">
      <alignment horizontal="right" vertical="center" wrapText="1"/>
    </xf>
    <xf numFmtId="164" fontId="4" fillId="2" borderId="0" xfId="9" applyNumberFormat="1" applyFont="1" applyFill="1" applyAlignment="1">
      <alignment horizontal="right" vertical="center" wrapText="1"/>
    </xf>
    <xf numFmtId="164" fontId="6" fillId="4" borderId="2" xfId="9" applyNumberFormat="1" applyFont="1" applyFill="1" applyBorder="1" applyAlignment="1">
      <alignment horizontal="right" vertical="center" wrapText="1"/>
    </xf>
    <xf numFmtId="164" fontId="6" fillId="4" borderId="1" xfId="9" applyNumberFormat="1" applyFont="1" applyFill="1" applyBorder="1" applyAlignment="1">
      <alignment horizontal="right" vertical="center" wrapText="1"/>
    </xf>
    <xf numFmtId="166" fontId="6" fillId="4" borderId="1" xfId="9" applyNumberFormat="1" applyFont="1" applyFill="1" applyBorder="1" applyAlignment="1">
      <alignment horizontal="right" vertical="center" wrapText="1"/>
    </xf>
    <xf numFmtId="166" fontId="6" fillId="3" borderId="0" xfId="9" applyNumberFormat="1" applyFont="1" applyFill="1" applyAlignment="1">
      <alignment horizontal="right" vertical="center" wrapText="1"/>
    </xf>
    <xf numFmtId="166" fontId="4" fillId="2" borderId="0" xfId="9" applyNumberFormat="1" applyFont="1" applyFill="1" applyAlignment="1">
      <alignment horizontal="right" vertical="center" wrapText="1"/>
    </xf>
    <xf numFmtId="166" fontId="6" fillId="4" borderId="2" xfId="9" applyNumberFormat="1" applyFont="1" applyFill="1" applyBorder="1" applyAlignment="1">
      <alignment horizontal="right" vertical="center" wrapText="1"/>
    </xf>
    <xf numFmtId="0" fontId="6" fillId="2" borderId="0" xfId="0" applyFont="1" applyFill="1" applyAlignment="1">
      <alignment vertical="center" wrapText="1"/>
    </xf>
    <xf numFmtId="164" fontId="4" fillId="3" borderId="0" xfId="9" applyNumberFormat="1" applyFont="1" applyFill="1" applyAlignment="1">
      <alignment horizontal="right" vertical="center" wrapText="1"/>
    </xf>
    <xf numFmtId="41" fontId="6" fillId="3" borderId="0" xfId="10" applyFont="1" applyFill="1" applyAlignment="1">
      <alignment horizontal="right" vertical="center" wrapText="1"/>
    </xf>
    <xf numFmtId="41" fontId="4" fillId="2" borderId="0" xfId="10" applyFont="1" applyFill="1" applyAlignment="1">
      <alignment horizontal="right" vertical="center" wrapText="1"/>
    </xf>
    <xf numFmtId="41" fontId="4" fillId="3" borderId="0" xfId="10" applyFont="1" applyFill="1" applyAlignment="1">
      <alignment horizontal="right" vertical="center" wrapText="1"/>
    </xf>
    <xf numFmtId="41" fontId="6" fillId="4" borderId="2" xfId="10" applyFont="1" applyFill="1" applyBorder="1" applyAlignment="1">
      <alignment horizontal="right" vertical="center" wrapText="1"/>
    </xf>
    <xf numFmtId="41" fontId="6" fillId="4" borderId="1" xfId="10" applyFont="1" applyFill="1" applyBorder="1" applyAlignment="1">
      <alignment horizontal="right" vertical="center" wrapText="1"/>
    </xf>
    <xf numFmtId="3" fontId="4" fillId="2" borderId="0" xfId="9" applyNumberFormat="1" applyFont="1" applyFill="1" applyAlignment="1">
      <alignment horizontal="right" vertical="center" wrapText="1"/>
    </xf>
    <xf numFmtId="3" fontId="4" fillId="3" borderId="0" xfId="9" applyNumberFormat="1" applyFont="1" applyFill="1" applyAlignment="1">
      <alignment horizontal="right" vertical="center" wrapText="1"/>
    </xf>
    <xf numFmtId="3" fontId="4" fillId="2" borderId="0" xfId="9" applyNumberFormat="1" applyFont="1" applyFill="1" applyAlignment="1">
      <alignment horizontal="right" vertical="top" wrapText="1"/>
    </xf>
    <xf numFmtId="3" fontId="4" fillId="3" borderId="0" xfId="9" applyNumberFormat="1" applyFont="1" applyFill="1" applyAlignment="1">
      <alignment horizontal="right" vertical="top" wrapText="1"/>
    </xf>
    <xf numFmtId="165" fontId="4" fillId="2" borderId="0" xfId="9" applyNumberFormat="1" applyFont="1" applyFill="1" applyAlignment="1">
      <alignment horizontal="right" vertical="center" wrapText="1"/>
    </xf>
    <xf numFmtId="165" fontId="4" fillId="2" borderId="0" xfId="9" applyNumberFormat="1" applyFont="1" applyFill="1" applyAlignment="1">
      <alignment horizontal="right" vertical="top" wrapText="1"/>
    </xf>
    <xf numFmtId="165" fontId="4" fillId="3" borderId="0" xfId="9" applyNumberFormat="1" applyFont="1" applyFill="1" applyAlignment="1">
      <alignment horizontal="right" vertical="center" wrapText="1"/>
    </xf>
    <xf numFmtId="165" fontId="4" fillId="3" borderId="0" xfId="9" applyNumberFormat="1" applyFont="1" applyFill="1" applyAlignment="1">
      <alignment horizontal="right" vertical="top" wrapText="1"/>
    </xf>
    <xf numFmtId="166" fontId="6" fillId="4" borderId="0" xfId="9" applyNumberFormat="1" applyFont="1" applyFill="1" applyAlignment="1">
      <alignment horizontal="right" vertical="center" wrapText="1"/>
    </xf>
    <xf numFmtId="3" fontId="4" fillId="2" borderId="0" xfId="0" applyNumberFormat="1" applyFont="1" applyFill="1" applyAlignment="1">
      <alignment horizontal="right" wrapText="1"/>
    </xf>
    <xf numFmtId="0" fontId="6" fillId="4" borderId="4" xfId="0" applyFont="1" applyFill="1" applyBorder="1" applyAlignment="1">
      <alignment horizontal="left" vertical="center"/>
    </xf>
    <xf numFmtId="0" fontId="10" fillId="0" borderId="0" xfId="0" applyFont="1" applyAlignment="1">
      <alignment vertical="center"/>
    </xf>
    <xf numFmtId="0" fontId="6" fillId="2" borderId="0" xfId="0" applyFont="1" applyFill="1" applyAlignment="1">
      <alignment horizontal="left" vertical="center"/>
    </xf>
    <xf numFmtId="166" fontId="6" fillId="2" borderId="0" xfId="9" applyNumberFormat="1" applyFont="1" applyFill="1" applyAlignment="1">
      <alignment horizontal="right" vertical="center" wrapText="1"/>
    </xf>
    <xf numFmtId="0" fontId="7" fillId="2" borderId="0" xfId="0" applyFont="1" applyFill="1"/>
    <xf numFmtId="164" fontId="6" fillId="2" borderId="0" xfId="9" applyNumberFormat="1" applyFont="1" applyFill="1" applyAlignment="1">
      <alignment horizontal="right" vertical="center" wrapText="1"/>
    </xf>
    <xf numFmtId="0" fontId="4" fillId="2" borderId="0" xfId="0" applyFont="1" applyFill="1" applyAlignment="1">
      <alignment horizontal="left" vertical="center"/>
    </xf>
    <xf numFmtId="41" fontId="6" fillId="2" borderId="0" xfId="10" applyFont="1" applyFill="1" applyAlignment="1">
      <alignment horizontal="right" vertical="center" wrapText="1"/>
    </xf>
    <xf numFmtId="165" fontId="6" fillId="4" borderId="1" xfId="9" applyNumberFormat="1" applyFont="1" applyFill="1" applyBorder="1" applyAlignment="1">
      <alignment horizontal="right" vertical="center" wrapText="1"/>
    </xf>
    <xf numFmtId="0" fontId="5" fillId="2" borderId="5" xfId="0" applyFont="1" applyFill="1" applyBorder="1"/>
    <xf numFmtId="0" fontId="6" fillId="3" borderId="6" xfId="0" applyFont="1" applyFill="1" applyBorder="1" applyAlignment="1">
      <alignment vertical="center"/>
    </xf>
    <xf numFmtId="0" fontId="4" fillId="2" borderId="6" xfId="0" applyFont="1" applyFill="1" applyBorder="1" applyAlignment="1">
      <alignment vertical="center"/>
    </xf>
    <xf numFmtId="0" fontId="6" fillId="4" borderId="7" xfId="0" applyFont="1" applyFill="1" applyBorder="1" applyAlignment="1">
      <alignment horizontal="left" vertical="center"/>
    </xf>
    <xf numFmtId="0" fontId="6" fillId="4" borderId="8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/>
    </xf>
    <xf numFmtId="166" fontId="6" fillId="4" borderId="11" xfId="9" applyNumberFormat="1" applyFont="1" applyFill="1" applyBorder="1" applyAlignment="1">
      <alignment horizontal="right" vertical="center" wrapText="1"/>
    </xf>
    <xf numFmtId="0" fontId="6" fillId="0" borderId="6" xfId="0" applyFont="1" applyBorder="1" applyAlignment="1">
      <alignment horizontal="left"/>
    </xf>
    <xf numFmtId="0" fontId="4" fillId="2" borderId="6" xfId="0" applyFont="1" applyFill="1" applyBorder="1" applyAlignment="1">
      <alignment horizontal="left" vertical="center" indent="1"/>
    </xf>
    <xf numFmtId="0" fontId="6" fillId="2" borderId="9" xfId="0" applyFont="1" applyFill="1" applyBorder="1" applyAlignment="1">
      <alignment vertical="center" wrapText="1"/>
    </xf>
    <xf numFmtId="0" fontId="4" fillId="3" borderId="6" xfId="0" applyFont="1" applyFill="1" applyBorder="1" applyAlignment="1">
      <alignment horizontal="left" vertical="center" indent="1"/>
    </xf>
    <xf numFmtId="0" fontId="4" fillId="3" borderId="6" xfId="0" applyFont="1" applyFill="1" applyBorder="1" applyAlignment="1">
      <alignment vertical="center"/>
    </xf>
    <xf numFmtId="164" fontId="4" fillId="2" borderId="6" xfId="0" applyNumberFormat="1" applyFont="1" applyFill="1" applyBorder="1" applyAlignment="1">
      <alignment vertical="center"/>
    </xf>
    <xf numFmtId="164" fontId="4" fillId="3" borderId="6" xfId="0" applyNumberFormat="1" applyFont="1" applyFill="1" applyBorder="1" applyAlignment="1">
      <alignment vertical="center"/>
    </xf>
    <xf numFmtId="164" fontId="4" fillId="3" borderId="6" xfId="0" applyNumberFormat="1" applyFont="1" applyFill="1" applyBorder="1" applyAlignment="1">
      <alignment vertical="center" wrapText="1"/>
    </xf>
    <xf numFmtId="164" fontId="4" fillId="2" borderId="6" xfId="0" applyNumberFormat="1" applyFont="1" applyFill="1" applyBorder="1" applyAlignment="1">
      <alignment vertical="center" wrapText="1"/>
    </xf>
    <xf numFmtId="0" fontId="6" fillId="4" borderId="6" xfId="0" applyFont="1" applyFill="1" applyBorder="1" applyAlignment="1">
      <alignment horizontal="left" vertic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12" fillId="0" borderId="0" xfId="0" applyFont="1"/>
    <xf numFmtId="0" fontId="13" fillId="0" borderId="0" xfId="0" applyFont="1"/>
    <xf numFmtId="0" fontId="12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165" fontId="5" fillId="0" borderId="0" xfId="0" applyNumberFormat="1" applyFont="1" applyAlignment="1">
      <alignment vertical="center"/>
    </xf>
    <xf numFmtId="164" fontId="6" fillId="3" borderId="0" xfId="9" applyNumberFormat="1" applyFont="1" applyFill="1" applyAlignment="1">
      <alignment vertical="center" wrapText="1"/>
    </xf>
    <xf numFmtId="164" fontId="4" fillId="2" borderId="0" xfId="9" applyNumberFormat="1" applyFont="1" applyFill="1" applyAlignment="1">
      <alignment vertical="center" wrapText="1"/>
    </xf>
    <xf numFmtId="164" fontId="6" fillId="4" borderId="2" xfId="9" applyNumberFormat="1" applyFont="1" applyFill="1" applyBorder="1" applyAlignment="1">
      <alignment vertical="center" wrapText="1"/>
    </xf>
    <xf numFmtId="164" fontId="6" fillId="4" borderId="1" xfId="9" applyNumberFormat="1" applyFont="1" applyFill="1" applyBorder="1" applyAlignment="1">
      <alignment vertical="center" wrapText="1"/>
    </xf>
    <xf numFmtId="166" fontId="6" fillId="4" borderId="1" xfId="9" applyNumberFormat="1" applyFont="1" applyFill="1" applyBorder="1" applyAlignment="1">
      <alignment vertical="center" wrapText="1"/>
    </xf>
    <xf numFmtId="166" fontId="6" fillId="2" borderId="0" xfId="9" applyNumberFormat="1" applyFont="1" applyFill="1" applyAlignment="1">
      <alignment vertical="center" wrapText="1"/>
    </xf>
    <xf numFmtId="166" fontId="5" fillId="0" borderId="0" xfId="9" applyNumberFormat="1" applyFont="1"/>
    <xf numFmtId="166" fontId="5" fillId="0" borderId="0" xfId="9" applyNumberFormat="1" applyFont="1" applyAlignment="1">
      <alignment horizontal="left" vertical="center"/>
    </xf>
    <xf numFmtId="166" fontId="5" fillId="2" borderId="0" xfId="9" applyNumberFormat="1" applyFont="1" applyFill="1"/>
    <xf numFmtId="166" fontId="6" fillId="4" borderId="2" xfId="9" applyNumberFormat="1" applyFont="1" applyFill="1" applyBorder="1" applyAlignment="1">
      <alignment vertical="center" wrapText="1"/>
    </xf>
    <xf numFmtId="166" fontId="7" fillId="0" borderId="0" xfId="9" applyNumberFormat="1" applyFont="1"/>
    <xf numFmtId="0" fontId="6" fillId="2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"/>
    </xf>
    <xf numFmtId="166" fontId="4" fillId="3" borderId="0" xfId="9" applyNumberFormat="1" applyFont="1" applyFill="1" applyAlignment="1">
      <alignment horizontal="right" vertical="center" wrapText="1"/>
    </xf>
    <xf numFmtId="164" fontId="6" fillId="2" borderId="0" xfId="9" applyNumberFormat="1" applyFont="1" applyFill="1" applyAlignment="1">
      <alignment vertical="center" wrapText="1"/>
    </xf>
    <xf numFmtId="0" fontId="5" fillId="2" borderId="0" xfId="0" applyFont="1" applyFill="1" applyAlignment="1">
      <alignment horizontal="left" vertical="center"/>
    </xf>
    <xf numFmtId="166" fontId="6" fillId="3" borderId="0" xfId="9" applyNumberFormat="1" applyFont="1" applyFill="1" applyAlignment="1">
      <alignment vertical="center" wrapText="1"/>
    </xf>
    <xf numFmtId="0" fontId="15" fillId="0" borderId="0" xfId="0" applyFont="1" applyAlignment="1">
      <alignment vertical="center"/>
    </xf>
    <xf numFmtId="164" fontId="16" fillId="2" borderId="0" xfId="9" applyNumberFormat="1" applyFont="1" applyFill="1" applyAlignment="1">
      <alignment horizontal="right" vertical="center" wrapText="1"/>
    </xf>
    <xf numFmtId="0" fontId="15" fillId="0" borderId="0" xfId="0" applyFont="1" applyAlignment="1">
      <alignment horizontal="left" vertical="center"/>
    </xf>
    <xf numFmtId="165" fontId="16" fillId="2" borderId="0" xfId="0" applyNumberFormat="1" applyFont="1" applyFill="1"/>
    <xf numFmtId="164" fontId="16" fillId="2" borderId="0" xfId="9" applyNumberFormat="1" applyFont="1" applyFill="1"/>
    <xf numFmtId="0" fontId="6" fillId="2" borderId="0" xfId="0" applyFont="1" applyFill="1" applyAlignment="1">
      <alignment horizontal="right" vertical="center" wrapText="1"/>
    </xf>
    <xf numFmtId="0" fontId="6" fillId="2" borderId="9" xfId="0" applyFont="1" applyFill="1" applyBorder="1" applyAlignment="1">
      <alignment horizontal="right" vertical="center" wrapText="1"/>
    </xf>
    <xf numFmtId="0" fontId="6" fillId="2" borderId="10" xfId="0" applyFont="1" applyFill="1" applyBorder="1" applyAlignment="1">
      <alignment horizontal="left" vertical="center" wrapText="1"/>
    </xf>
    <xf numFmtId="0" fontId="6" fillId="2" borderId="0" xfId="0" applyFont="1" applyFill="1" applyAlignment="1">
      <alignment horizontal="left" vertical="center" wrapText="1"/>
    </xf>
    <xf numFmtId="0" fontId="14" fillId="0" borderId="0" xfId="0" applyFont="1" applyAlignment="1">
      <alignment vertical="center" wrapText="1"/>
    </xf>
    <xf numFmtId="0" fontId="17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7" fillId="2" borderId="0" xfId="0" applyFont="1" applyFill="1" applyAlignment="1">
      <alignment horizontal="center" vertical="center" wrapText="1"/>
    </xf>
    <xf numFmtId="0" fontId="19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6" fillId="2" borderId="13" xfId="0" applyFont="1" applyFill="1" applyBorder="1" applyAlignment="1">
      <alignment vertical="center" wrapText="1"/>
    </xf>
    <xf numFmtId="0" fontId="19" fillId="2" borderId="9" xfId="0" applyFont="1" applyFill="1" applyBorder="1"/>
    <xf numFmtId="0" fontId="11" fillId="2" borderId="0" xfId="0" applyFont="1" applyFill="1" applyAlignment="1">
      <alignment vertical="center"/>
    </xf>
    <xf numFmtId="0" fontId="11" fillId="0" borderId="0" xfId="0" applyFont="1" applyAlignment="1">
      <alignment vertical="center" wrapText="1"/>
    </xf>
    <xf numFmtId="0" fontId="18" fillId="0" borderId="0" xfId="0" applyFont="1" applyAlignment="1">
      <alignment horizontal="center" vertical="center" wrapText="1"/>
    </xf>
    <xf numFmtId="0" fontId="6" fillId="2" borderId="6" xfId="0" applyFont="1" applyFill="1" applyBorder="1" applyAlignment="1">
      <alignment vertical="center" wrapText="1"/>
    </xf>
    <xf numFmtId="0" fontId="18" fillId="0" borderId="0" xfId="0" applyFont="1" applyAlignment="1">
      <alignment vertical="center" wrapText="1"/>
    </xf>
    <xf numFmtId="0" fontId="22" fillId="0" borderId="0" xfId="15" applyFont="1" applyAlignment="1">
      <alignment vertical="center"/>
    </xf>
    <xf numFmtId="0" fontId="22" fillId="0" borderId="0" xfId="15" applyFont="1"/>
    <xf numFmtId="0" fontId="11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4" fillId="0" borderId="0" xfId="0" applyFont="1"/>
    <xf numFmtId="0" fontId="19" fillId="0" borderId="0" xfId="0" applyFont="1" applyAlignment="1">
      <alignment horizontal="center" vertical="center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center" vertical="center"/>
    </xf>
    <xf numFmtId="0" fontId="20" fillId="0" borderId="0" xfId="0" applyFont="1" applyAlignment="1">
      <alignment vertical="center"/>
    </xf>
    <xf numFmtId="0" fontId="7" fillId="2" borderId="0" xfId="0" applyFont="1" applyFill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6" fillId="2" borderId="9" xfId="0" applyFont="1" applyFill="1" applyBorder="1" applyAlignment="1">
      <alignment horizontal="center" vertical="center" wrapText="1"/>
    </xf>
    <xf numFmtId="0" fontId="0" fillId="0" borderId="9" xfId="0" applyBorder="1"/>
    <xf numFmtId="0" fontId="6" fillId="2" borderId="10" xfId="0" applyFont="1" applyFill="1" applyBorder="1" applyAlignment="1">
      <alignment horizontal="left" vertical="center" wrapText="1"/>
    </xf>
    <xf numFmtId="0" fontId="0" fillId="0" borderId="10" xfId="0" applyBorder="1"/>
    <xf numFmtId="0" fontId="4" fillId="0" borderId="0" xfId="0" applyFont="1" applyAlignment="1">
      <alignment horizontal="center" vertical="center"/>
    </xf>
    <xf numFmtId="0" fontId="5" fillId="0" borderId="0" xfId="0" applyFont="1"/>
    <xf numFmtId="0" fontId="18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6" fillId="0" borderId="0" xfId="0" applyFont="1" applyAlignment="1">
      <alignment horizontal="left" vertical="center"/>
    </xf>
    <xf numFmtId="0" fontId="6" fillId="2" borderId="9" xfId="0" applyFont="1" applyFill="1" applyBorder="1" applyAlignment="1">
      <alignment horizontal="right" vertical="center" wrapText="1"/>
    </xf>
    <xf numFmtId="0" fontId="25" fillId="0" borderId="0" xfId="0" applyFont="1" applyAlignment="1">
      <alignment horizontal="center" vertical="center" wrapText="1"/>
    </xf>
    <xf numFmtId="0" fontId="25" fillId="0" borderId="0" xfId="0" applyFont="1" applyAlignment="1">
      <alignment horizontal="left" vertical="center" wrapText="1"/>
    </xf>
    <xf numFmtId="0" fontId="6" fillId="2" borderId="9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20" fillId="2" borderId="9" xfId="0" applyFont="1" applyFill="1" applyBorder="1" applyAlignment="1">
      <alignment horizontal="center" vertical="center" wrapText="1"/>
    </xf>
    <xf numFmtId="0" fontId="5" fillId="2" borderId="0" xfId="0" applyFont="1" applyFill="1"/>
    <xf numFmtId="166" fontId="5" fillId="0" borderId="0" xfId="9" applyNumberFormat="1" applyFont="1"/>
    <xf numFmtId="0" fontId="6" fillId="2" borderId="14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11" fillId="2" borderId="0" xfId="0" applyFont="1" applyFill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8" fillId="0" borderId="0" xfId="0" applyFont="1" applyAlignment="1">
      <alignment horizontal="right" vertical="center"/>
    </xf>
    <xf numFmtId="165" fontId="5" fillId="0" borderId="0" xfId="0" applyNumberFormat="1" applyFont="1" applyAlignment="1">
      <alignment vertical="center"/>
    </xf>
    <xf numFmtId="0" fontId="6" fillId="2" borderId="10" xfId="0" applyFont="1" applyFill="1" applyBorder="1" applyAlignment="1">
      <alignment horizontal="left" vertical="center" wrapText="1" indent="1"/>
    </xf>
    <xf numFmtId="165" fontId="5" fillId="0" borderId="0" xfId="0" applyNumberFormat="1" applyFont="1"/>
    <xf numFmtId="0" fontId="18" fillId="0" borderId="0" xfId="0" applyFont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0" fillId="0" borderId="12" xfId="0" applyBorder="1"/>
    <xf numFmtId="43" fontId="11" fillId="0" borderId="0" xfId="9" applyFont="1" applyAlignment="1">
      <alignment horizontal="center" vertical="center"/>
    </xf>
    <xf numFmtId="0" fontId="11" fillId="0" borderId="0" xfId="0" applyFont="1" applyAlignment="1">
      <alignment horizontal="left" vertical="center"/>
    </xf>
  </cellXfs>
  <cellStyles count="16">
    <cellStyle name="Hipervínculo" xfId="15" builtinId="8"/>
    <cellStyle name="Millares" xfId="9" builtinId="3"/>
    <cellStyle name="Millares [0]" xfId="10" builtinId="6"/>
    <cellStyle name="Millares [0] 2" xfId="14" xr:uid="{00000000-0005-0000-0000-00000E000000}"/>
    <cellStyle name="Millares 2" xfId="2" xr:uid="{00000000-0005-0000-0000-000002000000}"/>
    <cellStyle name="Millares 2 2" xfId="6" xr:uid="{00000000-0005-0000-0000-000006000000}"/>
    <cellStyle name="Millares 2 3" xfId="5" xr:uid="{00000000-0005-0000-0000-000005000000}"/>
    <cellStyle name="Millares 3" xfId="12" xr:uid="{00000000-0005-0000-0000-00000C000000}"/>
    <cellStyle name="Millares 8" xfId="8" xr:uid="{00000000-0005-0000-0000-000008000000}"/>
    <cellStyle name="Millares 9" xfId="11" xr:uid="{00000000-0005-0000-0000-00000B000000}"/>
    <cellStyle name="Normal" xfId="0" builtinId="0"/>
    <cellStyle name="Normal 2" xfId="1" xr:uid="{00000000-0005-0000-0000-000001000000}"/>
    <cellStyle name="Normal 2 2" xfId="7" xr:uid="{00000000-0005-0000-0000-000007000000}"/>
    <cellStyle name="Normal 2 3" xfId="3" xr:uid="{00000000-0005-0000-0000-000003000000}"/>
    <cellStyle name="Normal 3" xfId="13" xr:uid="{00000000-0005-0000-0000-00000D000000}"/>
    <cellStyle name="Porcentual 2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390525</xdr:colOff>
      <xdr:row>0</xdr:row>
      <xdr:rowOff>104775</xdr:rowOff>
    </xdr:from>
    <xdr:to>
      <xdr:col>0</xdr:col>
      <xdr:colOff>1141094</xdr:colOff>
      <xdr:row>3</xdr:row>
      <xdr:rowOff>114299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0525" y="104775"/>
          <a:ext cx="750569" cy="552449"/>
        </a:xfrm>
        <a:prstGeom prst="rect">
          <a:avLst/>
        </a:prstGeom>
        <a:noFill/>
        <a:ln>
          <a:prstDash val="solid"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104776</xdr:rowOff>
    </xdr:from>
    <xdr:to>
      <xdr:col>2</xdr:col>
      <xdr:colOff>428625</xdr:colOff>
      <xdr:row>2</xdr:row>
      <xdr:rowOff>190452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104776"/>
          <a:ext cx="685800" cy="504776"/>
        </a:xfrm>
        <a:prstGeom prst="rect">
          <a:avLst/>
        </a:prstGeom>
        <a:noFill/>
        <a:ln>
          <a:prstDash val="solid"/>
        </a:ln>
      </xdr:spPr>
    </xdr:pic>
    <xdr:clientData/>
  </xdr:twoCellAnchor>
  <xdr:twoCellAnchor editAs="oneCell">
    <xdr:from>
      <xdr:col>2</xdr:col>
      <xdr:colOff>2009775</xdr:colOff>
      <xdr:row>0</xdr:row>
      <xdr:rowOff>76200</xdr:rowOff>
    </xdr:from>
    <xdr:to>
      <xdr:col>2</xdr:col>
      <xdr:colOff>3004186</xdr:colOff>
      <xdr:row>2</xdr:row>
      <xdr:rowOff>67411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371725" y="76200"/>
          <a:ext cx="994411" cy="410311"/>
        </a:xfrm>
        <a:prstGeom prst="rect">
          <a:avLst/>
        </a:prstGeom>
        <a:noFill/>
        <a:ln>
          <a:prstDash val="solid"/>
        </a:ln>
      </xdr:spPr>
    </xdr:pic>
    <xdr:clientData/>
  </xdr:twoCellAnchor>
  <xdr:twoCellAnchor>
    <xdr:from>
      <xdr:col>2</xdr:col>
      <xdr:colOff>1114020</xdr:colOff>
      <xdr:row>0</xdr:row>
      <xdr:rowOff>154080</xdr:rowOff>
    </xdr:from>
    <xdr:to>
      <xdr:col>2</xdr:col>
      <xdr:colOff>1396813</xdr:colOff>
      <xdr:row>1</xdr:row>
      <xdr:rowOff>188726</xdr:rowOff>
    </xdr:to>
    <xdr:pic>
      <xdr:nvPicPr>
        <xdr:cNvPr id="8" name="Imagen 7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475970" y="154080"/>
          <a:ext cx="282793" cy="244196"/>
        </a:xfrm>
        <a:prstGeom prst="rect">
          <a:avLst/>
        </a:prstGeom>
        <a:ln w="19050">
          <a:solidFill>
            <a:srgbClr val="185D87"/>
          </a:solidFill>
          <a:prstDash val="solid"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28576</xdr:rowOff>
    </xdr:from>
    <xdr:to>
      <xdr:col>2</xdr:col>
      <xdr:colOff>409575</xdr:colOff>
      <xdr:row>2</xdr:row>
      <xdr:rowOff>114252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725" y="28576"/>
          <a:ext cx="685800" cy="504776"/>
        </a:xfrm>
        <a:prstGeom prst="rect">
          <a:avLst/>
        </a:prstGeom>
        <a:noFill/>
        <a:ln>
          <a:prstDash val="solid"/>
        </a:ln>
      </xdr:spPr>
    </xdr:pic>
    <xdr:clientData/>
  </xdr:twoCellAnchor>
  <xdr:twoCellAnchor editAs="oneCell">
    <xdr:from>
      <xdr:col>2</xdr:col>
      <xdr:colOff>1990725</xdr:colOff>
      <xdr:row>0</xdr:row>
      <xdr:rowOff>0</xdr:rowOff>
    </xdr:from>
    <xdr:to>
      <xdr:col>2</xdr:col>
      <xdr:colOff>2985136</xdr:colOff>
      <xdr:row>1</xdr:row>
      <xdr:rowOff>200761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352675" y="0"/>
          <a:ext cx="994411" cy="410311"/>
        </a:xfrm>
        <a:prstGeom prst="rect">
          <a:avLst/>
        </a:prstGeom>
        <a:noFill/>
        <a:ln>
          <a:prstDash val="solid"/>
        </a:ln>
      </xdr:spPr>
    </xdr:pic>
    <xdr:clientData/>
  </xdr:twoCellAnchor>
  <xdr:twoCellAnchor>
    <xdr:from>
      <xdr:col>2</xdr:col>
      <xdr:colOff>1094970</xdr:colOff>
      <xdr:row>0</xdr:row>
      <xdr:rowOff>58830</xdr:rowOff>
    </xdr:from>
    <xdr:to>
      <xdr:col>2</xdr:col>
      <xdr:colOff>1377763</xdr:colOff>
      <xdr:row>1</xdr:row>
      <xdr:rowOff>93476</xdr:rowOff>
    </xdr:to>
    <xdr:pic>
      <xdr:nvPicPr>
        <xdr:cNvPr id="8" name="Imagen 7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456920" y="58830"/>
          <a:ext cx="282793" cy="244196"/>
        </a:xfrm>
        <a:prstGeom prst="rect">
          <a:avLst/>
        </a:prstGeom>
        <a:ln w="19050">
          <a:solidFill>
            <a:srgbClr val="185D87"/>
          </a:solidFill>
          <a:prstDash val="solid"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152401</xdr:rowOff>
    </xdr:from>
    <xdr:to>
      <xdr:col>2</xdr:col>
      <xdr:colOff>409575</xdr:colOff>
      <xdr:row>3</xdr:row>
      <xdr:rowOff>28527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725" y="152401"/>
          <a:ext cx="685800" cy="504776"/>
        </a:xfrm>
        <a:prstGeom prst="rect">
          <a:avLst/>
        </a:prstGeom>
        <a:noFill/>
        <a:ln>
          <a:prstDash val="solid"/>
        </a:ln>
      </xdr:spPr>
    </xdr:pic>
    <xdr:clientData/>
  </xdr:twoCellAnchor>
  <xdr:twoCellAnchor editAs="oneCell">
    <xdr:from>
      <xdr:col>2</xdr:col>
      <xdr:colOff>1990725</xdr:colOff>
      <xdr:row>0</xdr:row>
      <xdr:rowOff>123825</xdr:rowOff>
    </xdr:from>
    <xdr:to>
      <xdr:col>2</xdr:col>
      <xdr:colOff>2985136</xdr:colOff>
      <xdr:row>2</xdr:row>
      <xdr:rowOff>115036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352675" y="123825"/>
          <a:ext cx="994411" cy="410311"/>
        </a:xfrm>
        <a:prstGeom prst="rect">
          <a:avLst/>
        </a:prstGeom>
        <a:noFill/>
        <a:ln>
          <a:prstDash val="solid"/>
        </a:ln>
      </xdr:spPr>
    </xdr:pic>
    <xdr:clientData/>
  </xdr:twoCellAnchor>
  <xdr:twoCellAnchor>
    <xdr:from>
      <xdr:col>2</xdr:col>
      <xdr:colOff>1094970</xdr:colOff>
      <xdr:row>0</xdr:row>
      <xdr:rowOff>96930</xdr:rowOff>
    </xdr:from>
    <xdr:to>
      <xdr:col>2</xdr:col>
      <xdr:colOff>1377763</xdr:colOff>
      <xdr:row>1</xdr:row>
      <xdr:rowOff>131576</xdr:rowOff>
    </xdr:to>
    <xdr:pic>
      <xdr:nvPicPr>
        <xdr:cNvPr id="8" name="Imagen 7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C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456920" y="96930"/>
          <a:ext cx="282793" cy="244196"/>
        </a:xfrm>
        <a:prstGeom prst="rect">
          <a:avLst/>
        </a:prstGeom>
        <a:ln w="19050">
          <a:solidFill>
            <a:srgbClr val="185D87"/>
          </a:solidFill>
          <a:prstDash val="solid"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28576</xdr:rowOff>
    </xdr:from>
    <xdr:to>
      <xdr:col>2</xdr:col>
      <xdr:colOff>409575</xdr:colOff>
      <xdr:row>2</xdr:row>
      <xdr:rowOff>114252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D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725" y="28576"/>
          <a:ext cx="685800" cy="504776"/>
        </a:xfrm>
        <a:prstGeom prst="rect">
          <a:avLst/>
        </a:prstGeom>
        <a:noFill/>
        <a:ln>
          <a:prstDash val="solid"/>
        </a:ln>
      </xdr:spPr>
    </xdr:pic>
    <xdr:clientData/>
  </xdr:twoCellAnchor>
  <xdr:twoCellAnchor editAs="oneCell">
    <xdr:from>
      <xdr:col>2</xdr:col>
      <xdr:colOff>1990725</xdr:colOff>
      <xdr:row>0</xdr:row>
      <xdr:rowOff>0</xdr:rowOff>
    </xdr:from>
    <xdr:to>
      <xdr:col>2</xdr:col>
      <xdr:colOff>2985136</xdr:colOff>
      <xdr:row>1</xdr:row>
      <xdr:rowOff>200761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0D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352675" y="0"/>
          <a:ext cx="994411" cy="410311"/>
        </a:xfrm>
        <a:prstGeom prst="rect">
          <a:avLst/>
        </a:prstGeom>
        <a:noFill/>
        <a:ln>
          <a:prstDash val="solid"/>
        </a:ln>
      </xdr:spPr>
    </xdr:pic>
    <xdr:clientData/>
  </xdr:twoCellAnchor>
  <xdr:twoCellAnchor>
    <xdr:from>
      <xdr:col>2</xdr:col>
      <xdr:colOff>1094970</xdr:colOff>
      <xdr:row>0</xdr:row>
      <xdr:rowOff>77880</xdr:rowOff>
    </xdr:from>
    <xdr:to>
      <xdr:col>2</xdr:col>
      <xdr:colOff>1377763</xdr:colOff>
      <xdr:row>1</xdr:row>
      <xdr:rowOff>112526</xdr:rowOff>
    </xdr:to>
    <xdr:pic>
      <xdr:nvPicPr>
        <xdr:cNvPr id="13" name="Imagen 12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D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456920" y="77880"/>
          <a:ext cx="282793" cy="244196"/>
        </a:xfrm>
        <a:prstGeom prst="rect">
          <a:avLst/>
        </a:prstGeom>
        <a:ln w="19050">
          <a:solidFill>
            <a:srgbClr val="185D87"/>
          </a:solidFill>
          <a:prstDash val="solid"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171451</xdr:rowOff>
    </xdr:from>
    <xdr:to>
      <xdr:col>2</xdr:col>
      <xdr:colOff>409575</xdr:colOff>
      <xdr:row>3</xdr:row>
      <xdr:rowOff>47577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00000000-0008-0000-0E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725" y="171451"/>
          <a:ext cx="685800" cy="504776"/>
        </a:xfrm>
        <a:prstGeom prst="rect">
          <a:avLst/>
        </a:prstGeom>
        <a:noFill/>
        <a:ln>
          <a:prstDash val="solid"/>
        </a:ln>
      </xdr:spPr>
    </xdr:pic>
    <xdr:clientData/>
  </xdr:twoCellAnchor>
  <xdr:twoCellAnchor editAs="oneCell">
    <xdr:from>
      <xdr:col>2</xdr:col>
      <xdr:colOff>1990725</xdr:colOff>
      <xdr:row>0</xdr:row>
      <xdr:rowOff>142875</xdr:rowOff>
    </xdr:from>
    <xdr:to>
      <xdr:col>2</xdr:col>
      <xdr:colOff>2985136</xdr:colOff>
      <xdr:row>2</xdr:row>
      <xdr:rowOff>134086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00000000-0008-0000-0E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352675" y="142875"/>
          <a:ext cx="994411" cy="410311"/>
        </a:xfrm>
        <a:prstGeom prst="rect">
          <a:avLst/>
        </a:prstGeom>
        <a:noFill/>
        <a:ln>
          <a:prstDash val="solid"/>
        </a:ln>
      </xdr:spPr>
    </xdr:pic>
    <xdr:clientData/>
  </xdr:twoCellAnchor>
  <xdr:twoCellAnchor>
    <xdr:from>
      <xdr:col>2</xdr:col>
      <xdr:colOff>1094970</xdr:colOff>
      <xdr:row>0</xdr:row>
      <xdr:rowOff>77880</xdr:rowOff>
    </xdr:from>
    <xdr:to>
      <xdr:col>2</xdr:col>
      <xdr:colOff>1377763</xdr:colOff>
      <xdr:row>1</xdr:row>
      <xdr:rowOff>112526</xdr:rowOff>
    </xdr:to>
    <xdr:pic>
      <xdr:nvPicPr>
        <xdr:cNvPr id="17" name="Imagen 16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E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456920" y="77880"/>
          <a:ext cx="282793" cy="244196"/>
        </a:xfrm>
        <a:prstGeom prst="rect">
          <a:avLst/>
        </a:prstGeom>
        <a:ln w="19050">
          <a:solidFill>
            <a:srgbClr val="185D87"/>
          </a:solidFill>
          <a:prstDash val="solid"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28576</xdr:rowOff>
    </xdr:from>
    <xdr:to>
      <xdr:col>2</xdr:col>
      <xdr:colOff>390525</xdr:colOff>
      <xdr:row>2</xdr:row>
      <xdr:rowOff>114252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F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675" y="28576"/>
          <a:ext cx="685800" cy="504776"/>
        </a:xfrm>
        <a:prstGeom prst="rect">
          <a:avLst/>
        </a:prstGeom>
        <a:noFill/>
        <a:ln>
          <a:prstDash val="solid"/>
        </a:ln>
      </xdr:spPr>
    </xdr:pic>
    <xdr:clientData/>
  </xdr:twoCellAnchor>
  <xdr:twoCellAnchor editAs="oneCell">
    <xdr:from>
      <xdr:col>2</xdr:col>
      <xdr:colOff>1971675</xdr:colOff>
      <xdr:row>0</xdr:row>
      <xdr:rowOff>0</xdr:rowOff>
    </xdr:from>
    <xdr:to>
      <xdr:col>2</xdr:col>
      <xdr:colOff>2966086</xdr:colOff>
      <xdr:row>1</xdr:row>
      <xdr:rowOff>200761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0F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333625" y="0"/>
          <a:ext cx="994411" cy="410311"/>
        </a:xfrm>
        <a:prstGeom prst="rect">
          <a:avLst/>
        </a:prstGeom>
        <a:noFill/>
        <a:ln>
          <a:prstDash val="solid"/>
        </a:ln>
      </xdr:spPr>
    </xdr:pic>
    <xdr:clientData/>
  </xdr:twoCellAnchor>
  <xdr:twoCellAnchor>
    <xdr:from>
      <xdr:col>2</xdr:col>
      <xdr:colOff>1075920</xdr:colOff>
      <xdr:row>0</xdr:row>
      <xdr:rowOff>125505</xdr:rowOff>
    </xdr:from>
    <xdr:to>
      <xdr:col>2</xdr:col>
      <xdr:colOff>1358713</xdr:colOff>
      <xdr:row>1</xdr:row>
      <xdr:rowOff>160151</xdr:rowOff>
    </xdr:to>
    <xdr:pic>
      <xdr:nvPicPr>
        <xdr:cNvPr id="13" name="Imagen 12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F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437870" y="125505"/>
          <a:ext cx="282793" cy="244196"/>
        </a:xfrm>
        <a:prstGeom prst="rect">
          <a:avLst/>
        </a:prstGeom>
        <a:ln w="19050">
          <a:solidFill>
            <a:srgbClr val="185D87"/>
          </a:solidFill>
          <a:prstDash val="solid"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95251</xdr:rowOff>
    </xdr:from>
    <xdr:to>
      <xdr:col>2</xdr:col>
      <xdr:colOff>419100</xdr:colOff>
      <xdr:row>2</xdr:row>
      <xdr:rowOff>180927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1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0" y="95251"/>
          <a:ext cx="685800" cy="504776"/>
        </a:xfrm>
        <a:prstGeom prst="rect">
          <a:avLst/>
        </a:prstGeom>
        <a:noFill/>
        <a:ln>
          <a:prstDash val="solid"/>
        </a:ln>
      </xdr:spPr>
    </xdr:pic>
    <xdr:clientData/>
  </xdr:twoCellAnchor>
  <xdr:twoCellAnchor editAs="oneCell">
    <xdr:from>
      <xdr:col>2</xdr:col>
      <xdr:colOff>2000250</xdr:colOff>
      <xdr:row>0</xdr:row>
      <xdr:rowOff>66675</xdr:rowOff>
    </xdr:from>
    <xdr:to>
      <xdr:col>2</xdr:col>
      <xdr:colOff>2994661</xdr:colOff>
      <xdr:row>2</xdr:row>
      <xdr:rowOff>57886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1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362200" y="66675"/>
          <a:ext cx="994411" cy="410311"/>
        </a:xfrm>
        <a:prstGeom prst="rect">
          <a:avLst/>
        </a:prstGeom>
        <a:noFill/>
        <a:ln>
          <a:prstDash val="solid"/>
        </a:ln>
      </xdr:spPr>
    </xdr:pic>
    <xdr:clientData/>
  </xdr:twoCellAnchor>
  <xdr:twoCellAnchor>
    <xdr:from>
      <xdr:col>2</xdr:col>
      <xdr:colOff>1104495</xdr:colOff>
      <xdr:row>1</xdr:row>
      <xdr:rowOff>58830</xdr:rowOff>
    </xdr:from>
    <xdr:to>
      <xdr:col>2</xdr:col>
      <xdr:colOff>1387288</xdr:colOff>
      <xdr:row>2</xdr:row>
      <xdr:rowOff>93476</xdr:rowOff>
    </xdr:to>
    <xdr:pic>
      <xdr:nvPicPr>
        <xdr:cNvPr id="13" name="Imagen 12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1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466445" y="268380"/>
          <a:ext cx="282793" cy="244196"/>
        </a:xfrm>
        <a:prstGeom prst="rect">
          <a:avLst/>
        </a:prstGeom>
        <a:ln w="19050">
          <a:solidFill>
            <a:srgbClr val="185D87"/>
          </a:solidFill>
          <a:prstDash val="solid"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66676</xdr:rowOff>
    </xdr:from>
    <xdr:to>
      <xdr:col>2</xdr:col>
      <xdr:colOff>361950</xdr:colOff>
      <xdr:row>2</xdr:row>
      <xdr:rowOff>152352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11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" y="66676"/>
          <a:ext cx="685800" cy="504776"/>
        </a:xfrm>
        <a:prstGeom prst="rect">
          <a:avLst/>
        </a:prstGeom>
        <a:noFill/>
        <a:ln>
          <a:prstDash val="solid"/>
        </a:ln>
      </xdr:spPr>
    </xdr:pic>
    <xdr:clientData/>
  </xdr:twoCellAnchor>
  <xdr:twoCellAnchor editAs="oneCell">
    <xdr:from>
      <xdr:col>2</xdr:col>
      <xdr:colOff>1943100</xdr:colOff>
      <xdr:row>0</xdr:row>
      <xdr:rowOff>38100</xdr:rowOff>
    </xdr:from>
    <xdr:to>
      <xdr:col>2</xdr:col>
      <xdr:colOff>2937511</xdr:colOff>
      <xdr:row>2</xdr:row>
      <xdr:rowOff>29311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00000000-0008-0000-11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305050" y="38100"/>
          <a:ext cx="994411" cy="410311"/>
        </a:xfrm>
        <a:prstGeom prst="rect">
          <a:avLst/>
        </a:prstGeom>
        <a:noFill/>
        <a:ln>
          <a:prstDash val="solid"/>
        </a:ln>
      </xdr:spPr>
    </xdr:pic>
    <xdr:clientData/>
  </xdr:twoCellAnchor>
  <xdr:twoCellAnchor>
    <xdr:from>
      <xdr:col>2</xdr:col>
      <xdr:colOff>1047345</xdr:colOff>
      <xdr:row>0</xdr:row>
      <xdr:rowOff>58830</xdr:rowOff>
    </xdr:from>
    <xdr:to>
      <xdr:col>2</xdr:col>
      <xdr:colOff>1330138</xdr:colOff>
      <xdr:row>1</xdr:row>
      <xdr:rowOff>93476</xdr:rowOff>
    </xdr:to>
    <xdr:pic>
      <xdr:nvPicPr>
        <xdr:cNvPr id="14" name="Imagen 13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11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409295" y="58830"/>
          <a:ext cx="282793" cy="244196"/>
        </a:xfrm>
        <a:prstGeom prst="rect">
          <a:avLst/>
        </a:prstGeom>
        <a:ln w="19050">
          <a:solidFill>
            <a:srgbClr val="185D87"/>
          </a:solidFill>
          <a:prstDash val="solid"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95251</xdr:rowOff>
    </xdr:from>
    <xdr:to>
      <xdr:col>2</xdr:col>
      <xdr:colOff>361950</xdr:colOff>
      <xdr:row>2</xdr:row>
      <xdr:rowOff>180927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00000000-0008-0000-12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" y="95251"/>
          <a:ext cx="685800" cy="504776"/>
        </a:xfrm>
        <a:prstGeom prst="rect">
          <a:avLst/>
        </a:prstGeom>
        <a:noFill/>
        <a:ln>
          <a:prstDash val="solid"/>
        </a:ln>
      </xdr:spPr>
    </xdr:pic>
    <xdr:clientData/>
  </xdr:twoCellAnchor>
  <xdr:twoCellAnchor editAs="oneCell">
    <xdr:from>
      <xdr:col>2</xdr:col>
      <xdr:colOff>1943100</xdr:colOff>
      <xdr:row>0</xdr:row>
      <xdr:rowOff>66675</xdr:rowOff>
    </xdr:from>
    <xdr:to>
      <xdr:col>2</xdr:col>
      <xdr:colOff>2937511</xdr:colOff>
      <xdr:row>2</xdr:row>
      <xdr:rowOff>57886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00000000-0008-0000-12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305050" y="66675"/>
          <a:ext cx="994411" cy="410311"/>
        </a:xfrm>
        <a:prstGeom prst="rect">
          <a:avLst/>
        </a:prstGeom>
        <a:noFill/>
        <a:ln>
          <a:prstDash val="solid"/>
        </a:ln>
      </xdr:spPr>
    </xdr:pic>
    <xdr:clientData/>
  </xdr:twoCellAnchor>
  <xdr:twoCellAnchor>
    <xdr:from>
      <xdr:col>2</xdr:col>
      <xdr:colOff>1047345</xdr:colOff>
      <xdr:row>0</xdr:row>
      <xdr:rowOff>58830</xdr:rowOff>
    </xdr:from>
    <xdr:to>
      <xdr:col>2</xdr:col>
      <xdr:colOff>1330138</xdr:colOff>
      <xdr:row>1</xdr:row>
      <xdr:rowOff>93476</xdr:rowOff>
    </xdr:to>
    <xdr:pic>
      <xdr:nvPicPr>
        <xdr:cNvPr id="17" name="Imagen 16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12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409295" y="58830"/>
          <a:ext cx="282793" cy="244196"/>
        </a:xfrm>
        <a:prstGeom prst="rect">
          <a:avLst/>
        </a:prstGeom>
        <a:ln w="19050">
          <a:solidFill>
            <a:srgbClr val="185D87"/>
          </a:solidFill>
          <a:prstDash val="solid"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47626</xdr:rowOff>
    </xdr:from>
    <xdr:to>
      <xdr:col>2</xdr:col>
      <xdr:colOff>381000</xdr:colOff>
      <xdr:row>2</xdr:row>
      <xdr:rowOff>133302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1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" y="47626"/>
          <a:ext cx="685800" cy="504776"/>
        </a:xfrm>
        <a:prstGeom prst="rect">
          <a:avLst/>
        </a:prstGeom>
        <a:noFill/>
        <a:ln>
          <a:prstDash val="solid"/>
        </a:ln>
      </xdr:spPr>
    </xdr:pic>
    <xdr:clientData/>
  </xdr:twoCellAnchor>
  <xdr:twoCellAnchor editAs="oneCell">
    <xdr:from>
      <xdr:col>2</xdr:col>
      <xdr:colOff>1962150</xdr:colOff>
      <xdr:row>0</xdr:row>
      <xdr:rowOff>19050</xdr:rowOff>
    </xdr:from>
    <xdr:to>
      <xdr:col>2</xdr:col>
      <xdr:colOff>2956561</xdr:colOff>
      <xdr:row>2</xdr:row>
      <xdr:rowOff>10261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13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324100" y="19050"/>
          <a:ext cx="994411" cy="410311"/>
        </a:xfrm>
        <a:prstGeom prst="rect">
          <a:avLst/>
        </a:prstGeom>
        <a:noFill/>
        <a:ln>
          <a:prstDash val="solid"/>
        </a:ln>
      </xdr:spPr>
    </xdr:pic>
    <xdr:clientData/>
  </xdr:twoCellAnchor>
  <xdr:twoCellAnchor>
    <xdr:from>
      <xdr:col>2</xdr:col>
      <xdr:colOff>1066395</xdr:colOff>
      <xdr:row>0</xdr:row>
      <xdr:rowOff>58830</xdr:rowOff>
    </xdr:from>
    <xdr:to>
      <xdr:col>2</xdr:col>
      <xdr:colOff>1349188</xdr:colOff>
      <xdr:row>1</xdr:row>
      <xdr:rowOff>93476</xdr:rowOff>
    </xdr:to>
    <xdr:pic>
      <xdr:nvPicPr>
        <xdr:cNvPr id="13" name="Imagen 12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13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428345" y="58830"/>
          <a:ext cx="282793" cy="244196"/>
        </a:xfrm>
        <a:prstGeom prst="rect">
          <a:avLst/>
        </a:prstGeom>
        <a:ln w="19050">
          <a:solidFill>
            <a:srgbClr val="185D87"/>
          </a:solidFill>
          <a:prstDash val="solid"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38101</xdr:colOff>
      <xdr:row>0</xdr:row>
      <xdr:rowOff>76200</xdr:rowOff>
    </xdr:from>
    <xdr:to>
      <xdr:col>2</xdr:col>
      <xdr:colOff>361951</xdr:colOff>
      <xdr:row>2</xdr:row>
      <xdr:rowOff>161876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1" y="76200"/>
          <a:ext cx="685800" cy="504776"/>
        </a:xfrm>
        <a:prstGeom prst="rect">
          <a:avLst/>
        </a:prstGeom>
        <a:noFill/>
        <a:ln>
          <a:prstDash val="solid"/>
        </a:ln>
      </xdr:spPr>
    </xdr:pic>
    <xdr:clientData/>
  </xdr:twoCellAnchor>
  <xdr:twoCellAnchor editAs="oneCell">
    <xdr:from>
      <xdr:col>2</xdr:col>
      <xdr:colOff>1943101</xdr:colOff>
      <xdr:row>0</xdr:row>
      <xdr:rowOff>47624</xdr:rowOff>
    </xdr:from>
    <xdr:to>
      <xdr:col>2</xdr:col>
      <xdr:colOff>2937512</xdr:colOff>
      <xdr:row>2</xdr:row>
      <xdr:rowOff>38835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305051" y="47624"/>
          <a:ext cx="994411" cy="410311"/>
        </a:xfrm>
        <a:prstGeom prst="rect">
          <a:avLst/>
        </a:prstGeom>
        <a:noFill/>
        <a:ln>
          <a:prstDash val="solid"/>
        </a:ln>
      </xdr:spPr>
    </xdr:pic>
    <xdr:clientData/>
  </xdr:twoCellAnchor>
  <xdr:twoCellAnchor>
    <xdr:from>
      <xdr:col>2</xdr:col>
      <xdr:colOff>1047346</xdr:colOff>
      <xdr:row>0</xdr:row>
      <xdr:rowOff>68354</xdr:rowOff>
    </xdr:from>
    <xdr:to>
      <xdr:col>2</xdr:col>
      <xdr:colOff>1330139</xdr:colOff>
      <xdr:row>1</xdr:row>
      <xdr:rowOff>103000</xdr:rowOff>
    </xdr:to>
    <xdr:pic>
      <xdr:nvPicPr>
        <xdr:cNvPr id="16" name="Imagen 15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409296" y="68354"/>
          <a:ext cx="282793" cy="244196"/>
        </a:xfrm>
        <a:prstGeom prst="rect">
          <a:avLst/>
        </a:prstGeom>
        <a:ln w="19050">
          <a:solidFill>
            <a:srgbClr val="185D87"/>
          </a:solidFill>
          <a:prstDash val="solid"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161926</xdr:rowOff>
    </xdr:from>
    <xdr:to>
      <xdr:col>2</xdr:col>
      <xdr:colOff>342900</xdr:colOff>
      <xdr:row>3</xdr:row>
      <xdr:rowOff>38052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00000000-0008-0000-14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161926"/>
          <a:ext cx="685800" cy="504776"/>
        </a:xfrm>
        <a:prstGeom prst="rect">
          <a:avLst/>
        </a:prstGeom>
        <a:noFill/>
        <a:ln>
          <a:prstDash val="solid"/>
        </a:ln>
      </xdr:spPr>
    </xdr:pic>
    <xdr:clientData/>
  </xdr:twoCellAnchor>
  <xdr:twoCellAnchor editAs="oneCell">
    <xdr:from>
      <xdr:col>2</xdr:col>
      <xdr:colOff>1924050</xdr:colOff>
      <xdr:row>0</xdr:row>
      <xdr:rowOff>133350</xdr:rowOff>
    </xdr:from>
    <xdr:to>
      <xdr:col>2</xdr:col>
      <xdr:colOff>2918461</xdr:colOff>
      <xdr:row>2</xdr:row>
      <xdr:rowOff>124561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00000000-0008-0000-14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286000" y="133350"/>
          <a:ext cx="994411" cy="410311"/>
        </a:xfrm>
        <a:prstGeom prst="rect">
          <a:avLst/>
        </a:prstGeom>
        <a:noFill/>
        <a:ln>
          <a:prstDash val="solid"/>
        </a:ln>
      </xdr:spPr>
    </xdr:pic>
    <xdr:clientData/>
  </xdr:twoCellAnchor>
  <xdr:twoCellAnchor>
    <xdr:from>
      <xdr:col>2</xdr:col>
      <xdr:colOff>1028295</xdr:colOff>
      <xdr:row>0</xdr:row>
      <xdr:rowOff>163605</xdr:rowOff>
    </xdr:from>
    <xdr:to>
      <xdr:col>2</xdr:col>
      <xdr:colOff>1311088</xdr:colOff>
      <xdr:row>1</xdr:row>
      <xdr:rowOff>198251</xdr:rowOff>
    </xdr:to>
    <xdr:pic>
      <xdr:nvPicPr>
        <xdr:cNvPr id="16" name="Imagen 15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14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390245" y="163605"/>
          <a:ext cx="282793" cy="244196"/>
        </a:xfrm>
        <a:prstGeom prst="rect">
          <a:avLst/>
        </a:prstGeom>
        <a:ln w="19050">
          <a:solidFill>
            <a:srgbClr val="185D87"/>
          </a:solidFill>
          <a:prstDash val="solid"/>
        </a:ln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57151</xdr:rowOff>
    </xdr:from>
    <xdr:to>
      <xdr:col>2</xdr:col>
      <xdr:colOff>400050</xdr:colOff>
      <xdr:row>2</xdr:row>
      <xdr:rowOff>142827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00" y="57151"/>
          <a:ext cx="685800" cy="504776"/>
        </a:xfrm>
        <a:prstGeom prst="rect">
          <a:avLst/>
        </a:prstGeom>
        <a:noFill/>
        <a:ln>
          <a:prstDash val="solid"/>
        </a:ln>
      </xdr:spPr>
    </xdr:pic>
    <xdr:clientData/>
  </xdr:twoCellAnchor>
  <xdr:twoCellAnchor editAs="oneCell">
    <xdr:from>
      <xdr:col>2</xdr:col>
      <xdr:colOff>1981200</xdr:colOff>
      <xdr:row>0</xdr:row>
      <xdr:rowOff>28575</xdr:rowOff>
    </xdr:from>
    <xdr:to>
      <xdr:col>2</xdr:col>
      <xdr:colOff>2975611</xdr:colOff>
      <xdr:row>2</xdr:row>
      <xdr:rowOff>19786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1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343150" y="28575"/>
          <a:ext cx="994411" cy="410311"/>
        </a:xfrm>
        <a:prstGeom prst="rect">
          <a:avLst/>
        </a:prstGeom>
        <a:noFill/>
        <a:ln>
          <a:prstDash val="solid"/>
        </a:ln>
      </xdr:spPr>
    </xdr:pic>
    <xdr:clientData/>
  </xdr:twoCellAnchor>
  <xdr:twoCellAnchor>
    <xdr:from>
      <xdr:col>2</xdr:col>
      <xdr:colOff>1085445</xdr:colOff>
      <xdr:row>0</xdr:row>
      <xdr:rowOff>39780</xdr:rowOff>
    </xdr:from>
    <xdr:to>
      <xdr:col>2</xdr:col>
      <xdr:colOff>1368238</xdr:colOff>
      <xdr:row>1</xdr:row>
      <xdr:rowOff>74426</xdr:rowOff>
    </xdr:to>
    <xdr:pic>
      <xdr:nvPicPr>
        <xdr:cNvPr id="9" name="Imagen 8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15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447395" y="39780"/>
          <a:ext cx="282793" cy="244196"/>
        </a:xfrm>
        <a:prstGeom prst="rect">
          <a:avLst/>
        </a:prstGeom>
        <a:ln w="19050">
          <a:solidFill>
            <a:srgbClr val="185D87"/>
          </a:solidFill>
          <a:prstDash val="solid"/>
        </a:ln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123826</xdr:rowOff>
    </xdr:from>
    <xdr:to>
      <xdr:col>2</xdr:col>
      <xdr:colOff>323850</xdr:colOff>
      <xdr:row>3</xdr:row>
      <xdr:rowOff>3762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23826"/>
          <a:ext cx="685800" cy="504776"/>
        </a:xfrm>
        <a:prstGeom prst="rect">
          <a:avLst/>
        </a:prstGeom>
        <a:noFill/>
        <a:ln>
          <a:prstDash val="solid"/>
        </a:ln>
      </xdr:spPr>
    </xdr:pic>
    <xdr:clientData/>
  </xdr:twoCellAnchor>
  <xdr:twoCellAnchor editAs="oneCell">
    <xdr:from>
      <xdr:col>2</xdr:col>
      <xdr:colOff>1905000</xdr:colOff>
      <xdr:row>0</xdr:row>
      <xdr:rowOff>95250</xdr:rowOff>
    </xdr:from>
    <xdr:to>
      <xdr:col>2</xdr:col>
      <xdr:colOff>2899411</xdr:colOff>
      <xdr:row>2</xdr:row>
      <xdr:rowOff>86461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16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266950" y="95250"/>
          <a:ext cx="994411" cy="410311"/>
        </a:xfrm>
        <a:prstGeom prst="rect">
          <a:avLst/>
        </a:prstGeom>
        <a:noFill/>
        <a:ln>
          <a:prstDash val="solid"/>
        </a:ln>
      </xdr:spPr>
    </xdr:pic>
    <xdr:clientData/>
  </xdr:twoCellAnchor>
  <xdr:twoCellAnchor>
    <xdr:from>
      <xdr:col>2</xdr:col>
      <xdr:colOff>1009245</xdr:colOff>
      <xdr:row>0</xdr:row>
      <xdr:rowOff>144555</xdr:rowOff>
    </xdr:from>
    <xdr:to>
      <xdr:col>2</xdr:col>
      <xdr:colOff>1292038</xdr:colOff>
      <xdr:row>1</xdr:row>
      <xdr:rowOff>179201</xdr:rowOff>
    </xdr:to>
    <xdr:pic>
      <xdr:nvPicPr>
        <xdr:cNvPr id="9" name="Imagen 8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16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371195" y="144555"/>
          <a:ext cx="282793" cy="244196"/>
        </a:xfrm>
        <a:prstGeom prst="rect">
          <a:avLst/>
        </a:prstGeom>
        <a:ln w="19050">
          <a:solidFill>
            <a:srgbClr val="185D87"/>
          </a:solidFill>
          <a:prstDash val="solid"/>
        </a:ln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28576</xdr:rowOff>
    </xdr:from>
    <xdr:to>
      <xdr:col>2</xdr:col>
      <xdr:colOff>438150</xdr:colOff>
      <xdr:row>2</xdr:row>
      <xdr:rowOff>114252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17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300" y="28576"/>
          <a:ext cx="685800" cy="504776"/>
        </a:xfrm>
        <a:prstGeom prst="rect">
          <a:avLst/>
        </a:prstGeom>
        <a:noFill/>
        <a:ln>
          <a:prstDash val="solid"/>
        </a:ln>
      </xdr:spPr>
    </xdr:pic>
    <xdr:clientData/>
  </xdr:twoCellAnchor>
  <xdr:twoCellAnchor editAs="oneCell">
    <xdr:from>
      <xdr:col>2</xdr:col>
      <xdr:colOff>2019300</xdr:colOff>
      <xdr:row>0</xdr:row>
      <xdr:rowOff>0</xdr:rowOff>
    </xdr:from>
    <xdr:to>
      <xdr:col>2</xdr:col>
      <xdr:colOff>3013711</xdr:colOff>
      <xdr:row>1</xdr:row>
      <xdr:rowOff>200761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17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381250" y="0"/>
          <a:ext cx="994411" cy="410311"/>
        </a:xfrm>
        <a:prstGeom prst="rect">
          <a:avLst/>
        </a:prstGeom>
        <a:noFill/>
        <a:ln>
          <a:prstDash val="solid"/>
        </a:ln>
      </xdr:spPr>
    </xdr:pic>
    <xdr:clientData/>
  </xdr:twoCellAnchor>
  <xdr:twoCellAnchor>
    <xdr:from>
      <xdr:col>2</xdr:col>
      <xdr:colOff>1123545</xdr:colOff>
      <xdr:row>0</xdr:row>
      <xdr:rowOff>58830</xdr:rowOff>
    </xdr:from>
    <xdr:to>
      <xdr:col>2</xdr:col>
      <xdr:colOff>1406338</xdr:colOff>
      <xdr:row>1</xdr:row>
      <xdr:rowOff>93476</xdr:rowOff>
    </xdr:to>
    <xdr:pic>
      <xdr:nvPicPr>
        <xdr:cNvPr id="6" name="Imagen 5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17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485495" y="58830"/>
          <a:ext cx="282793" cy="244196"/>
        </a:xfrm>
        <a:prstGeom prst="rect">
          <a:avLst/>
        </a:prstGeom>
        <a:ln w="19050">
          <a:solidFill>
            <a:srgbClr val="185D87"/>
          </a:solidFill>
          <a:prstDash val="solid"/>
        </a:ln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123826</xdr:rowOff>
    </xdr:from>
    <xdr:to>
      <xdr:col>2</xdr:col>
      <xdr:colOff>409575</xdr:colOff>
      <xdr:row>3</xdr:row>
      <xdr:rowOff>3762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18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725" y="123826"/>
          <a:ext cx="685800" cy="504776"/>
        </a:xfrm>
        <a:prstGeom prst="rect">
          <a:avLst/>
        </a:prstGeom>
        <a:noFill/>
        <a:ln>
          <a:prstDash val="solid"/>
        </a:ln>
      </xdr:spPr>
    </xdr:pic>
    <xdr:clientData/>
  </xdr:twoCellAnchor>
  <xdr:twoCellAnchor editAs="oneCell">
    <xdr:from>
      <xdr:col>2</xdr:col>
      <xdr:colOff>1990725</xdr:colOff>
      <xdr:row>0</xdr:row>
      <xdr:rowOff>95250</xdr:rowOff>
    </xdr:from>
    <xdr:to>
      <xdr:col>2</xdr:col>
      <xdr:colOff>2985136</xdr:colOff>
      <xdr:row>2</xdr:row>
      <xdr:rowOff>86461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18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352675" y="95250"/>
          <a:ext cx="994411" cy="410311"/>
        </a:xfrm>
        <a:prstGeom prst="rect">
          <a:avLst/>
        </a:prstGeom>
        <a:noFill/>
        <a:ln>
          <a:prstDash val="solid"/>
        </a:ln>
      </xdr:spPr>
    </xdr:pic>
    <xdr:clientData/>
  </xdr:twoCellAnchor>
  <xdr:twoCellAnchor>
    <xdr:from>
      <xdr:col>2</xdr:col>
      <xdr:colOff>1094970</xdr:colOff>
      <xdr:row>0</xdr:row>
      <xdr:rowOff>49305</xdr:rowOff>
    </xdr:from>
    <xdr:to>
      <xdr:col>2</xdr:col>
      <xdr:colOff>1377763</xdr:colOff>
      <xdr:row>1</xdr:row>
      <xdr:rowOff>83951</xdr:rowOff>
    </xdr:to>
    <xdr:pic>
      <xdr:nvPicPr>
        <xdr:cNvPr id="9" name="Imagen 8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18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456920" y="49305"/>
          <a:ext cx="282793" cy="244196"/>
        </a:xfrm>
        <a:prstGeom prst="rect">
          <a:avLst/>
        </a:prstGeom>
        <a:ln w="19050">
          <a:solidFill>
            <a:srgbClr val="185D87"/>
          </a:solidFill>
          <a:prstDash val="solid"/>
        </a:ln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66676</xdr:rowOff>
    </xdr:from>
    <xdr:to>
      <xdr:col>2</xdr:col>
      <xdr:colOff>381000</xdr:colOff>
      <xdr:row>2</xdr:row>
      <xdr:rowOff>152352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" y="66676"/>
          <a:ext cx="685800" cy="504776"/>
        </a:xfrm>
        <a:prstGeom prst="rect">
          <a:avLst/>
        </a:prstGeom>
        <a:noFill/>
        <a:ln>
          <a:prstDash val="solid"/>
        </a:ln>
      </xdr:spPr>
    </xdr:pic>
    <xdr:clientData/>
  </xdr:twoCellAnchor>
  <xdr:twoCellAnchor editAs="oneCell">
    <xdr:from>
      <xdr:col>2</xdr:col>
      <xdr:colOff>1962150</xdr:colOff>
      <xdr:row>0</xdr:row>
      <xdr:rowOff>38100</xdr:rowOff>
    </xdr:from>
    <xdr:to>
      <xdr:col>2</xdr:col>
      <xdr:colOff>2956561</xdr:colOff>
      <xdr:row>2</xdr:row>
      <xdr:rowOff>29311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19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324100" y="38100"/>
          <a:ext cx="994411" cy="410311"/>
        </a:xfrm>
        <a:prstGeom prst="rect">
          <a:avLst/>
        </a:prstGeom>
        <a:noFill/>
        <a:ln>
          <a:prstDash val="solid"/>
        </a:ln>
      </xdr:spPr>
    </xdr:pic>
    <xdr:clientData/>
  </xdr:twoCellAnchor>
  <xdr:twoCellAnchor>
    <xdr:from>
      <xdr:col>2</xdr:col>
      <xdr:colOff>1075920</xdr:colOff>
      <xdr:row>0</xdr:row>
      <xdr:rowOff>96930</xdr:rowOff>
    </xdr:from>
    <xdr:to>
      <xdr:col>2</xdr:col>
      <xdr:colOff>1358713</xdr:colOff>
      <xdr:row>1</xdr:row>
      <xdr:rowOff>131576</xdr:rowOff>
    </xdr:to>
    <xdr:pic>
      <xdr:nvPicPr>
        <xdr:cNvPr id="9" name="Imagen 8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19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437870" y="96930"/>
          <a:ext cx="282793" cy="244196"/>
        </a:xfrm>
        <a:prstGeom prst="rect">
          <a:avLst/>
        </a:prstGeom>
        <a:ln w="19050">
          <a:solidFill>
            <a:srgbClr val="185D87"/>
          </a:solidFill>
          <a:prstDash val="solid"/>
        </a:ln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180976</xdr:rowOff>
    </xdr:from>
    <xdr:to>
      <xdr:col>2</xdr:col>
      <xdr:colOff>409575</xdr:colOff>
      <xdr:row>3</xdr:row>
      <xdr:rowOff>57102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725" y="180976"/>
          <a:ext cx="685800" cy="504776"/>
        </a:xfrm>
        <a:prstGeom prst="rect">
          <a:avLst/>
        </a:prstGeom>
        <a:noFill/>
        <a:ln>
          <a:prstDash val="solid"/>
        </a:ln>
      </xdr:spPr>
    </xdr:pic>
    <xdr:clientData/>
  </xdr:twoCellAnchor>
  <xdr:twoCellAnchor editAs="oneCell">
    <xdr:from>
      <xdr:col>2</xdr:col>
      <xdr:colOff>1990725</xdr:colOff>
      <xdr:row>0</xdr:row>
      <xdr:rowOff>152400</xdr:rowOff>
    </xdr:from>
    <xdr:to>
      <xdr:col>2</xdr:col>
      <xdr:colOff>2985136</xdr:colOff>
      <xdr:row>2</xdr:row>
      <xdr:rowOff>143611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1A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352675" y="152400"/>
          <a:ext cx="994411" cy="410311"/>
        </a:xfrm>
        <a:prstGeom prst="rect">
          <a:avLst/>
        </a:prstGeom>
        <a:noFill/>
        <a:ln>
          <a:prstDash val="solid"/>
        </a:ln>
      </xdr:spPr>
    </xdr:pic>
    <xdr:clientData/>
  </xdr:twoCellAnchor>
  <xdr:twoCellAnchor>
    <xdr:from>
      <xdr:col>2</xdr:col>
      <xdr:colOff>1094970</xdr:colOff>
      <xdr:row>0</xdr:row>
      <xdr:rowOff>154080</xdr:rowOff>
    </xdr:from>
    <xdr:to>
      <xdr:col>2</xdr:col>
      <xdr:colOff>1377763</xdr:colOff>
      <xdr:row>1</xdr:row>
      <xdr:rowOff>188726</xdr:rowOff>
    </xdr:to>
    <xdr:pic>
      <xdr:nvPicPr>
        <xdr:cNvPr id="9" name="Imagen 8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1A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456920" y="154080"/>
          <a:ext cx="282793" cy="244196"/>
        </a:xfrm>
        <a:prstGeom prst="rect">
          <a:avLst/>
        </a:prstGeom>
        <a:ln w="19050">
          <a:solidFill>
            <a:srgbClr val="185D87"/>
          </a:solidFill>
          <a:prstDash val="solid"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28576</xdr:rowOff>
    </xdr:from>
    <xdr:to>
      <xdr:col>2</xdr:col>
      <xdr:colOff>352425</xdr:colOff>
      <xdr:row>2</xdr:row>
      <xdr:rowOff>114252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6"/>
          <a:ext cx="685800" cy="504776"/>
        </a:xfrm>
        <a:prstGeom prst="rect">
          <a:avLst/>
        </a:prstGeom>
        <a:noFill/>
        <a:ln>
          <a:prstDash val="solid"/>
        </a:ln>
      </xdr:spPr>
    </xdr:pic>
    <xdr:clientData/>
  </xdr:twoCellAnchor>
  <xdr:twoCellAnchor editAs="oneCell">
    <xdr:from>
      <xdr:col>2</xdr:col>
      <xdr:colOff>1933575</xdr:colOff>
      <xdr:row>0</xdr:row>
      <xdr:rowOff>0</xdr:rowOff>
    </xdr:from>
    <xdr:to>
      <xdr:col>2</xdr:col>
      <xdr:colOff>2927986</xdr:colOff>
      <xdr:row>1</xdr:row>
      <xdr:rowOff>200761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295525" y="0"/>
          <a:ext cx="994411" cy="410311"/>
        </a:xfrm>
        <a:prstGeom prst="rect">
          <a:avLst/>
        </a:prstGeom>
        <a:noFill/>
        <a:ln>
          <a:prstDash val="solid"/>
        </a:ln>
      </xdr:spPr>
    </xdr:pic>
    <xdr:clientData/>
  </xdr:twoCellAnchor>
  <xdr:twoCellAnchor>
    <xdr:from>
      <xdr:col>2</xdr:col>
      <xdr:colOff>1037820</xdr:colOff>
      <xdr:row>1</xdr:row>
      <xdr:rowOff>11205</xdr:rowOff>
    </xdr:from>
    <xdr:to>
      <xdr:col>2</xdr:col>
      <xdr:colOff>1320613</xdr:colOff>
      <xdr:row>2</xdr:row>
      <xdr:rowOff>45851</xdr:rowOff>
    </xdr:to>
    <xdr:pic>
      <xdr:nvPicPr>
        <xdr:cNvPr id="5" name="Imagen 4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399770" y="220755"/>
          <a:ext cx="282793" cy="244196"/>
        </a:xfrm>
        <a:prstGeom prst="rect">
          <a:avLst/>
        </a:prstGeom>
        <a:ln w="19050">
          <a:solidFill>
            <a:srgbClr val="185D87"/>
          </a:solidFill>
          <a:prstDash val="solid"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28576</xdr:rowOff>
    </xdr:from>
    <xdr:to>
      <xdr:col>2</xdr:col>
      <xdr:colOff>361950</xdr:colOff>
      <xdr:row>2</xdr:row>
      <xdr:rowOff>114252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" y="28576"/>
          <a:ext cx="685800" cy="504776"/>
        </a:xfrm>
        <a:prstGeom prst="rect">
          <a:avLst/>
        </a:prstGeom>
        <a:noFill/>
        <a:ln>
          <a:prstDash val="solid"/>
        </a:ln>
      </xdr:spPr>
    </xdr:pic>
    <xdr:clientData/>
  </xdr:twoCellAnchor>
  <xdr:twoCellAnchor editAs="oneCell">
    <xdr:from>
      <xdr:col>2</xdr:col>
      <xdr:colOff>1943100</xdr:colOff>
      <xdr:row>0</xdr:row>
      <xdr:rowOff>0</xdr:rowOff>
    </xdr:from>
    <xdr:to>
      <xdr:col>2</xdr:col>
      <xdr:colOff>2937511</xdr:colOff>
      <xdr:row>1</xdr:row>
      <xdr:rowOff>200761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305050" y="0"/>
          <a:ext cx="994411" cy="410311"/>
        </a:xfrm>
        <a:prstGeom prst="rect">
          <a:avLst/>
        </a:prstGeom>
        <a:noFill/>
        <a:ln>
          <a:prstDash val="solid"/>
        </a:ln>
      </xdr:spPr>
    </xdr:pic>
    <xdr:clientData/>
  </xdr:twoCellAnchor>
  <xdr:twoCellAnchor>
    <xdr:from>
      <xdr:col>2</xdr:col>
      <xdr:colOff>1047345</xdr:colOff>
      <xdr:row>0</xdr:row>
      <xdr:rowOff>144555</xdr:rowOff>
    </xdr:from>
    <xdr:to>
      <xdr:col>2</xdr:col>
      <xdr:colOff>1330138</xdr:colOff>
      <xdr:row>1</xdr:row>
      <xdr:rowOff>179201</xdr:rowOff>
    </xdr:to>
    <xdr:pic>
      <xdr:nvPicPr>
        <xdr:cNvPr id="8" name="Imagen 7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409295" y="144555"/>
          <a:ext cx="282793" cy="244196"/>
        </a:xfrm>
        <a:prstGeom prst="rect">
          <a:avLst/>
        </a:prstGeom>
        <a:ln w="19050">
          <a:solidFill>
            <a:srgbClr val="185D87"/>
          </a:solidFill>
          <a:prstDash val="solid"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28576</xdr:rowOff>
    </xdr:from>
    <xdr:to>
      <xdr:col>2</xdr:col>
      <xdr:colOff>295275</xdr:colOff>
      <xdr:row>2</xdr:row>
      <xdr:rowOff>114252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625" y="28576"/>
          <a:ext cx="685800" cy="504776"/>
        </a:xfrm>
        <a:prstGeom prst="rect">
          <a:avLst/>
        </a:prstGeom>
        <a:noFill/>
        <a:ln>
          <a:prstDash val="solid"/>
        </a:ln>
      </xdr:spPr>
    </xdr:pic>
    <xdr:clientData/>
  </xdr:twoCellAnchor>
  <xdr:twoCellAnchor editAs="oneCell">
    <xdr:from>
      <xdr:col>2</xdr:col>
      <xdr:colOff>1876425</xdr:colOff>
      <xdr:row>0</xdr:row>
      <xdr:rowOff>0</xdr:rowOff>
    </xdr:from>
    <xdr:to>
      <xdr:col>2</xdr:col>
      <xdr:colOff>2870836</xdr:colOff>
      <xdr:row>1</xdr:row>
      <xdr:rowOff>200761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314575" y="0"/>
          <a:ext cx="994411" cy="410311"/>
        </a:xfrm>
        <a:prstGeom prst="rect">
          <a:avLst/>
        </a:prstGeom>
        <a:noFill/>
        <a:ln>
          <a:prstDash val="solid"/>
        </a:ln>
      </xdr:spPr>
    </xdr:pic>
    <xdr:clientData/>
  </xdr:twoCellAnchor>
  <xdr:twoCellAnchor>
    <xdr:from>
      <xdr:col>2</xdr:col>
      <xdr:colOff>980670</xdr:colOff>
      <xdr:row>0</xdr:row>
      <xdr:rowOff>106455</xdr:rowOff>
    </xdr:from>
    <xdr:to>
      <xdr:col>2</xdr:col>
      <xdr:colOff>1263463</xdr:colOff>
      <xdr:row>1</xdr:row>
      <xdr:rowOff>141101</xdr:rowOff>
    </xdr:to>
    <xdr:pic>
      <xdr:nvPicPr>
        <xdr:cNvPr id="8" name="Imagen 7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418820" y="106455"/>
          <a:ext cx="282793" cy="244196"/>
        </a:xfrm>
        <a:prstGeom prst="rect">
          <a:avLst/>
        </a:prstGeom>
        <a:ln w="19050">
          <a:solidFill>
            <a:srgbClr val="185D87"/>
          </a:solidFill>
          <a:prstDash val="solid"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28576</xdr:rowOff>
    </xdr:from>
    <xdr:to>
      <xdr:col>2</xdr:col>
      <xdr:colOff>390525</xdr:colOff>
      <xdr:row>2</xdr:row>
      <xdr:rowOff>114252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675" y="28576"/>
          <a:ext cx="685800" cy="504776"/>
        </a:xfrm>
        <a:prstGeom prst="rect">
          <a:avLst/>
        </a:prstGeom>
        <a:noFill/>
        <a:ln>
          <a:prstDash val="solid"/>
        </a:ln>
      </xdr:spPr>
    </xdr:pic>
    <xdr:clientData/>
  </xdr:twoCellAnchor>
  <xdr:twoCellAnchor editAs="oneCell">
    <xdr:from>
      <xdr:col>2</xdr:col>
      <xdr:colOff>1971675</xdr:colOff>
      <xdr:row>0</xdr:row>
      <xdr:rowOff>0</xdr:rowOff>
    </xdr:from>
    <xdr:to>
      <xdr:col>2</xdr:col>
      <xdr:colOff>2966086</xdr:colOff>
      <xdr:row>1</xdr:row>
      <xdr:rowOff>200761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333625" y="0"/>
          <a:ext cx="994411" cy="410311"/>
        </a:xfrm>
        <a:prstGeom prst="rect">
          <a:avLst/>
        </a:prstGeom>
        <a:noFill/>
        <a:ln>
          <a:prstDash val="solid"/>
        </a:ln>
      </xdr:spPr>
    </xdr:pic>
    <xdr:clientData/>
  </xdr:twoCellAnchor>
  <xdr:twoCellAnchor>
    <xdr:from>
      <xdr:col>2</xdr:col>
      <xdr:colOff>1075920</xdr:colOff>
      <xdr:row>0</xdr:row>
      <xdr:rowOff>30255</xdr:rowOff>
    </xdr:from>
    <xdr:to>
      <xdr:col>2</xdr:col>
      <xdr:colOff>1358713</xdr:colOff>
      <xdr:row>1</xdr:row>
      <xdr:rowOff>64901</xdr:rowOff>
    </xdr:to>
    <xdr:pic>
      <xdr:nvPicPr>
        <xdr:cNvPr id="7" name="Imagen 6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437870" y="30255"/>
          <a:ext cx="282793" cy="244196"/>
        </a:xfrm>
        <a:prstGeom prst="rect">
          <a:avLst/>
        </a:prstGeom>
        <a:ln w="19050">
          <a:solidFill>
            <a:srgbClr val="185D87"/>
          </a:solidFill>
          <a:prstDash val="solid"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28576</xdr:rowOff>
    </xdr:from>
    <xdr:to>
      <xdr:col>2</xdr:col>
      <xdr:colOff>361950</xdr:colOff>
      <xdr:row>2</xdr:row>
      <xdr:rowOff>114252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" y="28576"/>
          <a:ext cx="685800" cy="504776"/>
        </a:xfrm>
        <a:prstGeom prst="rect">
          <a:avLst/>
        </a:prstGeom>
        <a:noFill/>
        <a:ln>
          <a:prstDash val="solid"/>
        </a:ln>
      </xdr:spPr>
    </xdr:pic>
    <xdr:clientData/>
  </xdr:twoCellAnchor>
  <xdr:twoCellAnchor editAs="oneCell">
    <xdr:from>
      <xdr:col>2</xdr:col>
      <xdr:colOff>1943100</xdr:colOff>
      <xdr:row>0</xdr:row>
      <xdr:rowOff>0</xdr:rowOff>
    </xdr:from>
    <xdr:to>
      <xdr:col>2</xdr:col>
      <xdr:colOff>2937511</xdr:colOff>
      <xdr:row>1</xdr:row>
      <xdr:rowOff>200761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305050" y="0"/>
          <a:ext cx="994411" cy="410311"/>
        </a:xfrm>
        <a:prstGeom prst="rect">
          <a:avLst/>
        </a:prstGeom>
        <a:noFill/>
        <a:ln>
          <a:prstDash val="solid"/>
        </a:ln>
      </xdr:spPr>
    </xdr:pic>
    <xdr:clientData/>
  </xdr:twoCellAnchor>
  <xdr:twoCellAnchor>
    <xdr:from>
      <xdr:col>2</xdr:col>
      <xdr:colOff>1047345</xdr:colOff>
      <xdr:row>0</xdr:row>
      <xdr:rowOff>39780</xdr:rowOff>
    </xdr:from>
    <xdr:to>
      <xdr:col>2</xdr:col>
      <xdr:colOff>1330138</xdr:colOff>
      <xdr:row>1</xdr:row>
      <xdr:rowOff>74426</xdr:rowOff>
    </xdr:to>
    <xdr:pic>
      <xdr:nvPicPr>
        <xdr:cNvPr id="8" name="Imagen 7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409295" y="39780"/>
          <a:ext cx="282793" cy="244196"/>
        </a:xfrm>
        <a:prstGeom prst="rect">
          <a:avLst/>
        </a:prstGeom>
        <a:ln w="19050">
          <a:solidFill>
            <a:srgbClr val="185D87"/>
          </a:solidFill>
          <a:prstDash val="solid"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38101</xdr:rowOff>
    </xdr:from>
    <xdr:to>
      <xdr:col>2</xdr:col>
      <xdr:colOff>361950</xdr:colOff>
      <xdr:row>2</xdr:row>
      <xdr:rowOff>123777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" y="38101"/>
          <a:ext cx="685800" cy="504776"/>
        </a:xfrm>
        <a:prstGeom prst="rect">
          <a:avLst/>
        </a:prstGeom>
        <a:noFill/>
        <a:ln>
          <a:prstDash val="solid"/>
        </a:ln>
      </xdr:spPr>
    </xdr:pic>
    <xdr:clientData/>
  </xdr:twoCellAnchor>
  <xdr:twoCellAnchor editAs="oneCell">
    <xdr:from>
      <xdr:col>2</xdr:col>
      <xdr:colOff>1943100</xdr:colOff>
      <xdr:row>0</xdr:row>
      <xdr:rowOff>9525</xdr:rowOff>
    </xdr:from>
    <xdr:to>
      <xdr:col>2</xdr:col>
      <xdr:colOff>2937511</xdr:colOff>
      <xdr:row>2</xdr:row>
      <xdr:rowOff>736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305050" y="9525"/>
          <a:ext cx="994411" cy="410311"/>
        </a:xfrm>
        <a:prstGeom prst="rect">
          <a:avLst/>
        </a:prstGeom>
        <a:noFill/>
        <a:ln>
          <a:prstDash val="solid"/>
        </a:ln>
      </xdr:spPr>
    </xdr:pic>
    <xdr:clientData/>
  </xdr:twoCellAnchor>
  <xdr:twoCellAnchor>
    <xdr:from>
      <xdr:col>2</xdr:col>
      <xdr:colOff>1047345</xdr:colOff>
      <xdr:row>0</xdr:row>
      <xdr:rowOff>49305</xdr:rowOff>
    </xdr:from>
    <xdr:to>
      <xdr:col>2</xdr:col>
      <xdr:colOff>1330138</xdr:colOff>
      <xdr:row>1</xdr:row>
      <xdr:rowOff>83951</xdr:rowOff>
    </xdr:to>
    <xdr:pic>
      <xdr:nvPicPr>
        <xdr:cNvPr id="8" name="Imagen 7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409295" y="49305"/>
          <a:ext cx="282793" cy="244196"/>
        </a:xfrm>
        <a:prstGeom prst="rect">
          <a:avLst/>
        </a:prstGeom>
        <a:ln w="19050">
          <a:solidFill>
            <a:srgbClr val="185D87"/>
          </a:solidFill>
          <a:prstDash val="solid"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28576</xdr:rowOff>
    </xdr:from>
    <xdr:to>
      <xdr:col>2</xdr:col>
      <xdr:colOff>457200</xdr:colOff>
      <xdr:row>2</xdr:row>
      <xdr:rowOff>114252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3350" y="28576"/>
          <a:ext cx="685800" cy="504776"/>
        </a:xfrm>
        <a:prstGeom prst="rect">
          <a:avLst/>
        </a:prstGeom>
        <a:noFill/>
        <a:ln>
          <a:prstDash val="solid"/>
        </a:ln>
      </xdr:spPr>
    </xdr:pic>
    <xdr:clientData/>
  </xdr:twoCellAnchor>
  <xdr:twoCellAnchor editAs="oneCell">
    <xdr:from>
      <xdr:col>2</xdr:col>
      <xdr:colOff>2038350</xdr:colOff>
      <xdr:row>0</xdr:row>
      <xdr:rowOff>0</xdr:rowOff>
    </xdr:from>
    <xdr:to>
      <xdr:col>2</xdr:col>
      <xdr:colOff>3032761</xdr:colOff>
      <xdr:row>1</xdr:row>
      <xdr:rowOff>200761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400300" y="0"/>
          <a:ext cx="994411" cy="410311"/>
        </a:xfrm>
        <a:prstGeom prst="rect">
          <a:avLst/>
        </a:prstGeom>
        <a:noFill/>
        <a:ln>
          <a:prstDash val="solid"/>
        </a:ln>
      </xdr:spPr>
    </xdr:pic>
    <xdr:clientData/>
  </xdr:twoCellAnchor>
  <xdr:twoCellAnchor>
    <xdr:from>
      <xdr:col>2</xdr:col>
      <xdr:colOff>1142595</xdr:colOff>
      <xdr:row>0</xdr:row>
      <xdr:rowOff>96930</xdr:rowOff>
    </xdr:from>
    <xdr:to>
      <xdr:col>2</xdr:col>
      <xdr:colOff>1425388</xdr:colOff>
      <xdr:row>1</xdr:row>
      <xdr:rowOff>131576</xdr:rowOff>
    </xdr:to>
    <xdr:pic>
      <xdr:nvPicPr>
        <xdr:cNvPr id="8" name="Imagen 7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504545" y="96930"/>
          <a:ext cx="282793" cy="244196"/>
        </a:xfrm>
        <a:prstGeom prst="rect">
          <a:avLst/>
        </a:prstGeom>
        <a:ln w="19050">
          <a:solidFill>
            <a:srgbClr val="185D87"/>
          </a:solidFill>
          <a:prstDash val="solid"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A33"/>
  <sheetViews>
    <sheetView showGridLines="0" zoomScaleNormal="100" workbookViewId="0">
      <pane ySplit="6" topLeftCell="A8" activePane="bottomLeft" state="frozen"/>
      <selection pane="bottomLeft" activeCell="A8" sqref="A8"/>
    </sheetView>
  </sheetViews>
  <sheetFormatPr baseColWidth="10" defaultColWidth="0" defaultRowHeight="14.25" zeroHeight="1" x14ac:dyDescent="0.2"/>
  <cols>
    <col min="1" max="1" width="136.7109375" style="94" customWidth="1"/>
    <col min="2" max="2" width="11.42578125" style="94" hidden="1" customWidth="1"/>
    <col min="3" max="16384" width="11.42578125" style="94" hidden="1"/>
  </cols>
  <sheetData>
    <row r="1" spans="1:1" x14ac:dyDescent="0.2">
      <c r="A1" s="93"/>
    </row>
    <row r="2" spans="1:1" x14ac:dyDescent="0.2">
      <c r="A2" s="93"/>
    </row>
    <row r="3" spans="1:1" x14ac:dyDescent="0.2">
      <c r="A3" s="93"/>
    </row>
    <row r="4" spans="1:1" x14ac:dyDescent="0.2">
      <c r="A4" s="92"/>
    </row>
    <row r="5" spans="1:1" ht="15" customHeight="1" x14ac:dyDescent="0.2">
      <c r="A5" s="149" t="s">
        <v>0</v>
      </c>
    </row>
    <row r="6" spans="1:1" ht="15" customHeight="1" x14ac:dyDescent="0.25">
      <c r="A6" s="148" t="s">
        <v>226</v>
      </c>
    </row>
    <row r="8" spans="1:1" ht="15" customHeight="1" x14ac:dyDescent="0.25">
      <c r="A8" s="95"/>
    </row>
    <row r="9" spans="1:1" s="96" customFormat="1" ht="15" customHeight="1" x14ac:dyDescent="0.25">
      <c r="A9" s="142" t="s">
        <v>1</v>
      </c>
    </row>
    <row r="10" spans="1:1" s="96" customFormat="1" ht="15" customHeight="1" x14ac:dyDescent="0.25">
      <c r="A10" s="142" t="s">
        <v>2</v>
      </c>
    </row>
    <row r="11" spans="1:1" s="96" customFormat="1" ht="15" customHeight="1" x14ac:dyDescent="0.25">
      <c r="A11" s="142" t="s">
        <v>3</v>
      </c>
    </row>
    <row r="12" spans="1:1" s="96" customFormat="1" ht="15" customHeight="1" x14ac:dyDescent="0.25">
      <c r="A12" s="142" t="s">
        <v>4</v>
      </c>
    </row>
    <row r="13" spans="1:1" s="96" customFormat="1" ht="15" customHeight="1" x14ac:dyDescent="0.25">
      <c r="A13" s="142" t="s">
        <v>5</v>
      </c>
    </row>
    <row r="14" spans="1:1" s="96" customFormat="1" ht="15" customHeight="1" x14ac:dyDescent="0.25">
      <c r="A14" s="142" t="s">
        <v>6</v>
      </c>
    </row>
    <row r="15" spans="1:1" s="96" customFormat="1" ht="15" customHeight="1" x14ac:dyDescent="0.25">
      <c r="A15" s="142" t="s">
        <v>7</v>
      </c>
    </row>
    <row r="16" spans="1:1" s="96" customFormat="1" ht="15" customHeight="1" x14ac:dyDescent="0.25">
      <c r="A16" s="142" t="s">
        <v>8</v>
      </c>
    </row>
    <row r="17" spans="1:1" s="96" customFormat="1" ht="15" customHeight="1" x14ac:dyDescent="0.25">
      <c r="A17" s="142" t="s">
        <v>9</v>
      </c>
    </row>
    <row r="18" spans="1:1" s="96" customFormat="1" ht="15" customHeight="1" x14ac:dyDescent="0.25">
      <c r="A18" s="142" t="s">
        <v>10</v>
      </c>
    </row>
    <row r="19" spans="1:1" s="96" customFormat="1" ht="15" customHeight="1" x14ac:dyDescent="0.25">
      <c r="A19" s="142" t="s">
        <v>11</v>
      </c>
    </row>
    <row r="20" spans="1:1" s="96" customFormat="1" ht="15" customHeight="1" x14ac:dyDescent="0.25">
      <c r="A20" s="142" t="s">
        <v>12</v>
      </c>
    </row>
    <row r="21" spans="1:1" s="96" customFormat="1" ht="15" customHeight="1" x14ac:dyDescent="0.25">
      <c r="A21" s="142" t="s">
        <v>13</v>
      </c>
    </row>
    <row r="22" spans="1:1" s="96" customFormat="1" ht="15" customHeight="1" x14ac:dyDescent="0.25">
      <c r="A22" s="142" t="s">
        <v>14</v>
      </c>
    </row>
    <row r="23" spans="1:1" s="96" customFormat="1" ht="15" customHeight="1" x14ac:dyDescent="0.25">
      <c r="A23" s="142" t="s">
        <v>15</v>
      </c>
    </row>
    <row r="24" spans="1:1" s="96" customFormat="1" ht="15" customHeight="1" x14ac:dyDescent="0.25">
      <c r="A24" s="142" t="s">
        <v>16</v>
      </c>
    </row>
    <row r="25" spans="1:1" ht="15" customHeight="1" x14ac:dyDescent="0.2">
      <c r="A25" s="143" t="s">
        <v>17</v>
      </c>
    </row>
    <row r="26" spans="1:1" ht="15" customHeight="1" x14ac:dyDescent="0.2">
      <c r="A26" s="143" t="s">
        <v>18</v>
      </c>
    </row>
    <row r="27" spans="1:1" ht="15" customHeight="1" x14ac:dyDescent="0.2">
      <c r="A27" s="143" t="s">
        <v>19</v>
      </c>
    </row>
    <row r="28" spans="1:1" ht="15" customHeight="1" x14ac:dyDescent="0.2">
      <c r="A28" s="143" t="s">
        <v>20</v>
      </c>
    </row>
    <row r="29" spans="1:1" ht="15" customHeight="1" x14ac:dyDescent="0.2">
      <c r="A29" s="143" t="s">
        <v>21</v>
      </c>
    </row>
    <row r="30" spans="1:1" ht="15" customHeight="1" x14ac:dyDescent="0.2">
      <c r="A30" s="143" t="s">
        <v>22</v>
      </c>
    </row>
    <row r="31" spans="1:1" ht="15" customHeight="1" x14ac:dyDescent="0.2">
      <c r="A31" s="143" t="s">
        <v>23</v>
      </c>
    </row>
    <row r="32" spans="1:1" ht="15" customHeight="1" x14ac:dyDescent="0.2">
      <c r="A32" s="143" t="s">
        <v>24</v>
      </c>
    </row>
    <row r="33" spans="1:1" ht="15" customHeight="1" x14ac:dyDescent="0.2">
      <c r="A33" s="143" t="s">
        <v>25</v>
      </c>
    </row>
  </sheetData>
  <hyperlinks>
    <hyperlink ref="A9" location="'C1 Aprop Resumen 2000-2026'!A1" display="Cuadro No. 1. Apropiaciones agregadas PGN 2000-2026 por fuente" xr:uid="{00000000-0004-0000-0000-000000000000}"/>
    <hyperlink ref="A10" location="'C2 Ejecución 00-18'!A1" display="Cuadro No. 2. Ejecución desagregada PGN 2000-2018 por compromisos, obligaciones y pagos" xr:uid="{00000000-0004-0000-0000-000001000000}"/>
    <hyperlink ref="A11" location="'C3 Ejecución Nación 00-18'!A1" display="Cuadro No. 3. Ejecución desagregada PGN 2000-2018 - Recurso Nación por compromisos, obligaciones y pagos" xr:uid="{00000000-0004-0000-0000-000002000000}"/>
    <hyperlink ref="A12" location="'C4 Ejecución Propios 00-18'!A1" display="Cuadro No. 4. Ejecución desagregada PGN 2000-2018 - Recurso Propios por compromisos, obligaciones y pagos" xr:uid="{00000000-0004-0000-0000-000003000000}"/>
    <hyperlink ref="A13" location="'C5 Ejecución PGN 2019-2026'!A1" display="Cuadro No. 5. Ejecución desagregada PGN por compromisos, obligaciones y pagos del 2019-2026" xr:uid="{00000000-0004-0000-0000-000004000000}"/>
    <hyperlink ref="A14" location="'C6 Ejec. Nac 19-26 '!A1" display="Cuadro No. 6. Ejecución desagregada PGN Recurso Nación por compromisos, obligaciones y pagos del 2019 al 2026" xr:uid="{00000000-0004-0000-0000-000005000000}"/>
    <hyperlink ref="A15" location="'C7 Ejec. Prop 19-26'!A1" display="Cuadro No. 7. Ejecución desagregada PGN Recurso Propios por compromisos, obligaciones y pagos del 2019 al 2026" xr:uid="{00000000-0004-0000-0000-000006000000}"/>
    <hyperlink ref="A16" location="'C8 A Ejec. Sect. PGN 00-18'!A1" display="Cuadro No. 8.A Ejecución Sectorial PGN por compromisos, obligaciones y pagos del 2000-2018" xr:uid="{00000000-0004-0000-0000-000007000000}"/>
    <hyperlink ref="A17" location="'C8 B Ejec. Sect. PGN 19-26'!A1" display="Cuadro No. 8.B Ejecución Sectorial PGN por compromisos, obligaciones y pagos del 2019 al 2026" xr:uid="{00000000-0004-0000-0000-000008000000}"/>
    <hyperlink ref="A18" location="'C9 A Ejec. Sect. Nac 00-18'!A1" display="Cuadro No. 9.A Ejecución Sectorial PGN Recurso Nación por compromisos, obligaciones y pagos del 2000 al 2018" xr:uid="{00000000-0004-0000-0000-000009000000}"/>
    <hyperlink ref="A19" location="'C9 B Ejec. Sect. Nac 19-26'!A1" display="Cuadro No. 9.B Ejecución Sectorial PGN Recurso Nación por compromisos, obligaciones y pagos del 2019 al 2026" xr:uid="{00000000-0004-0000-0000-00000A000000}"/>
    <hyperlink ref="A20" location="'C10 A Ejec. Sect Prop 00-18'!A1" display="Cuadro No. 10.A Ejecución Sectorial PGN Recurso Propios por compromisos, obligación y pago del 2000 al 2018" xr:uid="{00000000-0004-0000-0000-00000B000000}"/>
    <hyperlink ref="A21" location="'C10 B Ejec. Sect Prop 19-26'!A1" display="Cuadro No. 10.B Ejecución Sectorial PGN Recurso Propios por compromisos, obligaciones y pagos del 2019 al 2026" xr:uid="{00000000-0004-0000-0000-00000C000000}"/>
    <hyperlink ref="A22" location="'C11 A Sec. Fto 00-18'!A1" display="Cuadro No. 11.A Ejecución Sectorial Funcionamiento PGN por compromisos, obligaciones y pagos del 2000 al 2018" xr:uid="{00000000-0004-0000-0000-00000D000000}"/>
    <hyperlink ref="A23" location="'C11 B Sec. Fto 19-26'!A1" display="Cuadro No. 11.B Ejecución Sectorial Funcionamiento PGN por compromisos, obligaciones y pagos del 2019 al 2026" xr:uid="{00000000-0004-0000-0000-00000E000000}"/>
    <hyperlink ref="A24" location="'C12 A Sec. Fto. Nac 00-18'!A1" display="Cuadro No. 12.A Ejecución Sectorial Funcionamiento PGN Recurso Nación por compromisos, obligaciones y pagos del 2000 al 2018" xr:uid="{00000000-0004-0000-0000-00000F000000}"/>
    <hyperlink ref="A25" location="'C12 B Sec. Fto. Nac 19-26'!A1" display="Cuadro No. 12.B Ejecución Sectorial Funcionamiento PGN Recurso Nación por compromisos, obligaciones y pagos del 2019 al 2026" xr:uid="{00000000-0004-0000-0000-000010000000}"/>
    <hyperlink ref="A26" location="'C13 A Sec. Fto. Prop 00-18'!A1" display="Cuadro No. 13.A Ejecución Sectorial Funcionamiento PGN Recurso Propios por compromisos, obligaciones y pagos del 2000 al 2018" xr:uid="{00000000-0004-0000-0000-000011000000}"/>
    <hyperlink ref="A27" location="'C13 B Sec. Fto. Prop 19-26'!A1" display="Cuadro No. 13.B Ejecución Sectorial Funcionamiento PGN Recurso Propios por compromisos, obligaciones y pagos del 2019 al 2026" xr:uid="{00000000-0004-0000-0000-000012000000}"/>
    <hyperlink ref="A28" location="'C14 A Sec. Invsión 00-18'!A1" display="Cuadro No. 14.A Ejecución Sectorial Inversión PGN por compromisos, obligaciones y pagos del 2000 al 2018" xr:uid="{00000000-0004-0000-0000-000013000000}"/>
    <hyperlink ref="A29" location="'C14 B Sec. Invsión 19-26'!A1" display="Cuadro No. 14.B Ejecución Sectorial Inversión PGN por compromisos, obligaciones y pagos del 2019 al 2026" xr:uid="{00000000-0004-0000-0000-000014000000}"/>
    <hyperlink ref="A30" location="'C15 A Sec. Invsión Nac 00-18'!A1" display="Cuadro No. 15.A Ejecución Sectorial Inversión PGN Recurso Nación por compromisos, obligaciones y pagos del 2000 al 2018" xr:uid="{00000000-0004-0000-0000-000015000000}"/>
    <hyperlink ref="A31" location="'C15 B Sec. Invsión Nac 19-26'!A1" display="Cuadro No. 15.B Ejecución Sectorial Inversión PGN Recurso Nación por compromisos, obligaciones y pagos del 2019 al 2026" xr:uid="{00000000-0004-0000-0000-000016000000}"/>
    <hyperlink ref="A32" location="'C16 A Sec. Invsión Prop 00-18'!A1" display="Cuadro No. 16.A Ejecución Sectorial Inversión PGN Recurso Propios por compromisos, obligaciones y pagos del 2000 al 2018" xr:uid="{00000000-0004-0000-0000-000017000000}"/>
    <hyperlink ref="A33" location="'C16 B Sec. Invsión Prop 19-26'!A1" display="Cuadro No. 16.B Ejecución Sectorial Inversión PGN Recurso Propios por compromisos, obligaciones y pagos del 2019-2026" xr:uid="{00000000-0004-0000-0000-000018000000}"/>
  </hyperlink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0"/>
  <dimension ref="A1:V276"/>
  <sheetViews>
    <sheetView showGridLines="0" zoomScaleNormal="100" workbookViewId="0">
      <pane xSplit="3" ySplit="7" topLeftCell="D31" activePane="bottomRight" state="frozen"/>
      <selection activeCell="O5" sqref="O5:O6"/>
      <selection pane="topRight" activeCell="O5" sqref="O5:O6"/>
      <selection pane="bottomLeft" activeCell="O5" sqref="O5:O6"/>
      <selection pane="bottomRight" activeCell="A5" sqref="A5:C7"/>
    </sheetView>
  </sheetViews>
  <sheetFormatPr baseColWidth="10" defaultColWidth="11.42578125" defaultRowHeight="11.25" x14ac:dyDescent="0.2"/>
  <cols>
    <col min="1" max="2" width="2.7109375" style="3" customWidth="1"/>
    <col min="3" max="3" width="45.7109375" style="3" customWidth="1"/>
    <col min="4" max="22" width="10.7109375" style="3" customWidth="1"/>
    <col min="23" max="33" width="10.7109375" style="9" customWidth="1"/>
    <col min="34" max="34" width="11.42578125" style="9" customWidth="1"/>
    <col min="35" max="16384" width="11.42578125" style="9"/>
  </cols>
  <sheetData>
    <row r="1" spans="1:22" ht="16.5" customHeight="1" x14ac:dyDescent="0.2"/>
    <row r="2" spans="1:22" ht="16.5" customHeight="1" x14ac:dyDescent="0.2">
      <c r="D2" s="159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  <c r="Q2" s="158"/>
      <c r="R2" s="158"/>
      <c r="S2" s="158"/>
      <c r="T2" s="158"/>
      <c r="U2" s="158"/>
      <c r="V2" s="158"/>
    </row>
    <row r="3" spans="1:22" s="102" customFormat="1" ht="16.5" customHeight="1" x14ac:dyDescent="0.25">
      <c r="A3" s="120"/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  <c r="R3" s="98"/>
      <c r="S3" s="98"/>
      <c r="T3" s="98"/>
      <c r="U3" s="98"/>
      <c r="V3" s="98"/>
    </row>
    <row r="4" spans="1:22" s="102" customFormat="1" ht="15" customHeight="1" x14ac:dyDescent="0.25">
      <c r="A4" s="120"/>
      <c r="B4" s="98"/>
      <c r="C4" s="98"/>
      <c r="D4" s="161"/>
      <c r="E4" s="176"/>
      <c r="F4" s="176"/>
      <c r="G4" s="176"/>
      <c r="H4" s="176"/>
      <c r="I4" s="176"/>
      <c r="J4" s="176"/>
      <c r="K4" s="176"/>
      <c r="L4" s="176"/>
      <c r="M4" s="176"/>
      <c r="N4" s="176"/>
      <c r="O4" s="176"/>
      <c r="P4" s="176"/>
      <c r="Q4" s="176"/>
      <c r="R4" s="176"/>
      <c r="S4" s="176"/>
      <c r="T4" s="176"/>
      <c r="U4" s="176"/>
      <c r="V4" s="176"/>
    </row>
    <row r="5" spans="1:22" s="102" customFormat="1" ht="15" customHeight="1" x14ac:dyDescent="0.25">
      <c r="A5" s="165" t="s">
        <v>8</v>
      </c>
      <c r="B5" s="176"/>
      <c r="C5" s="176"/>
      <c r="D5" s="147"/>
      <c r="E5" s="147"/>
      <c r="F5" s="147"/>
      <c r="G5" s="147"/>
      <c r="H5" s="147"/>
      <c r="I5" s="147"/>
      <c r="J5" s="147"/>
      <c r="K5" s="147"/>
      <c r="L5" s="147"/>
      <c r="M5" s="147"/>
      <c r="N5" s="147"/>
      <c r="O5" s="147"/>
      <c r="P5" s="147"/>
      <c r="Q5" s="147"/>
      <c r="R5" s="147"/>
      <c r="S5" s="147"/>
      <c r="T5" s="147"/>
      <c r="U5" s="147"/>
      <c r="V5" s="147"/>
    </row>
    <row r="6" spans="1:22" s="102" customFormat="1" ht="15" customHeight="1" x14ac:dyDescent="0.25">
      <c r="A6" s="176"/>
      <c r="B6" s="176"/>
      <c r="C6" s="176"/>
      <c r="D6" s="151" t="s">
        <v>27</v>
      </c>
      <c r="E6" s="151" t="s">
        <v>28</v>
      </c>
      <c r="F6" s="151" t="s">
        <v>29</v>
      </c>
      <c r="G6" s="151" t="s">
        <v>30</v>
      </c>
      <c r="H6" s="151">
        <v>2004</v>
      </c>
      <c r="I6" s="151" t="s">
        <v>31</v>
      </c>
      <c r="J6" s="151" t="s">
        <v>32</v>
      </c>
      <c r="K6" s="151" t="s">
        <v>33</v>
      </c>
      <c r="L6" s="151" t="s">
        <v>34</v>
      </c>
      <c r="M6" s="151" t="s">
        <v>35</v>
      </c>
      <c r="N6" s="151">
        <v>2010</v>
      </c>
      <c r="O6" s="151">
        <v>2011</v>
      </c>
      <c r="P6" s="151">
        <v>2012</v>
      </c>
      <c r="Q6" s="151">
        <v>2013</v>
      </c>
      <c r="R6" s="151">
        <v>2014</v>
      </c>
      <c r="S6" s="151">
        <v>2015</v>
      </c>
      <c r="T6" s="151">
        <v>2016</v>
      </c>
      <c r="U6" s="151">
        <v>2017</v>
      </c>
      <c r="V6" s="151">
        <v>2018</v>
      </c>
    </row>
    <row r="7" spans="1:22" s="102" customFormat="1" ht="15" customHeight="1" x14ac:dyDescent="0.25">
      <c r="A7" s="162" t="s">
        <v>227</v>
      </c>
      <c r="B7" s="176"/>
      <c r="C7" s="176"/>
      <c r="D7" s="176"/>
      <c r="E7" s="176"/>
      <c r="F7" s="176"/>
      <c r="G7" s="176"/>
      <c r="H7" s="176"/>
      <c r="I7" s="176"/>
      <c r="J7" s="176"/>
      <c r="K7" s="176"/>
      <c r="L7" s="176"/>
      <c r="M7" s="176"/>
      <c r="N7" s="176"/>
      <c r="O7" s="176"/>
      <c r="P7" s="176"/>
      <c r="Q7" s="176"/>
      <c r="R7" s="176"/>
      <c r="S7" s="176"/>
      <c r="T7" s="176"/>
      <c r="U7" s="176"/>
      <c r="V7" s="176"/>
    </row>
    <row r="8" spans="1:22" s="102" customFormat="1" ht="15" customHeight="1" x14ac:dyDescent="0.25">
      <c r="A8" s="120"/>
      <c r="B8" s="98"/>
      <c r="C8" s="98"/>
      <c r="D8" s="132"/>
      <c r="E8" s="132"/>
      <c r="F8" s="132"/>
      <c r="G8" s="132"/>
      <c r="H8" s="132"/>
      <c r="I8" s="132"/>
      <c r="J8" s="132"/>
      <c r="K8" s="132"/>
      <c r="L8" s="132"/>
      <c r="M8" s="132"/>
      <c r="N8" s="132"/>
      <c r="O8" s="132"/>
      <c r="P8" s="132"/>
      <c r="Q8" s="132"/>
      <c r="R8" s="132"/>
      <c r="S8" s="132"/>
      <c r="T8" s="132"/>
      <c r="U8" s="132"/>
      <c r="V8" s="132"/>
    </row>
    <row r="9" spans="1:22" s="102" customFormat="1" ht="15" customHeight="1" x14ac:dyDescent="0.25">
      <c r="A9" s="99"/>
      <c r="B9" s="98"/>
      <c r="C9" s="98"/>
      <c r="D9" s="98"/>
      <c r="E9" s="98"/>
      <c r="F9" s="98"/>
      <c r="G9" s="98"/>
      <c r="H9" s="98"/>
      <c r="I9" s="98"/>
      <c r="J9" s="98"/>
      <c r="K9" s="98"/>
      <c r="L9" s="98"/>
      <c r="M9" s="98"/>
      <c r="N9" s="98"/>
      <c r="O9" s="98"/>
      <c r="P9" s="98"/>
      <c r="Q9" s="98"/>
      <c r="R9" s="98"/>
      <c r="S9" s="98"/>
      <c r="T9" s="98"/>
      <c r="U9" s="98"/>
      <c r="V9" s="98"/>
    </row>
    <row r="10" spans="1:22" ht="18" customHeight="1" x14ac:dyDescent="0.2">
      <c r="D10" s="160" t="s">
        <v>119</v>
      </c>
      <c r="E10" s="158"/>
      <c r="F10" s="158"/>
      <c r="G10" s="158"/>
      <c r="H10" s="158"/>
      <c r="I10" s="158"/>
      <c r="J10" s="158"/>
      <c r="K10" s="158"/>
      <c r="L10" s="158"/>
      <c r="M10" s="158"/>
      <c r="N10" s="158"/>
      <c r="O10" s="158"/>
      <c r="P10" s="158"/>
      <c r="Q10" s="158"/>
      <c r="R10" s="158"/>
      <c r="S10" s="158"/>
      <c r="T10" s="158"/>
      <c r="U10" s="158"/>
      <c r="V10" s="158"/>
    </row>
    <row r="11" spans="1:22" x14ac:dyDescent="0.2">
      <c r="C11" s="157"/>
      <c r="D11" s="158"/>
      <c r="E11" s="158"/>
      <c r="F11" s="158"/>
      <c r="G11" s="158"/>
      <c r="H11" s="158"/>
      <c r="I11" s="158"/>
      <c r="J11" s="158"/>
      <c r="K11" s="158"/>
      <c r="L11" s="158"/>
      <c r="M11" s="158"/>
      <c r="N11" s="158"/>
      <c r="O11" s="158"/>
      <c r="P11" s="158"/>
      <c r="Q11" s="158"/>
      <c r="R11" s="158"/>
      <c r="S11" s="158"/>
      <c r="T11" s="158"/>
      <c r="U11" s="158"/>
      <c r="V11" s="158"/>
    </row>
    <row r="12" spans="1:22" ht="9.9499999999999993" customHeight="1" x14ac:dyDescent="0.2">
      <c r="C12" s="177" t="s">
        <v>120</v>
      </c>
      <c r="D12" s="153" t="s">
        <v>27</v>
      </c>
      <c r="E12" s="153" t="s">
        <v>28</v>
      </c>
      <c r="F12" s="153" t="s">
        <v>29</v>
      </c>
      <c r="G12" s="153" t="s">
        <v>30</v>
      </c>
      <c r="H12" s="153" t="s">
        <v>121</v>
      </c>
      <c r="I12" s="153" t="s">
        <v>31</v>
      </c>
      <c r="J12" s="153" t="s">
        <v>32</v>
      </c>
      <c r="K12" s="153" t="s">
        <v>33</v>
      </c>
      <c r="L12" s="153" t="s">
        <v>34</v>
      </c>
      <c r="M12" s="153" t="s">
        <v>122</v>
      </c>
      <c r="N12" s="153">
        <v>2010</v>
      </c>
      <c r="O12" s="153">
        <v>2011</v>
      </c>
      <c r="P12" s="153">
        <v>2012</v>
      </c>
      <c r="Q12" s="153">
        <v>2013</v>
      </c>
      <c r="R12" s="153">
        <v>2014</v>
      </c>
      <c r="S12" s="153">
        <v>2015</v>
      </c>
      <c r="T12" s="153">
        <v>2016</v>
      </c>
      <c r="U12" s="153">
        <v>2017</v>
      </c>
      <c r="V12" s="153">
        <v>2018</v>
      </c>
    </row>
    <row r="13" spans="1:22" ht="9.9499999999999993" customHeight="1" thickBot="1" x14ac:dyDescent="0.25">
      <c r="C13" s="156"/>
      <c r="D13" s="154"/>
      <c r="E13" s="154"/>
      <c r="F13" s="154"/>
      <c r="G13" s="154"/>
      <c r="H13" s="154"/>
      <c r="I13" s="154"/>
      <c r="J13" s="154"/>
      <c r="K13" s="154"/>
      <c r="L13" s="154"/>
      <c r="M13" s="154"/>
      <c r="N13" s="154"/>
      <c r="O13" s="154"/>
      <c r="P13" s="154"/>
      <c r="Q13" s="154"/>
      <c r="R13" s="154"/>
      <c r="S13" s="154"/>
      <c r="T13" s="154"/>
      <c r="U13" s="154"/>
      <c r="V13" s="154"/>
    </row>
    <row r="14" spans="1:22" x14ac:dyDescent="0.2">
      <c r="C14" s="87" t="s">
        <v>123</v>
      </c>
      <c r="D14" s="56">
        <f>502.870515905*Deflactores!$A$5</f>
        <v>1825.701141992866</v>
      </c>
      <c r="E14" s="56">
        <f>730.375774511*Deflactores!$B$5</f>
        <v>2463.2737689722203</v>
      </c>
      <c r="F14" s="56">
        <f>760.035938714999*Deflactores!$C$5</f>
        <v>2395.795764832124</v>
      </c>
      <c r="G14" s="56">
        <f>541.498867679*Deflactores!$D$5</f>
        <v>1602.8719773204853</v>
      </c>
      <c r="H14" s="56">
        <f>646.749844226999*Deflactores!$E$5</f>
        <v>1814.6696554814434</v>
      </c>
      <c r="I14" s="56">
        <f>684.896573397*Deflactores!$F$5</f>
        <v>1832.7212186683178</v>
      </c>
      <c r="J14" s="56">
        <f>1028.791757464*Deflactores!$G$5</f>
        <v>2634.9613843798388</v>
      </c>
      <c r="K14" s="56">
        <f>1419.403948*Deflactores!$H$5</f>
        <v>3439.5415365881495</v>
      </c>
      <c r="L14" s="56">
        <f>1885.8719*Deflactores!$I$5</f>
        <v>4244.1858594240639</v>
      </c>
      <c r="M14" s="56">
        <f>1639.7332562*Deflactores!$J$5</f>
        <v>3617.8248684982141</v>
      </c>
      <c r="N14" s="56">
        <f>1697.487840914*Deflactores!$K$5</f>
        <v>3630.1321189348009</v>
      </c>
      <c r="O14" s="56">
        <f>1744.571032593*Deflactores!$L$5</f>
        <v>3596.78035200356</v>
      </c>
      <c r="P14" s="56">
        <f>2256.865825696*Deflactores!$M$5</f>
        <v>4542.1495648778791</v>
      </c>
      <c r="Q14" s="56">
        <f>3748.893145789*Deflactores!$N$5</f>
        <v>7401.4042136805574</v>
      </c>
      <c r="R14" s="56">
        <f>3461.546886102*Deflactores!$O$5</f>
        <v>6592.8026394350309</v>
      </c>
      <c r="S14" s="56">
        <f>3821.854176187*Deflactores!$P$5</f>
        <v>6817.493401363583</v>
      </c>
      <c r="T14" s="56">
        <f>2589.323218248*Deflactores!$Q$5</f>
        <v>4367.7372379163844</v>
      </c>
      <c r="U14" s="56">
        <f>2842.220718388*Deflactores!$R$5</f>
        <v>4605.9479957003523</v>
      </c>
      <c r="V14" s="56">
        <f>2432.443231647*Deflactores!$S$5</f>
        <v>3820.3963301874364</v>
      </c>
    </row>
    <row r="15" spans="1:22" x14ac:dyDescent="0.2">
      <c r="C15" s="88" t="s">
        <v>124</v>
      </c>
      <c r="D15" s="57">
        <f>147.462385656*Deflactores!$A$5</f>
        <v>535.37091035977915</v>
      </c>
      <c r="E15" s="57">
        <f>161.862401862*Deflactores!$B$5</f>
        <v>545.8990051476577</v>
      </c>
      <c r="F15" s="57">
        <f>177.347796102*Deflactores!$C$5</f>
        <v>559.0381680132748</v>
      </c>
      <c r="G15" s="57">
        <f>213.131639417*Deflactores!$D$5</f>
        <v>630.88355801400701</v>
      </c>
      <c r="H15" s="57">
        <f>343.909085645*Deflactores!$E$5</f>
        <v>964.95018519912878</v>
      </c>
      <c r="I15" s="57">
        <f>316.354347659*Deflactores!$F$5</f>
        <v>846.53559105565637</v>
      </c>
      <c r="J15" s="57">
        <f>442.223359321*Deflactores!$G$5</f>
        <v>1132.6310369689561</v>
      </c>
      <c r="K15" s="57">
        <f>531.800187671*Deflactores!$H$5</f>
        <v>1288.6739093808535</v>
      </c>
      <c r="L15" s="57">
        <f>1475.307795815*Deflactores!$I$5</f>
        <v>3320.2045617711924</v>
      </c>
      <c r="M15" s="57">
        <f>1721.086434788*Deflactores!$J$5</f>
        <v>3797.3184242422244</v>
      </c>
      <c r="N15" s="57">
        <f>1918.519576732*Deflactores!$K$5</f>
        <v>4102.8155657068264</v>
      </c>
      <c r="O15" s="57">
        <f>1410.078614615*Deflactores!$L$5</f>
        <v>2907.1576686042827</v>
      </c>
      <c r="P15" s="57">
        <f>416.001383759*Deflactores!$M$5</f>
        <v>837.24095722297443</v>
      </c>
      <c r="Q15" s="57">
        <f>569.080069*Deflactores!$N$5</f>
        <v>1123.5293876939129</v>
      </c>
      <c r="R15" s="57">
        <f>589.780342128*Deflactores!$O$5</f>
        <v>1123.2854917781979</v>
      </c>
      <c r="S15" s="57">
        <f>716.815866512*Deflactores!$P$5</f>
        <v>1278.6692570290174</v>
      </c>
      <c r="T15" s="57">
        <f>699.37192265*Deflactores!$Q$5</f>
        <v>1179.7186107103496</v>
      </c>
      <c r="U15" s="57">
        <f>734.863679253*Deflactores!$R$5</f>
        <v>1190.8800286587314</v>
      </c>
      <c r="V15" s="57">
        <f>705.622561114*Deflactores!$S$5</f>
        <v>1108.251081835976</v>
      </c>
    </row>
    <row r="16" spans="1:22" x14ac:dyDescent="0.2">
      <c r="C16" s="87" t="s">
        <v>125</v>
      </c>
      <c r="D16" s="56">
        <f>45.129433476*Deflactores!$A$5</f>
        <v>163.84507667216178</v>
      </c>
      <c r="E16" s="56">
        <f>75.9174265229999*Deflactores!$B$5</f>
        <v>256.03998912366052</v>
      </c>
      <c r="F16" s="56">
        <f>88.4200973889999*Deflactores!$C$5</f>
        <v>278.71905006066447</v>
      </c>
      <c r="G16" s="56">
        <f>73.44213883*Deflactores!$D$5</f>
        <v>217.39352251955404</v>
      </c>
      <c r="H16" s="56">
        <f>94.060336756*Deflactores!$E$5</f>
        <v>263.91724778764711</v>
      </c>
      <c r="I16" s="56">
        <f>99.325544478*Deflactores!$F$5</f>
        <v>265.78616391339028</v>
      </c>
      <c r="J16" s="56">
        <f>130.634067767*Deflactores!$G$5</f>
        <v>334.58250569484073</v>
      </c>
      <c r="K16" s="56">
        <f>137.227504215*Deflactores!$H$5</f>
        <v>332.53373810526972</v>
      </c>
      <c r="L16" s="56">
        <f>198.606499368*Deflactores!$I$5</f>
        <v>446.96720716151492</v>
      </c>
      <c r="M16" s="56">
        <f>237.043251318*Deflactores!$J$5</f>
        <v>523.00029061759324</v>
      </c>
      <c r="N16" s="56">
        <f>356.685774659*Deflactores!$K$5</f>
        <v>762.78395388068998</v>
      </c>
      <c r="O16" s="56">
        <f>379.576836664*Deflactores!$L$5</f>
        <v>782.57318428561052</v>
      </c>
      <c r="P16" s="56">
        <f>425.192068809*Deflactores!$M$5</f>
        <v>855.738054226033</v>
      </c>
      <c r="Q16" s="56">
        <f>430.150279571*Deflactores!$N$5</f>
        <v>849.24162090584673</v>
      </c>
      <c r="R16" s="56">
        <f>376.768072066*Deflactores!$O$5</f>
        <v>717.58598733548376</v>
      </c>
      <c r="S16" s="56">
        <f>354.686305279*Deflactores!$P$5</f>
        <v>632.69592044092099</v>
      </c>
      <c r="T16" s="56">
        <f>306.516490806*Deflactores!$Q$5</f>
        <v>517.0399282306189</v>
      </c>
      <c r="U16" s="56">
        <f>380.331423347*Deflactores!$R$5</f>
        <v>616.34437668180954</v>
      </c>
      <c r="V16" s="56">
        <f>334.7780418*Deflactores!$S$5</f>
        <v>525.80252878257693</v>
      </c>
    </row>
    <row r="17" spans="3:22" x14ac:dyDescent="0.2">
      <c r="C17" s="88" t="s">
        <v>126</v>
      </c>
      <c r="D17" s="57">
        <f>252.244047566*Deflactores!$A$5</f>
        <v>915.78692951079438</v>
      </c>
      <c r="E17" s="57">
        <f>297.095778677*Deflactores!$B$5</f>
        <v>1001.9886530018097</v>
      </c>
      <c r="F17" s="57">
        <f>293.965209835899*Deflactores!$C$5</f>
        <v>926.64118742012147</v>
      </c>
      <c r="G17" s="57">
        <f>214.21804198*Deflactores!$D$5</f>
        <v>634.09938048060928</v>
      </c>
      <c r="H17" s="57">
        <f>201.371701214*Deflactores!$E$5</f>
        <v>565.01461720872692</v>
      </c>
      <c r="I17" s="57">
        <f>225.673526507999*Deflactores!$F$5</f>
        <v>603.88192405683958</v>
      </c>
      <c r="J17" s="57">
        <f>317.885966922*Deflactores!$G$5</f>
        <v>814.17569823893848</v>
      </c>
      <c r="K17" s="57">
        <f>338.709333347*Deflactores!$H$5</f>
        <v>820.7704526386791</v>
      </c>
      <c r="L17" s="57">
        <f>327.398541101999*Deflactores!$I$5</f>
        <v>736.8158243097912</v>
      </c>
      <c r="M17" s="57">
        <f>480.084270815*Deflactores!$J$5</f>
        <v>1059.2337548574374</v>
      </c>
      <c r="N17" s="57">
        <f>467.240523727*Deflactores!$K$5</f>
        <v>999.20882587060169</v>
      </c>
      <c r="O17" s="57">
        <f>590.689996335999*Deflactores!$L$5</f>
        <v>1217.8249743081863</v>
      </c>
      <c r="P17" s="57">
        <f>795.027825458*Deflactores!$M$5</f>
        <v>1600.0664507187596</v>
      </c>
      <c r="Q17" s="57">
        <f>1078.332831882*Deflactores!$N$5</f>
        <v>2128.9422918352575</v>
      </c>
      <c r="R17" s="57">
        <f>902.572983982*Deflactores!$O$5</f>
        <v>1719.0249755016437</v>
      </c>
      <c r="S17" s="57">
        <f>893.41317536*Deflactores!$P$5</f>
        <v>1593.6867674487812</v>
      </c>
      <c r="T17" s="57">
        <f>853.455904355*Deflactores!$Q$5</f>
        <v>1439.6314481330653</v>
      </c>
      <c r="U17" s="57">
        <f>988.926138671*Deflactores!$R$5</f>
        <v>1602.5998040330844</v>
      </c>
      <c r="V17" s="57">
        <f>844.063954732*Deflactores!$S$5</f>
        <v>1325.6871910298273</v>
      </c>
    </row>
    <row r="18" spans="3:22" x14ac:dyDescent="0.2">
      <c r="C18" s="87" t="s">
        <v>127</v>
      </c>
      <c r="D18" s="56">
        <f>194.10744778*Deflactores!$A$5</f>
        <v>704.71856645541504</v>
      </c>
      <c r="E18" s="56">
        <f>222.859320268*Deflactores!$B$5</f>
        <v>751.61791634543818</v>
      </c>
      <c r="F18" s="56">
        <f>196.468797251*Deflactores!$C$5</f>
        <v>619.31165146140745</v>
      </c>
      <c r="G18" s="56">
        <f>230.374907985*Deflactores!$D$5</f>
        <v>681.92475797722193</v>
      </c>
      <c r="H18" s="56">
        <f>230.193360479*Deflactores!$E$5</f>
        <v>645.88327292728013</v>
      </c>
      <c r="I18" s="56">
        <f>252.557433626*Deflactores!$F$5</f>
        <v>675.82082538830969</v>
      </c>
      <c r="J18" s="56">
        <f>301.754682913*Deflactores!$G$5</f>
        <v>772.85994105503971</v>
      </c>
      <c r="K18" s="56">
        <f>290.367705615*Deflactores!$H$5</f>
        <v>703.62759364862109</v>
      </c>
      <c r="L18" s="56">
        <f>321.209*Deflactores!$I$5</f>
        <v>722.88615982864155</v>
      </c>
      <c r="M18" s="56">
        <f>349.769350642*Deflactores!$J$5</f>
        <v>771.71347852248277</v>
      </c>
      <c r="N18" s="56">
        <f>379.682733535*Deflactores!$K$5</f>
        <v>811.9636870378007</v>
      </c>
      <c r="O18" s="56">
        <f>403.797018673*Deflactores!$L$5</f>
        <v>832.50790929502489</v>
      </c>
      <c r="P18" s="56">
        <f>427.242213704*Deflactores!$M$5</f>
        <v>859.86415894911249</v>
      </c>
      <c r="Q18" s="56">
        <f>467.87731726*Deflactores!$N$5</f>
        <v>923.72575391846738</v>
      </c>
      <c r="R18" s="56">
        <f>471.858594278*Deflactores!$O$5</f>
        <v>898.69375980032157</v>
      </c>
      <c r="S18" s="56">
        <f>476.201646874*Deflactores!$P$5</f>
        <v>849.4572099349291</v>
      </c>
      <c r="T18" s="56">
        <f>514.24660542*Deflactores!$Q$5</f>
        <v>867.44444731190811</v>
      </c>
      <c r="U18" s="56">
        <f>555.652081499*Deflactores!$R$5</f>
        <v>900.45948033852505</v>
      </c>
      <c r="V18" s="56">
        <f>587.450488892*Deflactores!$S$5</f>
        <v>922.64997708094813</v>
      </c>
    </row>
    <row r="19" spans="3:22" x14ac:dyDescent="0.2">
      <c r="C19" s="88" t="s">
        <v>128</v>
      </c>
      <c r="D19" s="57">
        <f>65.209411522*Deflactores!$A$5</f>
        <v>236.7466242679638</v>
      </c>
      <c r="E19" s="57">
        <f>68.516762193*Deflactores!$B$5</f>
        <v>231.08042316699616</v>
      </c>
      <c r="F19" s="57">
        <f>67.359684435*Deflactores!$C$5</f>
        <v>212.33212598163232</v>
      </c>
      <c r="G19" s="57">
        <f>67.172533656*Deflactores!$D$5</f>
        <v>198.83508215689497</v>
      </c>
      <c r="H19" s="57">
        <f>96.980442216*Deflactores!$E$5</f>
        <v>272.11056521380146</v>
      </c>
      <c r="I19" s="57">
        <f>106.06837541*Deflactores!$F$5</f>
        <v>283.82936897963361</v>
      </c>
      <c r="J19" s="57">
        <f>131.089528776*Deflactores!$G$5</f>
        <v>335.74904125667695</v>
      </c>
      <c r="K19" s="57">
        <f>150.247173095*Deflactores!$H$5</f>
        <v>364.08338397492042</v>
      </c>
      <c r="L19" s="57">
        <f>183.245690033*Deflactores!$I$5</f>
        <v>412.39745204245503</v>
      </c>
      <c r="M19" s="57">
        <f>204.394866031*Deflactores!$J$5</f>
        <v>450.96653771235054</v>
      </c>
      <c r="N19" s="57">
        <f>220.204642342*Deflactores!$K$5</f>
        <v>470.914680881501</v>
      </c>
      <c r="O19" s="57">
        <f>243.312715371999*Deflactores!$L$5</f>
        <v>501.63758178530242</v>
      </c>
      <c r="P19" s="57">
        <f>349.130995151*Deflactores!$M$5</f>
        <v>702.65816410306331</v>
      </c>
      <c r="Q19" s="57">
        <f>415.68063493*Deflactores!$N$5</f>
        <v>820.67433860369454</v>
      </c>
      <c r="R19" s="57">
        <f>393.155245505999*Deflactores!$O$5</f>
        <v>748.7967159094261</v>
      </c>
      <c r="S19" s="57">
        <f>441.348925431*Deflactores!$P$5</f>
        <v>787.28628778470897</v>
      </c>
      <c r="T19" s="57">
        <f>381.006816285999*Deflactores!$Q$5</f>
        <v>642.69213193025826</v>
      </c>
      <c r="U19" s="57">
        <f>403.435953241*Deflactores!$R$5</f>
        <v>653.78631863529176</v>
      </c>
      <c r="V19" s="57">
        <f>404.419264465*Deflactores!$S$5</f>
        <v>635.1810614601867</v>
      </c>
    </row>
    <row r="20" spans="3:22" x14ac:dyDescent="0.2">
      <c r="C20" s="87" t="s">
        <v>129</v>
      </c>
      <c r="D20" s="56">
        <f>6664.87368560295*Deflactores!$A$5</f>
        <v>24197.217999836448</v>
      </c>
      <c r="E20" s="56">
        <f>7870.9053344965*Deflactores!$B$5</f>
        <v>26545.506197148308</v>
      </c>
      <c r="F20" s="56">
        <f>8848.59431268584*Deflactores!$C$5</f>
        <v>27892.660990337445</v>
      </c>
      <c r="G20" s="56">
        <f>9951.8655951397*Deflactores!$D$5</f>
        <v>29458.171450813359</v>
      </c>
      <c r="H20" s="56">
        <f>11171.455131368*Deflactores!$E$5</f>
        <v>31345.196006495898</v>
      </c>
      <c r="I20" s="56">
        <f>12109.4277170426*Deflactores!$F$5</f>
        <v>32403.732161892331</v>
      </c>
      <c r="J20" s="56">
        <f>13324.4777921817*Deflactores!$G$5</f>
        <v>34126.910713176163</v>
      </c>
      <c r="K20" s="56">
        <f>14808.7773423891*Deflactores!$H$5</f>
        <v>35885.066296316079</v>
      </c>
      <c r="L20" s="56">
        <f>18603.8541245079*Deflactores!$I$5</f>
        <v>41868.280982406315</v>
      </c>
      <c r="M20" s="56">
        <f>20541.7900067603*Deflactores!$J$5</f>
        <v>45322.370848384526</v>
      </c>
      <c r="N20" s="56">
        <f>21043.5349949551*Deflactores!$K$5</f>
        <v>45002.27361863335</v>
      </c>
      <c r="O20" s="56">
        <f>22001.8294634344*Deflactores!$L$5</f>
        <v>45361.149786255715</v>
      </c>
      <c r="P20" s="56">
        <f>23961.7743183799*Deflactores!$M$5</f>
        <v>48225.269555121384</v>
      </c>
      <c r="Q20" s="56">
        <f>26462.909724982*Deflactores!$N$5</f>
        <v>52245.471910752021</v>
      </c>
      <c r="R20" s="56">
        <f>27039.9698040033*Deflactores!$O$5</f>
        <v>51499.861235397846</v>
      </c>
      <c r="S20" s="56">
        <f>27313.6586414323*Deflactores!$P$5</f>
        <v>48722.603995540558</v>
      </c>
      <c r="T20" s="56">
        <f>28917.9990818539*Deflactores!$Q$5</f>
        <v>48779.627257699794</v>
      </c>
      <c r="U20" s="56">
        <f>29980.0795453865*Deflactores!$R$5</f>
        <v>48584.083002296742</v>
      </c>
      <c r="V20" s="56">
        <f>31442.3882201376*Deflactores!$S$5</f>
        <v>49383.42774281637</v>
      </c>
    </row>
    <row r="21" spans="3:22" x14ac:dyDescent="0.2">
      <c r="C21" s="88" t="s">
        <v>130</v>
      </c>
      <c r="D21" s="57">
        <f>40.031901078*Deflactores!$A$5</f>
        <v>145.33818389157094</v>
      </c>
      <c r="E21" s="57">
        <f>78.919547301*Deflactores!$B$5</f>
        <v>266.16497631766379</v>
      </c>
      <c r="F21" s="57">
        <f>38.875657759*Deflactores!$C$5</f>
        <v>122.54438437680322</v>
      </c>
      <c r="G21" s="57">
        <f>39.6662662215*Deflactores!$D$5</f>
        <v>117.41473596038361</v>
      </c>
      <c r="H21" s="57">
        <f>89.682200974*Deflactores!$E$5</f>
        <v>251.63294618001598</v>
      </c>
      <c r="I21" s="57">
        <f>72.727015362*Deflactores!$F$5</f>
        <v>194.61090827664805</v>
      </c>
      <c r="J21" s="57">
        <f>103.039490708*Deflactores!$G$5</f>
        <v>263.90674022409814</v>
      </c>
      <c r="K21" s="57">
        <f>86.478482597*Deflactores!$H$5</f>
        <v>209.55721120306262</v>
      </c>
      <c r="L21" s="57">
        <f>156.150002593*Deflactores!$I$5</f>
        <v>351.41815992604876</v>
      </c>
      <c r="M21" s="57">
        <f>146.521894787*Deflactores!$J$5</f>
        <v>323.27852883117458</v>
      </c>
      <c r="N21" s="57">
        <f>142.875385563*Deflactores!$K$5</f>
        <v>305.54358837596919</v>
      </c>
      <c r="O21" s="57">
        <f>175.599228686*Deflactores!$L$5</f>
        <v>362.0327540495922</v>
      </c>
      <c r="P21" s="57">
        <f>331.976815893999*Deflactores!$M$5</f>
        <v>668.13380427587015</v>
      </c>
      <c r="Q21" s="57">
        <f>388.716914916*Deflactores!$N$5</f>
        <v>767.44012168495112</v>
      </c>
      <c r="R21" s="57">
        <f>352.960951687*Deflactores!$O$5</f>
        <v>672.24335549011118</v>
      </c>
      <c r="S21" s="57">
        <f>436.371406503*Deflactores!$P$5</f>
        <v>778.40729845585452</v>
      </c>
      <c r="T21" s="57">
        <f>408.787614976*Deflactores!$Q$5</f>
        <v>689.55350021454569</v>
      </c>
      <c r="U21" s="57">
        <f>590.46427808*Deflactores!$R$5</f>
        <v>956.87422885922547</v>
      </c>
      <c r="V21" s="57">
        <f>569.193689811*Deflactores!$S$5</f>
        <v>893.97584100962229</v>
      </c>
    </row>
    <row r="22" spans="3:22" x14ac:dyDescent="0.2">
      <c r="C22" s="87" t="s">
        <v>131</v>
      </c>
      <c r="D22" s="56">
        <f>5235.26438328*Deflactores!$A$5</f>
        <v>19006.936897041171</v>
      </c>
      <c r="E22" s="56">
        <f>7757.8366176925*Deflactores!$B$5</f>
        <v>26164.169337528183</v>
      </c>
      <c r="F22" s="56">
        <f>8755.453902674*Deflactores!$C$5</f>
        <v>27599.062505746879</v>
      </c>
      <c r="G22" s="56">
        <f>10167.971275037*Deflactores!$D$5</f>
        <v>30097.85836268427</v>
      </c>
      <c r="H22" s="56">
        <f>11584.321929913*Deflactores!$E$5</f>
        <v>32503.629762240904</v>
      </c>
      <c r="I22" s="56">
        <f>12622.644606891*Deflactores!$F$5</f>
        <v>33777.054091565522</v>
      </c>
      <c r="J22" s="56">
        <f>13594.329739221*Deflactores!$G$5</f>
        <v>34818.060748923948</v>
      </c>
      <c r="K22" s="56">
        <f>14382.471192177*Deflactores!$H$5</f>
        <v>34852.028651871318</v>
      </c>
      <c r="L22" s="56">
        <f>16273.788039058*Deflactores!$I$5</f>
        <v>36624.42877198309</v>
      </c>
      <c r="M22" s="56">
        <f>18860.763135137*Deflactores!$J$5</f>
        <v>41613.437826640198</v>
      </c>
      <c r="N22" s="56">
        <f>20860.213156443*Deflactores!$K$5</f>
        <v>44610.233995111434</v>
      </c>
      <c r="O22" s="56">
        <f>21770.7063794149*Deflactores!$L$5</f>
        <v>44884.643555230992</v>
      </c>
      <c r="P22" s="56">
        <f>23375.519944662*Deflactores!$M$5</f>
        <v>47045.37883314224</v>
      </c>
      <c r="Q22" s="56">
        <f>25277.959412202*Deflactores!$N$5</f>
        <v>49906.035736673985</v>
      </c>
      <c r="R22" s="56">
        <f>26933.831212576*Deflactores!$O$5</f>
        <v>51297.711500400088</v>
      </c>
      <c r="S22" s="56">
        <f>29064.662956158*Deflactores!$P$5</f>
        <v>51846.077527257417</v>
      </c>
      <c r="T22" s="56">
        <f>31612.857536642*Deflactores!$Q$5</f>
        <v>53325.384056596442</v>
      </c>
      <c r="U22" s="56">
        <f>35595.553160417*Deflactores!$R$5</f>
        <v>57684.21350051061</v>
      </c>
      <c r="V22" s="56">
        <f>38244.224913605*Deflactores!$S$5</f>
        <v>60066.395223484869</v>
      </c>
    </row>
    <row r="23" spans="3:22" x14ac:dyDescent="0.2">
      <c r="C23" s="88" t="s">
        <v>132</v>
      </c>
      <c r="D23" s="57">
        <f>42.822493772*Deflactores!$A$5</f>
        <v>155.46959567081163</v>
      </c>
      <c r="E23" s="57">
        <f>54.143454326*Deflactores!$B$5</f>
        <v>182.60483912144406</v>
      </c>
      <c r="F23" s="57">
        <f>55.42238912*Deflactores!$C$5</f>
        <v>174.70321910706986</v>
      </c>
      <c r="G23" s="57">
        <f>41.64250792584*Deflactores!$D$5</f>
        <v>123.2645403410946</v>
      </c>
      <c r="H23" s="57">
        <f>50.0477508*Deflactores!$E$5</f>
        <v>140.42544503494415</v>
      </c>
      <c r="I23" s="57">
        <f>50.679495106*Deflactores!$F$5</f>
        <v>135.61374029290801</v>
      </c>
      <c r="J23" s="57">
        <f>73.7477745*Deflactores!$G$5</f>
        <v>188.88422907903401</v>
      </c>
      <c r="K23" s="57">
        <f>122.694552557*Deflactores!$H$5</f>
        <v>297.31706074759995</v>
      </c>
      <c r="L23" s="57">
        <f>115.013341134999*Deflactores!$I$5</f>
        <v>258.83942387087836</v>
      </c>
      <c r="M23" s="57">
        <f>163.92961532*Deflactores!$J$5</f>
        <v>361.68604664544574</v>
      </c>
      <c r="N23" s="57">
        <f>158.065175529*Deflactores!$K$5</f>
        <v>338.02744075264354</v>
      </c>
      <c r="O23" s="57">
        <f>166.849637*Deflactores!$L$5</f>
        <v>343.99372962678996</v>
      </c>
      <c r="P23" s="57">
        <f>183.758158342*Deflactores!$M$5</f>
        <v>369.83015536533901</v>
      </c>
      <c r="Q23" s="57">
        <f>222.128543*Deflactores!$N$5</f>
        <v>438.54627758212882</v>
      </c>
      <c r="R23" s="57">
        <f>237.491982593*Deflactores!$O$5</f>
        <v>452.32314372807599</v>
      </c>
      <c r="S23" s="57">
        <f>261.591623623*Deflactores!$P$5</f>
        <v>466.63192410995015</v>
      </c>
      <c r="T23" s="57">
        <f>294.470123572*Deflactores!$Q$5</f>
        <v>496.71980504987579</v>
      </c>
      <c r="U23" s="57">
        <f>368.599677029*Deflactores!$R$5</f>
        <v>597.33254797692837</v>
      </c>
      <c r="V23" s="57">
        <f>461.126243087*Deflactores!$S$5</f>
        <v>724.24506517665475</v>
      </c>
    </row>
    <row r="24" spans="3:22" x14ac:dyDescent="0.2">
      <c r="C24" s="87" t="s">
        <v>133</v>
      </c>
      <c r="D24" s="56">
        <f>646.961704317*Deflactores!$A$5</f>
        <v>2348.8327214243295</v>
      </c>
      <c r="E24" s="56">
        <f>672.22750337026*Deflactores!$B$5</f>
        <v>2267.1622384275938</v>
      </c>
      <c r="F24" s="56">
        <f>704.592162803*Deflactores!$C$5</f>
        <v>2221.0251299844494</v>
      </c>
      <c r="G24" s="56">
        <f>736.541162227*Deflactores!$D$5</f>
        <v>2180.2098943197925</v>
      </c>
      <c r="H24" s="56">
        <f>791.570870265*Deflactores!$E$5</f>
        <v>2221.0127319779708</v>
      </c>
      <c r="I24" s="56">
        <f>875.02590564184*Deflactores!$F$5</f>
        <v>2341.4900971108964</v>
      </c>
      <c r="J24" s="56">
        <f>966.475895626839*Deflactores!$G$5</f>
        <v>2475.3567915319863</v>
      </c>
      <c r="K24" s="56">
        <f>1104.70214083732*Deflactores!$H$5</f>
        <v>2676.9468299152668</v>
      </c>
      <c r="L24" s="56">
        <f>1290.569836764*Deflactores!$I$5</f>
        <v>2904.4487336562947</v>
      </c>
      <c r="M24" s="56">
        <f>1480.874252265*Deflactores!$J$5</f>
        <v>3267.3263634225818</v>
      </c>
      <c r="N24" s="56">
        <f>1626.553948093*Deflactores!$K$5</f>
        <v>3478.4377170992379</v>
      </c>
      <c r="O24" s="56">
        <f>1725.857917926*Deflactores!$L$5</f>
        <v>3558.1995422219056</v>
      </c>
      <c r="P24" s="56">
        <f>2048.572646491*Deflactores!$M$5</f>
        <v>4122.9404286851013</v>
      </c>
      <c r="Q24" s="56">
        <f>2287.377278269*Deflactores!$N$5</f>
        <v>4515.9472855805434</v>
      </c>
      <c r="R24" s="56">
        <f>2696.67336166*Deflactores!$O$5</f>
        <v>5136.0376852981071</v>
      </c>
      <c r="S24" s="56">
        <f>3018.396446261*Deflactores!$P$5</f>
        <v>5384.2708032397722</v>
      </c>
      <c r="T24" s="56">
        <f>3247.993591445*Deflactores!$Q$5</f>
        <v>5478.7994244561551</v>
      </c>
      <c r="U24" s="56">
        <f>3440.189197783*Deflactores!$R$5</f>
        <v>5574.9831242330411</v>
      </c>
      <c r="V24" s="56">
        <f>3748.83873655699*Deflactores!$S$5</f>
        <v>5887.9276462741591</v>
      </c>
    </row>
    <row r="25" spans="3:22" x14ac:dyDescent="0.2">
      <c r="C25" s="88" t="s">
        <v>134</v>
      </c>
      <c r="D25" s="57">
        <f>7366.947957585*Deflactores!$A$5</f>
        <v>26746.140156894442</v>
      </c>
      <c r="E25" s="57">
        <f>7243.27536926699*Deflactores!$B$5</f>
        <v>24428.754130712521</v>
      </c>
      <c r="F25" s="57">
        <f>6488.700006024*Deflactores!$C$5</f>
        <v>20453.769620396622</v>
      </c>
      <c r="G25" s="57">
        <f>5355.27287352454*Deflactores!$D$5</f>
        <v>15851.957099503143</v>
      </c>
      <c r="H25" s="57">
        <f>6453.260336993*Deflactores!$E$5</f>
        <v>18106.746862010743</v>
      </c>
      <c r="I25" s="57">
        <f>7567.80345635401*Deflactores!$F$5</f>
        <v>20250.756846949327</v>
      </c>
      <c r="J25" s="57">
        <f>6496.52971387102*Deflactores!$G$5</f>
        <v>16639.037788097117</v>
      </c>
      <c r="K25" s="57">
        <f>7777.42236669518*Deflactores!$H$5</f>
        <v>18846.47940815632</v>
      </c>
      <c r="L25" s="57">
        <f>8281.097938069*Deflactores!$I$5</f>
        <v>18636.74768644584</v>
      </c>
      <c r="M25" s="57">
        <f>8721.02018793399*Deflactores!$J$5</f>
        <v>19241.619693498629</v>
      </c>
      <c r="N25" s="57">
        <f>9501.68139641099*Deflactores!$K$5</f>
        <v>20319.650008464654</v>
      </c>
      <c r="O25" s="57">
        <f>8577.206432302*Deflactores!$L$5</f>
        <v>17683.617917769028</v>
      </c>
      <c r="P25" s="57">
        <f>10208.986314365*Deflactores!$M$5</f>
        <v>20546.521737213523</v>
      </c>
      <c r="Q25" s="57">
        <f>14356.20747294*Deflactores!$N$5</f>
        <v>28343.324376167977</v>
      </c>
      <c r="R25" s="57">
        <f>17469.210691712*Deflactores!$O$5</f>
        <v>33271.558105878517</v>
      </c>
      <c r="S25" s="57">
        <f>18203.9531109518*Deflactores!$P$5</f>
        <v>32472.544605682408</v>
      </c>
      <c r="T25" s="57">
        <f>18671.8082959741*Deflactores!$Q$5</f>
        <v>31496.088174246277</v>
      </c>
      <c r="U25" s="57">
        <f>21204.2139496264*Deflactores!$R$5</f>
        <v>34362.393500908453</v>
      </c>
      <c r="V25" s="57">
        <f>12971.794703872*Deflactores!$S$5</f>
        <v>20373.506044398924</v>
      </c>
    </row>
    <row r="26" spans="3:22" x14ac:dyDescent="0.2">
      <c r="C26" s="87" t="s">
        <v>135</v>
      </c>
      <c r="D26" s="56"/>
      <c r="E26" s="56"/>
      <c r="F26" s="56"/>
      <c r="G26" s="56"/>
      <c r="H26" s="56"/>
      <c r="I26" s="56"/>
      <c r="J26" s="56"/>
      <c r="K26" s="56"/>
      <c r="L26" s="56"/>
      <c r="M26" s="56"/>
      <c r="N26" s="56"/>
      <c r="O26" s="56"/>
      <c r="P26" s="56"/>
      <c r="Q26" s="56"/>
      <c r="R26" s="56"/>
      <c r="S26" s="56"/>
      <c r="T26" s="56"/>
      <c r="U26" s="56"/>
      <c r="V26" s="56"/>
    </row>
    <row r="27" spans="3:22" x14ac:dyDescent="0.2">
      <c r="C27" s="88" t="s">
        <v>136</v>
      </c>
      <c r="D27" s="57">
        <f>1201.117389216*Deflactores!$A$5</f>
        <v>4360.7277018671148</v>
      </c>
      <c r="E27" s="57">
        <f>1316.739251351*Deflactores!$B$5</f>
        <v>4440.8500002626906</v>
      </c>
      <c r="F27" s="57">
        <f>1268.002129679*Deflactores!$C$5</f>
        <v>3997.0137954518686</v>
      </c>
      <c r="G27" s="57">
        <f>1264.980385529*Deflactores!$D$5</f>
        <v>3744.4244722344615</v>
      </c>
      <c r="H27" s="57">
        <f>1435.936598341*Deflactores!$E$5</f>
        <v>4028.9929645349571</v>
      </c>
      <c r="I27" s="57">
        <f>1768.01077890105*Deflactores!$F$5</f>
        <v>4731.0367655293148</v>
      </c>
      <c r="J27" s="57">
        <f>2970.999536595*Deflactores!$G$5</f>
        <v>7609.3815829508703</v>
      </c>
      <c r="K27" s="57">
        <f>3892.14683632*Deflactores!$H$5</f>
        <v>9431.5650797547296</v>
      </c>
      <c r="L27" s="57">
        <f>5071.039032539*Deflactores!$I$5</f>
        <v>11412.457099811236</v>
      </c>
      <c r="M27" s="57">
        <f>5966.859436697*Deflactores!$J$5</f>
        <v>13164.978130005467</v>
      </c>
      <c r="N27" s="57">
        <f>6427.499033196*Deflactores!$K$5</f>
        <v>13745.41255757324</v>
      </c>
      <c r="O27" s="57">
        <f>6897.57159564*Deflactores!$L$5</f>
        <v>14220.716455930991</v>
      </c>
      <c r="P27" s="57">
        <f>8818.534210922*Deflactores!$M$5</f>
        <v>17748.109290744997</v>
      </c>
      <c r="Q27" s="57">
        <f>9573.606581372*Deflactores!$N$5</f>
        <v>18901.080755283485</v>
      </c>
      <c r="R27" s="57">
        <f>9906.983800907*Deflactores!$O$5</f>
        <v>18868.670886330201</v>
      </c>
      <c r="S27" s="57">
        <f>10974.148296176*Deflactores!$P$5</f>
        <v>19575.886505802828</v>
      </c>
      <c r="T27" s="57">
        <f>10882.870635556*Deflactores!$Q$5</f>
        <v>18357.50708731799</v>
      </c>
      <c r="U27" s="57">
        <f>11437.7891081949*Deflactores!$R$5</f>
        <v>18535.457671286265</v>
      </c>
      <c r="V27" s="57">
        <f>11264.565844549*Deflactores!$S$5</f>
        <v>17692.131702712257</v>
      </c>
    </row>
    <row r="28" spans="3:22" x14ac:dyDescent="0.2">
      <c r="C28" s="87" t="s">
        <v>137</v>
      </c>
      <c r="D28" s="56">
        <f>93.781670512*Deflactores!$A$5</f>
        <v>340.47989996713721</v>
      </c>
      <c r="E28" s="56">
        <f>80.957396358*Deflactores!$B$5</f>
        <v>273.03784957334329</v>
      </c>
      <c r="F28" s="56">
        <f>97.996496342*Deflactores!$C$5</f>
        <v>308.90590687263386</v>
      </c>
      <c r="G28" s="56">
        <f>85.40912443378*Deflactores!$D$5</f>
        <v>252.81658066834305</v>
      </c>
      <c r="H28" s="56">
        <f>123.573872716*Deflactores!$E$5</f>
        <v>346.72719140129351</v>
      </c>
      <c r="I28" s="56">
        <f>263.357154131*Deflactores!$F$5</f>
        <v>704.7198996339738</v>
      </c>
      <c r="J28" s="56">
        <f>138.690704354*Deflactores!$G$5</f>
        <v>355.21731943698876</v>
      </c>
      <c r="K28" s="56">
        <f>163.997302716*Deflactores!$H$5</f>
        <v>397.40310386969742</v>
      </c>
      <c r="L28" s="56">
        <f>196.061682732319*Deflactores!$I$5</f>
        <v>441.24005529081558</v>
      </c>
      <c r="M28" s="56">
        <f>198.949024679999*Deflactores!$J$5</f>
        <v>438.95110764465409</v>
      </c>
      <c r="N28" s="56">
        <f>245.032028166*Deflactores!$K$5</f>
        <v>524.00884069613676</v>
      </c>
      <c r="O28" s="56">
        <f>251.644502951*Deflactores!$L$5</f>
        <v>518.8152198988256</v>
      </c>
      <c r="P28" s="56">
        <f>334.485674247*Deflactores!$M$5</f>
        <v>673.18311192485703</v>
      </c>
      <c r="Q28" s="56">
        <f>431.34005182*Deflactores!$N$5</f>
        <v>851.59057698291178</v>
      </c>
      <c r="R28" s="56">
        <f>596.003968751*Deflactores!$O$5</f>
        <v>1135.1389039598184</v>
      </c>
      <c r="S28" s="56">
        <f>389.395793514*Deflactores!$P$5</f>
        <v>694.61134057421941</v>
      </c>
      <c r="T28" s="56">
        <f>340.37015970877*Deflactores!$Q$5</f>
        <v>574.14517073748868</v>
      </c>
      <c r="U28" s="56">
        <f>399.429544353*Deflactores!$R$5</f>
        <v>647.29375073996459</v>
      </c>
      <c r="V28" s="56">
        <f>622.19599437*Deflactores!$S$5</f>
        <v>977.22128213409007</v>
      </c>
    </row>
    <row r="29" spans="3:22" x14ac:dyDescent="0.2">
      <c r="C29" s="88" t="s">
        <v>138</v>
      </c>
      <c r="D29" s="57">
        <f>164.617405215*Deflactores!$A$5</f>
        <v>597.65322322000065</v>
      </c>
      <c r="E29" s="57">
        <f>191.475974999999*Deflactores!$B$5</f>
        <v>645.77408378811811</v>
      </c>
      <c r="F29" s="57">
        <f>194.823589679*Deflactores!$C$5</f>
        <v>614.12560547004091</v>
      </c>
      <c r="G29" s="57">
        <f>241.0721394636*Deflactores!$D$5</f>
        <v>713.58926107295667</v>
      </c>
      <c r="H29" s="57">
        <f>252.85680243*Deflactores!$E$5</f>
        <v>709.47302213920261</v>
      </c>
      <c r="I29" s="57">
        <f>269.18878301828*Deflactores!$F$5</f>
        <v>720.3248105303843</v>
      </c>
      <c r="J29" s="57">
        <f>313.162736*Deflactores!$G$5</f>
        <v>802.07846767824913</v>
      </c>
      <c r="K29" s="57">
        <f>314.113713421*Deflactores!$H$5</f>
        <v>761.16962056207831</v>
      </c>
      <c r="L29" s="57">
        <f>416.638740236*Deflactores!$I$5</f>
        <v>937.65236641888919</v>
      </c>
      <c r="M29" s="57">
        <f>399.585633481999*Deflactores!$J$5</f>
        <v>881.62561589801874</v>
      </c>
      <c r="N29" s="57">
        <f>408.071502612*Deflactores!$K$5</f>
        <v>872.67397901135121</v>
      </c>
      <c r="O29" s="57">
        <f>370.013607793*Deflactores!$L$5</f>
        <v>762.85668489274769</v>
      </c>
      <c r="P29" s="57">
        <f>220.984705*Deflactores!$M$5</f>
        <v>444.75199643331433</v>
      </c>
      <c r="Q29" s="57">
        <f>226.425717*Deflactores!$N$5</f>
        <v>447.03014749083616</v>
      </c>
      <c r="R29" s="57">
        <f>165.418545*Deflactores!$O$5</f>
        <v>315.05331459357473</v>
      </c>
      <c r="S29" s="57">
        <f>81.952073188*Deflactores!$P$5</f>
        <v>146.18760748864278</v>
      </c>
      <c r="T29" s="57">
        <f>94.3245*Deflactores!$Q$5</f>
        <v>159.10900122256771</v>
      </c>
      <c r="U29" s="57">
        <f>93.594885526*Deflactores!$R$5</f>
        <v>151.67477057896591</v>
      </c>
      <c r="V29" s="57">
        <f>95.960207596*Deflactores!$S$5</f>
        <v>150.71514112810564</v>
      </c>
    </row>
    <row r="30" spans="3:22" x14ac:dyDescent="0.2">
      <c r="C30" s="87" t="s">
        <v>139</v>
      </c>
      <c r="D30" s="56">
        <f>636.389560684*Deflactores!$A$5</f>
        <v>2310.449928849298</v>
      </c>
      <c r="E30" s="56">
        <f>807.580767556*Deflactores!$B$5</f>
        <v>2723.6562198123484</v>
      </c>
      <c r="F30" s="56">
        <f>779.818446641*Deflactores!$C$5</f>
        <v>2458.1544590630865</v>
      </c>
      <c r="G30" s="56">
        <f>775.15312679325*Deflactores!$D$5</f>
        <v>2294.5038285948717</v>
      </c>
      <c r="H30" s="56">
        <f>1002.3379383122*Deflactores!$E$5</f>
        <v>2812.3891446266366</v>
      </c>
      <c r="I30" s="56">
        <f>1042.25330177063*Deflactores!$F$5</f>
        <v>2788.9754680885576</v>
      </c>
      <c r="J30" s="56">
        <f>1363.43850119429*Deflactores!$G$5</f>
        <v>3492.0651089580615</v>
      </c>
      <c r="K30" s="56">
        <f>1565.02518952216*Deflactores!$H$5</f>
        <v>3792.4152266541464</v>
      </c>
      <c r="L30" s="56">
        <f>1813.57789659499*Deflactores!$I$5</f>
        <v>4081.4870106991325</v>
      </c>
      <c r="M30" s="56">
        <f>2247.660641906*Deflactores!$J$5</f>
        <v>4959.1252330131192</v>
      </c>
      <c r="N30" s="56">
        <f>3144.55376386961*Deflactores!$K$5</f>
        <v>6724.7289452123496</v>
      </c>
      <c r="O30" s="56">
        <f>6589.23311235299*Deflactores!$L$5</f>
        <v>13585.015313510368</v>
      </c>
      <c r="P30" s="56">
        <f>2675.15154238889*Deflactores!$M$5</f>
        <v>5383.9879517413619</v>
      </c>
      <c r="Q30" s="56">
        <f>3424.975978426*Deflactores!$N$5</f>
        <v>6761.8976195550513</v>
      </c>
      <c r="R30" s="56">
        <f>3614.0608916104*Deflactores!$O$5</f>
        <v>6883.278190150123</v>
      </c>
      <c r="S30" s="56">
        <f>3583.61973111*Deflactores!$P$5</f>
        <v>6392.5264396700413</v>
      </c>
      <c r="T30" s="56">
        <f>3725.897809151*Deflactores!$Q$5</f>
        <v>6284.9405941337482</v>
      </c>
      <c r="U30" s="56">
        <f>4186.99125571126*Deflactores!$R$5</f>
        <v>6785.2098387334036</v>
      </c>
      <c r="V30" s="56">
        <f>3863.998058346*Deflactores!$S$5</f>
        <v>6068.7969239722524</v>
      </c>
    </row>
    <row r="31" spans="3:22" x14ac:dyDescent="0.2">
      <c r="C31" s="88" t="s">
        <v>140</v>
      </c>
      <c r="D31" s="57">
        <f>386.144118322*Deflactores!$A$5</f>
        <v>1401.919053706235</v>
      </c>
      <c r="E31" s="57">
        <f>635.650528905*Deflactores!$B$5</f>
        <v>2143.8023120815087</v>
      </c>
      <c r="F31" s="57">
        <f>431.020439883*Deflactores!$C$5</f>
        <v>1358.6685731909743</v>
      </c>
      <c r="G31" s="57">
        <f>431.450541862069*Deflactores!$D$5</f>
        <v>1277.1217530235085</v>
      </c>
      <c r="H31" s="57">
        <f>3048.17606754899*Deflactores!$E$5</f>
        <v>8552.6616878541699</v>
      </c>
      <c r="I31" s="57">
        <f>3025.480241108*Deflactores!$F$5</f>
        <v>8095.9111928952416</v>
      </c>
      <c r="J31" s="57">
        <f>1170.949296033*Deflactores!$G$5</f>
        <v>2999.0580267860259</v>
      </c>
      <c r="K31" s="57">
        <f>4100.811942*Deflactores!$H$5</f>
        <v>9937.2085220138579</v>
      </c>
      <c r="L31" s="57">
        <f>1854.205581086*Deflactores!$I$5</f>
        <v>4172.9202856834445</v>
      </c>
      <c r="M31" s="57">
        <f>7335.24881039799*Deflactores!$J$5</f>
        <v>16184.123522858505</v>
      </c>
      <c r="N31" s="57">
        <f>2410.941794472*Deflactores!$K$5</f>
        <v>5155.8762508028576</v>
      </c>
      <c r="O31" s="57">
        <f>2946.99259999999*Deflactores!$L$5</f>
        <v>6075.8116941935414</v>
      </c>
      <c r="P31" s="57">
        <f>2809.265616633*Deflactores!$M$5</f>
        <v>5653.9048325040985</v>
      </c>
      <c r="Q31" s="57">
        <f>3504.351208229*Deflactores!$N$5</f>
        <v>6918.6073836051919</v>
      </c>
      <c r="R31" s="57">
        <f>3046.67754875862*Deflactores!$O$5</f>
        <v>5802.6496378276734</v>
      </c>
      <c r="S31" s="57">
        <f>3448.632175928*Deflactores!$P$5</f>
        <v>6151.7331691016616</v>
      </c>
      <c r="T31" s="57">
        <f>3290.714423059*Deflactores!$Q$5</f>
        <v>5550.8620258958772</v>
      </c>
      <c r="U31" s="57">
        <f>3919.927051289*Deflactores!$R$5</f>
        <v>6352.4201439979161</v>
      </c>
      <c r="V31" s="57">
        <f>4192.09876769189*Deflactores!$S$5</f>
        <v>6584.1120316831975</v>
      </c>
    </row>
    <row r="32" spans="3:22" x14ac:dyDescent="0.2">
      <c r="C32" s="87" t="s">
        <v>141</v>
      </c>
      <c r="D32" s="56">
        <f>381.319260334*Deflactores!$A$5</f>
        <v>1384.4021214939889</v>
      </c>
      <c r="E32" s="56">
        <f>386.423269198*Deflactores!$B$5</f>
        <v>1303.2555787782203</v>
      </c>
      <c r="F32" s="56">
        <f>414.977807931999*Deflactores!$C$5</f>
        <v>1308.0987675710571</v>
      </c>
      <c r="G32" s="56">
        <f>424.217197282*Deflactores!$D$5</f>
        <v>1255.7105811416707</v>
      </c>
      <c r="H32" s="56">
        <f>487.315061684*Deflactores!$E$5</f>
        <v>1367.3228729632933</v>
      </c>
      <c r="I32" s="56">
        <f>510.267212959549*Deflactores!$F$5</f>
        <v>1365.4288613875653</v>
      </c>
      <c r="J32" s="56">
        <f>572.81673095*Deflactores!$G$5</f>
        <v>1467.1093109265717</v>
      </c>
      <c r="K32" s="56">
        <f>647.106329961*Deflactores!$H$5</f>
        <v>1568.0871563208982</v>
      </c>
      <c r="L32" s="56">
        <f>744.337243308*Deflactores!$I$5</f>
        <v>1675.1432600965643</v>
      </c>
      <c r="M32" s="56">
        <f>850.879748751*Deflactores!$J$5</f>
        <v>1877.3382216243911</v>
      </c>
      <c r="N32" s="56">
        <f>994.759660481*Deflactores!$K$5</f>
        <v>2127.32539644489</v>
      </c>
      <c r="O32" s="56">
        <f>1004.824759893*Deflactores!$L$5</f>
        <v>2071.6462018849747</v>
      </c>
      <c r="P32" s="56">
        <f>1190.62004141099*Deflactores!$M$5</f>
        <v>2396.2320849809639</v>
      </c>
      <c r="Q32" s="56">
        <f>1325.27364643099*Deflactores!$N$5</f>
        <v>2616.4752020185224</v>
      </c>
      <c r="R32" s="56">
        <f>1408.792842327*Deflactores!$O$5</f>
        <v>2683.1626076195066</v>
      </c>
      <c r="S32" s="56">
        <f>1554.328863375*Deflactores!$P$5</f>
        <v>2772.6402633655944</v>
      </c>
      <c r="T32" s="56">
        <f>1589.501273765*Deflactores!$Q$5</f>
        <v>2681.2117754215319</v>
      </c>
      <c r="U32" s="56">
        <f>1780.736956557*Deflactores!$R$5</f>
        <v>2885.7652619516166</v>
      </c>
      <c r="V32" s="56">
        <f>1887.10331351*Deflactores!$S$5</f>
        <v>2963.8852326829578</v>
      </c>
    </row>
    <row r="33" spans="3:22" x14ac:dyDescent="0.2">
      <c r="C33" s="88" t="s">
        <v>142</v>
      </c>
      <c r="D33" s="57">
        <f>509.125333395*Deflactores!$A$5</f>
        <v>1848.4096267285415</v>
      </c>
      <c r="E33" s="57">
        <f>1099.332188813*Deflactores!$B$5</f>
        <v>3707.6204312812879</v>
      </c>
      <c r="F33" s="57">
        <f>901.756571036*Deflactores!$C$5</f>
        <v>2842.5294959738881</v>
      </c>
      <c r="G33" s="57">
        <f>437.634885789*Deflactores!$D$5</f>
        <v>1295.4278145321471</v>
      </c>
      <c r="H33" s="57">
        <f>348.056709425*Deflactores!$E$5</f>
        <v>976.58770948012045</v>
      </c>
      <c r="I33" s="57">
        <f>307.417150541*Deflactores!$F$5</f>
        <v>822.6204607574565</v>
      </c>
      <c r="J33" s="57">
        <f>409.142557694*Deflactores!$G$5</f>
        <v>1047.9038468266644</v>
      </c>
      <c r="K33" s="57">
        <f>449.952289433*Deflactores!$H$5</f>
        <v>1090.3376668554515</v>
      </c>
      <c r="L33" s="57">
        <f>659.739426838*Deflactores!$I$5</f>
        <v>1484.7544768498731</v>
      </c>
      <c r="M33" s="57">
        <f>1188.397739238*Deflactores!$J$5</f>
        <v>2622.0209161616758</v>
      </c>
      <c r="N33" s="57">
        <f>1077.612169303*Deflactores!$K$5</f>
        <v>2304.508140356108</v>
      </c>
      <c r="O33" s="57">
        <f>950.256311713*Deflactores!$L$5</f>
        <v>1959.1424868820802</v>
      </c>
      <c r="P33" s="57">
        <f>1062.662911678*Deflactores!$M$5</f>
        <v>2138.7066200098752</v>
      </c>
      <c r="Q33" s="57">
        <f>712.036053013*Deflactores!$N$5</f>
        <v>1405.7660322974455</v>
      </c>
      <c r="R33" s="57">
        <f>507.902211443*Deflactores!$O$5</f>
        <v>967.34181288152308</v>
      </c>
      <c r="S33" s="57">
        <f>439.438618305*Deflactores!$P$5</f>
        <v>783.87864698375188</v>
      </c>
      <c r="T33" s="57">
        <f>572.412897608*Deflactores!$Q$5</f>
        <v>965.5608503127479</v>
      </c>
      <c r="U33" s="57">
        <f>550.7762706*Deflactores!$R$5</f>
        <v>892.55800692642481</v>
      </c>
      <c r="V33" s="57">
        <f>495.047022141*Deflactores!$S$5</f>
        <v>777.52105457240941</v>
      </c>
    </row>
    <row r="34" spans="3:22" x14ac:dyDescent="0.2">
      <c r="C34" s="87" t="s">
        <v>143</v>
      </c>
      <c r="D34" s="56">
        <f>788.707673448*Deflactores!$A$5</f>
        <v>2863.4498435867295</v>
      </c>
      <c r="E34" s="56">
        <f>823.168221627*Deflactores!$B$5</f>
        <v>2776.2266473622772</v>
      </c>
      <c r="F34" s="56">
        <f>1165.51511752217*Deflactores!$C$5</f>
        <v>3673.9528227158085</v>
      </c>
      <c r="G34" s="56">
        <f>806.840237526*Deflactores!$D$5</f>
        <v>2388.2997437248086</v>
      </c>
      <c r="H34" s="56">
        <f>837.547150965*Deflactores!$E$5</f>
        <v>2350.0143269577197</v>
      </c>
      <c r="I34" s="56">
        <f>684.5817152984*Deflactores!$F$5</f>
        <v>1831.878686904271</v>
      </c>
      <c r="J34" s="56">
        <f>217.030193064*Deflactores!$G$5</f>
        <v>555.86193592550455</v>
      </c>
      <c r="K34" s="56">
        <f>362.348109058*Deflactores!$H$5</f>
        <v>878.05263157487263</v>
      </c>
      <c r="L34" s="56">
        <f>355.455206462999*Deflactores!$I$5</f>
        <v>799.9578131096398</v>
      </c>
      <c r="M34" s="56">
        <f>325.413780968999*Deflactores!$J$5</f>
        <v>717.97657630606727</v>
      </c>
      <c r="N34" s="56">
        <f>335.653365453*Deflactores!$K$5</f>
        <v>717.80547311810005</v>
      </c>
      <c r="O34" s="56">
        <f>335.138720933*Deflactores!$L$5</f>
        <v>690.95516555480799</v>
      </c>
      <c r="P34" s="56">
        <f>930.42907869*Deflactores!$M$5</f>
        <v>1872.5738973065436</v>
      </c>
      <c r="Q34" s="56">
        <f>649.436007799999*Deflactores!$N$5</f>
        <v>1282.1753562237516</v>
      </c>
      <c r="R34" s="56">
        <f>707.207942463*Deflactores!$O$5</f>
        <v>1346.9360789013726</v>
      </c>
      <c r="S34" s="56">
        <f>687.6824029588*Deflactores!$P$5</f>
        <v>1226.7004517380306</v>
      </c>
      <c r="T34" s="56">
        <f>814.212984293*Deflactores!$Q$5</f>
        <v>1373.4354776681078</v>
      </c>
      <c r="U34" s="56">
        <f>1859.948124808*Deflactores!$R$5</f>
        <v>3014.1305642247289</v>
      </c>
      <c r="V34" s="56">
        <f>1633.707439144*Deflactores!$S$5</f>
        <v>2565.9015692134417</v>
      </c>
    </row>
    <row r="35" spans="3:22" x14ac:dyDescent="0.2">
      <c r="C35" s="88" t="s">
        <v>144</v>
      </c>
      <c r="D35" s="57">
        <f>707.148125698999*Deflactores!$A$5</f>
        <v>2567.343082986943</v>
      </c>
      <c r="E35" s="57">
        <f>807.420378193*Deflactores!$B$5</f>
        <v>2723.1152887950725</v>
      </c>
      <c r="F35" s="57">
        <f>831.691492484*Deflactores!$C$5</f>
        <v>2621.6693893566708</v>
      </c>
      <c r="G35" s="57">
        <f>817.380614751999*Deflactores!$D$5</f>
        <v>2419.499947999208</v>
      </c>
      <c r="H35" s="57">
        <f>1038.009006604*Deflactores!$E$5</f>
        <v>2912.4760728037945</v>
      </c>
      <c r="I35" s="57">
        <f>1075.526495704*Deflactores!$F$5</f>
        <v>2878.0115224406727</v>
      </c>
      <c r="J35" s="57">
        <f>1221.275173988*Deflactores!$G$5</f>
        <v>3127.9536405818799</v>
      </c>
      <c r="K35" s="57">
        <f>1319.399935559*Deflactores!$H$5</f>
        <v>3197.2088622983792</v>
      </c>
      <c r="L35" s="57">
        <f>1470.09922161099*Deflactores!$I$5</f>
        <v>3308.4825794963522</v>
      </c>
      <c r="M35" s="57">
        <f>1687.143017745*Deflactores!$J$5</f>
        <v>3722.4273784970419</v>
      </c>
      <c r="N35" s="57">
        <f>1861.532493312*Deflactores!$K$5</f>
        <v>3980.9468624965752</v>
      </c>
      <c r="O35" s="57">
        <f>2138.20537953*Deflactores!$L$5</f>
        <v>4408.3358911508485</v>
      </c>
      <c r="P35" s="57">
        <f>2448.66053116199*Deflactores!$M$5</f>
        <v>4928.1540087661506</v>
      </c>
      <c r="Q35" s="57">
        <f>2832.355980476*Deflactores!$N$5</f>
        <v>5591.8935731966258</v>
      </c>
      <c r="R35" s="57">
        <f>3025.92628639999*Deflactores!$O$5</f>
        <v>5763.1271405883999</v>
      </c>
      <c r="S35" s="57">
        <f>3237.784205559*Deflactores!$P$5</f>
        <v>5775.6187020353946</v>
      </c>
      <c r="T35" s="57">
        <f>3498.414218222*Deflactores!$Q$5</f>
        <v>5901.2154013446388</v>
      </c>
      <c r="U35" s="57">
        <f>3814.417756771*Deflactores!$R$5</f>
        <v>6181.4375315396683</v>
      </c>
      <c r="V35" s="57">
        <f>4194.44147758799*Deflactores!$S$5</f>
        <v>6587.7914928000328</v>
      </c>
    </row>
    <row r="36" spans="3:22" x14ac:dyDescent="0.2">
      <c r="C36" s="87" t="s">
        <v>145</v>
      </c>
      <c r="D36" s="56">
        <f>226.4053553*Deflactores!$A$5</f>
        <v>821.97802943491422</v>
      </c>
      <c r="E36" s="56">
        <f>201.112026465999*Deflactores!$B$5</f>
        <v>678.27274220618506</v>
      </c>
      <c r="F36" s="56">
        <f>270.428137998*Deflactores!$C$5</f>
        <v>852.44730506091753</v>
      </c>
      <c r="G36" s="56">
        <f>348.938481203999*Deflactores!$D$5</f>
        <v>1032.880670144292</v>
      </c>
      <c r="H36" s="56">
        <f>174.450295233*Deflactores!$E$5</f>
        <v>489.47774781062526</v>
      </c>
      <c r="I36" s="56">
        <f>211.061735874*Deflactores!$F$5</f>
        <v>564.78209529751791</v>
      </c>
      <c r="J36" s="56">
        <f>569.464674603999*Deflactores!$G$5</f>
        <v>1458.5239592595342</v>
      </c>
      <c r="K36" s="56">
        <f>474.676507649*Deflactores!$H$5</f>
        <v>1150.2501221036041</v>
      </c>
      <c r="L36" s="56">
        <f>390.84472041*Deflactores!$I$5</f>
        <v>879.60249876710793</v>
      </c>
      <c r="M36" s="56">
        <f>447.546432516999*Deflactores!$J$5</f>
        <v>987.44390726083316</v>
      </c>
      <c r="N36" s="56">
        <f>778.106172484*Deflactores!$K$5</f>
        <v>1664.0049728749104</v>
      </c>
      <c r="O36" s="56">
        <f>659.637462740999*Deflactores!$L$5</f>
        <v>1359.9738967956457</v>
      </c>
      <c r="P36" s="56">
        <f>498.437517713*Deflactores!$M$5</f>
        <v>1003.1512411690313</v>
      </c>
      <c r="Q36" s="56">
        <f>655.378920231999*Deflactores!$N$5</f>
        <v>1293.9083919239415</v>
      </c>
      <c r="R36" s="56">
        <f>1197.477943088*Deflactores!$O$5</f>
        <v>2280.6958864410908</v>
      </c>
      <c r="S36" s="56">
        <f>963.446732458*Deflactores!$P$5</f>
        <v>1718.6139078835276</v>
      </c>
      <c r="T36" s="56">
        <f>812.23910952231*Deflactores!$Q$5</f>
        <v>1370.1058947569563</v>
      </c>
      <c r="U36" s="56">
        <f>853.204318697*Deflactores!$R$5</f>
        <v>1382.6564193980591</v>
      </c>
      <c r="V36" s="56">
        <f>1910.48985121199*Deflactores!$S$5</f>
        <v>3000.6161383213916</v>
      </c>
    </row>
    <row r="37" spans="3:22" x14ac:dyDescent="0.2">
      <c r="C37" s="88" t="s">
        <v>146</v>
      </c>
      <c r="D37" s="57">
        <f>210.610382934*Deflactores!$A$5</f>
        <v>764.63344832648488</v>
      </c>
      <c r="E37" s="57">
        <f>223.327388449*Deflactores!$B$5</f>
        <v>753.19652849631325</v>
      </c>
      <c r="F37" s="57">
        <f>240.728144389*Deflactores!$C$5</f>
        <v>758.82657572503103</v>
      </c>
      <c r="G37" s="57">
        <f>224.253779236*Deflactores!$D$5</f>
        <v>663.80581751960483</v>
      </c>
      <c r="H37" s="57">
        <f>243.185298303*Deflactores!$E$5</f>
        <v>682.33643259257963</v>
      </c>
      <c r="I37" s="57">
        <f>302.131545396*Deflactores!$F$5</f>
        <v>808.47665995743569</v>
      </c>
      <c r="J37" s="57">
        <f>303.904030715999*Deflactores!$G$5</f>
        <v>778.36489229654717</v>
      </c>
      <c r="K37" s="57">
        <f>305.120220859*Deflactores!$H$5</f>
        <v>739.37632396770005</v>
      </c>
      <c r="L37" s="57">
        <f>295.144210031*Deflactores!$I$5</f>
        <v>664.22691949779619</v>
      </c>
      <c r="M37" s="57">
        <f>304.44280863*Deflactores!$J$5</f>
        <v>671.70727917633656</v>
      </c>
      <c r="N37" s="57">
        <f>382.636706422*Deflactores!$K$5</f>
        <v>818.28085267345386</v>
      </c>
      <c r="O37" s="57">
        <f>380.007571092*Deflactores!$L$5</f>
        <v>783.46122902475713</v>
      </c>
      <c r="P37" s="57">
        <f>640.276306143*Deflactores!$M$5</f>
        <v>1288.614818052893</v>
      </c>
      <c r="Q37" s="57">
        <f>638.0313*Deflactores!$N$5</f>
        <v>1259.659149683823</v>
      </c>
      <c r="R37" s="57">
        <f>665.587063376*Deflactores!$O$5</f>
        <v>1267.6656687266382</v>
      </c>
      <c r="S37" s="57">
        <f>841.271113334999*Deflactores!$P$5</f>
        <v>1500.6748032551109</v>
      </c>
      <c r="T37" s="57">
        <f>1020.00322145331*Deflactores!$Q$5</f>
        <v>1720.5677613900702</v>
      </c>
      <c r="U37" s="57">
        <f>966.734113853*Deflactores!$R$5</f>
        <v>1566.6366180744049</v>
      </c>
      <c r="V37" s="57">
        <f>924.616509491*Deflactores!$S$5</f>
        <v>1452.20306633769</v>
      </c>
    </row>
    <row r="38" spans="3:22" x14ac:dyDescent="0.2">
      <c r="C38" s="87" t="s">
        <v>147</v>
      </c>
      <c r="D38" s="58">
        <f>5730.56534656399*Deflactores!$A$5</f>
        <v>20805.156330666858</v>
      </c>
      <c r="E38" s="58">
        <f>7095.8145836105*Deflactores!$B$5</f>
        <v>23931.426182639683</v>
      </c>
      <c r="F38" s="58">
        <f>8178.81912091717*Deflactores!$C$5</f>
        <v>25781.386396478116</v>
      </c>
      <c r="G38" s="58">
        <f>9171.95870093499*Deflactores!$D$5</f>
        <v>27149.596160530698</v>
      </c>
      <c r="H38" s="58">
        <f>11960.2773892731*Deflactores!$E$5</f>
        <v>33558.496601410807</v>
      </c>
      <c r="I38" s="58">
        <f>15073.795754959*Deflactores!$F$5</f>
        <v>40336.11263225336</v>
      </c>
      <c r="J38" s="58">
        <f>17178.31898431*Deflactores!$G$5</f>
        <v>43997.443451329222</v>
      </c>
      <c r="K38" s="58">
        <f>18911.667335078*Deflactores!$H$5</f>
        <v>45827.310412087216</v>
      </c>
      <c r="L38" s="58">
        <f>20192.815106375*Deflactores!$I$5</f>
        <v>45444.263916568983</v>
      </c>
      <c r="M38" s="58">
        <f>23698.0216447692*Deflactores!$J$5</f>
        <v>52286.121365460516</v>
      </c>
      <c r="N38" s="58">
        <f>27265.795036021*Deflactores!$K$5</f>
        <v>58308.776017658354</v>
      </c>
      <c r="O38" s="58">
        <f>26562.115058937*Deflactores!$L$5</f>
        <v>54763.086034761109</v>
      </c>
      <c r="P38" s="58">
        <f>29906.185385089*Deflactores!$M$5</f>
        <v>60188.94228776214</v>
      </c>
      <c r="Q38" s="58">
        <f>31067.5030671314*Deflactores!$N$5</f>
        <v>61336.27691359703</v>
      </c>
      <c r="R38" s="58">
        <f>36812.3627051545*Deflactores!$O$5</f>
        <v>70112.192609842008</v>
      </c>
      <c r="S38" s="58">
        <f>36635.243095477*Deflactores!$P$5</f>
        <v>65350.616885636155</v>
      </c>
      <c r="T38" s="58">
        <f>38108.0993434689*Deflactores!$Q$5</f>
        <v>64281.725585926506</v>
      </c>
      <c r="U38" s="58">
        <f>40592.0373217235*Deflactores!$R$5</f>
        <v>65781.243424833534</v>
      </c>
      <c r="V38" s="58">
        <f>50734.649963184*Deflactores!$S$5</f>
        <v>79683.861892823275</v>
      </c>
    </row>
    <row r="39" spans="3:22" ht="22.5" customHeight="1" x14ac:dyDescent="0.2">
      <c r="C39" s="89" t="s">
        <v>148</v>
      </c>
      <c r="D39" s="59">
        <f>0*Deflactores!$A$5</f>
        <v>0</v>
      </c>
      <c r="E39" s="59">
        <f>0*Deflactores!$B$5</f>
        <v>0</v>
      </c>
      <c r="F39" s="59">
        <f>0*Deflactores!$C$5</f>
        <v>0</v>
      </c>
      <c r="G39" s="59">
        <f>0*Deflactores!$D$5</f>
        <v>0</v>
      </c>
      <c r="H39" s="59">
        <f>0*Deflactores!$E$5</f>
        <v>0</v>
      </c>
      <c r="I39" s="59">
        <f>0*Deflactores!$F$5</f>
        <v>0</v>
      </c>
      <c r="J39" s="59">
        <f>0*Deflactores!$G$5</f>
        <v>0</v>
      </c>
      <c r="K39" s="59">
        <f>0*Deflactores!$H$5</f>
        <v>0</v>
      </c>
      <c r="L39" s="59">
        <f>0*Deflactores!$I$5</f>
        <v>0</v>
      </c>
      <c r="M39" s="59">
        <f>0*Deflactores!$J$5</f>
        <v>0</v>
      </c>
      <c r="N39" s="59">
        <f>0*Deflactores!$K$5</f>
        <v>0</v>
      </c>
      <c r="O39" s="59">
        <f>0*Deflactores!$L$5</f>
        <v>0</v>
      </c>
      <c r="P39" s="59">
        <f>0*Deflactores!$M$5</f>
        <v>0</v>
      </c>
      <c r="Q39" s="59">
        <f>0*Deflactores!$N$5</f>
        <v>0</v>
      </c>
      <c r="R39" s="59">
        <f>0*Deflactores!$O$5</f>
        <v>0</v>
      </c>
      <c r="S39" s="59">
        <f>0*Deflactores!$P$5</f>
        <v>0</v>
      </c>
      <c r="T39" s="59">
        <f>0*Deflactores!$Q$5</f>
        <v>0</v>
      </c>
      <c r="U39" s="59">
        <f>0.25044*Deflactores!$R$5</f>
        <v>0.40584941506493044</v>
      </c>
      <c r="V39" s="59">
        <f>160.90533445*Deflactores!$S$5</f>
        <v>252.71798381257003</v>
      </c>
    </row>
    <row r="40" spans="3:22" x14ac:dyDescent="0.2">
      <c r="C40" s="87" t="s">
        <v>149</v>
      </c>
      <c r="D40" s="56">
        <f>334.318513916999*Deflactores!$A$5</f>
        <v>1213.7631325415198</v>
      </c>
      <c r="E40" s="56">
        <f>327.903808344*Deflactores!$B$5</f>
        <v>1105.8921695214367</v>
      </c>
      <c r="F40" s="56">
        <f>325.492404538999*Deflactores!$C$5</f>
        <v>1026.0216452369305</v>
      </c>
      <c r="G40" s="56">
        <f>271.135209702*Deflactores!$D$5</f>
        <v>802.57791038240305</v>
      </c>
      <c r="H40" s="56">
        <f>309.323411999999*Deflactores!$E$5</f>
        <v>867.90868911190398</v>
      </c>
      <c r="I40" s="56">
        <f>292.649355166*Deflactores!$F$5</f>
        <v>783.10317743616008</v>
      </c>
      <c r="J40" s="56">
        <f>437.141329174999*Deflactores!$G$5</f>
        <v>1119.6148428832103</v>
      </c>
      <c r="K40" s="56">
        <f>540.615260559*Deflactores!$H$5</f>
        <v>1310.0348541556302</v>
      </c>
      <c r="L40" s="56">
        <f>703.76607537*Deflactores!$I$5</f>
        <v>1583.8371765482711</v>
      </c>
      <c r="M40" s="56">
        <f>1092.063487867*Deflactores!$J$5</f>
        <v>2409.4738759767129</v>
      </c>
      <c r="N40" s="56">
        <f>1184.36738755799*Deflactores!$K$5</f>
        <v>2532.8075940020726</v>
      </c>
      <c r="O40" s="56">
        <f>1294.955338668*Deflactores!$L$5</f>
        <v>2669.8081257948929</v>
      </c>
      <c r="P40" s="56">
        <f>1474.308792*Deflactores!$M$5</f>
        <v>2967.1817269036246</v>
      </c>
      <c r="Q40" s="56">
        <f>1516.77774389599*Deflactores!$N$5</f>
        <v>2994.5599269743821</v>
      </c>
      <c r="R40" s="56">
        <f>2040.420543842*Deflactores!$O$5</f>
        <v>3886.1498600549685</v>
      </c>
      <c r="S40" s="56">
        <f>1634.969576201*Deflactores!$P$5</f>
        <v>2916.4886422488003</v>
      </c>
      <c r="T40" s="56">
        <f>1274.410011687*Deflactores!$Q$5</f>
        <v>2149.7077016847097</v>
      </c>
      <c r="U40" s="56">
        <f>1335.59284942*Deflactores!$R$5</f>
        <v>2164.3889821993721</v>
      </c>
      <c r="V40" s="56">
        <f>1384.485573537*Deflactores!$S$5</f>
        <v>2174.4736056005895</v>
      </c>
    </row>
    <row r="41" spans="3:22" x14ac:dyDescent="0.2">
      <c r="C41" s="88" t="s">
        <v>150</v>
      </c>
      <c r="D41" s="57">
        <f>1272.637955917*Deflactores!$A$5</f>
        <v>4620.3873481818337</v>
      </c>
      <c r="E41" s="57">
        <f>1884.60475694616*Deflactores!$B$5</f>
        <v>6356.0397601821414</v>
      </c>
      <c r="F41" s="57">
        <f>2025.51988676029*Deflactores!$C$5</f>
        <v>6384.8717134193848</v>
      </c>
      <c r="G41" s="57">
        <f>1241.8409258063*Deflactores!$D$5</f>
        <v>3675.9301617683527</v>
      </c>
      <c r="H41" s="57">
        <f>1534.25048471805*Deflactores!$E$5</f>
        <v>4304.8449464308587</v>
      </c>
      <c r="I41" s="57">
        <f>1831.45123641792*Deflactores!$F$5</f>
        <v>4900.7976858336988</v>
      </c>
      <c r="J41" s="57">
        <f>2957.48060612917*Deflactores!$G$5</f>
        <v>7574.756636281988</v>
      </c>
      <c r="K41" s="57">
        <f>3252.877691367*Deflactores!$H$5</f>
        <v>7882.4692214381266</v>
      </c>
      <c r="L41" s="57">
        <f>2687.3349615972*Deflactores!$I$5</f>
        <v>6047.8917171133126</v>
      </c>
      <c r="M41" s="57">
        <f>4000.116025209*Deflactores!$J$5</f>
        <v>8825.6545253078766</v>
      </c>
      <c r="N41" s="57">
        <f>4343.529378435*Deflactores!$K$5</f>
        <v>9288.7767005764599</v>
      </c>
      <c r="O41" s="57">
        <f>5408.984451701*Deflactores!$L$5</f>
        <v>11151.697830987456</v>
      </c>
      <c r="P41" s="57">
        <f>8338.604*Deflactores!$M$5</f>
        <v>16782.205702728705</v>
      </c>
      <c r="Q41" s="57">
        <f>8560.41277005908*Deflactores!$N$5</f>
        <v>16900.741814508408</v>
      </c>
      <c r="R41" s="57">
        <f>7669.527677511*Deflactores!$O$5</f>
        <v>14607.250451676999</v>
      </c>
      <c r="S41" s="57">
        <f>7253.677195703*Deflactores!$P$5</f>
        <v>12939.242089729343</v>
      </c>
      <c r="T41" s="57">
        <f>5954.637484851*Deflactores!$Q$5</f>
        <v>10044.436205409043</v>
      </c>
      <c r="U41" s="57">
        <f>6585.772815713*Deflactores!$R$5</f>
        <v>10672.54450170756</v>
      </c>
      <c r="V41" s="57">
        <f>5414.277752147*Deflactores!$S$5</f>
        <v>8503.6668423757383</v>
      </c>
    </row>
    <row r="42" spans="3:22" x14ac:dyDescent="0.2">
      <c r="C42" s="87" t="s">
        <v>151</v>
      </c>
      <c r="D42" s="56">
        <f>200.532198267*Deflactores!$A$5</f>
        <v>728.04400298458927</v>
      </c>
      <c r="E42" s="56">
        <f>233.650858074*Deflactores!$B$5</f>
        <v>788.01358133335395</v>
      </c>
      <c r="F42" s="56">
        <f>191.792879*Deflactores!$C$5</f>
        <v>604.57215748249462</v>
      </c>
      <c r="G42" s="56">
        <f>228.117521445*Deflactores!$D$5</f>
        <v>675.2427465402352</v>
      </c>
      <c r="H42" s="56">
        <f>270.140974258*Deflactores!$E$5</f>
        <v>757.96945768745809</v>
      </c>
      <c r="I42" s="56">
        <f>276.768046283*Deflactores!$F$5</f>
        <v>740.60623278692981</v>
      </c>
      <c r="J42" s="56">
        <f>258.257964155*Deflactores!$G$5</f>
        <v>661.45530212492008</v>
      </c>
      <c r="K42" s="56">
        <f>409.197776365*Deflactores!$H$5</f>
        <v>991.58012803197164</v>
      </c>
      <c r="L42" s="56">
        <f>443.669079992*Deflactores!$I$5</f>
        <v>998.48459249312214</v>
      </c>
      <c r="M42" s="56">
        <f>721.815874974*Deflactores!$J$5</f>
        <v>1592.5781910464707</v>
      </c>
      <c r="N42" s="56">
        <f>635.328425819*Deflactores!$K$5</f>
        <v>1358.6701884097229</v>
      </c>
      <c r="O42" s="56">
        <f>1145.79693681*Deflactores!$L$5</f>
        <v>2362.2883979557191</v>
      </c>
      <c r="P42" s="56">
        <f>3079.534603837*Deflactores!$M$5</f>
        <v>6197.8459692130346</v>
      </c>
      <c r="Q42" s="56">
        <f>3596.473839854*Deflactores!$N$5</f>
        <v>7100.4842222796951</v>
      </c>
      <c r="R42" s="56">
        <f>3718.86679761*Deflactores!$O$5</f>
        <v>7082.8897154126416</v>
      </c>
      <c r="S42" s="56">
        <f>3889.412206489*Deflactores!$P$5</f>
        <v>6938.0046518091749</v>
      </c>
      <c r="T42" s="56">
        <f>3243.988700619*Deflactores!$Q$5</f>
        <v>5472.0438712400737</v>
      </c>
      <c r="U42" s="56">
        <f>3847.385042274*Deflactores!$R$5</f>
        <v>6234.8625177146851</v>
      </c>
      <c r="V42" s="56">
        <f>3805.344905369*Deflactores!$S$5</f>
        <v>5976.6762580212817</v>
      </c>
    </row>
    <row r="43" spans="3:22" ht="21.75" customHeight="1" x14ac:dyDescent="0.2">
      <c r="C43" s="79" t="s">
        <v>152</v>
      </c>
      <c r="D43" s="44">
        <f t="shared" ref="D43:V43" si="0">+SUM(D14:D42)</f>
        <v>123610.90157855992</v>
      </c>
      <c r="E43" s="44">
        <f t="shared" si="0"/>
        <v>139454.44085112747</v>
      </c>
      <c r="F43" s="44">
        <f t="shared" si="0"/>
        <v>138046.84840678741</v>
      </c>
      <c r="G43" s="44">
        <f t="shared" si="0"/>
        <v>131436.31181196836</v>
      </c>
      <c r="H43" s="44">
        <f t="shared" si="0"/>
        <v>153812.86816556394</v>
      </c>
      <c r="I43" s="44">
        <f t="shared" si="0"/>
        <v>165684.61908988233</v>
      </c>
      <c r="J43" s="44">
        <f t="shared" si="0"/>
        <v>171583.9049428729</v>
      </c>
      <c r="K43" s="44">
        <f t="shared" si="0"/>
        <v>188671.09500423449</v>
      </c>
      <c r="L43" s="44">
        <f t="shared" si="0"/>
        <v>194460.02259127065</v>
      </c>
      <c r="M43" s="44">
        <f t="shared" si="0"/>
        <v>231691.32250811055</v>
      </c>
      <c r="N43" s="44">
        <f t="shared" si="0"/>
        <v>234956.58797265607</v>
      </c>
      <c r="O43" s="44">
        <f t="shared" si="0"/>
        <v>239415.72958465473</v>
      </c>
      <c r="P43" s="44">
        <f t="shared" si="0"/>
        <v>260043.33740414283</v>
      </c>
      <c r="Q43" s="44">
        <f t="shared" si="0"/>
        <v>285126.43038070045</v>
      </c>
      <c r="R43" s="44">
        <f t="shared" si="0"/>
        <v>297132.12736095936</v>
      </c>
      <c r="S43" s="44">
        <f t="shared" si="0"/>
        <v>286513.24910561019</v>
      </c>
      <c r="T43" s="44">
        <f t="shared" si="0"/>
        <v>276167.01042695774</v>
      </c>
      <c r="U43" s="44">
        <f t="shared" si="0"/>
        <v>290578.58376215439</v>
      </c>
      <c r="V43" s="44">
        <f t="shared" si="0"/>
        <v>291079.73795172886</v>
      </c>
    </row>
    <row r="44" spans="3:22" x14ac:dyDescent="0.2">
      <c r="C44" s="1" t="s">
        <v>52</v>
      </c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</row>
    <row r="45" spans="3:22" x14ac:dyDescent="0.2"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</row>
    <row r="46" spans="3:22" x14ac:dyDescent="0.2"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</row>
    <row r="48" spans="3:22" ht="18" customHeight="1" x14ac:dyDescent="0.2">
      <c r="D48" s="160" t="s">
        <v>153</v>
      </c>
      <c r="E48" s="158"/>
      <c r="F48" s="158"/>
      <c r="G48" s="158"/>
      <c r="H48" s="158"/>
      <c r="I48" s="158"/>
      <c r="J48" s="158"/>
      <c r="K48" s="158"/>
      <c r="L48" s="158"/>
      <c r="M48" s="158"/>
      <c r="N48" s="158"/>
      <c r="O48" s="158"/>
      <c r="P48" s="158"/>
      <c r="Q48" s="158"/>
      <c r="R48" s="158"/>
      <c r="S48" s="158"/>
      <c r="T48" s="158"/>
      <c r="U48" s="158"/>
      <c r="V48" s="158"/>
    </row>
    <row r="49" spans="3:22" ht="11.25" hidden="1" customHeight="1" x14ac:dyDescent="0.2">
      <c r="H49" s="27"/>
      <c r="I49" s="27"/>
      <c r="J49" s="27"/>
      <c r="L49" s="175"/>
      <c r="M49" s="158"/>
      <c r="N49" s="158"/>
      <c r="O49" s="158"/>
      <c r="P49" s="158"/>
      <c r="Q49" s="158"/>
      <c r="R49" s="28"/>
      <c r="S49" s="28"/>
      <c r="T49" s="28"/>
      <c r="U49" s="28"/>
      <c r="V49" s="28"/>
    </row>
    <row r="50" spans="3:22" x14ac:dyDescent="0.2"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</row>
    <row r="51" spans="3:22" ht="12" thickBot="1" x14ac:dyDescent="0.25">
      <c r="C51" s="177" t="s">
        <v>120</v>
      </c>
      <c r="D51" s="153">
        <v>2000</v>
      </c>
      <c r="E51" s="153">
        <v>2001</v>
      </c>
      <c r="F51" s="153">
        <v>2002</v>
      </c>
      <c r="G51" s="153">
        <v>2003</v>
      </c>
      <c r="H51" s="153">
        <v>2004</v>
      </c>
      <c r="I51" s="153">
        <v>2005</v>
      </c>
      <c r="J51" s="153">
        <v>2006</v>
      </c>
      <c r="K51" s="153">
        <v>2007</v>
      </c>
      <c r="L51" s="153">
        <v>2008</v>
      </c>
      <c r="M51" s="153">
        <v>2009</v>
      </c>
      <c r="N51" s="153">
        <v>2010</v>
      </c>
      <c r="O51" s="153">
        <v>2011</v>
      </c>
      <c r="P51" s="153">
        <v>2012</v>
      </c>
      <c r="Q51" s="153">
        <v>2013</v>
      </c>
      <c r="R51" s="153">
        <v>2014</v>
      </c>
      <c r="S51" s="153">
        <v>2015</v>
      </c>
      <c r="T51" s="153">
        <v>2016</v>
      </c>
      <c r="U51" s="153">
        <v>2017</v>
      </c>
      <c r="V51" s="153">
        <v>2018</v>
      </c>
    </row>
    <row r="52" spans="3:22" ht="12" customHeight="1" thickBot="1" x14ac:dyDescent="0.25">
      <c r="C52" s="156"/>
      <c r="D52" s="154"/>
      <c r="E52" s="154"/>
      <c r="F52" s="154"/>
      <c r="G52" s="154"/>
      <c r="H52" s="154"/>
      <c r="I52" s="154"/>
      <c r="J52" s="154"/>
      <c r="K52" s="154"/>
      <c r="L52" s="154"/>
      <c r="M52" s="154"/>
      <c r="N52" s="154"/>
      <c r="O52" s="154"/>
      <c r="P52" s="154"/>
      <c r="Q52" s="154"/>
      <c r="R52" s="154"/>
      <c r="S52" s="154"/>
      <c r="T52" s="154"/>
      <c r="U52" s="154"/>
      <c r="V52" s="154"/>
    </row>
    <row r="53" spans="3:22" x14ac:dyDescent="0.2">
      <c r="C53" s="87" t="s">
        <v>123</v>
      </c>
      <c r="D53" s="56">
        <f>437.772975322099*Deflactores!$A$5</f>
        <v>1589.3606717840664</v>
      </c>
      <c r="E53" s="56">
        <f>691.2373474328*Deflactores!$B$5</f>
        <v>2331.2750579729272</v>
      </c>
      <c r="F53" s="56">
        <f>678.64487245202*Deflactores!$C$5</f>
        <v>2139.2337235979971</v>
      </c>
      <c r="G53" s="56">
        <f>526.75695628973*Deflactores!$D$5</f>
        <v>1559.2349578022654</v>
      </c>
      <c r="H53" s="56">
        <f>615.15224813619*Deflactores!$E$5</f>
        <v>1726.0121949130803</v>
      </c>
      <c r="I53" s="56">
        <f>647.47283632228*Deflactores!$F$5</f>
        <v>1732.5786866674359</v>
      </c>
      <c r="J53" s="56">
        <f>1000.64058537453*Deflactores!$G$5</f>
        <v>2562.8600569317709</v>
      </c>
      <c r="K53" s="56">
        <f>1385.44889225979*Deflactores!$H$5</f>
        <v>3357.260643428609</v>
      </c>
      <c r="L53" s="56">
        <f>1874.29002976156*Deflactores!$I$5</f>
        <v>4218.1206691576026</v>
      </c>
      <c r="M53" s="56">
        <f>1516.33457748141*Deflactores!$J$5</f>
        <v>3345.5642389598911</v>
      </c>
      <c r="N53" s="56">
        <f>1557.25255313864*Deflactores!$K$5</f>
        <v>3330.2344642409726</v>
      </c>
      <c r="O53" s="56">
        <f>1676.81744824431*Deflactores!$L$5</f>
        <v>3457.092854956808</v>
      </c>
      <c r="P53" s="56">
        <f>2110.25766694508*Deflactores!$M$5</f>
        <v>4247.0871925843576</v>
      </c>
      <c r="Q53" s="56">
        <f>3550.42018242567*Deflactores!$N$5</f>
        <v>7009.5609228177418</v>
      </c>
      <c r="R53" s="56">
        <f>3274.14595522476*Deflactores!$O$5</f>
        <v>6235.8820509315128</v>
      </c>
      <c r="S53" s="56">
        <f>3668.24413134228*Deflactores!$P$5</f>
        <v>6543.4809930312349</v>
      </c>
      <c r="T53" s="56">
        <f>2436.64179645656*Deflactores!$Q$5</f>
        <v>4110.1902747575268</v>
      </c>
      <c r="U53" s="56">
        <f>2750.49879433034*Deflactores!$R$5</f>
        <v>4457.3084444009137</v>
      </c>
      <c r="V53" s="56">
        <f>2231.12005060111*Deflactores!$S$5</f>
        <v>3504.1980600520219</v>
      </c>
    </row>
    <row r="54" spans="3:22" x14ac:dyDescent="0.2">
      <c r="C54" s="88" t="s">
        <v>124</v>
      </c>
      <c r="D54" s="57">
        <f>114.7625210845*Deflactores!$A$5</f>
        <v>416.65211853767534</v>
      </c>
      <c r="E54" s="57">
        <f>146.59238863423*Deflactores!$B$5</f>
        <v>494.39918225031676</v>
      </c>
      <c r="F54" s="57">
        <f>153.30075990833*Deflactores!$C$5</f>
        <v>483.23676898079719</v>
      </c>
      <c r="G54" s="57">
        <f>197.280858766939*Deflactores!$D$5</f>
        <v>583.96421313792928</v>
      </c>
      <c r="H54" s="57">
        <f>331.86547496804*Deflactores!$E$5</f>
        <v>931.15786961839126</v>
      </c>
      <c r="I54" s="57">
        <f>304.586095056209*Deflactores!$F$5</f>
        <v>815.04481260890566</v>
      </c>
      <c r="J54" s="57">
        <f>429.19925191781*Deflactores!$G$5</f>
        <v>1099.2734407164198</v>
      </c>
      <c r="K54" s="57">
        <f>513.113175788739*Deflactores!$H$5</f>
        <v>1243.3909906921187</v>
      </c>
      <c r="L54" s="57">
        <f>1448.84971989962*Deflactores!$I$5</f>
        <v>3260.6602249222133</v>
      </c>
      <c r="M54" s="57">
        <f>1690.50644003852*Deflactores!$J$5</f>
        <v>3729.8482640409243</v>
      </c>
      <c r="N54" s="57">
        <f>1822.63861248783*Deflactores!$K$5</f>
        <v>3897.7710525692305</v>
      </c>
      <c r="O54" s="57">
        <f>1383.4728418138*Deflactores!$L$5</f>
        <v>2852.3045734459888</v>
      </c>
      <c r="P54" s="57">
        <f>367.48455596827*Deflactores!$M$5</f>
        <v>739.59638937589887</v>
      </c>
      <c r="Q54" s="57">
        <f>499.74645001158*Deflactores!$N$5</f>
        <v>986.64468072192699</v>
      </c>
      <c r="R54" s="57">
        <f>550.630166198461*Deflactores!$O$5</f>
        <v>1048.7207403259174</v>
      </c>
      <c r="S54" s="57">
        <f>555.113737143099*Deflactores!$P$5</f>
        <v>990.2220402755064</v>
      </c>
      <c r="T54" s="57">
        <f>662.96550900902*Deflactores!$Q$5</f>
        <v>1118.3073324898239</v>
      </c>
      <c r="U54" s="57">
        <f>709.381797146699*Deflactores!$R$5</f>
        <v>1149.5854792752632</v>
      </c>
      <c r="V54" s="57">
        <f>691.98283396686*Deflactores!$S$5</f>
        <v>1086.8285208241787</v>
      </c>
    </row>
    <row r="55" spans="3:22" x14ac:dyDescent="0.2">
      <c r="C55" s="87" t="s">
        <v>125</v>
      </c>
      <c r="D55" s="56">
        <f>36.7875792416*Deflactores!$A$5</f>
        <v>133.55948163250503</v>
      </c>
      <c r="E55" s="56">
        <f>75.3068143556*Deflactores!$B$5</f>
        <v>253.98063147864758</v>
      </c>
      <c r="F55" s="56">
        <f>81.36366189837*Deflactores!$C$5</f>
        <v>256.47565681817514</v>
      </c>
      <c r="G55" s="56">
        <f>73.01505192838*Deflactores!$D$5</f>
        <v>216.12931742634387</v>
      </c>
      <c r="H55" s="56">
        <f>93.2499057075299*Deflactores!$E$5</f>
        <v>261.64331661526865</v>
      </c>
      <c r="I55" s="56">
        <f>98.56362393661*Deflactores!$F$5</f>
        <v>263.7473335302584</v>
      </c>
      <c r="J55" s="56">
        <f>129.417718857449*Deflactores!$G$5</f>
        <v>331.4671692981924</v>
      </c>
      <c r="K55" s="56">
        <f>132.83661082054*Deflactores!$H$5</f>
        <v>321.89359564670036</v>
      </c>
      <c r="L55" s="56">
        <f>195.93364181315*Deflactores!$I$5</f>
        <v>440.95189708740588</v>
      </c>
      <c r="M55" s="56">
        <f>190.88779504053*Deflactores!$J$5</f>
        <v>421.1652165858045</v>
      </c>
      <c r="N55" s="56">
        <f>351.17318956412*Deflactores!$K$5</f>
        <v>750.99511408522483</v>
      </c>
      <c r="O55" s="56">
        <f>366.99315033341*Deflactores!$L$5</f>
        <v>756.62941077105791</v>
      </c>
      <c r="P55" s="56">
        <f>407.80303115372*Deflactores!$M$5</f>
        <v>820.74102032162841</v>
      </c>
      <c r="Q55" s="56">
        <f>424.288768768829*Deflactores!$N$5</f>
        <v>837.66929567207649</v>
      </c>
      <c r="R55" s="56">
        <f>373.12421581008*Deflactores!$O$5</f>
        <v>710.64596140713252</v>
      </c>
      <c r="S55" s="56">
        <f>351.76707124661*Deflactores!$P$5</f>
        <v>627.48853736574813</v>
      </c>
      <c r="T55" s="56">
        <f>304.86812616273*Deflactores!$Q$5</f>
        <v>514.25942420418585</v>
      </c>
      <c r="U55" s="56">
        <f>378.878783558729*Deflactores!$R$5</f>
        <v>613.99030780954547</v>
      </c>
      <c r="V55" s="56">
        <f>330.47588643464*Deflactores!$S$5</f>
        <v>519.04556181377791</v>
      </c>
    </row>
    <row r="56" spans="3:22" x14ac:dyDescent="0.2">
      <c r="C56" s="88" t="s">
        <v>126</v>
      </c>
      <c r="D56" s="57">
        <f>199.63703093384*Deflactores!$A$5</f>
        <v>724.79404505161369</v>
      </c>
      <c r="E56" s="57">
        <f>269.581845381589*Deflactores!$B$5</f>
        <v>909.19484393384937</v>
      </c>
      <c r="F56" s="57">
        <f>251.10586882589*Deflactores!$C$5</f>
        <v>791.53938177540272</v>
      </c>
      <c r="G56" s="57">
        <f>199.504073061899*Deflactores!$D$5</f>
        <v>590.54507250009908</v>
      </c>
      <c r="H56" s="57">
        <f>190.88998944129*Deflactores!$E$5</f>
        <v>535.60472331973278</v>
      </c>
      <c r="I56" s="57">
        <f>213.83459788814*Deflactores!$F$5</f>
        <v>572.20202298754589</v>
      </c>
      <c r="J56" s="57">
        <f>304.59921334947*Deflactores!$G$5</f>
        <v>780.14540752812616</v>
      </c>
      <c r="K56" s="57">
        <f>311.190195963349*Deflactores!$H$5</f>
        <v>754.08526677914017</v>
      </c>
      <c r="L56" s="57">
        <f>309.51334726782*Deflactores!$I$5</f>
        <v>696.56490018070224</v>
      </c>
      <c r="M56" s="57">
        <f>448.524067217*Deflactores!$J$5</f>
        <v>989.60091122266465</v>
      </c>
      <c r="N56" s="57">
        <f>435.842599232919*Deflactores!$K$5</f>
        <v>932.06335865330357</v>
      </c>
      <c r="O56" s="57">
        <f>547.63778648451*Deflactores!$L$5</f>
        <v>1129.064276342215</v>
      </c>
      <c r="P56" s="57">
        <f>760.86127526696*Deflactores!$M$5</f>
        <v>1531.303133326707</v>
      </c>
      <c r="Q56" s="57">
        <f>1038.88559676939*Deflactores!$N$5</f>
        <v>2051.0619893495832</v>
      </c>
      <c r="R56" s="57">
        <f>844.823357106417*Deflactores!$O$5</f>
        <v>1609.0360298021481</v>
      </c>
      <c r="S56" s="57">
        <f>857.87168216474*Deflactores!$P$5</f>
        <v>1530.2872016456099</v>
      </c>
      <c r="T56" s="57">
        <f>837.11241790756*Deflactores!$Q$5</f>
        <v>1412.0628333495602</v>
      </c>
      <c r="U56" s="57">
        <f>975.53562455054*Deflactores!$R$5</f>
        <v>1580.899866630084</v>
      </c>
      <c r="V56" s="57">
        <f>825.4969023386*Deflactores!$S$5</f>
        <v>1296.5257709797017</v>
      </c>
    </row>
    <row r="57" spans="3:22" x14ac:dyDescent="0.2">
      <c r="C57" s="87" t="s">
        <v>127</v>
      </c>
      <c r="D57" s="56">
        <f>168.793936681919*Deflactores!$A$5</f>
        <v>612.8163676628609</v>
      </c>
      <c r="E57" s="56">
        <f>203.409355607469*Deflactores!$B$5</f>
        <v>686.02074099032768</v>
      </c>
      <c r="F57" s="56">
        <f>189.84707649563*Deflactores!$C$5</f>
        <v>598.43857200093032</v>
      </c>
      <c r="G57" s="56">
        <f>223.61736213158*Deflactores!$D$5</f>
        <v>661.92198136878392</v>
      </c>
      <c r="H57" s="56">
        <f>224.132323363319*Deflactores!$E$5</f>
        <v>628.87703746738759</v>
      </c>
      <c r="I57" s="56">
        <f>249.61787514109*Deflactores!$F$5</f>
        <v>667.95483303549304</v>
      </c>
      <c r="J57" s="56">
        <f>297.62011859314*Deflactores!$G$5</f>
        <v>762.27041480249579</v>
      </c>
      <c r="K57" s="56">
        <f>286.39307326238*Deflactores!$H$5</f>
        <v>693.99614723143566</v>
      </c>
      <c r="L57" s="56">
        <f>312.0485894547*Deflactores!$I$5</f>
        <v>702.27050459623615</v>
      </c>
      <c r="M57" s="56">
        <f>335.887497991439*Deflactores!$J$5</f>
        <v>741.08525801763381</v>
      </c>
      <c r="N57" s="56">
        <f>368.035832550679*Deflactores!$K$5</f>
        <v>787.05641622844291</v>
      </c>
      <c r="O57" s="56">
        <f>375.31122420842*Deflactores!$L$5</f>
        <v>773.77877535478717</v>
      </c>
      <c r="P57" s="56">
        <f>382.08341104164*Deflactores!$M$5</f>
        <v>768.97792480624423</v>
      </c>
      <c r="Q57" s="56">
        <f>428.707244751663*Deflactores!$N$5</f>
        <v>846.39265093605025</v>
      </c>
      <c r="R57" s="56">
        <f>454.902859662509*Deflactores!$O$5</f>
        <v>866.4001593942761</v>
      </c>
      <c r="S57" s="56">
        <f>468.02706454525*Deflactores!$P$5</f>
        <v>834.87524042065593</v>
      </c>
      <c r="T57" s="56">
        <f>507.71892556345*Deflactores!$Q$5</f>
        <v>856.43338844304219</v>
      </c>
      <c r="U57" s="56">
        <f>551.0496349074*Deflactores!$R$5</f>
        <v>893.00100622469154</v>
      </c>
      <c r="V57" s="56">
        <f>579.751784429928*Deflactores!$S$5</f>
        <v>910.55838871767821</v>
      </c>
    </row>
    <row r="58" spans="3:22" x14ac:dyDescent="0.2">
      <c r="C58" s="88" t="s">
        <v>128</v>
      </c>
      <c r="D58" s="57">
        <f>50.2083482027*Deflactores!$A$5</f>
        <v>182.28437689626224</v>
      </c>
      <c r="E58" s="57">
        <f>67.65723371515*Deflactores!$B$5</f>
        <v>228.18156749973352</v>
      </c>
      <c r="F58" s="57">
        <f>61.22777350512*Deflactores!$C$5</f>
        <v>193.00303180620131</v>
      </c>
      <c r="G58" s="57">
        <f>66.6935053212399*Deflactores!$D$5</f>
        <v>197.4171270327771</v>
      </c>
      <c r="H58" s="57">
        <f>96.2966306809599*Deflactores!$E$5</f>
        <v>270.1919067807429</v>
      </c>
      <c r="I58" s="57">
        <f>102.11999415021*Deflactores!$F$5</f>
        <v>273.26385822182908</v>
      </c>
      <c r="J58" s="57">
        <f>124.36151077956*Deflactores!$G$5</f>
        <v>318.51711119365604</v>
      </c>
      <c r="K58" s="57">
        <f>137.32401063971*Deflactores!$H$5</f>
        <v>332.76759532174805</v>
      </c>
      <c r="L58" s="57">
        <f>179.98887085076*Deflactores!$I$5</f>
        <v>405.06792668075684</v>
      </c>
      <c r="M58" s="57">
        <f>181.894734120309*Deflactores!$J$5</f>
        <v>401.32337992238655</v>
      </c>
      <c r="N58" s="57">
        <f>209.94047858991*Deflactores!$K$5</f>
        <v>448.96443793283532</v>
      </c>
      <c r="O58" s="57">
        <f>234.98881451057*Deflactores!$L$5</f>
        <v>484.47620370950466</v>
      </c>
      <c r="P58" s="57">
        <f>344.15970777569*Deflactores!$M$5</f>
        <v>692.65299209347631</v>
      </c>
      <c r="Q58" s="57">
        <f>402.464585830079*Deflactores!$N$5</f>
        <v>794.58201809937736</v>
      </c>
      <c r="R58" s="57">
        <f>390.73343232641*Deflactores!$O$5</f>
        <v>744.18417219761977</v>
      </c>
      <c r="S58" s="57">
        <f>437.55135377114*Deflactores!$P$5</f>
        <v>780.51210998022486</v>
      </c>
      <c r="T58" s="57">
        <f>378.67447633411*Deflactores!$Q$5</f>
        <v>638.7578806990665</v>
      </c>
      <c r="U58" s="57">
        <f>402.51590132034*Deflactores!$R$5</f>
        <v>652.29533263533483</v>
      </c>
      <c r="V58" s="57">
        <f>401.522439260274*Deflactores!$S$5</f>
        <v>630.63130661397133</v>
      </c>
    </row>
    <row r="59" spans="3:22" x14ac:dyDescent="0.2">
      <c r="C59" s="87" t="s">
        <v>129</v>
      </c>
      <c r="D59" s="56">
        <f>6479.66873203493*Deflactores!$A$5</f>
        <v>23524.820465009121</v>
      </c>
      <c r="E59" s="56">
        <f>7677.89777679142*Deflactores!$B$5</f>
        <v>25894.566679847609</v>
      </c>
      <c r="F59" s="56">
        <f>8532.74534950185*Deflactores!$C$5</f>
        <v>26897.03753389643</v>
      </c>
      <c r="G59" s="56">
        <f>9733.24557787875*Deflactores!$D$5</f>
        <v>28811.041936303227</v>
      </c>
      <c r="H59" s="56">
        <f>11018.1958636463*Deflactores!$E$5</f>
        <v>30915.176664336981</v>
      </c>
      <c r="I59" s="56">
        <f>11967.5805491702*Deflactores!$F$5</f>
        <v>32024.1619837582</v>
      </c>
      <c r="J59" s="56">
        <f>13185.8152867049*Deflactores!$G$5</f>
        <v>33771.765617249868</v>
      </c>
      <c r="K59" s="56">
        <f>14504.2717606848*Deflactores!$H$5</f>
        <v>35147.179384087423</v>
      </c>
      <c r="L59" s="56">
        <f>18452.0406745672*Deflactores!$I$5</f>
        <v>41526.622305850025</v>
      </c>
      <c r="M59" s="56">
        <f>19999.0727737828*Deflactores!$J$5</f>
        <v>44124.946880428448</v>
      </c>
      <c r="N59" s="56">
        <f>20503.3384651204*Deflactores!$K$5</f>
        <v>43847.046036894571</v>
      </c>
      <c r="O59" s="56">
        <f>21455.8204813948*Deflactores!$L$5</f>
        <v>44235.44361440753</v>
      </c>
      <c r="P59" s="56">
        <f>23600.8829682838*Deflactores!$M$5</f>
        <v>47498.942597557718</v>
      </c>
      <c r="Q59" s="56">
        <f>26071.6207063182*Deflactores!$N$5</f>
        <v>51472.953709010726</v>
      </c>
      <c r="R59" s="56">
        <f>26757.722117678*Deflactores!$O$5</f>
        <v>50962.297148413803</v>
      </c>
      <c r="S59" s="56">
        <f>26858.1427377388*Deflactores!$P$5</f>
        <v>47910.046392742406</v>
      </c>
      <c r="T59" s="56">
        <f>28746.7110357143*Deflactores!$Q$5</f>
        <v>48490.694160332328</v>
      </c>
      <c r="U59" s="56">
        <f>29902.7155260488*Deflactores!$R$5</f>
        <v>48458.711088883239</v>
      </c>
      <c r="V59" s="56">
        <f>31327.2233895731*Deflactores!$S$5</f>
        <v>49202.549813033249</v>
      </c>
    </row>
    <row r="60" spans="3:22" x14ac:dyDescent="0.2">
      <c r="C60" s="88" t="s">
        <v>130</v>
      </c>
      <c r="D60" s="57">
        <f>34.607287836*Deflactores!$A$5</f>
        <v>125.64380476702512</v>
      </c>
      <c r="E60" s="57">
        <f>77.90444459615*Deflactores!$B$5</f>
        <v>262.74142921638725</v>
      </c>
      <c r="F60" s="57">
        <f>35.01230633751*Deflactores!$C$5</f>
        <v>110.36627476094375</v>
      </c>
      <c r="G60" s="57">
        <f>38.11787093671*Deflactores!$D$5</f>
        <v>112.83138489550876</v>
      </c>
      <c r="H60" s="57">
        <f>88.83277149663*Deflactores!$E$5</f>
        <v>249.24959207361161</v>
      </c>
      <c r="I60" s="57">
        <f>72.26924072877*Deflactores!$F$5</f>
        <v>193.38594480584612</v>
      </c>
      <c r="J60" s="57">
        <f>100.43509634449*Deflactores!$G$5</f>
        <v>257.2363149142555</v>
      </c>
      <c r="K60" s="57">
        <f>83.53250446911*Deflactores!$H$5</f>
        <v>202.41843006113652</v>
      </c>
      <c r="L60" s="57">
        <f>153.595224243549*Deflactores!$I$5</f>
        <v>345.66858905397487</v>
      </c>
      <c r="M60" s="57">
        <f>136.87539838532*Deflactores!$J$5</f>
        <v>301.99498503286566</v>
      </c>
      <c r="N60" s="57">
        <f>140.17559955577*Deflactores!$K$5</f>
        <v>299.77000952440028</v>
      </c>
      <c r="O60" s="57">
        <f>173.25545670939*Deflactores!$L$5</f>
        <v>357.20060171096395</v>
      </c>
      <c r="P60" s="57">
        <f>310.36695906249*Deflactores!$M$5</f>
        <v>624.64198447570925</v>
      </c>
      <c r="Q60" s="57">
        <f>369.69504137496*Deflactores!$N$5</f>
        <v>729.88541700181145</v>
      </c>
      <c r="R60" s="57">
        <f>337.52356759051*Deflactores!$O$5</f>
        <v>642.84157935761471</v>
      </c>
      <c r="S60" s="57">
        <f>428.83673213947*Deflactores!$P$5</f>
        <v>764.96680847723428</v>
      </c>
      <c r="T60" s="57">
        <f>401.46790667735*Deflactores!$Q$5</f>
        <v>677.20642732639112</v>
      </c>
      <c r="U60" s="57">
        <f>583.23011535326*Deflactores!$R$5</f>
        <v>945.15093900484135</v>
      </c>
      <c r="V60" s="57">
        <f>564.94688930808*Deflactores!$S$5</f>
        <v>887.3058144103137</v>
      </c>
    </row>
    <row r="61" spans="3:22" x14ac:dyDescent="0.2">
      <c r="C61" s="87" t="s">
        <v>131</v>
      </c>
      <c r="D61" s="56">
        <f>4966.66650145369*Deflactores!$A$5</f>
        <v>18031.776405269968</v>
      </c>
      <c r="E61" s="56">
        <f>7510.17082824635*Deflactores!$B$5</f>
        <v>25328.888836853101</v>
      </c>
      <c r="F61" s="56">
        <f>8706.01301076033*Deflactores!$C$5</f>
        <v>27443.214244602073</v>
      </c>
      <c r="G61" s="56">
        <f>10123.9942065193*Deflactores!$D$5</f>
        <v>29967.68337067762</v>
      </c>
      <c r="H61" s="56">
        <f>11562.7238435908*Deflactores!$E$5</f>
        <v>32443.029219055297</v>
      </c>
      <c r="I61" s="56">
        <f>12593.3588928467*Deflactores!$F$5</f>
        <v>33698.688172363101</v>
      </c>
      <c r="J61" s="56">
        <f>13405.8864409477*Deflactores!$G$5</f>
        <v>34335.416121872004</v>
      </c>
      <c r="K61" s="56">
        <f>14342.5996341433*Deflactores!$H$5</f>
        <v>34755.41071574494</v>
      </c>
      <c r="L61" s="56">
        <f>16212.7604688173*Deflactores!$I$5</f>
        <v>36487.085217179294</v>
      </c>
      <c r="M61" s="56">
        <f>18740.270112275*Deflactores!$J$5</f>
        <v>41347.58808983551</v>
      </c>
      <c r="N61" s="56">
        <f>20359.2488212598*Deflactores!$K$5</f>
        <v>43538.905718256057</v>
      </c>
      <c r="O61" s="56">
        <f>21747.0212534519*Deflactores!$L$5</f>
        <v>44835.811954736157</v>
      </c>
      <c r="P61" s="56">
        <f>23234.00657033*Deflactores!$M$5</f>
        <v>46760.570181990697</v>
      </c>
      <c r="Q61" s="56">
        <f>25161.4734121365*Deflactores!$N$5</f>
        <v>49676.058530551687</v>
      </c>
      <c r="R61" s="56">
        <f>26917.8016882465*Deflactores!$O$5</f>
        <v>51267.181944168246</v>
      </c>
      <c r="S61" s="56">
        <f>29044.0094032917*Deflactores!$P$5</f>
        <v>51809.235341792039</v>
      </c>
      <c r="T61" s="56">
        <f>31352.9855548074*Deflactores!$Q$5</f>
        <v>52887.025290046578</v>
      </c>
      <c r="U61" s="56">
        <f>35561.394989685*Deflactores!$R$5</f>
        <v>57628.858630636503</v>
      </c>
      <c r="V61" s="56">
        <f>38231.1493711988*Deflactores!$S$5</f>
        <v>60045.85877125695</v>
      </c>
    </row>
    <row r="62" spans="3:22" x14ac:dyDescent="0.2">
      <c r="C62" s="88" t="s">
        <v>132</v>
      </c>
      <c r="D62" s="57">
        <f>37.9357221610399*Deflactores!$A$5</f>
        <v>137.72788238954689</v>
      </c>
      <c r="E62" s="57">
        <f>43.74125574359*Deflactores!$B$5</f>
        <v>147.52226409375243</v>
      </c>
      <c r="F62" s="57">
        <f>45.0327713900499*Deflactores!$C$5</f>
        <v>141.95292285433823</v>
      </c>
      <c r="G62" s="57">
        <f>37.0417230598499*Deflactores!$D$5</f>
        <v>109.64591696892664</v>
      </c>
      <c r="H62" s="57">
        <f>42.7364158682*Deflactores!$E$5</f>
        <v>119.91108734281889</v>
      </c>
      <c r="I62" s="57">
        <f>47.6472184506799*Deflactores!$F$5</f>
        <v>127.4996425109405</v>
      </c>
      <c r="J62" s="57">
        <f>60.59695555355*Deflactores!$G$5</f>
        <v>155.20209676657811</v>
      </c>
      <c r="K62" s="57">
        <f>64.16375565032*Deflactores!$H$5</f>
        <v>155.48350630821847</v>
      </c>
      <c r="L62" s="57">
        <f>71.8701926633299*Deflactores!$I$5</f>
        <v>161.7450556508042</v>
      </c>
      <c r="M62" s="57">
        <f>102.8132636148*Deflactores!$J$5</f>
        <v>226.84200647310504</v>
      </c>
      <c r="N62" s="57">
        <f>114.64424579867*Deflactores!$K$5</f>
        <v>245.17039173648652</v>
      </c>
      <c r="O62" s="57">
        <f>118.000883446693*Deflactores!$L$5</f>
        <v>243.2823033117181</v>
      </c>
      <c r="P62" s="57">
        <f>135.681172121969*Deflactores!$M$5</f>
        <v>273.07080903928568</v>
      </c>
      <c r="Q62" s="57">
        <f>159.66349977117*Deflactores!$N$5</f>
        <v>315.22213464652168</v>
      </c>
      <c r="R62" s="57">
        <f>171.542293114309*Deflactores!$O$5</f>
        <v>326.71649988606538</v>
      </c>
      <c r="S62" s="57">
        <f>199.176363133748*Deflactores!$P$5</f>
        <v>355.29444054473618</v>
      </c>
      <c r="T62" s="57">
        <f>271.39512760458*Deflactores!$Q$5</f>
        <v>457.79630626015552</v>
      </c>
      <c r="U62" s="57">
        <f>346.774477040299*Deflactores!$R$5</f>
        <v>561.96381834472334</v>
      </c>
      <c r="V62" s="57">
        <f>431.26827186416*Deflactores!$S$5</f>
        <v>677.35012341501545</v>
      </c>
    </row>
    <row r="63" spans="3:22" x14ac:dyDescent="0.2">
      <c r="C63" s="87" t="s">
        <v>133</v>
      </c>
      <c r="D63" s="56">
        <f>621.66257003819*Deflactores!$A$5</f>
        <v>2256.9827185242193</v>
      </c>
      <c r="E63" s="56">
        <f>662.09425572521*Deflactores!$B$5</f>
        <v>2232.9867304361587</v>
      </c>
      <c r="F63" s="56">
        <f>692.0325868084*Deflactores!$C$5</f>
        <v>2181.434661372105</v>
      </c>
      <c r="G63" s="56">
        <f>724.705619105259*Deflactores!$D$5</f>
        <v>2145.1759144935359</v>
      </c>
      <c r="H63" s="56">
        <f>788.246250748479*Deflactores!$E$5</f>
        <v>2211.6844171642842</v>
      </c>
      <c r="I63" s="56">
        <f>872.62971486798*Deflactores!$F$5</f>
        <v>2335.07810755538</v>
      </c>
      <c r="J63" s="56">
        <f>963.59571577924*Deflactores!$G$5</f>
        <v>2467.9800190963283</v>
      </c>
      <c r="K63" s="56">
        <f>1093.93799798726*Deflactores!$H$5</f>
        <v>2650.8628412869989</v>
      </c>
      <c r="L63" s="56">
        <f>1265.06454587822*Deflactores!$I$5</f>
        <v>2847.0486552533425</v>
      </c>
      <c r="M63" s="56">
        <f>1460.85801262998*Deflactores!$J$5</f>
        <v>3223.1635404441581</v>
      </c>
      <c r="N63" s="56">
        <f>1540.06855911967*Deflactores!$K$5</f>
        <v>3293.4859426219555</v>
      </c>
      <c r="O63" s="56">
        <f>1685.74540275958*Deflactores!$L$5</f>
        <v>3475.4996098462179</v>
      </c>
      <c r="P63" s="56">
        <f>1968.10937487859*Deflactores!$M$5</f>
        <v>3961.0007112319163</v>
      </c>
      <c r="Q63" s="56">
        <f>2249.6213327482*Deflactores!$N$5</f>
        <v>4441.4060801095275</v>
      </c>
      <c r="R63" s="56">
        <f>2525.33817248688*Deflactores!$O$5</f>
        <v>4809.7156320149725</v>
      </c>
      <c r="S63" s="56">
        <f>2776.9792729191*Deflactores!$P$5</f>
        <v>4953.6264326384062</v>
      </c>
      <c r="T63" s="56">
        <f>3155.13900121914*Deflactores!$Q$5</f>
        <v>5322.1699049806484</v>
      </c>
      <c r="U63" s="56">
        <f>3419.02655118799*Deflactores!$R$5</f>
        <v>5540.688092521611</v>
      </c>
      <c r="V63" s="56">
        <f>3632.80374438744*Deflactores!$S$5</f>
        <v>5705.683040319791</v>
      </c>
    </row>
    <row r="64" spans="3:22" x14ac:dyDescent="0.2">
      <c r="C64" s="88" t="s">
        <v>134</v>
      </c>
      <c r="D64" s="57">
        <f>6902.14519474525*Deflactores!$A$5</f>
        <v>25058.64624329565</v>
      </c>
      <c r="E64" s="57">
        <f>6828.36047360969*Deflactores!$B$5</f>
        <v>23029.407363614784</v>
      </c>
      <c r="F64" s="57">
        <f>6201.83914303808*Deflactores!$C$5</f>
        <v>19549.522853066497</v>
      </c>
      <c r="G64" s="57">
        <f>5266.88877383413*Deflactores!$D$5</f>
        <v>15590.334397978973</v>
      </c>
      <c r="H64" s="57">
        <f>6210.24264069256*Deflactores!$E$5</f>
        <v>17424.880692025814</v>
      </c>
      <c r="I64" s="57">
        <f>6937.29513371029*Deflactores!$F$5</f>
        <v>18563.573662888772</v>
      </c>
      <c r="J64" s="57">
        <f>6232.1311786476*Deflactores!$G$5</f>
        <v>15961.855136364333</v>
      </c>
      <c r="K64" s="57">
        <f>6506.79114436849*Deflactores!$H$5</f>
        <v>15767.448331036599</v>
      </c>
      <c r="L64" s="57">
        <f>7306.68374088197*Deflactores!$I$5</f>
        <v>16443.81244152107</v>
      </c>
      <c r="M64" s="57">
        <f>6662.59528598208*Deflactores!$J$5</f>
        <v>14700.014665937188</v>
      </c>
      <c r="N64" s="57">
        <f>7484.33866059888*Deflactores!$K$5</f>
        <v>16005.497951724024</v>
      </c>
      <c r="O64" s="57">
        <f>8348.41414722647*Deflactores!$L$5</f>
        <v>17211.917092594515</v>
      </c>
      <c r="P64" s="57">
        <f>9455.62279502625*Deflactores!$M$5</f>
        <v>19030.308525688601</v>
      </c>
      <c r="Q64" s="57">
        <f>12163.5466044414*Deflactores!$N$5</f>
        <v>24014.374800876081</v>
      </c>
      <c r="R64" s="57">
        <f>13230.7859025256*Deflactores!$O$5</f>
        <v>25199.12717929318</v>
      </c>
      <c r="S64" s="57">
        <f>16946.8775256457*Deflactores!$P$5</f>
        <v>30230.150178067215</v>
      </c>
      <c r="T64" s="57">
        <f>17794.7566484425*Deflactores!$Q$5</f>
        <v>30016.654817489969</v>
      </c>
      <c r="U64" s="57">
        <f>20607.1576692571*Deflactores!$R$5</f>
        <v>33394.836632402126</v>
      </c>
      <c r="V64" s="57">
        <f>11647.5774460185*Deflactores!$S$5</f>
        <v>18293.689879953879</v>
      </c>
    </row>
    <row r="65" spans="3:22" x14ac:dyDescent="0.2">
      <c r="C65" s="87" t="s">
        <v>135</v>
      </c>
      <c r="D65" s="56"/>
      <c r="E65" s="56"/>
      <c r="F65" s="56"/>
      <c r="G65" s="56"/>
      <c r="H65" s="56"/>
      <c r="I65" s="56"/>
      <c r="J65" s="56"/>
      <c r="K65" s="56"/>
      <c r="L65" s="56"/>
      <c r="M65" s="56"/>
      <c r="N65" s="56"/>
      <c r="O65" s="56"/>
      <c r="P65" s="56"/>
      <c r="Q65" s="56"/>
      <c r="R65" s="56">
        <f>0*Deflactores!$O$5</f>
        <v>0</v>
      </c>
      <c r="S65" s="56"/>
      <c r="T65" s="56"/>
      <c r="U65" s="56"/>
      <c r="V65" s="56"/>
    </row>
    <row r="66" spans="3:22" x14ac:dyDescent="0.2">
      <c r="C66" s="88" t="s">
        <v>136</v>
      </c>
      <c r="D66" s="57">
        <f>955.57240336052*Deflactores!$A$5</f>
        <v>3469.2621120021058</v>
      </c>
      <c r="E66" s="57">
        <f>1088.50260558619*Deflactores!$B$5</f>
        <v>3671.0964538679314</v>
      </c>
      <c r="F66" s="57">
        <f>1154.86908727304*Deflactores!$C$5</f>
        <v>3640.3942593848915</v>
      </c>
      <c r="G66" s="57">
        <f>1222.847637157*Deflactores!$D$5</f>
        <v>3619.7087881879938</v>
      </c>
      <c r="H66" s="57">
        <f>1421.40739869371*Deflactores!$E$5</f>
        <v>3988.2265106212631</v>
      </c>
      <c r="I66" s="57">
        <f>1740.2543793306*Deflactores!$F$5</f>
        <v>4656.7631533920949</v>
      </c>
      <c r="J66" s="57">
        <f>2900.86617718351*Deflactores!$G$5</f>
        <v>7429.7546638339818</v>
      </c>
      <c r="K66" s="57">
        <f>3686.16162911534*Deflactores!$H$5</f>
        <v>8932.415646570862</v>
      </c>
      <c r="L66" s="57">
        <f>4943.36804548744*Deflactores!$I$5</f>
        <v>11125.13143474197</v>
      </c>
      <c r="M66" s="57">
        <f>5835.53909588716*Deflactores!$J$5</f>
        <v>12875.239544217127</v>
      </c>
      <c r="N66" s="57">
        <f>6226.18537359522*Deflactores!$K$5</f>
        <v>13314.896848368744</v>
      </c>
      <c r="O66" s="57">
        <f>6432.60756136893*Deflactores!$L$5</f>
        <v>13262.100571790805</v>
      </c>
      <c r="P66" s="57">
        <f>8435.22398345239*Deflactores!$M$5</f>
        <v>16976.662285304428</v>
      </c>
      <c r="Q66" s="57">
        <f>9290.5017006243*Deflactores!$N$5</f>
        <v>18342.149471890356</v>
      </c>
      <c r="R66" s="57">
        <f>9664.29957804149*Deflactores!$O$5</f>
        <v>18406.458691117474</v>
      </c>
      <c r="S66" s="57">
        <f>10773.9968528909*Deflactores!$P$5</f>
        <v>19218.852699444749</v>
      </c>
      <c r="T66" s="57">
        <f>10705.7668250264*Deflactores!$Q$5</f>
        <v>18058.763808465988</v>
      </c>
      <c r="U66" s="57">
        <f>11289.4629035593*Deflactores!$R$5</f>
        <v>18295.088307805356</v>
      </c>
      <c r="V66" s="57">
        <f>11040.3555083082*Deflactores!$S$5</f>
        <v>17339.986857307387</v>
      </c>
    </row>
    <row r="67" spans="3:22" x14ac:dyDescent="0.2">
      <c r="C67" s="87" t="s">
        <v>137</v>
      </c>
      <c r="D67" s="56">
        <f>66.03584360601*Deflactores!$A$5</f>
        <v>239.74703481468524</v>
      </c>
      <c r="E67" s="56">
        <f>72.95631562552*Deflactores!$B$5</f>
        <v>246.05331232614006</v>
      </c>
      <c r="F67" s="56">
        <f>89.76650122942*Deflactores!$C$5</f>
        <v>282.96320280965932</v>
      </c>
      <c r="G67" s="56">
        <f>82.67968846464*Deflactores!$D$5</f>
        <v>244.73727212319841</v>
      </c>
      <c r="H67" s="56">
        <f>114.590854202259*Deflactores!$E$5</f>
        <v>321.52237495329399</v>
      </c>
      <c r="I67" s="56">
        <f>229.63783854279*Deflactores!$F$5</f>
        <v>614.49006412614642</v>
      </c>
      <c r="J67" s="56">
        <f>133.75692158876*Deflactores!$G$5</f>
        <v>342.58081941547584</v>
      </c>
      <c r="K67" s="56">
        <f>156.93007931908*Deflactores!$H$5</f>
        <v>380.27759956466502</v>
      </c>
      <c r="L67" s="56">
        <f>183.82813079848*Deflactores!$I$5</f>
        <v>413.70824460519611</v>
      </c>
      <c r="M67" s="56">
        <f>174.43035167034*Deflactores!$J$5</f>
        <v>384.85434244121603</v>
      </c>
      <c r="N67" s="56">
        <f>194.71342990017*Deflactores!$K$5</f>
        <v>416.40090658203275</v>
      </c>
      <c r="O67" s="56">
        <f>223.543426033979*Deflactores!$L$5</f>
        <v>460.87925774138114</v>
      </c>
      <c r="P67" s="56">
        <f>302.573223839543*Deflactores!$M$5</f>
        <v>608.95637718411717</v>
      </c>
      <c r="Q67" s="56">
        <f>364.46315614219*Deflactores!$N$5</f>
        <v>719.55615556345492</v>
      </c>
      <c r="R67" s="56">
        <f>576.374161908276*Deflactores!$O$5</f>
        <v>1097.7523116002264</v>
      </c>
      <c r="S67" s="56">
        <f>376.5287008104*Deflactores!$P$5</f>
        <v>671.65878520251113</v>
      </c>
      <c r="T67" s="56">
        <f>332.633595945929*Deflactores!$Q$5</f>
        <v>561.09493529282327</v>
      </c>
      <c r="U67" s="56">
        <f>389.38334658361*Deflactores!$R$5</f>
        <v>631.01343015086729</v>
      </c>
      <c r="V67" s="56">
        <f>598.5097216007*Deflactores!$S$5</f>
        <v>940.01961247687825</v>
      </c>
    </row>
    <row r="68" spans="3:22" x14ac:dyDescent="0.2">
      <c r="C68" s="88" t="s">
        <v>138</v>
      </c>
      <c r="D68" s="57">
        <f>158.14755313817*Deflactores!$A$5</f>
        <v>574.16404270215753</v>
      </c>
      <c r="E68" s="57">
        <f>184.55636509589*Deflactores!$B$5</f>
        <v>622.436927541768</v>
      </c>
      <c r="F68" s="57">
        <f>184.06349915717*Deflactores!$C$5</f>
        <v>580.20749977494006</v>
      </c>
      <c r="G68" s="57">
        <f>236.57292460869*Deflactores!$D$5</f>
        <v>700.27129156031424</v>
      </c>
      <c r="H68" s="57">
        <f>248.18565265057*Deflactores!$E$5</f>
        <v>696.36657327554383</v>
      </c>
      <c r="I68" s="57">
        <f>254.4271104723*Deflactores!$F$5</f>
        <v>680.82391134517377</v>
      </c>
      <c r="J68" s="57">
        <f>296.28398323634*Deflactores!$G$5</f>
        <v>758.84827903602059</v>
      </c>
      <c r="K68" s="57">
        <f>289.8032503068*Deflactores!$H$5</f>
        <v>702.25978888744851</v>
      </c>
      <c r="L68" s="57">
        <f>385.937150510559*Deflactores!$I$5</f>
        <v>868.55793165131251</v>
      </c>
      <c r="M68" s="57">
        <f>316.43178405234*Deflactores!$J$5</f>
        <v>698.15915070285087</v>
      </c>
      <c r="N68" s="57">
        <f>326.16582094716*Deflactores!$K$5</f>
        <v>697.51605530293114</v>
      </c>
      <c r="O68" s="57">
        <f>309.44802866312*Deflactores!$L$5</f>
        <v>637.98869101216235</v>
      </c>
      <c r="P68" s="57">
        <f>184.391399158743*Deflactores!$M$5</f>
        <v>371.10461061539587</v>
      </c>
      <c r="Q68" s="57">
        <f>180.96254408515*Deflactores!$N$5</f>
        <v>357.27263600848636</v>
      </c>
      <c r="R68" s="57">
        <f>140.76598687586*Deflactores!$O$5</f>
        <v>268.10047656552251</v>
      </c>
      <c r="S68" s="57">
        <f>78.46766439643*Deflactores!$P$5</f>
        <v>139.97205533801582</v>
      </c>
      <c r="T68" s="57">
        <f>91.8446310290399*Deflactores!$Q$5</f>
        <v>154.92589423411511</v>
      </c>
      <c r="U68" s="57">
        <f>91.9497718633*Deflactores!$R$5</f>
        <v>149.00878903559376</v>
      </c>
      <c r="V68" s="57">
        <f>93.36722012821*Deflactores!$S$5</f>
        <v>146.64259395525363</v>
      </c>
    </row>
    <row r="69" spans="3:22" x14ac:dyDescent="0.2">
      <c r="C69" s="87" t="s">
        <v>139</v>
      </c>
      <c r="D69" s="56">
        <f>580.31561788222*Deflactores!$A$5</f>
        <v>2106.870163937027</v>
      </c>
      <c r="E69" s="56">
        <f>763.51949045687*Deflactores!$B$5</f>
        <v>2575.0546480004009</v>
      </c>
      <c r="F69" s="56">
        <f>689.66002362423*Deflactores!$C$5</f>
        <v>2173.9558349918138</v>
      </c>
      <c r="G69" s="56">
        <f>736.439726587369*Deflactores!$D$5</f>
        <v>2179.9096382085231</v>
      </c>
      <c r="H69" s="56">
        <f>914.761726263839*Deflactores!$E$5</f>
        <v>2566.6652438561405</v>
      </c>
      <c r="I69" s="56">
        <f>1013.22163435947*Deflactores!$F$5</f>
        <v>2711.2893546745936</v>
      </c>
      <c r="J69" s="56">
        <f>1280.65207535157*Deflactores!$G$5</f>
        <v>3280.0309109157765</v>
      </c>
      <c r="K69" s="56">
        <f>1285.61844928143*Deflactores!$H$5</f>
        <v>3115.3485677831322</v>
      </c>
      <c r="L69" s="56">
        <f>1732.00426884774*Deflactores!$I$5</f>
        <v>3897.9042141227574</v>
      </c>
      <c r="M69" s="56">
        <f>2078.58167424458*Deflactores!$J$5</f>
        <v>4586.0779147175381</v>
      </c>
      <c r="N69" s="56">
        <f>2782.58355294405*Deflactores!$K$5</f>
        <v>5950.6440551132446</v>
      </c>
      <c r="O69" s="56">
        <f>6389.82115603839*Deflactores!$L$5</f>
        <v>13173.887882739667</v>
      </c>
      <c r="P69" s="56">
        <f>2387.14040202186*Deflactores!$M$5</f>
        <v>4804.3391037666925</v>
      </c>
      <c r="Q69" s="56">
        <f>3115.59527918507*Deflactores!$N$5</f>
        <v>6151.0902366971623</v>
      </c>
      <c r="R69" s="56">
        <f>3333.17558854089*Deflactores!$O$5</f>
        <v>6348.3088748737136</v>
      </c>
      <c r="S69" s="56">
        <f>3392.22046937378*Deflactores!$P$5</f>
        <v>6051.1049348824408</v>
      </c>
      <c r="T69" s="56">
        <f>3626.66929729606*Deflactores!$Q$5</f>
        <v>6117.559379136148</v>
      </c>
      <c r="U69" s="56">
        <f>3945.68803605702*Deflactores!$R$5</f>
        <v>6394.1669919439219</v>
      </c>
      <c r="V69" s="56">
        <f>3539.64337003864*Deflactores!$S$5</f>
        <v>5559.3653184299128</v>
      </c>
    </row>
    <row r="70" spans="3:22" x14ac:dyDescent="0.2">
      <c r="C70" s="88" t="s">
        <v>140</v>
      </c>
      <c r="D70" s="57">
        <f>330.15994525066*Deflactores!$A$5</f>
        <v>1198.6652031082792</v>
      </c>
      <c r="E70" s="57">
        <f>478.951404913*Deflactores!$B$5</f>
        <v>1615.3170374859096</v>
      </c>
      <c r="F70" s="57">
        <f>349.56365287683*Deflactores!$C$5</f>
        <v>1101.8993661240518</v>
      </c>
      <c r="G70" s="57">
        <f>421.53975330564*Deflactores!$D$5</f>
        <v>1247.7851722872665</v>
      </c>
      <c r="H70" s="57">
        <f>3015.66044356787*Deflactores!$E$5</f>
        <v>8461.428397743206</v>
      </c>
      <c r="I70" s="57">
        <f>2935.78660395311*Deflactores!$F$5</f>
        <v>7855.8991408886404</v>
      </c>
      <c r="J70" s="57">
        <f>977.399939826779*Deflactores!$G$5</f>
        <v>2503.3356652148927</v>
      </c>
      <c r="K70" s="57">
        <f>2551.31523512721*Deflactores!$H$5</f>
        <v>6182.4223727960216</v>
      </c>
      <c r="L70" s="57">
        <f>1808.79432449306*Deflactores!$I$5</f>
        <v>4070.7215026746758</v>
      </c>
      <c r="M70" s="57">
        <f>6479.49845113747*Deflactores!$J$5</f>
        <v>14296.03903152257</v>
      </c>
      <c r="N70" s="57">
        <f>2317.16586265565*Deflactores!$K$5</f>
        <v>4955.3334169370937</v>
      </c>
      <c r="O70" s="57">
        <f>2838.39031447581*Deflactores!$L$5</f>
        <v>5851.9064708129463</v>
      </c>
      <c r="P70" s="57">
        <f>2669.6344690426*Deflactores!$M$5</f>
        <v>5372.8843353836974</v>
      </c>
      <c r="Q70" s="57">
        <f>3356.63427130803*Deflactores!$N$5</f>
        <v>6626.9712347896593</v>
      </c>
      <c r="R70" s="57">
        <f>2969.82547417988*Deflactores!$O$5</f>
        <v>5656.2784989119937</v>
      </c>
      <c r="S70" s="57">
        <f>3376.12343167831*Deflactores!$P$5</f>
        <v>6022.3907445414961</v>
      </c>
      <c r="T70" s="57">
        <f>3180.19607053378*Deflactores!$Q$5</f>
        <v>5364.4368162520259</v>
      </c>
      <c r="U70" s="57">
        <f>3818.76839318629*Deflactores!$R$5</f>
        <v>6188.4879358053822</v>
      </c>
      <c r="V70" s="57">
        <f>4088.39594508207*Deflactores!$S$5</f>
        <v>6421.2363362613642</v>
      </c>
    </row>
    <row r="71" spans="3:22" x14ac:dyDescent="0.2">
      <c r="C71" s="87" t="s">
        <v>141</v>
      </c>
      <c r="D71" s="56">
        <f>361.77505461269*Deflactores!$A$5</f>
        <v>1313.4457270024097</v>
      </c>
      <c r="E71" s="56">
        <f>375.8356454713*Deflactores!$B$5</f>
        <v>1267.5476367682472</v>
      </c>
      <c r="F71" s="56">
        <f>401.71414465092*Deflactores!$C$5</f>
        <v>1266.2888653068376</v>
      </c>
      <c r="G71" s="56">
        <f>408.68281518214*Deflactores!$D$5</f>
        <v>1209.727796616967</v>
      </c>
      <c r="H71" s="56">
        <f>465.538405797869*Deflactores!$E$5</f>
        <v>1306.2212940651107</v>
      </c>
      <c r="I71" s="56">
        <f>486.088231294359*Deflactores!$F$5</f>
        <v>1300.7280956591028</v>
      </c>
      <c r="J71" s="56">
        <f>553.09433050918*Deflactores!$G$5</f>
        <v>1416.595916751507</v>
      </c>
      <c r="K71" s="56">
        <f>611.0460886441*Deflactores!$H$5</f>
        <v>1480.7049153431735</v>
      </c>
      <c r="L71" s="56">
        <f>697.76312445925*Deflactores!$I$5</f>
        <v>1570.3274363743908</v>
      </c>
      <c r="M71" s="56">
        <f>785.795111611909*Deflactores!$J$5</f>
        <v>1733.738756340224</v>
      </c>
      <c r="N71" s="56">
        <f>885.08833330378*Deflactores!$K$5</f>
        <v>1892.7897504647294</v>
      </c>
      <c r="O71" s="56">
        <f>935.677935422809*Deflactores!$L$5</f>
        <v>1929.0862630740203</v>
      </c>
      <c r="P71" s="56">
        <f>1049.39794638836*Deflactores!$M$5</f>
        <v>2112.0096601674009</v>
      </c>
      <c r="Q71" s="56">
        <f>1185.61132421116*Deflactores!$N$5</f>
        <v>2340.7412026829111</v>
      </c>
      <c r="R71" s="56">
        <f>1329.02943188358*Deflactores!$O$5</f>
        <v>2531.2465885087881</v>
      </c>
      <c r="S71" s="56">
        <f>1485.21346584375*Deflactores!$P$5</f>
        <v>2649.3509527640008</v>
      </c>
      <c r="T71" s="56">
        <f>1526.31122285591*Deflactores!$Q$5</f>
        <v>2574.6211665410347</v>
      </c>
      <c r="U71" s="56">
        <f>1716.440433585*Deflactores!$R$5</f>
        <v>2781.5698209721604</v>
      </c>
      <c r="V71" s="56">
        <f>1822.01308541054*Deflactores!$S$5</f>
        <v>2861.6544939232849</v>
      </c>
    </row>
    <row r="72" spans="3:22" x14ac:dyDescent="0.2">
      <c r="C72" s="88" t="s">
        <v>142</v>
      </c>
      <c r="D72" s="57">
        <f>355.75222452703*Deflactores!$A$5</f>
        <v>1291.5794862552675</v>
      </c>
      <c r="E72" s="57">
        <f>1066.81610735055*Deflactores!$B$5</f>
        <v>3597.9563195576447</v>
      </c>
      <c r="F72" s="57">
        <f>860.56471074003*Deflactores!$C$5</f>
        <v>2712.6839460259566</v>
      </c>
      <c r="G72" s="57">
        <f>411.4768416796*Deflactores!$D$5</f>
        <v>1217.9982973400163</v>
      </c>
      <c r="H72" s="57">
        <f>290.41419766199*Deflactores!$E$5</f>
        <v>814.8526616934638</v>
      </c>
      <c r="I72" s="57">
        <f>177.54647266862*Deflactores!$F$5</f>
        <v>475.09828549088155</v>
      </c>
      <c r="J72" s="57">
        <f>283.50669281857*Deflactores!$G$5</f>
        <v>726.12283522917835</v>
      </c>
      <c r="K72" s="57">
        <f>411.06141936896*Deflactores!$H$5</f>
        <v>996.09616275945314</v>
      </c>
      <c r="L72" s="57">
        <f>618.1270302684*Deflactores!$I$5</f>
        <v>1391.1050910684512</v>
      </c>
      <c r="M72" s="57">
        <f>1092.90296861242*Deflactores!$J$5</f>
        <v>2411.3260640115182</v>
      </c>
      <c r="N72" s="57">
        <f>1004.585384557*Deflactores!$K$5</f>
        <v>2148.3380221028583</v>
      </c>
      <c r="O72" s="57">
        <f>872.71652694894*Deflactores!$L$5</f>
        <v>1799.2787902325781</v>
      </c>
      <c r="P72" s="57">
        <f>975.624302681009*Deflactores!$M$5</f>
        <v>1963.5334327153498</v>
      </c>
      <c r="Q72" s="57">
        <f>567.119652641309*Deflactores!$N$5</f>
        <v>1119.6589562536137</v>
      </c>
      <c r="R72" s="57">
        <f>437.578761757919*Deflactores!$O$5</f>
        <v>833.40498060592029</v>
      </c>
      <c r="S72" s="57">
        <f>406.87129643653*Deflactores!$P$5</f>
        <v>725.78446240659696</v>
      </c>
      <c r="T72" s="57">
        <f>548.85429944133*Deflactores!$Q$5</f>
        <v>925.82159885101021</v>
      </c>
      <c r="U72" s="57">
        <f>531.199813610129*Deflactores!$R$5</f>
        <v>860.83346764203372</v>
      </c>
      <c r="V72" s="57">
        <f>471.396406257921*Deflactores!$S$5</f>
        <v>740.37538763521684</v>
      </c>
    </row>
    <row r="73" spans="3:22" x14ac:dyDescent="0.2">
      <c r="C73" s="87" t="s">
        <v>143</v>
      </c>
      <c r="D73" s="56">
        <f>762.34415926158*Deflactores!$A$5</f>
        <v>2767.73554649681</v>
      </c>
      <c r="E73" s="56">
        <f>772.33627741254*Deflactores!$B$5</f>
        <v>2604.7902454728924</v>
      </c>
      <c r="F73" s="56">
        <f>979.075133744269*Deflactores!$C$5</f>
        <v>3086.2541353541842</v>
      </c>
      <c r="G73" s="56">
        <f>803.92326195932*Deflactores!$D$5</f>
        <v>2379.6653057353064</v>
      </c>
      <c r="H73" s="56">
        <f>758.98363363872*Deflactores!$E$5</f>
        <v>2129.5785090097647</v>
      </c>
      <c r="I73" s="56">
        <f>650.43693364789*Deflactores!$F$5</f>
        <v>1740.5103427361757</v>
      </c>
      <c r="J73" s="56">
        <f>214.751704586039*Deflactores!$G$5</f>
        <v>550.0262270848923</v>
      </c>
      <c r="K73" s="56">
        <f>356.11692727985*Deflactores!$H$5</f>
        <v>862.95304799390738</v>
      </c>
      <c r="L73" s="56">
        <f>317.12580321259*Deflactores!$I$5</f>
        <v>713.69685801743617</v>
      </c>
      <c r="M73" s="56">
        <f>293.709694345749*Deflactores!$J$5</f>
        <v>648.0262764112988</v>
      </c>
      <c r="N73" s="56">
        <f>282.71764181632*Deflactores!$K$5</f>
        <v>604.60073257097542</v>
      </c>
      <c r="O73" s="56">
        <f>307.59308730923*Deflactores!$L$5</f>
        <v>634.16436027919474</v>
      </c>
      <c r="P73" s="56">
        <f>853.245139847519*Deflactores!$M$5</f>
        <v>1717.2341379653701</v>
      </c>
      <c r="Q73" s="56">
        <f>601.7833129881*Deflactores!$N$5</f>
        <v>1188.0950924076983</v>
      </c>
      <c r="R73" s="56">
        <f>664.644879273289*Deflactores!$O$5</f>
        <v>1265.8712010959596</v>
      </c>
      <c r="S73" s="56">
        <f>662.845175982059*Deflactores!$P$5</f>
        <v>1182.3953518529697</v>
      </c>
      <c r="T73" s="56">
        <f>799.97051618476*Deflactores!$Q$5</f>
        <v>1349.4109148488367</v>
      </c>
      <c r="U73" s="56">
        <f>1830.74185974987*Deflactores!$R$5</f>
        <v>2966.8004828077292</v>
      </c>
      <c r="V73" s="56">
        <f>1514.57058621244*Deflactores!$S$5</f>
        <v>2378.7851794830913</v>
      </c>
    </row>
    <row r="74" spans="3:22" x14ac:dyDescent="0.2">
      <c r="C74" s="88" t="s">
        <v>144</v>
      </c>
      <c r="D74" s="57">
        <f>693.862779051269*Deflactores!$A$5</f>
        <v>2519.1098464391989</v>
      </c>
      <c r="E74" s="57">
        <f>784.09983190526*Deflactores!$B$5</f>
        <v>2644.4641451599309</v>
      </c>
      <c r="F74" s="57">
        <f>812.050661123999*Deflactores!$C$5</f>
        <v>2559.7572899503853</v>
      </c>
      <c r="G74" s="57">
        <f>812.517173549489*Deflactores!$D$5</f>
        <v>2405.1038447344636</v>
      </c>
      <c r="H74" s="57">
        <f>1029.04818081038*Deflactores!$E$5</f>
        <v>2887.3335253399096</v>
      </c>
      <c r="I74" s="57">
        <f>1073.3435872458*Deflactores!$F$5</f>
        <v>2872.1702570509069</v>
      </c>
      <c r="J74" s="57">
        <f>1206.12366606427*Deflactores!$G$5</f>
        <v>3089.1473048929483</v>
      </c>
      <c r="K74" s="57">
        <f>1307.56467704722*Deflactores!$H$5</f>
        <v>3168.5293145876062</v>
      </c>
      <c r="L74" s="57">
        <f>1451.32637262575*Deflactores!$I$5</f>
        <v>3266.2339727886224</v>
      </c>
      <c r="M74" s="57">
        <f>1672.32797060951*Deflactores!$J$5</f>
        <v>3689.7402046825887</v>
      </c>
      <c r="N74" s="57">
        <f>1821.33226706957*Deflactores!$K$5</f>
        <v>3894.9773910495724</v>
      </c>
      <c r="O74" s="57">
        <f>2040.10172878113*Deflactores!$L$5</f>
        <v>4206.0756925799178</v>
      </c>
      <c r="P74" s="57">
        <f>2328.11987771129*Deflactores!$M$5</f>
        <v>4685.554882851191</v>
      </c>
      <c r="Q74" s="57">
        <f>2773.10784260678*Deflactores!$N$5</f>
        <v>5474.9205360294982</v>
      </c>
      <c r="R74" s="57">
        <f>3002.92687640084*Deflactores!$O$5</f>
        <v>5719.3228600349166</v>
      </c>
      <c r="S74" s="57">
        <f>3180.34400385011*Deflactores!$P$5</f>
        <v>5673.155819342669</v>
      </c>
      <c r="T74" s="57">
        <f>3463.96809289669*Deflactores!$Q$5</f>
        <v>5843.1107880522559</v>
      </c>
      <c r="U74" s="57">
        <f>3755.62860572644*Deflactores!$R$5</f>
        <v>6086.1670373550387</v>
      </c>
      <c r="V74" s="57">
        <f>4164.08767681703*Deflactores!$S$5</f>
        <v>6540.1178009481991</v>
      </c>
    </row>
    <row r="75" spans="3:22" x14ac:dyDescent="0.2">
      <c r="C75" s="87" t="s">
        <v>145</v>
      </c>
      <c r="D75" s="56">
        <f>213.591417667759*Deflactores!$A$5</f>
        <v>775.45627119163055</v>
      </c>
      <c r="E75" s="56">
        <f>190.29845082374*Deflactores!$B$5</f>
        <v>641.80275215728545</v>
      </c>
      <c r="F75" s="56">
        <f>225.21973370676*Deflactores!$C$5</f>
        <v>709.94074975395097</v>
      </c>
      <c r="G75" s="56">
        <f>319.841530285569*Deflactores!$D$5</f>
        <v>946.75179705444407</v>
      </c>
      <c r="H75" s="56">
        <f>170.40343939764*Deflactores!$E$5</f>
        <v>478.12296118008027</v>
      </c>
      <c r="I75" s="56">
        <f>204.54425544935*Deflactores!$F$5</f>
        <v>547.34190778531126</v>
      </c>
      <c r="J75" s="56">
        <f>500.73476428234*Deflactores!$G$5</f>
        <v>1282.4915811465146</v>
      </c>
      <c r="K75" s="56">
        <f>449.18787901601*Deflactores!$H$5</f>
        <v>1088.4853249735352</v>
      </c>
      <c r="L75" s="56">
        <f>373.339049002379*Deflactores!$I$5</f>
        <v>840.20569612746465</v>
      </c>
      <c r="M75" s="56">
        <f>437.78163838632*Deflactores!$J$5</f>
        <v>965.89935731152912</v>
      </c>
      <c r="N75" s="56">
        <f>752.35192913935*Deflactores!$K$5</f>
        <v>1608.928698564788</v>
      </c>
      <c r="O75" s="56">
        <f>605.953412411271*Deflactores!$L$5</f>
        <v>1249.2935439555886</v>
      </c>
      <c r="P75" s="56">
        <f>451.40929354003*Deflactores!$M$5</f>
        <v>908.50262469739869</v>
      </c>
      <c r="Q75" s="56">
        <f>575.782583905603*Deflactores!$N$5</f>
        <v>1136.7620993598375</v>
      </c>
      <c r="R75" s="56">
        <f>1127.73245555775*Deflactores!$O$5</f>
        <v>2147.8598309410859</v>
      </c>
      <c r="S75" s="56">
        <f>887.15110964104*Deflactores!$P$5</f>
        <v>1582.5163800530729</v>
      </c>
      <c r="T75" s="56">
        <f>771.58108813077*Deflactores!$Q$5</f>
        <v>1301.5228948439569</v>
      </c>
      <c r="U75" s="56">
        <f>821.23630697009*Deflactores!$R$5</f>
        <v>1330.8508018443329</v>
      </c>
      <c r="V75" s="56">
        <f>1865.02368607651*Deflactores!$S$5</f>
        <v>2929.2069608444431</v>
      </c>
    </row>
    <row r="76" spans="3:22" x14ac:dyDescent="0.2">
      <c r="C76" s="88" t="s">
        <v>146</v>
      </c>
      <c r="D76" s="57">
        <f>196.05632938777*Deflactores!$A$5</f>
        <v>711.79409636694947</v>
      </c>
      <c r="E76" s="57">
        <f>209.260306430209*Deflactores!$B$5</f>
        <v>705.75372528166918</v>
      </c>
      <c r="F76" s="57">
        <f>223.820796787*Deflactores!$C$5</f>
        <v>705.53100150797354</v>
      </c>
      <c r="G76" s="57">
        <f>221.48140373266*Deflactores!$D$5</f>
        <v>655.5994051517257</v>
      </c>
      <c r="H76" s="57">
        <f>219.751676286769*Deflactores!$E$5</f>
        <v>616.58568959595516</v>
      </c>
      <c r="I76" s="57">
        <f>272.16130197029*Deflactores!$F$5</f>
        <v>728.27900210886185</v>
      </c>
      <c r="J76" s="57">
        <f>288.2726260095*Deflactores!$G$5</f>
        <v>738.32943566850417</v>
      </c>
      <c r="K76" s="57">
        <f>265.82117353012*Deflactores!$H$5</f>
        <v>644.14571267731469</v>
      </c>
      <c r="L76" s="57">
        <f>266.583756418809*Deflactores!$I$5</f>
        <v>599.95114691769788</v>
      </c>
      <c r="M76" s="57">
        <f>287.529935215579*Deflactores!$J$5</f>
        <v>634.39156712067302</v>
      </c>
      <c r="N76" s="57">
        <f>341.67855737322*Deflactores!$K$5</f>
        <v>730.69053902853398</v>
      </c>
      <c r="O76" s="57">
        <f>368.805453212746*Deflactores!$L$5</f>
        <v>760.36583380370837</v>
      </c>
      <c r="P76" s="57">
        <f>619.316080014001*Deflactores!$M$5</f>
        <v>1246.4304396518357</v>
      </c>
      <c r="Q76" s="57">
        <f>629.982303033665*Deflactores!$N$5</f>
        <v>1243.7680912444937</v>
      </c>
      <c r="R76" s="57">
        <f>652.988602378229*Deflactores!$O$5</f>
        <v>1243.6708566810744</v>
      </c>
      <c r="S76" s="57">
        <f>830.032656746236*Deflactores!$P$5</f>
        <v>1480.6274387813978</v>
      </c>
      <c r="T76" s="57">
        <f>1000.35973781491*Deflactores!$Q$5</f>
        <v>1687.4326261681749</v>
      </c>
      <c r="U76" s="57">
        <f>939.988474275101*Deflactores!$R$5</f>
        <v>1523.2940922070202</v>
      </c>
      <c r="V76" s="57">
        <f>845.454577244755*Deflactores!$S$5</f>
        <v>1327.8713033146628</v>
      </c>
    </row>
    <row r="77" spans="3:22" x14ac:dyDescent="0.2">
      <c r="C77" s="90" t="s">
        <v>147</v>
      </c>
      <c r="D77" s="58">
        <f>5124.95480396952*Deflactores!$A$5</f>
        <v>18606.451446910025</v>
      </c>
      <c r="E77" s="58">
        <f>6915.30727533842*Deflactores!$B$5</f>
        <v>23322.645150886416</v>
      </c>
      <c r="F77" s="58">
        <f>7867.25433911232*Deflactores!$C$5</f>
        <v>24799.267595647554</v>
      </c>
      <c r="G77" s="58">
        <f>9069.32475818043*Deflactores!$D$5</f>
        <v>26845.792993834657</v>
      </c>
      <c r="H77" s="58">
        <f>11820.3915039295*Deflactores!$E$5</f>
        <v>33166.000687219152</v>
      </c>
      <c r="I77" s="58">
        <f>14870.2616699005*Deflactores!$F$5</f>
        <v>39791.473848971356</v>
      </c>
      <c r="J77" s="58">
        <f>16883.1208377712*Deflactores!$G$5</f>
        <v>43241.376238283476</v>
      </c>
      <c r="K77" s="58">
        <f>18273.8419003237*Deflactores!$H$5</f>
        <v>44281.712994931229</v>
      </c>
      <c r="L77" s="58">
        <f>20079.0025546579*Deflactores!$I$5</f>
        <v>45188.126889116225</v>
      </c>
      <c r="M77" s="58">
        <f>22716.5355786957*Deflactores!$J$5</f>
        <v>50120.619943507234</v>
      </c>
      <c r="N77" s="58">
        <f>24080.2150237379*Deflactores!$K$5</f>
        <v>51496.311126128399</v>
      </c>
      <c r="O77" s="58">
        <f>25992.3780461411*Deflactores!$L$5</f>
        <v>53588.459805648679</v>
      </c>
      <c r="P77" s="58">
        <f>29286.6915226597*Deflactores!$M$5</f>
        <v>58942.154044686147</v>
      </c>
      <c r="Q77" s="58">
        <f>30508.0525599635*Deflactores!$N$5</f>
        <v>60231.759078579686</v>
      </c>
      <c r="R77" s="58">
        <f>35948.8693606166*Deflactores!$O$5</f>
        <v>68467.598043216145</v>
      </c>
      <c r="S77" s="58">
        <f>36153.2501128256*Deflactores!$P$5</f>
        <v>64490.828984987398</v>
      </c>
      <c r="T77" s="58">
        <f>37945.7445195225*Deflactores!$Q$5</f>
        <v>64007.861278331162</v>
      </c>
      <c r="U77" s="58">
        <f>40424.521151762*Deflactores!$R$5</f>
        <v>65509.775849395126</v>
      </c>
      <c r="V77" s="58">
        <f>48571.4761310625*Deflactores!$S$5</f>
        <v>76286.380191185046</v>
      </c>
    </row>
    <row r="78" spans="3:22" ht="22.5" customHeight="1" x14ac:dyDescent="0.2">
      <c r="C78" s="89" t="s">
        <v>148</v>
      </c>
      <c r="D78" s="59"/>
      <c r="E78" s="59"/>
      <c r="F78" s="59"/>
      <c r="G78" s="59"/>
      <c r="H78" s="59"/>
      <c r="I78" s="59"/>
      <c r="J78" s="59"/>
      <c r="K78" s="59"/>
      <c r="L78" s="59"/>
      <c r="M78" s="59"/>
      <c r="N78" s="59"/>
      <c r="O78" s="59"/>
      <c r="P78" s="59"/>
      <c r="Q78" s="59"/>
      <c r="R78" s="59">
        <f>0*Deflactores!$O$5</f>
        <v>0</v>
      </c>
      <c r="S78" s="59"/>
      <c r="T78" s="59"/>
      <c r="U78" s="59">
        <f>0.150079299*Deflactores!$R$5</f>
        <v>0.24321033266452963</v>
      </c>
      <c r="V78" s="59">
        <f>134.3385293323*Deflactores!$S$5</f>
        <v>210.99214887592345</v>
      </c>
    </row>
    <row r="79" spans="3:22" x14ac:dyDescent="0.2">
      <c r="C79" s="87" t="s">
        <v>149</v>
      </c>
      <c r="D79" s="56">
        <f>195.24715402949*Deflactores!$A$5</f>
        <v>708.85633738335582</v>
      </c>
      <c r="E79" s="56">
        <f>210.29812889115*Deflactores!$B$5</f>
        <v>709.25389729462745</v>
      </c>
      <c r="F79" s="56">
        <f>219.80370968014*Deflactores!$C$5</f>
        <v>692.8682841450966</v>
      </c>
      <c r="G79" s="56">
        <f>185.00998316299*Deflactores!$D$5</f>
        <v>547.64162076195601</v>
      </c>
      <c r="H79" s="56">
        <f>219.86269123231*Deflactores!$E$5</f>
        <v>616.8971785816525</v>
      </c>
      <c r="I79" s="56">
        <f>181.96978431653*Deflactores!$F$5</f>
        <v>486.93466696626143</v>
      </c>
      <c r="J79" s="56">
        <f>299.43706569904*Deflactores!$G$5</f>
        <v>766.92401493757927</v>
      </c>
      <c r="K79" s="56">
        <f>427.033525936529*Deflactores!$H$5</f>
        <v>1034.8002427666802</v>
      </c>
      <c r="L79" s="56">
        <f>570.78989085091*Deflactores!$I$5</f>
        <v>1284.5720769537086</v>
      </c>
      <c r="M79" s="56">
        <f>778.881272240449*Deflactores!$J$5</f>
        <v>1718.4844093784284</v>
      </c>
      <c r="N79" s="56">
        <f>983.031220752629*Deflactores!$K$5</f>
        <v>2102.2437524196666</v>
      </c>
      <c r="O79" s="56">
        <f>1113.19603413714*Deflactores!$L$5</f>
        <v>2295.075149540698</v>
      </c>
      <c r="P79" s="56">
        <f>1406.16688329801*Deflactores!$M$5</f>
        <v>2830.0398829195046</v>
      </c>
      <c r="Q79" s="56">
        <f>1333.53645000243*Deflactores!$N$5</f>
        <v>2632.7883768123052</v>
      </c>
      <c r="R79" s="56">
        <f>1858.2797132559*Deflactores!$O$5</f>
        <v>3539.2475680599719</v>
      </c>
      <c r="S79" s="56">
        <f>1516.07306832278*Deflactores!$P$5</f>
        <v>2704.398876251073</v>
      </c>
      <c r="T79" s="56">
        <f>1241.56105297958*Deflactores!$Q$5</f>
        <v>2094.2972302680687</v>
      </c>
      <c r="U79" s="56">
        <f>1310.8416731298*Deflactores!$R$5</f>
        <v>2124.2785748381411</v>
      </c>
      <c r="V79" s="56">
        <f>1252.04627559109*Deflactores!$S$5</f>
        <v>1966.4643903135536</v>
      </c>
    </row>
    <row r="80" spans="3:22" x14ac:dyDescent="0.2">
      <c r="C80" s="88" t="s">
        <v>150</v>
      </c>
      <c r="D80" s="57">
        <f>978.96912976339*Deflactores!$A$5</f>
        <v>3554.2053106220146</v>
      </c>
      <c r="E80" s="57">
        <f>1679.93144663373*Deflactores!$B$5</f>
        <v>5665.7561909620799</v>
      </c>
      <c r="F80" s="57">
        <f>1717.64243521016*Deflactores!$C$5</f>
        <v>5414.3761658559415</v>
      </c>
      <c r="G80" s="57">
        <f>1209.51372305721*Deflactores!$D$5</f>
        <v>3580.2395325085499</v>
      </c>
      <c r="H80" s="57">
        <f>1476.82370070835*Deflactores!$E$5</f>
        <v>4143.7151938928537</v>
      </c>
      <c r="I80" s="57">
        <f>1782.6739795735*Deflactores!$F$5</f>
        <v>4770.2741628967769</v>
      </c>
      <c r="J80" s="57">
        <f>2509.02909362377*Deflactores!$G$5</f>
        <v>6426.1739326926172</v>
      </c>
      <c r="K80" s="57">
        <f>3115.37503940619*Deflactores!$H$5</f>
        <v>7549.2687371949833</v>
      </c>
      <c r="L80" s="57">
        <f>2596.86670167726*Deflactores!$I$5</f>
        <v>5844.2914039218867</v>
      </c>
      <c r="M80" s="57">
        <f>3777.52211296949*Deflactores!$J$5</f>
        <v>8334.5345286672855</v>
      </c>
      <c r="N80" s="57">
        <f>3951.32545813643*Deflactores!$K$5</f>
        <v>8450.0360545866934</v>
      </c>
      <c r="O80" s="57">
        <f>5092.33495529274*Deflactores!$L$5</f>
        <v>10498.861881132067</v>
      </c>
      <c r="P80" s="57">
        <f>7901.5173277257*Deflactores!$M$5</f>
        <v>15902.528667576484</v>
      </c>
      <c r="Q80" s="57">
        <f>8417.97136326799*Deflactores!$N$5</f>
        <v>16619.521094838026</v>
      </c>
      <c r="R80" s="57">
        <f>7504.00882794733*Deflactores!$O$5</f>
        <v>14292.006098737313</v>
      </c>
      <c r="S80" s="57">
        <f>7058.25317066852*Deflactores!$P$5</f>
        <v>12590.641138536148</v>
      </c>
      <c r="T80" s="57">
        <f>5907.19446684957*Deflactores!$Q$5</f>
        <v>9964.4080980860053</v>
      </c>
      <c r="U80" s="57">
        <f>6429.12270033673*Deflactores!$R$5</f>
        <v>10418.685862131961</v>
      </c>
      <c r="V80" s="57">
        <f>5337.27537847218*Deflactores!$S$5</f>
        <v>8382.7268829244276</v>
      </c>
    </row>
    <row r="81" spans="3:22" x14ac:dyDescent="0.2">
      <c r="C81" s="87" t="s">
        <v>151</v>
      </c>
      <c r="D81" s="56">
        <f>185.55496356201*Deflactores!$A$5</f>
        <v>673.6682668060912</v>
      </c>
      <c r="E81" s="56">
        <f>204.26652964753*Deflactores!$B$5</f>
        <v>688.91165605352228</v>
      </c>
      <c r="F81" s="56">
        <f>161.6374600163*Deflactores!$C$5</f>
        <v>509.51583000140971</v>
      </c>
      <c r="G81" s="56">
        <f>209.067698205329*Deflactores!$D$5</f>
        <v>618.85402688389433</v>
      </c>
      <c r="H81" s="56">
        <f>255.363859022209*Deflactores!$E$5</f>
        <v>716.50739495438893</v>
      </c>
      <c r="I81" s="56">
        <f>272.11479816705*Deflactores!$F$5</f>
        <v>728.15456214192784</v>
      </c>
      <c r="J81" s="56">
        <f>234.43014560425*Deflactores!$G$5</f>
        <v>600.42703153495779</v>
      </c>
      <c r="K81" s="56">
        <f>393.93764125723*Deflactores!$H$5</f>
        <v>954.60131827800444</v>
      </c>
      <c r="L81" s="56">
        <f>437.969802190069*Deflactores!$I$5</f>
        <v>985.65827366633175</v>
      </c>
      <c r="M81" s="56">
        <f>699.93693469994*Deflactores!$J$5</f>
        <v>1544.3055991961855</v>
      </c>
      <c r="N81" s="56">
        <f>631.28187687535*Deflactores!$K$5</f>
        <v>1350.0165138813231</v>
      </c>
      <c r="O81" s="56">
        <f>1129.74048121473*Deflactores!$L$5</f>
        <v>2329.1848195235771</v>
      </c>
      <c r="P81" s="56">
        <f>3068.20442008798*Deflactores!$M$5</f>
        <v>6175.0429347571753</v>
      </c>
      <c r="Q81" s="56">
        <f>3553.8750003447*Deflactores!$N$5</f>
        <v>7016.3817370978513</v>
      </c>
      <c r="R81" s="56">
        <f>3703.31563520317*Deflactores!$O$5</f>
        <v>7053.2712390679562</v>
      </c>
      <c r="S81" s="56">
        <f>3872.94695041037*Deflactores!$P$5</f>
        <v>6908.6336267796923</v>
      </c>
      <c r="T81" s="56">
        <f>3234.8663231339*Deflactores!$Q$5</f>
        <v>5456.6560094392744</v>
      </c>
      <c r="U81" s="56">
        <f>3844.84661822783*Deflactores!$R$5</f>
        <v>6230.7488860491167</v>
      </c>
      <c r="V81" s="56">
        <f>3791.48388269373*Deflactores!$S$5</f>
        <v>5954.9061301628844</v>
      </c>
    </row>
    <row r="82" spans="3:22" x14ac:dyDescent="0.2">
      <c r="C82" s="79" t="s">
        <v>154</v>
      </c>
      <c r="D82" s="44">
        <f t="shared" ref="D82:V82" si="1">+SUM(D53:D81)</f>
        <v>113306.07547285856</v>
      </c>
      <c r="E82" s="44">
        <f t="shared" si="1"/>
        <v>132378.00542700404</v>
      </c>
      <c r="F82" s="44">
        <f t="shared" si="1"/>
        <v>131021.35965216653</v>
      </c>
      <c r="G82" s="44">
        <f t="shared" si="1"/>
        <v>128945.71237357528</v>
      </c>
      <c r="H82" s="44">
        <f t="shared" si="1"/>
        <v>150627.4429166952</v>
      </c>
      <c r="I82" s="44">
        <f t="shared" si="1"/>
        <v>161227.40981716788</v>
      </c>
      <c r="J82" s="44">
        <f t="shared" si="1"/>
        <v>165956.15376337236</v>
      </c>
      <c r="K82" s="44">
        <f t="shared" si="1"/>
        <v>176756.21919473307</v>
      </c>
      <c r="L82" s="44">
        <f t="shared" si="1"/>
        <v>189595.81055988153</v>
      </c>
      <c r="M82" s="44">
        <f t="shared" si="1"/>
        <v>218194.57412712881</v>
      </c>
      <c r="N82" s="44">
        <f t="shared" si="1"/>
        <v>216990.68475756911</v>
      </c>
      <c r="O82" s="44">
        <f t="shared" si="1"/>
        <v>232489.11028505446</v>
      </c>
      <c r="P82" s="44">
        <f t="shared" si="1"/>
        <v>251565.87088273439</v>
      </c>
      <c r="Q82" s="44">
        <f t="shared" si="1"/>
        <v>274377.24823004816</v>
      </c>
      <c r="R82" s="44">
        <f t="shared" si="1"/>
        <v>283293.14721721056</v>
      </c>
      <c r="S82" s="44">
        <f t="shared" si="1"/>
        <v>279422.49796814524</v>
      </c>
      <c r="T82" s="44">
        <f t="shared" si="1"/>
        <v>271963.48147919017</v>
      </c>
      <c r="U82" s="44">
        <f t="shared" si="1"/>
        <v>287368.30317908531</v>
      </c>
      <c r="V82" s="44">
        <f t="shared" si="1"/>
        <v>282746.956639432</v>
      </c>
    </row>
    <row r="83" spans="3:22" x14ac:dyDescent="0.2">
      <c r="C83" s="1" t="s">
        <v>52</v>
      </c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</row>
    <row r="84" spans="3:22" x14ac:dyDescent="0.2"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</row>
    <row r="85" spans="3:22" x14ac:dyDescent="0.2"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</row>
    <row r="86" spans="3:22" x14ac:dyDescent="0.2"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</row>
    <row r="87" spans="3:22" ht="18" customHeight="1" x14ac:dyDescent="0.2">
      <c r="D87" s="160" t="s">
        <v>155</v>
      </c>
      <c r="E87" s="158"/>
      <c r="F87" s="158"/>
      <c r="G87" s="158"/>
      <c r="H87" s="158"/>
      <c r="I87" s="158"/>
      <c r="J87" s="158"/>
      <c r="K87" s="158"/>
      <c r="L87" s="158"/>
      <c r="M87" s="158"/>
      <c r="N87" s="158"/>
      <c r="O87" s="158"/>
      <c r="P87" s="158"/>
      <c r="Q87" s="158"/>
      <c r="R87" s="158"/>
      <c r="S87" s="158"/>
      <c r="T87" s="158"/>
      <c r="U87" s="158"/>
      <c r="V87" s="158"/>
    </row>
    <row r="88" spans="3:22" x14ac:dyDescent="0.2"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</row>
    <row r="89" spans="3:22" x14ac:dyDescent="0.2">
      <c r="C89" s="177" t="s">
        <v>120</v>
      </c>
      <c r="D89" s="153">
        <v>2000</v>
      </c>
      <c r="E89" s="153">
        <v>2001</v>
      </c>
      <c r="F89" s="153">
        <v>2002</v>
      </c>
      <c r="G89" s="153">
        <v>2003</v>
      </c>
      <c r="H89" s="153">
        <v>2004</v>
      </c>
      <c r="I89" s="153">
        <v>2005</v>
      </c>
      <c r="J89" s="153">
        <v>2006</v>
      </c>
      <c r="K89" s="153">
        <v>2007</v>
      </c>
      <c r="L89" s="153">
        <v>2008</v>
      </c>
      <c r="M89" s="153">
        <v>2009</v>
      </c>
      <c r="N89" s="153">
        <v>2010</v>
      </c>
      <c r="O89" s="153">
        <v>2011</v>
      </c>
      <c r="P89" s="153">
        <v>2012</v>
      </c>
      <c r="Q89" s="153">
        <v>2013</v>
      </c>
      <c r="R89" s="153">
        <v>2014</v>
      </c>
      <c r="S89" s="153">
        <v>2015</v>
      </c>
      <c r="T89" s="153">
        <v>2016</v>
      </c>
      <c r="U89" s="153">
        <v>2017</v>
      </c>
      <c r="V89" s="153">
        <v>2018</v>
      </c>
    </row>
    <row r="90" spans="3:22" ht="12" customHeight="1" thickBot="1" x14ac:dyDescent="0.25">
      <c r="C90" s="156"/>
      <c r="D90" s="154"/>
      <c r="E90" s="154"/>
      <c r="F90" s="154"/>
      <c r="G90" s="154"/>
      <c r="H90" s="154"/>
      <c r="I90" s="154"/>
      <c r="J90" s="154"/>
      <c r="K90" s="154"/>
      <c r="L90" s="154"/>
      <c r="M90" s="154"/>
      <c r="N90" s="154"/>
      <c r="O90" s="154"/>
      <c r="P90" s="154"/>
      <c r="Q90" s="154"/>
      <c r="R90" s="154"/>
      <c r="S90" s="154"/>
      <c r="T90" s="154"/>
      <c r="U90" s="154"/>
      <c r="V90" s="154"/>
    </row>
    <row r="91" spans="3:22" x14ac:dyDescent="0.2">
      <c r="C91" s="87" t="s">
        <v>123</v>
      </c>
      <c r="D91" s="60">
        <f t="shared" ref="D91:V91" si="2">+IFERROR(IF(D53&gt;0,+((D53/D14)*100)," "),"")</f>
        <v>87.054810627394403</v>
      </c>
      <c r="E91" s="60">
        <f t="shared" si="2"/>
        <v>94.641330059940174</v>
      </c>
      <c r="F91" s="60">
        <f t="shared" si="2"/>
        <v>89.291155573434096</v>
      </c>
      <c r="G91" s="60">
        <f t="shared" si="2"/>
        <v>97.277572997990291</v>
      </c>
      <c r="H91" s="60">
        <f t="shared" si="2"/>
        <v>95.114402210861797</v>
      </c>
      <c r="I91" s="60">
        <f t="shared" si="2"/>
        <v>94.535855700211357</v>
      </c>
      <c r="J91" s="60">
        <f t="shared" si="2"/>
        <v>97.263666637564882</v>
      </c>
      <c r="K91" s="60">
        <f t="shared" si="2"/>
        <v>97.607794751588926</v>
      </c>
      <c r="L91" s="60">
        <f t="shared" si="2"/>
        <v>99.385861243362271</v>
      </c>
      <c r="M91" s="60">
        <f t="shared" si="2"/>
        <v>92.474466304076785</v>
      </c>
      <c r="N91" s="60">
        <f t="shared" si="2"/>
        <v>91.738657303144436</v>
      </c>
      <c r="O91" s="60">
        <f t="shared" si="2"/>
        <v>96.116318391003773</v>
      </c>
      <c r="P91" s="60">
        <f t="shared" si="2"/>
        <v>93.50390452628227</v>
      </c>
      <c r="Q91" s="60">
        <f t="shared" si="2"/>
        <v>94.705825009009189</v>
      </c>
      <c r="R91" s="60">
        <f t="shared" si="2"/>
        <v>94.586208506097421</v>
      </c>
      <c r="S91" s="60">
        <f t="shared" si="2"/>
        <v>95.980745529177298</v>
      </c>
      <c r="T91" s="60">
        <f t="shared" si="2"/>
        <v>94.10342360059829</v>
      </c>
      <c r="U91" s="60">
        <f t="shared" si="2"/>
        <v>96.772878212298679</v>
      </c>
      <c r="V91" s="60">
        <f t="shared" si="2"/>
        <v>91.723417080135732</v>
      </c>
    </row>
    <row r="92" spans="3:22" x14ac:dyDescent="0.2">
      <c r="C92" s="88" t="s">
        <v>124</v>
      </c>
      <c r="D92" s="62">
        <f t="shared" ref="D92:V92" si="3">+IFERROR(IF(D54&gt;0,+((D54/D15)*100)," "),"")</f>
        <v>77.824945374353163</v>
      </c>
      <c r="E92" s="62">
        <f t="shared" si="3"/>
        <v>90.566052985677999</v>
      </c>
      <c r="F92" s="62">
        <f t="shared" si="3"/>
        <v>86.440747095701411</v>
      </c>
      <c r="G92" s="62">
        <f t="shared" si="3"/>
        <v>92.562915251147501</v>
      </c>
      <c r="H92" s="62">
        <f t="shared" si="3"/>
        <v>96.498024861898529</v>
      </c>
      <c r="I92" s="62">
        <f t="shared" si="3"/>
        <v>96.280040818191623</v>
      </c>
      <c r="J92" s="62">
        <f t="shared" si="3"/>
        <v>97.054857657635381</v>
      </c>
      <c r="K92" s="62">
        <f t="shared" si="3"/>
        <v>96.486084000063983</v>
      </c>
      <c r="L92" s="62">
        <f t="shared" si="3"/>
        <v>98.206606377975262</v>
      </c>
      <c r="M92" s="62">
        <f t="shared" si="3"/>
        <v>98.223215631047211</v>
      </c>
      <c r="N92" s="62">
        <f t="shared" si="3"/>
        <v>95.002346319160679</v>
      </c>
      <c r="O92" s="62">
        <f t="shared" si="3"/>
        <v>98.113170959020295</v>
      </c>
      <c r="P92" s="62">
        <f t="shared" si="3"/>
        <v>88.337339805860594</v>
      </c>
      <c r="Q92" s="62">
        <f t="shared" si="3"/>
        <v>87.816544144613161</v>
      </c>
      <c r="R92" s="62">
        <f t="shared" si="3"/>
        <v>93.361905588734885</v>
      </c>
      <c r="S92" s="62">
        <f t="shared" si="3"/>
        <v>77.441608518553352</v>
      </c>
      <c r="T92" s="62">
        <f t="shared" si="3"/>
        <v>94.794413035194239</v>
      </c>
      <c r="U92" s="62">
        <f t="shared" si="3"/>
        <v>96.532434133606429</v>
      </c>
      <c r="V92" s="62">
        <f t="shared" si="3"/>
        <v>98.066993900307523</v>
      </c>
    </row>
    <row r="93" spans="3:22" x14ac:dyDescent="0.2">
      <c r="C93" s="87" t="s">
        <v>125</v>
      </c>
      <c r="D93" s="60">
        <f t="shared" ref="D93:V93" si="4">+IFERROR(IF(D55&gt;0,+((D55/D16)*100)," "),"")</f>
        <v>81.515712492078535</v>
      </c>
      <c r="E93" s="60">
        <f t="shared" si="4"/>
        <v>99.195689059329581</v>
      </c>
      <c r="F93" s="60">
        <f t="shared" si="4"/>
        <v>92.019421263940174</v>
      </c>
      <c r="G93" s="60">
        <f t="shared" si="4"/>
        <v>99.418471590800749</v>
      </c>
      <c r="H93" s="60">
        <f t="shared" si="4"/>
        <v>99.138392359180656</v>
      </c>
      <c r="I93" s="60">
        <f t="shared" si="4"/>
        <v>99.232905749075698</v>
      </c>
      <c r="J93" s="60">
        <f t="shared" si="4"/>
        <v>99.068888437493584</v>
      </c>
      <c r="K93" s="60">
        <f t="shared" si="4"/>
        <v>96.800281824275828</v>
      </c>
      <c r="L93" s="60">
        <f t="shared" si="4"/>
        <v>98.654194317227535</v>
      </c>
      <c r="M93" s="60">
        <f t="shared" si="4"/>
        <v>80.528677352829931</v>
      </c>
      <c r="N93" s="60">
        <f t="shared" si="4"/>
        <v>98.454498192379504</v>
      </c>
      <c r="O93" s="60">
        <f t="shared" si="4"/>
        <v>96.684811844372618</v>
      </c>
      <c r="P93" s="60">
        <f t="shared" si="4"/>
        <v>95.910309967919162</v>
      </c>
      <c r="Q93" s="60">
        <f t="shared" si="4"/>
        <v>98.637334187480519</v>
      </c>
      <c r="R93" s="60">
        <f t="shared" si="4"/>
        <v>99.032864903881318</v>
      </c>
      <c r="S93" s="60">
        <f t="shared" si="4"/>
        <v>99.176953271400279</v>
      </c>
      <c r="T93" s="60">
        <f t="shared" si="4"/>
        <v>99.462226440432104</v>
      </c>
      <c r="U93" s="60">
        <f t="shared" si="4"/>
        <v>99.618059487305203</v>
      </c>
      <c r="V93" s="60">
        <f t="shared" si="4"/>
        <v>98.714923074933878</v>
      </c>
    </row>
    <row r="94" spans="3:22" x14ac:dyDescent="0.2">
      <c r="C94" s="88" t="s">
        <v>126</v>
      </c>
      <c r="D94" s="62">
        <f t="shared" ref="D94:V94" si="5">+IFERROR(IF(D56&gt;0,+((D56/D17)*100)," "),"")</f>
        <v>79.144397205886364</v>
      </c>
      <c r="E94" s="62">
        <f t="shared" si="5"/>
        <v>90.739035937187126</v>
      </c>
      <c r="F94" s="62">
        <f t="shared" si="5"/>
        <v>85.420267577263843</v>
      </c>
      <c r="G94" s="62">
        <f t="shared" si="5"/>
        <v>93.131312011770348</v>
      </c>
      <c r="H94" s="62">
        <f t="shared" si="5"/>
        <v>94.794843709657599</v>
      </c>
      <c r="I94" s="62">
        <f t="shared" si="5"/>
        <v>94.75395771801378</v>
      </c>
      <c r="J94" s="62">
        <f t="shared" si="5"/>
        <v>95.82027678000955</v>
      </c>
      <c r="K94" s="62">
        <f t="shared" si="5"/>
        <v>91.875294042913708</v>
      </c>
      <c r="L94" s="62">
        <f t="shared" si="5"/>
        <v>94.537179740026104</v>
      </c>
      <c r="M94" s="62">
        <f t="shared" si="5"/>
        <v>93.426111723172511</v>
      </c>
      <c r="N94" s="62">
        <f t="shared" si="5"/>
        <v>93.280136696271185</v>
      </c>
      <c r="O94" s="62">
        <f t="shared" si="5"/>
        <v>92.711539027486779</v>
      </c>
      <c r="P94" s="62">
        <f t="shared" si="5"/>
        <v>95.702471146672465</v>
      </c>
      <c r="Q94" s="62">
        <f t="shared" si="5"/>
        <v>96.341831209593877</v>
      </c>
      <c r="R94" s="62">
        <f t="shared" si="5"/>
        <v>93.601666801414623</v>
      </c>
      <c r="S94" s="62">
        <f t="shared" si="5"/>
        <v>96.021830192851311</v>
      </c>
      <c r="T94" s="62">
        <f t="shared" si="5"/>
        <v>98.085022745282728</v>
      </c>
      <c r="U94" s="62">
        <f t="shared" si="5"/>
        <v>98.645954071104299</v>
      </c>
      <c r="V94" s="62">
        <f t="shared" si="5"/>
        <v>97.80027896117241</v>
      </c>
    </row>
    <row r="95" spans="3:22" x14ac:dyDescent="0.2">
      <c r="C95" s="87" t="s">
        <v>127</v>
      </c>
      <c r="D95" s="60">
        <f t="shared" ref="D95:V95" si="6">+IFERROR(IF(D57&gt;0,+((D57/D18)*100)," "),"")</f>
        <v>86.959021208309764</v>
      </c>
      <c r="E95" s="60">
        <f t="shared" si="6"/>
        <v>91.272537025985088</v>
      </c>
      <c r="F95" s="60">
        <f t="shared" si="6"/>
        <v>96.629632365026183</v>
      </c>
      <c r="G95" s="60">
        <f t="shared" si="6"/>
        <v>97.066717937068049</v>
      </c>
      <c r="H95" s="60">
        <f t="shared" si="6"/>
        <v>97.366980045354538</v>
      </c>
      <c r="I95" s="60">
        <f t="shared" si="6"/>
        <v>98.836083166230182</v>
      </c>
      <c r="J95" s="60">
        <f t="shared" si="6"/>
        <v>98.629825963280226</v>
      </c>
      <c r="K95" s="60">
        <f t="shared" si="6"/>
        <v>98.631172724872528</v>
      </c>
      <c r="L95" s="60">
        <f t="shared" si="6"/>
        <v>97.148146364111838</v>
      </c>
      <c r="M95" s="60">
        <f t="shared" si="6"/>
        <v>96.031140914696792</v>
      </c>
      <c r="N95" s="60">
        <f t="shared" si="6"/>
        <v>96.932464935688898</v>
      </c>
      <c r="O95" s="60">
        <f t="shared" si="6"/>
        <v>92.945516398760702</v>
      </c>
      <c r="P95" s="60">
        <f t="shared" si="6"/>
        <v>89.430163683767745</v>
      </c>
      <c r="Q95" s="60">
        <f t="shared" si="6"/>
        <v>91.628131763743923</v>
      </c>
      <c r="R95" s="60">
        <f t="shared" si="6"/>
        <v>96.406606805279168</v>
      </c>
      <c r="S95" s="60">
        <f t="shared" si="6"/>
        <v>98.283377980229261</v>
      </c>
      <c r="T95" s="60">
        <f t="shared" si="6"/>
        <v>98.730632387700709</v>
      </c>
      <c r="U95" s="60">
        <f t="shared" si="6"/>
        <v>99.171703527289253</v>
      </c>
      <c r="V95" s="60">
        <f t="shared" si="6"/>
        <v>98.689471775469499</v>
      </c>
    </row>
    <row r="96" spans="3:22" x14ac:dyDescent="0.2">
      <c r="C96" s="88" t="s">
        <v>128</v>
      </c>
      <c r="D96" s="62">
        <f t="shared" ref="D96:V96" si="7">+IFERROR(IF(D58&gt;0,+((D58/D19)*100)," "),"")</f>
        <v>76.995554829935841</v>
      </c>
      <c r="E96" s="62">
        <f t="shared" si="7"/>
        <v>98.745520876440622</v>
      </c>
      <c r="F96" s="62">
        <f t="shared" si="7"/>
        <v>90.896764167894659</v>
      </c>
      <c r="G96" s="62">
        <f t="shared" si="7"/>
        <v>99.286868741302399</v>
      </c>
      <c r="H96" s="62">
        <f t="shared" si="7"/>
        <v>99.294897487147907</v>
      </c>
      <c r="I96" s="62">
        <f t="shared" si="7"/>
        <v>96.277513213030943</v>
      </c>
      <c r="J96" s="62">
        <f t="shared" si="7"/>
        <v>94.867616003154197</v>
      </c>
      <c r="K96" s="62">
        <f t="shared" si="7"/>
        <v>91.398731710500272</v>
      </c>
      <c r="L96" s="62">
        <f t="shared" si="7"/>
        <v>98.222703528986983</v>
      </c>
      <c r="M96" s="62">
        <f t="shared" si="7"/>
        <v>88.99183118069196</v>
      </c>
      <c r="N96" s="62">
        <f t="shared" si="7"/>
        <v>95.338806828536931</v>
      </c>
      <c r="O96" s="62">
        <f t="shared" si="7"/>
        <v>96.578928952108953</v>
      </c>
      <c r="P96" s="62">
        <f t="shared" si="7"/>
        <v>98.576096810551036</v>
      </c>
      <c r="Q96" s="62">
        <f t="shared" si="7"/>
        <v>96.820624299193881</v>
      </c>
      <c r="R96" s="62">
        <f t="shared" si="7"/>
        <v>99.384005883866038</v>
      </c>
      <c r="S96" s="62">
        <f t="shared" si="7"/>
        <v>99.13955343696567</v>
      </c>
      <c r="T96" s="62">
        <f t="shared" si="7"/>
        <v>99.387848234678771</v>
      </c>
      <c r="U96" s="62">
        <f t="shared" si="7"/>
        <v>99.771945977231653</v>
      </c>
      <c r="V96" s="62">
        <f t="shared" si="7"/>
        <v>99.283707414739951</v>
      </c>
    </row>
    <row r="97" spans="3:22" x14ac:dyDescent="0.2">
      <c r="C97" s="87" t="s">
        <v>129</v>
      </c>
      <c r="D97" s="60">
        <f t="shared" ref="D97:V97" si="8">+IFERROR(IF(D59&gt;0,+((D59/D20)*100)," "),"")</f>
        <v>97.221178340287423</v>
      </c>
      <c r="E97" s="60">
        <f t="shared" si="8"/>
        <v>97.547835356891298</v>
      </c>
      <c r="F97" s="60">
        <f t="shared" si="8"/>
        <v>96.430518204104231</v>
      </c>
      <c r="G97" s="60">
        <f t="shared" si="8"/>
        <v>97.803225785447495</v>
      </c>
      <c r="H97" s="60">
        <f t="shared" si="8"/>
        <v>98.628117233435702</v>
      </c>
      <c r="I97" s="60">
        <f t="shared" si="8"/>
        <v>98.828622035765022</v>
      </c>
      <c r="J97" s="60">
        <f t="shared" si="8"/>
        <v>98.959340038390366</v>
      </c>
      <c r="K97" s="60">
        <f t="shared" si="8"/>
        <v>97.943749340921784</v>
      </c>
      <c r="L97" s="60">
        <f t="shared" si="8"/>
        <v>99.18396774708792</v>
      </c>
      <c r="M97" s="60">
        <f t="shared" si="8"/>
        <v>97.357984709224993</v>
      </c>
      <c r="N97" s="60">
        <f t="shared" si="8"/>
        <v>97.432957295605505</v>
      </c>
      <c r="O97" s="60">
        <f t="shared" si="8"/>
        <v>97.51834735858202</v>
      </c>
      <c r="P97" s="60">
        <f t="shared" si="8"/>
        <v>98.493887200084018</v>
      </c>
      <c r="Q97" s="60">
        <f t="shared" si="8"/>
        <v>98.521368123421411</v>
      </c>
      <c r="R97" s="60">
        <f t="shared" si="8"/>
        <v>98.956183426345717</v>
      </c>
      <c r="S97" s="60">
        <f t="shared" si="8"/>
        <v>98.332277965125741</v>
      </c>
      <c r="T97" s="60">
        <f t="shared" si="8"/>
        <v>99.407676701092754</v>
      </c>
      <c r="U97" s="60">
        <f t="shared" si="8"/>
        <v>99.741948585491315</v>
      </c>
      <c r="V97" s="60">
        <f t="shared" si="8"/>
        <v>99.633727470832696</v>
      </c>
    </row>
    <row r="98" spans="3:22" x14ac:dyDescent="0.2">
      <c r="C98" s="88" t="s">
        <v>130</v>
      </c>
      <c r="D98" s="62">
        <f t="shared" ref="D98:V98" si="9">+IFERROR(IF(D60&gt;0,+((D60/D21)*100)," "),"")</f>
        <v>86.449273964205616</v>
      </c>
      <c r="E98" s="62">
        <f t="shared" si="9"/>
        <v>98.713749964912523</v>
      </c>
      <c r="F98" s="62">
        <f t="shared" si="9"/>
        <v>90.062286674504932</v>
      </c>
      <c r="G98" s="62">
        <f t="shared" si="9"/>
        <v>96.096443067911594</v>
      </c>
      <c r="H98" s="62">
        <f t="shared" si="9"/>
        <v>99.052844970189497</v>
      </c>
      <c r="I98" s="62">
        <f t="shared" si="9"/>
        <v>99.370557651855478</v>
      </c>
      <c r="J98" s="62">
        <f t="shared" si="9"/>
        <v>97.472430865472248</v>
      </c>
      <c r="K98" s="62">
        <f t="shared" si="9"/>
        <v>96.593397525695949</v>
      </c>
      <c r="L98" s="62">
        <f t="shared" si="9"/>
        <v>98.363894776159597</v>
      </c>
      <c r="M98" s="62">
        <f t="shared" si="9"/>
        <v>93.416344761509421</v>
      </c>
      <c r="N98" s="62">
        <f t="shared" si="9"/>
        <v>98.110391095994927</v>
      </c>
      <c r="O98" s="62">
        <f t="shared" si="9"/>
        <v>98.665272054923975</v>
      </c>
      <c r="P98" s="62">
        <f t="shared" si="9"/>
        <v>93.490552413030841</v>
      </c>
      <c r="Q98" s="62">
        <f t="shared" si="9"/>
        <v>95.106497090523945</v>
      </c>
      <c r="R98" s="62">
        <f t="shared" si="9"/>
        <v>95.626319562346495</v>
      </c>
      <c r="S98" s="62">
        <f t="shared" si="9"/>
        <v>98.273334537679375</v>
      </c>
      <c r="T98" s="62">
        <f t="shared" si="9"/>
        <v>98.209410454110824</v>
      </c>
      <c r="U98" s="62">
        <f t="shared" si="9"/>
        <v>98.774834821462321</v>
      </c>
      <c r="V98" s="62">
        <f t="shared" si="9"/>
        <v>99.253891851062136</v>
      </c>
    </row>
    <row r="99" spans="3:22" x14ac:dyDescent="0.2">
      <c r="C99" s="87" t="s">
        <v>131</v>
      </c>
      <c r="D99" s="60">
        <f t="shared" ref="D99:V99" si="10">+IFERROR(IF(D61&gt;0,+((D61/D22)*100)," "),"")</f>
        <v>94.869449522279382</v>
      </c>
      <c r="E99" s="60">
        <f t="shared" si="10"/>
        <v>96.807540534157113</v>
      </c>
      <c r="F99" s="60">
        <f t="shared" si="10"/>
        <v>99.435313206336801</v>
      </c>
      <c r="G99" s="60">
        <f t="shared" si="10"/>
        <v>99.567494170389068</v>
      </c>
      <c r="H99" s="60">
        <f t="shared" si="10"/>
        <v>99.813557613014638</v>
      </c>
      <c r="I99" s="60">
        <f t="shared" si="10"/>
        <v>99.767990663158542</v>
      </c>
      <c r="J99" s="60">
        <f t="shared" si="10"/>
        <v>98.61380956701656</v>
      </c>
      <c r="K99" s="60">
        <f t="shared" si="10"/>
        <v>99.722776722435668</v>
      </c>
      <c r="L99" s="60">
        <f t="shared" si="10"/>
        <v>99.624994684124985</v>
      </c>
      <c r="M99" s="60">
        <f t="shared" si="10"/>
        <v>99.361144498774152</v>
      </c>
      <c r="N99" s="60">
        <f t="shared" si="10"/>
        <v>97.59846972115686</v>
      </c>
      <c r="O99" s="60">
        <f t="shared" si="10"/>
        <v>99.89120644250022</v>
      </c>
      <c r="P99" s="60">
        <f t="shared" si="10"/>
        <v>99.394608656119686</v>
      </c>
      <c r="Q99" s="60">
        <f t="shared" si="10"/>
        <v>99.539179574719654</v>
      </c>
      <c r="R99" s="60">
        <f t="shared" si="10"/>
        <v>99.940485539532091</v>
      </c>
      <c r="S99" s="60">
        <f t="shared" si="10"/>
        <v>99.928939300285521</v>
      </c>
      <c r="T99" s="60">
        <f t="shared" si="10"/>
        <v>99.177954787752469</v>
      </c>
      <c r="U99" s="60">
        <f t="shared" si="10"/>
        <v>99.904038095494514</v>
      </c>
      <c r="V99" s="60">
        <f t="shared" si="10"/>
        <v>99.965810413374214</v>
      </c>
    </row>
    <row r="100" spans="3:22" x14ac:dyDescent="0.2">
      <c r="C100" s="88" t="s">
        <v>132</v>
      </c>
      <c r="D100" s="62">
        <f t="shared" ref="D100:V100" si="11">+IFERROR(IF(D62&gt;0,+((D62/D23)*100)," "),"")</f>
        <v>88.588306797407057</v>
      </c>
      <c r="E100" s="62">
        <f t="shared" si="11"/>
        <v>80.787707929054704</v>
      </c>
      <c r="F100" s="62">
        <f t="shared" si="11"/>
        <v>81.253753411000375</v>
      </c>
      <c r="G100" s="62">
        <f t="shared" si="11"/>
        <v>88.951710415272032</v>
      </c>
      <c r="H100" s="62">
        <f t="shared" si="11"/>
        <v>85.391281696119705</v>
      </c>
      <c r="I100" s="62">
        <f t="shared" si="11"/>
        <v>94.016758357639787</v>
      </c>
      <c r="J100" s="62">
        <f t="shared" si="11"/>
        <v>82.167842981553292</v>
      </c>
      <c r="K100" s="62">
        <f t="shared" si="11"/>
        <v>52.295521123899583</v>
      </c>
      <c r="L100" s="62">
        <f t="shared" si="11"/>
        <v>62.488570416340629</v>
      </c>
      <c r="M100" s="62">
        <f t="shared" si="11"/>
        <v>62.717931359811111</v>
      </c>
      <c r="N100" s="62">
        <f t="shared" si="11"/>
        <v>72.529730483003448</v>
      </c>
      <c r="O100" s="62">
        <f t="shared" si="11"/>
        <v>70.722888924650746</v>
      </c>
      <c r="P100" s="62">
        <f t="shared" si="11"/>
        <v>73.836815380706582</v>
      </c>
      <c r="Q100" s="62">
        <f t="shared" si="11"/>
        <v>71.878875904376685</v>
      </c>
      <c r="R100" s="62">
        <f t="shared" si="11"/>
        <v>72.230772273390059</v>
      </c>
      <c r="S100" s="62">
        <f t="shared" si="11"/>
        <v>76.140191484417159</v>
      </c>
      <c r="T100" s="62">
        <f t="shared" si="11"/>
        <v>92.1638923203773</v>
      </c>
      <c r="U100" s="62">
        <f t="shared" si="11"/>
        <v>94.078887923989186</v>
      </c>
      <c r="V100" s="62">
        <f t="shared" si="11"/>
        <v>93.524989811259417</v>
      </c>
    </row>
    <row r="101" spans="3:22" x14ac:dyDescent="0.2">
      <c r="C101" s="87" t="s">
        <v>133</v>
      </c>
      <c r="D101" s="60">
        <f t="shared" ref="D101:V101" si="12">+IFERROR(IF(D63&gt;0,+((D63/D24)*100)," "),"")</f>
        <v>96.089546860348037</v>
      </c>
      <c r="E101" s="60">
        <f t="shared" si="12"/>
        <v>98.492586573110103</v>
      </c>
      <c r="F101" s="60">
        <f t="shared" si="12"/>
        <v>98.217468677960369</v>
      </c>
      <c r="G101" s="60">
        <f t="shared" si="12"/>
        <v>98.393091421264884</v>
      </c>
      <c r="H101" s="60">
        <f t="shared" si="12"/>
        <v>99.579997238224777</v>
      </c>
      <c r="I101" s="60">
        <f t="shared" si="12"/>
        <v>99.726157733341353</v>
      </c>
      <c r="J101" s="60">
        <f t="shared" si="12"/>
        <v>99.701991548818597</v>
      </c>
      <c r="K101" s="60">
        <f t="shared" si="12"/>
        <v>99.02560677198457</v>
      </c>
      <c r="L101" s="60">
        <f t="shared" si="12"/>
        <v>98.023718658284125</v>
      </c>
      <c r="M101" s="60">
        <f t="shared" si="12"/>
        <v>98.648349810633476</v>
      </c>
      <c r="N101" s="60">
        <f t="shared" si="12"/>
        <v>94.682906824287798</v>
      </c>
      <c r="O101" s="60">
        <f t="shared" si="12"/>
        <v>97.675792731847579</v>
      </c>
      <c r="P101" s="60">
        <f t="shared" si="12"/>
        <v>96.072227570243328</v>
      </c>
      <c r="Q101" s="60">
        <f t="shared" si="12"/>
        <v>98.34937830853282</v>
      </c>
      <c r="R101" s="60">
        <f t="shared" si="12"/>
        <v>93.646424086465913</v>
      </c>
      <c r="S101" s="60">
        <f t="shared" si="12"/>
        <v>92.001806997853038</v>
      </c>
      <c r="T101" s="60">
        <f t="shared" si="12"/>
        <v>97.141170768611332</v>
      </c>
      <c r="U101" s="60">
        <f t="shared" si="12"/>
        <v>99.384840618398314</v>
      </c>
      <c r="V101" s="60">
        <f t="shared" si="12"/>
        <v>96.904775043054556</v>
      </c>
    </row>
    <row r="102" spans="3:22" x14ac:dyDescent="0.2">
      <c r="C102" s="88" t="s">
        <v>134</v>
      </c>
      <c r="D102" s="62">
        <f t="shared" ref="D102:V102" si="13">+IFERROR(IF(D64&gt;0,+((D64/D25)*100)," "),"")</f>
        <v>93.690701149026168</v>
      </c>
      <c r="E102" s="62">
        <f t="shared" si="13"/>
        <v>94.271722742755685</v>
      </c>
      <c r="F102" s="62">
        <f t="shared" si="13"/>
        <v>95.579070341985243</v>
      </c>
      <c r="G102" s="62">
        <f t="shared" si="13"/>
        <v>98.34958737345832</v>
      </c>
      <c r="H102" s="62">
        <f t="shared" si="13"/>
        <v>96.234187316024546</v>
      </c>
      <c r="I102" s="62">
        <f t="shared" si="13"/>
        <v>91.668542579361812</v>
      </c>
      <c r="J102" s="62">
        <f t="shared" si="13"/>
        <v>95.930157378347843</v>
      </c>
      <c r="K102" s="62">
        <f t="shared" si="13"/>
        <v>83.662566305157299</v>
      </c>
      <c r="L102" s="62">
        <f t="shared" si="13"/>
        <v>88.233272876685177</v>
      </c>
      <c r="M102" s="62">
        <f t="shared" si="13"/>
        <v>76.396971253433705</v>
      </c>
      <c r="N102" s="62">
        <f t="shared" si="13"/>
        <v>78.768571038657342</v>
      </c>
      <c r="O102" s="62">
        <f t="shared" si="13"/>
        <v>97.332554755661533</v>
      </c>
      <c r="P102" s="62">
        <f t="shared" si="13"/>
        <v>92.620584491540569</v>
      </c>
      <c r="Q102" s="62">
        <f t="shared" si="13"/>
        <v>84.726740174021984</v>
      </c>
      <c r="R102" s="62">
        <f t="shared" si="13"/>
        <v>75.737743026951676</v>
      </c>
      <c r="S102" s="62">
        <f t="shared" si="13"/>
        <v>93.094491192960618</v>
      </c>
      <c r="T102" s="62">
        <f t="shared" si="13"/>
        <v>95.302802847859653</v>
      </c>
      <c r="U102" s="62">
        <f t="shared" si="13"/>
        <v>97.184256479454064</v>
      </c>
      <c r="V102" s="62">
        <f t="shared" si="13"/>
        <v>89.791564790504836</v>
      </c>
    </row>
    <row r="103" spans="3:22" x14ac:dyDescent="0.2">
      <c r="C103" s="87" t="s">
        <v>135</v>
      </c>
      <c r="D103" s="60" t="str">
        <f t="shared" ref="D103:V103" si="14">+IFERROR(IF(D65&gt;0,+((D65/D26)*100)," "),"")</f>
        <v xml:space="preserve"> </v>
      </c>
      <c r="E103" s="60" t="str">
        <f t="shared" si="14"/>
        <v xml:space="preserve"> </v>
      </c>
      <c r="F103" s="60" t="str">
        <f t="shared" si="14"/>
        <v xml:space="preserve"> </v>
      </c>
      <c r="G103" s="60" t="str">
        <f t="shared" si="14"/>
        <v xml:space="preserve"> </v>
      </c>
      <c r="H103" s="60" t="str">
        <f t="shared" si="14"/>
        <v xml:space="preserve"> </v>
      </c>
      <c r="I103" s="60" t="str">
        <f t="shared" si="14"/>
        <v xml:space="preserve"> </v>
      </c>
      <c r="J103" s="60" t="str">
        <f t="shared" si="14"/>
        <v xml:space="preserve"> </v>
      </c>
      <c r="K103" s="60" t="str">
        <f t="shared" si="14"/>
        <v xml:space="preserve"> </v>
      </c>
      <c r="L103" s="60" t="str">
        <f t="shared" si="14"/>
        <v xml:space="preserve"> </v>
      </c>
      <c r="M103" s="60" t="str">
        <f t="shared" si="14"/>
        <v xml:space="preserve"> </v>
      </c>
      <c r="N103" s="60" t="str">
        <f t="shared" si="14"/>
        <v xml:space="preserve"> </v>
      </c>
      <c r="O103" s="60" t="str">
        <f t="shared" si="14"/>
        <v xml:space="preserve"> </v>
      </c>
      <c r="P103" s="60" t="str">
        <f t="shared" si="14"/>
        <v xml:space="preserve"> </v>
      </c>
      <c r="Q103" s="60" t="str">
        <f t="shared" si="14"/>
        <v xml:space="preserve"> </v>
      </c>
      <c r="R103" s="60" t="str">
        <f t="shared" si="14"/>
        <v xml:space="preserve"> </v>
      </c>
      <c r="S103" s="60" t="str">
        <f t="shared" si="14"/>
        <v xml:space="preserve"> </v>
      </c>
      <c r="T103" s="60" t="str">
        <f t="shared" si="14"/>
        <v xml:space="preserve"> </v>
      </c>
      <c r="U103" s="60" t="str">
        <f t="shared" si="14"/>
        <v xml:space="preserve"> </v>
      </c>
      <c r="V103" s="60" t="str">
        <f t="shared" si="14"/>
        <v xml:space="preserve"> </v>
      </c>
    </row>
    <row r="104" spans="3:22" x14ac:dyDescent="0.2">
      <c r="C104" s="88" t="s">
        <v>136</v>
      </c>
      <c r="D104" s="62">
        <f t="shared" ref="D104:V104" si="15">+IFERROR(IF(D66&gt;0,+((D66/D27)*100)," "),"")</f>
        <v>79.556953545085747</v>
      </c>
      <c r="E104" s="62">
        <f t="shared" si="15"/>
        <v>82.666526760660091</v>
      </c>
      <c r="F104" s="62">
        <f t="shared" si="15"/>
        <v>91.077850757663924</v>
      </c>
      <c r="G104" s="62">
        <f t="shared" si="15"/>
        <v>96.669296310521005</v>
      </c>
      <c r="H104" s="62">
        <f t="shared" si="15"/>
        <v>98.988172620986461</v>
      </c>
      <c r="I104" s="62">
        <f t="shared" si="15"/>
        <v>98.430077468888371</v>
      </c>
      <c r="J104" s="62">
        <f t="shared" si="15"/>
        <v>97.639401873085845</v>
      </c>
      <c r="K104" s="62">
        <f t="shared" si="15"/>
        <v>94.707671219325903</v>
      </c>
      <c r="L104" s="62">
        <f t="shared" si="15"/>
        <v>97.482350535416089</v>
      </c>
      <c r="M104" s="62">
        <f t="shared" si="15"/>
        <v>97.799171537338353</v>
      </c>
      <c r="N104" s="62">
        <f t="shared" si="15"/>
        <v>96.867931701567613</v>
      </c>
      <c r="O104" s="62">
        <f t="shared" si="15"/>
        <v>93.259018368653429</v>
      </c>
      <c r="P104" s="62">
        <f t="shared" si="15"/>
        <v>95.653356688293272</v>
      </c>
      <c r="Q104" s="62">
        <f t="shared" si="15"/>
        <v>97.042860719819473</v>
      </c>
      <c r="R104" s="62">
        <f t="shared" si="15"/>
        <v>97.550372265236845</v>
      </c>
      <c r="S104" s="62">
        <f t="shared" si="15"/>
        <v>98.176155106680639</v>
      </c>
      <c r="T104" s="62">
        <f t="shared" si="15"/>
        <v>98.372636995693256</v>
      </c>
      <c r="U104" s="62">
        <f t="shared" si="15"/>
        <v>98.703191646283045</v>
      </c>
      <c r="V104" s="62">
        <f t="shared" si="15"/>
        <v>98.009596292170471</v>
      </c>
    </row>
    <row r="105" spans="3:22" x14ac:dyDescent="0.2">
      <c r="C105" s="87" t="s">
        <v>137</v>
      </c>
      <c r="D105" s="60">
        <f t="shared" ref="D105:V105" si="16">+IFERROR(IF(D67&gt;0,+((D67/D28)*100)," "),"")</f>
        <v>70.414445856517631</v>
      </c>
      <c r="E105" s="60">
        <f t="shared" si="16"/>
        <v>90.116924342405255</v>
      </c>
      <c r="F105" s="60">
        <f t="shared" si="16"/>
        <v>91.601745552353236</v>
      </c>
      <c r="G105" s="60">
        <f t="shared" si="16"/>
        <v>96.804280588011167</v>
      </c>
      <c r="H105" s="60">
        <f t="shared" si="16"/>
        <v>92.730649030976025</v>
      </c>
      <c r="I105" s="60">
        <f t="shared" si="16"/>
        <v>87.19635481349512</v>
      </c>
      <c r="J105" s="60">
        <f t="shared" si="16"/>
        <v>96.442600253405018</v>
      </c>
      <c r="K105" s="60">
        <f t="shared" si="16"/>
        <v>95.690646565597135</v>
      </c>
      <c r="L105" s="60">
        <f t="shared" si="16"/>
        <v>93.760355535384562</v>
      </c>
      <c r="M105" s="60">
        <f t="shared" si="16"/>
        <v>87.67590188034535</v>
      </c>
      <c r="N105" s="60">
        <f t="shared" si="16"/>
        <v>79.464481177235726</v>
      </c>
      <c r="O105" s="60">
        <f t="shared" si="16"/>
        <v>88.833025721808511</v>
      </c>
      <c r="P105" s="60">
        <f t="shared" si="16"/>
        <v>90.459247476203913</v>
      </c>
      <c r="Q105" s="60">
        <f t="shared" si="16"/>
        <v>84.495551619741988</v>
      </c>
      <c r="R105" s="60">
        <f t="shared" si="16"/>
        <v>96.706430179674697</v>
      </c>
      <c r="S105" s="60">
        <f t="shared" si="16"/>
        <v>96.695626168047596</v>
      </c>
      <c r="T105" s="60">
        <f t="shared" si="16"/>
        <v>97.727014680293763</v>
      </c>
      <c r="U105" s="60">
        <f t="shared" si="16"/>
        <v>97.484863623279821</v>
      </c>
      <c r="V105" s="60">
        <f t="shared" si="16"/>
        <v>96.193117123281482</v>
      </c>
    </row>
    <row r="106" spans="3:22" x14ac:dyDescent="0.2">
      <c r="C106" s="88" t="s">
        <v>138</v>
      </c>
      <c r="D106" s="62">
        <f t="shared" ref="D106:V106" si="17">+IFERROR(IF(D68&gt;0,+((D68/D29)*100)," "),"")</f>
        <v>96.069764270442732</v>
      </c>
      <c r="E106" s="62">
        <f t="shared" si="17"/>
        <v>96.386173302363872</v>
      </c>
      <c r="F106" s="62">
        <f t="shared" si="17"/>
        <v>94.477008385094024</v>
      </c>
      <c r="G106" s="62">
        <f t="shared" si="17"/>
        <v>98.133664526759063</v>
      </c>
      <c r="H106" s="62">
        <f t="shared" si="17"/>
        <v>98.152650142476134</v>
      </c>
      <c r="I106" s="62">
        <f t="shared" si="17"/>
        <v>94.516237868285344</v>
      </c>
      <c r="J106" s="62">
        <f t="shared" si="17"/>
        <v>94.610229499444671</v>
      </c>
      <c r="K106" s="62">
        <f t="shared" si="17"/>
        <v>92.260617070984992</v>
      </c>
      <c r="L106" s="62">
        <f t="shared" si="17"/>
        <v>92.631124578561639</v>
      </c>
      <c r="M106" s="62">
        <f t="shared" si="17"/>
        <v>79.189980203979218</v>
      </c>
      <c r="N106" s="62">
        <f t="shared" si="17"/>
        <v>79.928595567057499</v>
      </c>
      <c r="O106" s="62">
        <f t="shared" si="17"/>
        <v>83.631526556244197</v>
      </c>
      <c r="P106" s="62">
        <f t="shared" si="17"/>
        <v>83.440797026537666</v>
      </c>
      <c r="Q106" s="62">
        <f t="shared" si="17"/>
        <v>79.921373986484937</v>
      </c>
      <c r="R106" s="62">
        <f t="shared" si="17"/>
        <v>85.096859530386993</v>
      </c>
      <c r="S106" s="62">
        <f t="shared" si="17"/>
        <v>95.748235943248588</v>
      </c>
      <c r="T106" s="62">
        <f t="shared" si="17"/>
        <v>97.370917448849355</v>
      </c>
      <c r="U106" s="62">
        <f t="shared" si="17"/>
        <v>98.242303889304935</v>
      </c>
      <c r="V106" s="62">
        <f t="shared" si="17"/>
        <v>97.297851335725852</v>
      </c>
    </row>
    <row r="107" spans="3:22" x14ac:dyDescent="0.2">
      <c r="C107" s="87" t="s">
        <v>139</v>
      </c>
      <c r="D107" s="60">
        <f t="shared" ref="D107:V107" si="18">+IFERROR(IF(D69&gt;0,+((D69/D30)*100)," "),"")</f>
        <v>91.188739371916952</v>
      </c>
      <c r="E107" s="60">
        <f t="shared" si="18"/>
        <v>94.544040810620885</v>
      </c>
      <c r="F107" s="60">
        <f t="shared" si="18"/>
        <v>88.438536763894263</v>
      </c>
      <c r="G107" s="60">
        <f t="shared" si="18"/>
        <v>95.005709340806604</v>
      </c>
      <c r="H107" s="60">
        <f t="shared" si="18"/>
        <v>91.262805816187381</v>
      </c>
      <c r="I107" s="60">
        <f t="shared" si="18"/>
        <v>97.214528621608608</v>
      </c>
      <c r="J107" s="60">
        <f t="shared" si="18"/>
        <v>93.928114412919683</v>
      </c>
      <c r="K107" s="60">
        <f t="shared" si="18"/>
        <v>82.146821526493156</v>
      </c>
      <c r="L107" s="60">
        <f t="shared" si="18"/>
        <v>95.502060986715506</v>
      </c>
      <c r="M107" s="60">
        <f t="shared" si="18"/>
        <v>92.47755802147951</v>
      </c>
      <c r="N107" s="60">
        <f t="shared" si="18"/>
        <v>88.488980055468076</v>
      </c>
      <c r="O107" s="60">
        <f t="shared" si="18"/>
        <v>96.973669728867861</v>
      </c>
      <c r="P107" s="60">
        <f t="shared" si="18"/>
        <v>89.233838315199208</v>
      </c>
      <c r="Q107" s="60">
        <f t="shared" si="18"/>
        <v>90.966923529107177</v>
      </c>
      <c r="R107" s="60">
        <f t="shared" si="18"/>
        <v>92.227986425974422</v>
      </c>
      <c r="S107" s="60">
        <f t="shared" si="18"/>
        <v>94.659052128922866</v>
      </c>
      <c r="T107" s="60">
        <f t="shared" si="18"/>
        <v>97.336789226713918</v>
      </c>
      <c r="U107" s="60">
        <f t="shared" si="18"/>
        <v>94.236834879339895</v>
      </c>
      <c r="V107" s="60">
        <f t="shared" si="18"/>
        <v>91.605723310166425</v>
      </c>
    </row>
    <row r="108" spans="3:22" x14ac:dyDescent="0.2">
      <c r="C108" s="88" t="s">
        <v>140</v>
      </c>
      <c r="D108" s="62">
        <f t="shared" ref="D108:V108" si="19">+IFERROR(IF(D70&gt;0,+((D70/D31)*100)," "),"")</f>
        <v>85.501741340870126</v>
      </c>
      <c r="E108" s="62">
        <f t="shared" si="19"/>
        <v>75.348227230780878</v>
      </c>
      <c r="F108" s="62">
        <f t="shared" si="19"/>
        <v>81.101409708485903</v>
      </c>
      <c r="G108" s="62">
        <f t="shared" si="19"/>
        <v>97.702914333203594</v>
      </c>
      <c r="H108" s="62">
        <f t="shared" si="19"/>
        <v>98.93327605556378</v>
      </c>
      <c r="I108" s="62">
        <f t="shared" si="19"/>
        <v>97.035391739261797</v>
      </c>
      <c r="J108" s="62">
        <f t="shared" si="19"/>
        <v>83.47073123815548</v>
      </c>
      <c r="K108" s="62">
        <f t="shared" si="19"/>
        <v>62.214880155731123</v>
      </c>
      <c r="L108" s="62">
        <f t="shared" si="19"/>
        <v>97.55090497751911</v>
      </c>
      <c r="M108" s="62">
        <f t="shared" si="19"/>
        <v>88.333724166964018</v>
      </c>
      <c r="N108" s="62">
        <f t="shared" si="19"/>
        <v>96.11040249783855</v>
      </c>
      <c r="O108" s="62">
        <f t="shared" si="19"/>
        <v>96.314809697038925</v>
      </c>
      <c r="P108" s="62">
        <f t="shared" si="19"/>
        <v>95.029621023954562</v>
      </c>
      <c r="Q108" s="62">
        <f t="shared" si="19"/>
        <v>95.784756488616281</v>
      </c>
      <c r="R108" s="62">
        <f t="shared" si="19"/>
        <v>97.477512032408768</v>
      </c>
      <c r="S108" s="62">
        <f t="shared" si="19"/>
        <v>97.897463673980297</v>
      </c>
      <c r="T108" s="62">
        <f t="shared" si="19"/>
        <v>96.641508854406027</v>
      </c>
      <c r="U108" s="62">
        <f t="shared" si="19"/>
        <v>97.419373963363782</v>
      </c>
      <c r="V108" s="62">
        <f t="shared" si="19"/>
        <v>97.52623140921564</v>
      </c>
    </row>
    <row r="109" spans="3:22" x14ac:dyDescent="0.2">
      <c r="C109" s="87" t="s">
        <v>141</v>
      </c>
      <c r="D109" s="60">
        <f t="shared" ref="D109:V109" si="20">+IFERROR(IF(D71&gt;0,+((D71/D32)*100)," "),"")</f>
        <v>94.874582074823323</v>
      </c>
      <c r="E109" s="60">
        <f t="shared" si="20"/>
        <v>97.260096746069664</v>
      </c>
      <c r="F109" s="60">
        <f t="shared" si="20"/>
        <v>96.803765640582768</v>
      </c>
      <c r="G109" s="60">
        <f t="shared" si="20"/>
        <v>96.338106470131294</v>
      </c>
      <c r="H109" s="60">
        <f t="shared" si="20"/>
        <v>95.53129841485341</v>
      </c>
      <c r="I109" s="60">
        <f t="shared" si="20"/>
        <v>95.261505922563188</v>
      </c>
      <c r="J109" s="60">
        <f t="shared" si="20"/>
        <v>96.556944066890139</v>
      </c>
      <c r="K109" s="60">
        <f t="shared" si="20"/>
        <v>94.427462744944364</v>
      </c>
      <c r="L109" s="60">
        <f t="shared" si="20"/>
        <v>93.742874044329113</v>
      </c>
      <c r="M109" s="60">
        <f t="shared" si="20"/>
        <v>92.350900672553522</v>
      </c>
      <c r="N109" s="60">
        <f t="shared" si="20"/>
        <v>88.975093026571855</v>
      </c>
      <c r="O109" s="60">
        <f t="shared" si="20"/>
        <v>93.1185190462908</v>
      </c>
      <c r="P109" s="60">
        <f t="shared" si="20"/>
        <v>88.13877726640068</v>
      </c>
      <c r="Q109" s="60">
        <f t="shared" si="20"/>
        <v>89.461623824185608</v>
      </c>
      <c r="R109" s="60">
        <f t="shared" si="20"/>
        <v>94.338173218450677</v>
      </c>
      <c r="S109" s="60">
        <f t="shared" si="20"/>
        <v>95.553360735952893</v>
      </c>
      <c r="T109" s="60">
        <f t="shared" si="20"/>
        <v>96.024536000564922</v>
      </c>
      <c r="U109" s="60">
        <f t="shared" si="20"/>
        <v>96.389330679343274</v>
      </c>
      <c r="V109" s="60">
        <f t="shared" si="20"/>
        <v>96.550786189952035</v>
      </c>
    </row>
    <row r="110" spans="3:22" x14ac:dyDescent="0.2">
      <c r="C110" s="88" t="s">
        <v>142</v>
      </c>
      <c r="D110" s="62">
        <f t="shared" ref="D110:V110" si="21">+IFERROR(IF(D72&gt;0,+((D72/D33)*100)," "),"")</f>
        <v>69.875176345040188</v>
      </c>
      <c r="E110" s="62">
        <f t="shared" si="21"/>
        <v>97.042196908874374</v>
      </c>
      <c r="F110" s="62">
        <f t="shared" si="21"/>
        <v>95.432042125443459</v>
      </c>
      <c r="G110" s="62">
        <f t="shared" si="21"/>
        <v>94.022861303152197</v>
      </c>
      <c r="H110" s="62">
        <f t="shared" si="21"/>
        <v>83.438758626938366</v>
      </c>
      <c r="I110" s="62">
        <f t="shared" si="21"/>
        <v>57.754250976619062</v>
      </c>
      <c r="J110" s="62">
        <f t="shared" si="21"/>
        <v>69.29288764690331</v>
      </c>
      <c r="K110" s="62">
        <f t="shared" si="21"/>
        <v>91.356668034060291</v>
      </c>
      <c r="L110" s="62">
        <f t="shared" si="21"/>
        <v>93.692601218478018</v>
      </c>
      <c r="M110" s="62">
        <f t="shared" si="21"/>
        <v>91.964409938476393</v>
      </c>
      <c r="N110" s="62">
        <f t="shared" si="21"/>
        <v>93.223277647909839</v>
      </c>
      <c r="O110" s="62">
        <f t="shared" si="21"/>
        <v>91.840118943879332</v>
      </c>
      <c r="P110" s="62">
        <f t="shared" si="21"/>
        <v>91.809386773501615</v>
      </c>
      <c r="Q110" s="62">
        <f t="shared" si="21"/>
        <v>79.647603550624524</v>
      </c>
      <c r="R110" s="62">
        <f t="shared" si="21"/>
        <v>86.154135953595244</v>
      </c>
      <c r="S110" s="62">
        <f t="shared" si="21"/>
        <v>92.588880332345752</v>
      </c>
      <c r="T110" s="62">
        <f t="shared" si="21"/>
        <v>95.884334845508079</v>
      </c>
      <c r="U110" s="62">
        <f t="shared" si="21"/>
        <v>96.445660781909694</v>
      </c>
      <c r="V110" s="62">
        <f t="shared" si="21"/>
        <v>95.22255163139981</v>
      </c>
    </row>
    <row r="111" spans="3:22" x14ac:dyDescent="0.2">
      <c r="C111" s="87" t="s">
        <v>143</v>
      </c>
      <c r="D111" s="60">
        <f t="shared" ref="D111:V111" si="22">+IFERROR(IF(D73&gt;0,+((D73/D34)*100)," "),"")</f>
        <v>96.657378256361255</v>
      </c>
      <c r="E111" s="60">
        <f t="shared" si="22"/>
        <v>93.824841280438392</v>
      </c>
      <c r="F111" s="60">
        <f t="shared" si="22"/>
        <v>84.003640881616064</v>
      </c>
      <c r="G111" s="60">
        <f t="shared" si="22"/>
        <v>99.638469249423608</v>
      </c>
      <c r="H111" s="60">
        <f t="shared" si="22"/>
        <v>90.619809614806613</v>
      </c>
      <c r="I111" s="60">
        <f t="shared" si="22"/>
        <v>95.012314689762533</v>
      </c>
      <c r="J111" s="60">
        <f t="shared" si="22"/>
        <v>98.950151384102995</v>
      </c>
      <c r="K111" s="60">
        <f t="shared" si="22"/>
        <v>98.280332745671217</v>
      </c>
      <c r="L111" s="60">
        <f t="shared" si="22"/>
        <v>89.216811977010963</v>
      </c>
      <c r="M111" s="60">
        <f t="shared" si="22"/>
        <v>90.257300557818027</v>
      </c>
      <c r="N111" s="60">
        <f t="shared" si="22"/>
        <v>84.229050239005474</v>
      </c>
      <c r="O111" s="60">
        <f t="shared" si="22"/>
        <v>91.780826295724609</v>
      </c>
      <c r="P111" s="60">
        <f t="shared" si="22"/>
        <v>91.704479082795629</v>
      </c>
      <c r="Q111" s="60">
        <f t="shared" si="22"/>
        <v>92.662449534739352</v>
      </c>
      <c r="R111" s="60">
        <f t="shared" si="22"/>
        <v>93.981534901675985</v>
      </c>
      <c r="S111" s="60">
        <f t="shared" si="22"/>
        <v>96.388270679913106</v>
      </c>
      <c r="T111" s="60">
        <f t="shared" si="22"/>
        <v>98.250768732138667</v>
      </c>
      <c r="U111" s="60">
        <f t="shared" si="22"/>
        <v>98.429726901058316</v>
      </c>
      <c r="V111" s="60">
        <f t="shared" si="22"/>
        <v>92.707577251776286</v>
      </c>
    </row>
    <row r="112" spans="3:22" x14ac:dyDescent="0.2">
      <c r="C112" s="88" t="s">
        <v>144</v>
      </c>
      <c r="D112" s="62">
        <f t="shared" ref="D112:V112" si="23">+IFERROR(IF(D74&gt;0,+((D74/D35)*100)," "),"")</f>
        <v>98.121278107808337</v>
      </c>
      <c r="E112" s="62">
        <f t="shared" si="23"/>
        <v>97.111721859196663</v>
      </c>
      <c r="F112" s="62">
        <f t="shared" si="23"/>
        <v>97.638447484734982</v>
      </c>
      <c r="G112" s="62">
        <f t="shared" si="23"/>
        <v>99.404996752463276</v>
      </c>
      <c r="H112" s="62">
        <f t="shared" si="23"/>
        <v>99.136729475697265</v>
      </c>
      <c r="I112" s="62">
        <f t="shared" si="23"/>
        <v>99.797038151368753</v>
      </c>
      <c r="J112" s="62">
        <f t="shared" si="23"/>
        <v>98.759369858125112</v>
      </c>
      <c r="K112" s="62">
        <f t="shared" si="23"/>
        <v>99.102981727313363</v>
      </c>
      <c r="L112" s="62">
        <f t="shared" si="23"/>
        <v>98.723021636276499</v>
      </c>
      <c r="M112" s="62">
        <f t="shared" si="23"/>
        <v>99.121885520097081</v>
      </c>
      <c r="N112" s="62">
        <f t="shared" si="23"/>
        <v>97.840476790662592</v>
      </c>
      <c r="O112" s="62">
        <f t="shared" si="23"/>
        <v>95.411869613271946</v>
      </c>
      <c r="P112" s="62">
        <f t="shared" si="23"/>
        <v>95.077281970420842</v>
      </c>
      <c r="Q112" s="62">
        <f t="shared" si="23"/>
        <v>97.908167678158094</v>
      </c>
      <c r="R112" s="62">
        <f t="shared" si="23"/>
        <v>99.239921669522445</v>
      </c>
      <c r="S112" s="62">
        <f t="shared" si="23"/>
        <v>98.225941012057874</v>
      </c>
      <c r="T112" s="62">
        <f t="shared" si="23"/>
        <v>99.015378878067324</v>
      </c>
      <c r="U112" s="62">
        <f t="shared" si="23"/>
        <v>98.458764750132488</v>
      </c>
      <c r="V112" s="62">
        <f t="shared" si="23"/>
        <v>99.276332714781006</v>
      </c>
    </row>
    <row r="113" spans="3:22" x14ac:dyDescent="0.2">
      <c r="C113" s="87" t="s">
        <v>145</v>
      </c>
      <c r="D113" s="60">
        <f t="shared" ref="D113:V113" si="24">+IFERROR(IF(D75&gt;0,+((D75/D36)*100)," "),"")</f>
        <v>94.340267430838026</v>
      </c>
      <c r="E113" s="60">
        <f t="shared" si="24"/>
        <v>94.623108407648019</v>
      </c>
      <c r="F113" s="60">
        <f t="shared" si="24"/>
        <v>83.28265519042462</v>
      </c>
      <c r="G113" s="60">
        <f t="shared" si="24"/>
        <v>91.661294902748452</v>
      </c>
      <c r="H113" s="60">
        <f t="shared" si="24"/>
        <v>97.680224140661437</v>
      </c>
      <c r="I113" s="60">
        <f t="shared" si="24"/>
        <v>96.91205021238865</v>
      </c>
      <c r="J113" s="60">
        <f t="shared" si="24"/>
        <v>87.930785984318831</v>
      </c>
      <c r="K113" s="60">
        <f t="shared" si="24"/>
        <v>94.630315968398932</v>
      </c>
      <c r="L113" s="60">
        <f t="shared" si="24"/>
        <v>95.521067448664184</v>
      </c>
      <c r="M113" s="60">
        <f t="shared" si="24"/>
        <v>97.818149487694086</v>
      </c>
      <c r="N113" s="60">
        <f t="shared" si="24"/>
        <v>96.69013763733129</v>
      </c>
      <c r="O113" s="60">
        <f t="shared" si="24"/>
        <v>91.861582556779879</v>
      </c>
      <c r="P113" s="60">
        <f t="shared" si="24"/>
        <v>90.564870720656927</v>
      </c>
      <c r="Q113" s="60">
        <f t="shared" si="24"/>
        <v>87.854913566914917</v>
      </c>
      <c r="R113" s="60">
        <f t="shared" si="24"/>
        <v>94.17563488890714</v>
      </c>
      <c r="S113" s="60">
        <f t="shared" si="24"/>
        <v>92.080971345212788</v>
      </c>
      <c r="T113" s="60">
        <f t="shared" si="24"/>
        <v>94.994328527783949</v>
      </c>
      <c r="U113" s="60">
        <f t="shared" si="24"/>
        <v>96.253182148007539</v>
      </c>
      <c r="V113" s="60">
        <f t="shared" si="24"/>
        <v>97.620182849616469</v>
      </c>
    </row>
    <row r="114" spans="3:22" x14ac:dyDescent="0.2">
      <c r="C114" s="88" t="s">
        <v>146</v>
      </c>
      <c r="D114" s="62">
        <f t="shared" ref="D114:V114" si="25">+IFERROR(IF(D76&gt;0,+((D76/D37)*100)," "),"")</f>
        <v>93.089584025498468</v>
      </c>
      <c r="E114" s="62">
        <f t="shared" si="25"/>
        <v>93.70113889009032</v>
      </c>
      <c r="F114" s="62">
        <f t="shared" si="25"/>
        <v>92.976580430629284</v>
      </c>
      <c r="G114" s="62">
        <f t="shared" si="25"/>
        <v>98.763732984663577</v>
      </c>
      <c r="H114" s="62">
        <f t="shared" si="25"/>
        <v>90.363882117975081</v>
      </c>
      <c r="I114" s="62">
        <f t="shared" si="25"/>
        <v>90.080399123359228</v>
      </c>
      <c r="J114" s="62">
        <f t="shared" si="25"/>
        <v>94.856466803131454</v>
      </c>
      <c r="K114" s="62">
        <f t="shared" si="25"/>
        <v>87.120143260829437</v>
      </c>
      <c r="L114" s="62">
        <f t="shared" si="25"/>
        <v>90.323220770893258</v>
      </c>
      <c r="M114" s="62">
        <f t="shared" si="25"/>
        <v>94.444646766159664</v>
      </c>
      <c r="N114" s="62">
        <f t="shared" si="25"/>
        <v>89.295812879068549</v>
      </c>
      <c r="O114" s="62">
        <f t="shared" si="25"/>
        <v>97.052132975386968</v>
      </c>
      <c r="P114" s="62">
        <f t="shared" si="25"/>
        <v>96.726377982770813</v>
      </c>
      <c r="Q114" s="62">
        <f t="shared" si="25"/>
        <v>98.738463619835741</v>
      </c>
      <c r="R114" s="62">
        <f t="shared" si="25"/>
        <v>98.107165584939565</v>
      </c>
      <c r="S114" s="62">
        <f t="shared" si="25"/>
        <v>98.664110010361455</v>
      </c>
      <c r="T114" s="62">
        <f t="shared" si="25"/>
        <v>98.074174353056293</v>
      </c>
      <c r="U114" s="62">
        <f t="shared" si="25"/>
        <v>97.233402732494653</v>
      </c>
      <c r="V114" s="62">
        <f t="shared" si="25"/>
        <v>91.438403767003507</v>
      </c>
    </row>
    <row r="115" spans="3:22" x14ac:dyDescent="0.2">
      <c r="C115" s="90" t="s">
        <v>147</v>
      </c>
      <c r="D115" s="61">
        <f t="shared" ref="D115:V115" si="26">+IFERROR(IF(D77&gt;0,+((D77/D38)*100)," "),"")</f>
        <v>89.431923275116489</v>
      </c>
      <c r="E115" s="61">
        <f t="shared" si="26"/>
        <v>97.45614395436705</v>
      </c>
      <c r="F115" s="61">
        <f t="shared" si="26"/>
        <v>96.190589653608683</v>
      </c>
      <c r="G115" s="61">
        <f t="shared" si="26"/>
        <v>98.881002999456385</v>
      </c>
      <c r="H115" s="61">
        <f t="shared" si="26"/>
        <v>98.830412700385523</v>
      </c>
      <c r="I115" s="61">
        <f t="shared" si="26"/>
        <v>98.649748952638276</v>
      </c>
      <c r="J115" s="61">
        <f t="shared" si="26"/>
        <v>98.281565578049737</v>
      </c>
      <c r="K115" s="61">
        <f t="shared" si="26"/>
        <v>96.627344255515538</v>
      </c>
      <c r="L115" s="61">
        <f t="shared" si="26"/>
        <v>99.436371050209999</v>
      </c>
      <c r="M115" s="61">
        <f t="shared" si="26"/>
        <v>95.858362859204576</v>
      </c>
      <c r="N115" s="61">
        <f t="shared" si="26"/>
        <v>88.316570237271222</v>
      </c>
      <c r="O115" s="61">
        <f t="shared" si="26"/>
        <v>97.855076632520621</v>
      </c>
      <c r="P115" s="61">
        <f t="shared" si="26"/>
        <v>97.928542692916707</v>
      </c>
      <c r="Q115" s="61">
        <f t="shared" si="26"/>
        <v>98.199242127830402</v>
      </c>
      <c r="R115" s="61">
        <f t="shared" si="26"/>
        <v>97.654338702859221</v>
      </c>
      <c r="S115" s="61">
        <f t="shared" si="26"/>
        <v>98.684346159802303</v>
      </c>
      <c r="T115" s="61">
        <f t="shared" si="26"/>
        <v>99.573962420736095</v>
      </c>
      <c r="U115" s="61">
        <f t="shared" si="26"/>
        <v>99.587317658796451</v>
      </c>
      <c r="V115" s="61">
        <f t="shared" si="26"/>
        <v>95.736298892982958</v>
      </c>
    </row>
    <row r="116" spans="3:22" ht="22.5" customHeight="1" x14ac:dyDescent="0.2">
      <c r="C116" s="89" t="s">
        <v>148</v>
      </c>
      <c r="D116" s="63" t="str">
        <f t="shared" ref="D116:V116" si="27">+IFERROR(IF(D78&gt;0,+((D78/D39)*100)," "),"")</f>
        <v xml:space="preserve"> </v>
      </c>
      <c r="E116" s="63" t="str">
        <f t="shared" si="27"/>
        <v xml:space="preserve"> </v>
      </c>
      <c r="F116" s="63" t="str">
        <f t="shared" si="27"/>
        <v xml:space="preserve"> </v>
      </c>
      <c r="G116" s="63" t="str">
        <f t="shared" si="27"/>
        <v xml:space="preserve"> </v>
      </c>
      <c r="H116" s="63" t="str">
        <f t="shared" si="27"/>
        <v xml:space="preserve"> </v>
      </c>
      <c r="I116" s="63" t="str">
        <f t="shared" si="27"/>
        <v xml:space="preserve"> </v>
      </c>
      <c r="J116" s="63" t="str">
        <f t="shared" si="27"/>
        <v xml:space="preserve"> </v>
      </c>
      <c r="K116" s="63" t="str">
        <f t="shared" si="27"/>
        <v xml:space="preserve"> </v>
      </c>
      <c r="L116" s="63" t="str">
        <f t="shared" si="27"/>
        <v xml:space="preserve"> </v>
      </c>
      <c r="M116" s="63" t="str">
        <f t="shared" si="27"/>
        <v xml:space="preserve"> </v>
      </c>
      <c r="N116" s="63" t="str">
        <f t="shared" si="27"/>
        <v xml:space="preserve"> </v>
      </c>
      <c r="O116" s="63" t="str">
        <f t="shared" si="27"/>
        <v xml:space="preserve"> </v>
      </c>
      <c r="P116" s="63" t="str">
        <f t="shared" si="27"/>
        <v xml:space="preserve"> </v>
      </c>
      <c r="Q116" s="63" t="str">
        <f t="shared" si="27"/>
        <v xml:space="preserve"> </v>
      </c>
      <c r="R116" s="63" t="str">
        <f t="shared" si="27"/>
        <v xml:space="preserve"> </v>
      </c>
      <c r="S116" s="63" t="str">
        <f t="shared" si="27"/>
        <v xml:space="preserve"> </v>
      </c>
      <c r="T116" s="63" t="str">
        <f t="shared" si="27"/>
        <v xml:space="preserve"> </v>
      </c>
      <c r="U116" s="63">
        <f t="shared" si="27"/>
        <v>59.926249401054143</v>
      </c>
      <c r="V116" s="63">
        <f t="shared" si="27"/>
        <v>83.48917069250092</v>
      </c>
    </row>
    <row r="117" spans="3:22" x14ac:dyDescent="0.2">
      <c r="C117" s="87" t="s">
        <v>149</v>
      </c>
      <c r="D117" s="60">
        <f t="shared" ref="D117:V117" si="28">+IFERROR(IF(D79&gt;0,+((D79/D40)*100)," "),"")</f>
        <v>58.401538024891984</v>
      </c>
      <c r="E117" s="60">
        <f t="shared" si="28"/>
        <v>64.134091626812918</v>
      </c>
      <c r="F117" s="60">
        <f t="shared" si="28"/>
        <v>67.529597193351449</v>
      </c>
      <c r="G117" s="60">
        <f t="shared" si="28"/>
        <v>68.235321914232856</v>
      </c>
      <c r="H117" s="60">
        <f t="shared" si="28"/>
        <v>71.078580767856863</v>
      </c>
      <c r="I117" s="60">
        <f t="shared" si="28"/>
        <v>62.180141901666232</v>
      </c>
      <c r="J117" s="60">
        <f t="shared" si="28"/>
        <v>68.498914587681909</v>
      </c>
      <c r="K117" s="60">
        <f t="shared" si="28"/>
        <v>78.990283310717729</v>
      </c>
      <c r="L117" s="60">
        <f t="shared" si="28"/>
        <v>81.105059028430887</v>
      </c>
      <c r="M117" s="60">
        <f t="shared" si="28"/>
        <v>71.321977237948573</v>
      </c>
      <c r="N117" s="60">
        <f t="shared" si="28"/>
        <v>83.000531007486643</v>
      </c>
      <c r="O117" s="60">
        <f t="shared" si="28"/>
        <v>85.964048403567432</v>
      </c>
      <c r="P117" s="60">
        <f t="shared" si="28"/>
        <v>95.378043658713381</v>
      </c>
      <c r="Q117" s="60">
        <f t="shared" si="28"/>
        <v>87.919041228618838</v>
      </c>
      <c r="R117" s="60">
        <f t="shared" si="28"/>
        <v>91.073368128163494</v>
      </c>
      <c r="S117" s="60">
        <f t="shared" si="28"/>
        <v>92.72790701375088</v>
      </c>
      <c r="T117" s="60">
        <f t="shared" si="28"/>
        <v>97.422418342120835</v>
      </c>
      <c r="U117" s="60">
        <f t="shared" si="28"/>
        <v>98.146802275787209</v>
      </c>
      <c r="V117" s="60">
        <f t="shared" si="28"/>
        <v>90.4340427609107</v>
      </c>
    </row>
    <row r="118" spans="3:22" x14ac:dyDescent="0.2">
      <c r="C118" s="88" t="s">
        <v>150</v>
      </c>
      <c r="D118" s="62">
        <f t="shared" ref="D118:V118" si="29">+IFERROR(IF(D80&gt;0,+((D80/D41)*100)," "),"")</f>
        <v>76.924401414540029</v>
      </c>
      <c r="E118" s="62">
        <f t="shared" si="29"/>
        <v>89.139722291474783</v>
      </c>
      <c r="F118" s="62">
        <f t="shared" si="29"/>
        <v>84.800077572056665</v>
      </c>
      <c r="G118" s="62">
        <f t="shared" si="29"/>
        <v>97.396832228886268</v>
      </c>
      <c r="H118" s="62">
        <f t="shared" si="29"/>
        <v>96.257013793920791</v>
      </c>
      <c r="I118" s="62">
        <f t="shared" si="29"/>
        <v>97.336688202530482</v>
      </c>
      <c r="J118" s="62">
        <f t="shared" si="29"/>
        <v>84.836704877252089</v>
      </c>
      <c r="K118" s="62">
        <f t="shared" si="29"/>
        <v>95.772892035696998</v>
      </c>
      <c r="L118" s="62">
        <f t="shared" si="29"/>
        <v>96.633532432214167</v>
      </c>
      <c r="M118" s="62">
        <f t="shared" si="29"/>
        <v>94.435313604987741</v>
      </c>
      <c r="N118" s="62">
        <f t="shared" si="29"/>
        <v>90.970386381042886</v>
      </c>
      <c r="O118" s="62">
        <f t="shared" si="29"/>
        <v>94.145860480174235</v>
      </c>
      <c r="P118" s="62">
        <f t="shared" si="29"/>
        <v>94.758275218798033</v>
      </c>
      <c r="Q118" s="62">
        <f t="shared" si="29"/>
        <v>98.336045111173945</v>
      </c>
      <c r="R118" s="62">
        <f t="shared" si="29"/>
        <v>97.841863847117821</v>
      </c>
      <c r="S118" s="62">
        <f t="shared" si="29"/>
        <v>97.305862671277325</v>
      </c>
      <c r="T118" s="62">
        <f t="shared" si="29"/>
        <v>99.203259339932472</v>
      </c>
      <c r="U118" s="62">
        <f t="shared" si="29"/>
        <v>97.621385982180882</v>
      </c>
      <c r="V118" s="62">
        <f t="shared" si="29"/>
        <v>98.57779047917731</v>
      </c>
    </row>
    <row r="119" spans="3:22" x14ac:dyDescent="0.2">
      <c r="C119" s="88" t="s">
        <v>151</v>
      </c>
      <c r="D119" s="60">
        <f t="shared" ref="D119:V119" si="30">+IFERROR(IF(D81&gt;0,+((D81/D42)*100)," "),"")</f>
        <v>92.531256908155726</v>
      </c>
      <c r="E119" s="60">
        <f t="shared" si="30"/>
        <v>87.423830295900885</v>
      </c>
      <c r="F119" s="60">
        <f t="shared" si="30"/>
        <v>84.277091443160401</v>
      </c>
      <c r="G119" s="60">
        <f t="shared" si="30"/>
        <v>91.649118787982289</v>
      </c>
      <c r="H119" s="60">
        <f t="shared" si="30"/>
        <v>94.529850469230155</v>
      </c>
      <c r="I119" s="60">
        <f t="shared" si="30"/>
        <v>98.318719166304362</v>
      </c>
      <c r="J119" s="60">
        <f t="shared" si="30"/>
        <v>90.773636496085302</v>
      </c>
      <c r="K119" s="60">
        <f t="shared" si="30"/>
        <v>96.270718955677296</v>
      </c>
      <c r="L119" s="60">
        <f t="shared" si="30"/>
        <v>98.715421457354253</v>
      </c>
      <c r="M119" s="60">
        <f t="shared" si="30"/>
        <v>96.968902869468181</v>
      </c>
      <c r="N119" s="60">
        <f t="shared" si="30"/>
        <v>99.363077617936952</v>
      </c>
      <c r="O119" s="60">
        <f t="shared" si="30"/>
        <v>98.598664817522305</v>
      </c>
      <c r="P119" s="60">
        <f t="shared" si="30"/>
        <v>99.632081297774576</v>
      </c>
      <c r="Q119" s="60">
        <f t="shared" si="30"/>
        <v>98.815538735823822</v>
      </c>
      <c r="R119" s="60">
        <f t="shared" si="30"/>
        <v>99.581830615260969</v>
      </c>
      <c r="S119" s="60">
        <f t="shared" si="30"/>
        <v>99.576664667962945</v>
      </c>
      <c r="T119" s="60">
        <f t="shared" si="30"/>
        <v>99.718791329841579</v>
      </c>
      <c r="U119" s="60">
        <f t="shared" si="30"/>
        <v>99.934022095052129</v>
      </c>
      <c r="V119" s="60">
        <f t="shared" si="30"/>
        <v>99.635748584689026</v>
      </c>
    </row>
    <row r="120" spans="3:22" x14ac:dyDescent="0.2">
      <c r="C120" s="91" t="s">
        <v>154</v>
      </c>
      <c r="D120" s="74">
        <f t="shared" ref="D120:V120" si="31">+IFERROR(IF(D82&gt;0,+((D82/D43)*100)," "),"")</f>
        <v>91.663497333888301</v>
      </c>
      <c r="E120" s="74">
        <f t="shared" si="31"/>
        <v>94.925629201240156</v>
      </c>
      <c r="F120" s="74">
        <f t="shared" si="31"/>
        <v>94.910793809708267</v>
      </c>
      <c r="G120" s="74">
        <f t="shared" si="31"/>
        <v>98.105090287411514</v>
      </c>
      <c r="H120" s="74">
        <f t="shared" si="31"/>
        <v>97.929025518567187</v>
      </c>
      <c r="I120" s="74">
        <f t="shared" si="31"/>
        <v>97.309823146410196</v>
      </c>
      <c r="J120" s="74">
        <f t="shared" si="31"/>
        <v>96.720117087104271</v>
      </c>
      <c r="K120" s="74">
        <f t="shared" si="31"/>
        <v>93.684843028427849</v>
      </c>
      <c r="L120" s="74">
        <f t="shared" si="31"/>
        <v>97.498605643169626</v>
      </c>
      <c r="M120" s="74">
        <f t="shared" si="31"/>
        <v>94.174685424177127</v>
      </c>
      <c r="N120" s="74">
        <f t="shared" si="31"/>
        <v>92.353522252724488</v>
      </c>
      <c r="O120" s="74">
        <f t="shared" si="31"/>
        <v>97.10686540453429</v>
      </c>
      <c r="P120" s="74">
        <f t="shared" si="31"/>
        <v>96.739979341122933</v>
      </c>
      <c r="Q120" s="74">
        <f t="shared" si="31"/>
        <v>96.2300295569583</v>
      </c>
      <c r="R120" s="74">
        <f t="shared" si="31"/>
        <v>95.342482730944454</v>
      </c>
      <c r="S120" s="74">
        <f t="shared" si="31"/>
        <v>97.525157681328992</v>
      </c>
      <c r="T120" s="74">
        <f t="shared" si="31"/>
        <v>98.47790330160403</v>
      </c>
      <c r="U120" s="74">
        <f t="shared" si="31"/>
        <v>98.895210878411888</v>
      </c>
      <c r="V120" s="74">
        <f t="shared" si="31"/>
        <v>97.137285689848071</v>
      </c>
    </row>
    <row r="121" spans="3:22" x14ac:dyDescent="0.2">
      <c r="C121" s="1" t="s">
        <v>52</v>
      </c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</row>
    <row r="122" spans="3:22" x14ac:dyDescent="0.2"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</row>
    <row r="126" spans="3:22" ht="18" customHeight="1" x14ac:dyDescent="0.2">
      <c r="D126" s="160" t="s">
        <v>156</v>
      </c>
      <c r="E126" s="158"/>
      <c r="F126" s="158"/>
      <c r="G126" s="158"/>
      <c r="H126" s="158"/>
      <c r="I126" s="158"/>
      <c r="J126" s="158"/>
      <c r="K126" s="158"/>
      <c r="L126" s="158"/>
      <c r="M126" s="158"/>
      <c r="N126" s="158"/>
      <c r="O126" s="158"/>
      <c r="P126" s="158"/>
      <c r="Q126" s="158"/>
      <c r="R126" s="158"/>
      <c r="S126" s="158"/>
      <c r="T126" s="158"/>
      <c r="U126" s="158"/>
      <c r="V126" s="158"/>
    </row>
    <row r="127" spans="3:22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</row>
    <row r="128" spans="3:22" x14ac:dyDescent="0.2">
      <c r="C128" s="177" t="s">
        <v>120</v>
      </c>
      <c r="D128" s="153">
        <v>2000</v>
      </c>
      <c r="E128" s="153">
        <v>2001</v>
      </c>
      <c r="F128" s="153">
        <v>2002</v>
      </c>
      <c r="G128" s="153">
        <v>2003</v>
      </c>
      <c r="H128" s="153">
        <v>2004</v>
      </c>
      <c r="I128" s="153">
        <v>2005</v>
      </c>
      <c r="J128" s="153">
        <v>2006</v>
      </c>
      <c r="K128" s="153">
        <v>2007</v>
      </c>
      <c r="L128" s="153">
        <v>2008</v>
      </c>
      <c r="M128" s="153">
        <v>2009</v>
      </c>
      <c r="N128" s="153">
        <v>2010</v>
      </c>
      <c r="O128" s="153">
        <v>2011</v>
      </c>
      <c r="P128" s="153">
        <v>2012</v>
      </c>
      <c r="Q128" s="153">
        <v>2013</v>
      </c>
      <c r="R128" s="153">
        <v>2014</v>
      </c>
      <c r="S128" s="153">
        <v>2015</v>
      </c>
      <c r="T128" s="153">
        <v>2016</v>
      </c>
      <c r="U128" s="153">
        <v>2017</v>
      </c>
      <c r="V128" s="153">
        <v>2018</v>
      </c>
    </row>
    <row r="129" spans="3:22" ht="12" customHeight="1" thickBot="1" x14ac:dyDescent="0.25">
      <c r="C129" s="156"/>
      <c r="D129" s="154"/>
      <c r="E129" s="154"/>
      <c r="F129" s="154"/>
      <c r="G129" s="154"/>
      <c r="H129" s="154"/>
      <c r="I129" s="154"/>
      <c r="J129" s="154"/>
      <c r="K129" s="154"/>
      <c r="L129" s="154"/>
      <c r="M129" s="154"/>
      <c r="N129" s="154"/>
      <c r="O129" s="154"/>
      <c r="P129" s="154"/>
      <c r="Q129" s="154"/>
      <c r="R129" s="154"/>
      <c r="S129" s="154"/>
      <c r="T129" s="154"/>
      <c r="U129" s="154"/>
      <c r="V129" s="154"/>
    </row>
    <row r="130" spans="3:22" x14ac:dyDescent="0.2">
      <c r="C130" s="87" t="s">
        <v>123</v>
      </c>
      <c r="D130" s="56">
        <f>429.881704723679*Deflactores!$A$5</f>
        <v>1560.7109472771879</v>
      </c>
      <c r="E130" s="56">
        <f>490.80325449054*Deflactores!$B$5</f>
        <v>1655.2887221953388</v>
      </c>
      <c r="F130" s="56">
        <f>486.59422009792*Deflactores!$C$5</f>
        <v>1533.8490093947198</v>
      </c>
      <c r="G130" s="56">
        <f>402.82249828343*Deflactores!$D$5</f>
        <v>1192.3808762523461</v>
      </c>
      <c r="H130" s="56">
        <f>473.503070259239*Deflactores!$E$5</f>
        <v>1328.5687828865641</v>
      </c>
      <c r="I130" s="56">
        <f>562.83443013007*Deflactores!$F$5</f>
        <v>1506.093975007451</v>
      </c>
      <c r="J130" s="56">
        <f>828.504154808289*Deflactores!$G$5</f>
        <v>2121.9808954335335</v>
      </c>
      <c r="K130" s="56">
        <f>1323.37715782867*Deflactores!$H$5</f>
        <v>3206.846584678995</v>
      </c>
      <c r="L130" s="56">
        <f>1836.26537377456*Deflactores!$I$5</f>
        <v>4132.5455528151351</v>
      </c>
      <c r="M130" s="56">
        <f>1426.92444237967*Deflactores!$J$5</f>
        <v>3148.2942201664159</v>
      </c>
      <c r="N130" s="56">
        <f>1381.20745628346*Deflactores!$K$5</f>
        <v>2953.7563858290082</v>
      </c>
      <c r="O130" s="56">
        <f>1358.40526373977*Deflactores!$L$5</f>
        <v>2800.6227728173403</v>
      </c>
      <c r="P130" s="56">
        <f>1924.61744224519*Deflactores!$M$5</f>
        <v>3873.469205974809</v>
      </c>
      <c r="Q130" s="56">
        <f>3292.56244609767*Deflactores!$N$5</f>
        <v>6500.4748374135861</v>
      </c>
      <c r="R130" s="56">
        <f>3160.98107844414*Deflactores!$O$5</f>
        <v>6020.3501737450233</v>
      </c>
      <c r="S130" s="56">
        <f>3357.48107761483*Deflactores!$P$5</f>
        <v>5989.1361722960273</v>
      </c>
      <c r="T130" s="56">
        <f>2091.66450243384*Deflactores!$Q$5</f>
        <v>3528.2736709438936</v>
      </c>
      <c r="U130" s="56">
        <f>2609.70055863176*Deflactores!$R$5</f>
        <v>4229.1384971063808</v>
      </c>
      <c r="V130" s="56">
        <f>1469.3802570929*Deflactores!$S$5</f>
        <v>2307.8092301651063</v>
      </c>
    </row>
    <row r="131" spans="3:22" x14ac:dyDescent="0.2">
      <c r="C131" s="88" t="s">
        <v>124</v>
      </c>
      <c r="D131" s="57">
        <f>108.37842327659*Deflactores!$A$5</f>
        <v>393.47427396367107</v>
      </c>
      <c r="E131" s="57">
        <f>121.97266224643*Deflactores!$B$5</f>
        <v>411.36640881126903</v>
      </c>
      <c r="F131" s="57">
        <f>129.36534431462*Deflactores!$C$5</f>
        <v>407.7872219424558</v>
      </c>
      <c r="G131" s="57">
        <f>152.52945664975*Deflactores!$D$5</f>
        <v>451.49714315697258</v>
      </c>
      <c r="H131" s="57">
        <f>153.7958462645*Deflactores!$E$5</f>
        <v>431.52488995006473</v>
      </c>
      <c r="I131" s="57">
        <f>183.14174807302*Deflactores!$F$5</f>
        <v>490.070735866966</v>
      </c>
      <c r="J131" s="57">
        <f>241.0765222609*Deflactores!$G$5</f>
        <v>617.44986021652323</v>
      </c>
      <c r="K131" s="57">
        <f>496.49128983745*Deflactores!$H$5</f>
        <v>1203.1123461058141</v>
      </c>
      <c r="L131" s="57">
        <f>1434.89655056236*Deflactores!$I$5</f>
        <v>3229.2583868677052</v>
      </c>
      <c r="M131" s="57">
        <f>1615.10080195945*Deflactores!$J$5</f>
        <v>3563.4770621177254</v>
      </c>
      <c r="N131" s="57">
        <f>1784.03180220426*Deflactores!$K$5</f>
        <v>3815.2091521879302</v>
      </c>
      <c r="O131" s="57">
        <f>1344.48848260917*Deflactores!$L$5</f>
        <v>2771.9305590877125</v>
      </c>
      <c r="P131" s="57">
        <f>338.710342855281*Deflactores!$M$5</f>
        <v>681.68564515584296</v>
      </c>
      <c r="Q131" s="57">
        <f>406.014628324149*Deflactores!$N$5</f>
        <v>801.59083335565344</v>
      </c>
      <c r="R131" s="57">
        <f>445.359830315291*Deflactores!$O$5</f>
        <v>848.22466989819338</v>
      </c>
      <c r="S131" s="57">
        <f>491.209815553426*Deflactores!$P$5</f>
        <v>876.22905580389397</v>
      </c>
      <c r="T131" s="57">
        <f>511.605439730416*Deflactores!$Q$5</f>
        <v>862.98926085522896</v>
      </c>
      <c r="U131" s="57">
        <f>560.88394327959*Deflactores!$R$5</f>
        <v>908.93795040462078</v>
      </c>
      <c r="V131" s="57">
        <f>548.4591096321*Deflactores!$S$5</f>
        <v>861.41010093690909</v>
      </c>
    </row>
    <row r="132" spans="3:22" x14ac:dyDescent="0.2">
      <c r="C132" s="87" t="s">
        <v>125</v>
      </c>
      <c r="D132" s="56">
        <f>29.856069884*Deflactores!$A$5</f>
        <v>108.3942270597051</v>
      </c>
      <c r="E132" s="56">
        <f>39.45256639898*Deflactores!$B$5</f>
        <v>133.0581808991511</v>
      </c>
      <c r="F132" s="56">
        <f>30.27030615067*Deflactores!$C$5</f>
        <v>95.418476392787184</v>
      </c>
      <c r="G132" s="56">
        <f>18.0033934463*Deflactores!$D$5</f>
        <v>53.291219195782375</v>
      </c>
      <c r="H132" s="56">
        <f>41.9360459324899*Deflactores!$E$5</f>
        <v>117.66538593530068</v>
      </c>
      <c r="I132" s="56">
        <f>43.43608343066*Deflactores!$F$5</f>
        <v>116.23102648094897</v>
      </c>
      <c r="J132" s="56">
        <f>44.5943188486*Deflactores!$G$5</f>
        <v>114.21583355064425</v>
      </c>
      <c r="K132" s="56">
        <f>113.75462952097*Deflactores!$H$5</f>
        <v>275.65357540950902</v>
      </c>
      <c r="L132" s="56">
        <f>179.610452191649*Deflactores!$I$5</f>
        <v>404.21628923818122</v>
      </c>
      <c r="M132" s="56">
        <f>183.27324508815*Deflactores!$J$5</f>
        <v>404.36485709075856</v>
      </c>
      <c r="N132" s="56">
        <f>334.97356513327*Deflactores!$K$5</f>
        <v>716.35169836011107</v>
      </c>
      <c r="O132" s="56">
        <f>360.75645416604*Deflactores!$L$5</f>
        <v>743.77122052421487</v>
      </c>
      <c r="P132" s="56">
        <f>386.60125251066*Deflactores!$M$5</f>
        <v>778.07049532109443</v>
      </c>
      <c r="Q132" s="56">
        <f>414.577178760319*Deflactores!$N$5</f>
        <v>818.49579554410843</v>
      </c>
      <c r="R132" s="56">
        <f>357.03357931108*Deflactores!$O$5</f>
        <v>680.00001198876294</v>
      </c>
      <c r="S132" s="56">
        <f>348.128329310249*Deflactores!$P$5</f>
        <v>620.9976829278753</v>
      </c>
      <c r="T132" s="56">
        <f>301.586931166029*Deflactores!$Q$5</f>
        <v>508.72461979237789</v>
      </c>
      <c r="U132" s="56">
        <f>378.871483558729*Deflactores!$R$5</f>
        <v>613.97847782739404</v>
      </c>
      <c r="V132" s="56">
        <f>269.02530627727*Deflactores!$S$5</f>
        <v>422.53125559412308</v>
      </c>
    </row>
    <row r="133" spans="3:22" x14ac:dyDescent="0.2">
      <c r="C133" s="88" t="s">
        <v>126</v>
      </c>
      <c r="D133" s="57">
        <f>197.4805388739*Deflactores!$A$5</f>
        <v>716.96477311777301</v>
      </c>
      <c r="E133" s="57">
        <f>210.607853772159*Deflactores!$B$5</f>
        <v>710.29847900395134</v>
      </c>
      <c r="F133" s="57">
        <f>190.406928950409*Deflactores!$C$5</f>
        <v>600.20334662771722</v>
      </c>
      <c r="G133" s="57">
        <f>168.730541410209*Deflactores!$D$5</f>
        <v>499.45341105470658</v>
      </c>
      <c r="H133" s="57">
        <f>161.999898405629*Deflactores!$E$5</f>
        <v>454.54405973477219</v>
      </c>
      <c r="I133" s="57">
        <f>182.33857839198*Deflactores!$F$5</f>
        <v>487.9215265209005</v>
      </c>
      <c r="J133" s="57">
        <f>274.4297574834*Deflactores!$G$5</f>
        <v>702.87481256262561</v>
      </c>
      <c r="K133" s="57">
        <f>304.933874659329*Deflactores!$H$5</f>
        <v>738.92476435716276</v>
      </c>
      <c r="L133" s="57">
        <f>299.23417933084*Deflactores!$I$5</f>
        <v>673.43146296008513</v>
      </c>
      <c r="M133" s="57">
        <f>440.683008706649*Deflactores!$J$5</f>
        <v>972.30079465380413</v>
      </c>
      <c r="N133" s="57">
        <f>423.42762165388*Deflactores!$K$5</f>
        <v>905.51353144437451</v>
      </c>
      <c r="O133" s="57">
        <f>528.40262953367*Deflactores!$L$5</f>
        <v>1089.4071725064055</v>
      </c>
      <c r="P133" s="57">
        <f>744.315371807979*Deflactores!$M$5</f>
        <v>1498.0029843585933</v>
      </c>
      <c r="Q133" s="57">
        <f>1015.651671189*Deflactores!$N$5</f>
        <v>2005.1914702380425</v>
      </c>
      <c r="R133" s="57">
        <f>832.583352899177*Deflactores!$O$5</f>
        <v>1585.7239283921745</v>
      </c>
      <c r="S133" s="57">
        <f>851.642502789559*Deflactores!$P$5</f>
        <v>1519.1754775115992</v>
      </c>
      <c r="T133" s="57">
        <f>826.15753980406*Deflactores!$Q$5</f>
        <v>1393.5838622067195</v>
      </c>
      <c r="U133" s="57">
        <f>964.82128030176*Deflactores!$R$5</f>
        <v>1563.5367842703506</v>
      </c>
      <c r="V133" s="57">
        <f>741.60920996869*Deflactores!$S$5</f>
        <v>1164.7717271819774</v>
      </c>
    </row>
    <row r="134" spans="3:22" x14ac:dyDescent="0.2">
      <c r="C134" s="87" t="s">
        <v>127</v>
      </c>
      <c r="D134" s="56">
        <f>168.145621939619*Deflactores!$A$5</f>
        <v>610.46262265703615</v>
      </c>
      <c r="E134" s="56">
        <f>180.690713609919*Deflactores!$B$5</f>
        <v>609.39958671299246</v>
      </c>
      <c r="F134" s="56">
        <f>184.05198404973*Deflactores!$C$5</f>
        <v>580.17120169450584</v>
      </c>
      <c r="G134" s="56">
        <f>210.33975556671*Deflactores!$D$5</f>
        <v>622.61939966637351</v>
      </c>
      <c r="H134" s="56">
        <f>215.22518708014*Deflactores!$E$5</f>
        <v>603.88513360440106</v>
      </c>
      <c r="I134" s="56">
        <f>236.83228545257*Deflactores!$F$5</f>
        <v>633.74175265882309</v>
      </c>
      <c r="J134" s="56">
        <f>283.22669989996*Deflactores!$G$5</f>
        <v>725.4057119405395</v>
      </c>
      <c r="K134" s="56">
        <f>281.94951835113*Deflactores!$H$5</f>
        <v>683.2283938312213</v>
      </c>
      <c r="L134" s="56">
        <f>303.85727323989*Deflactores!$I$5</f>
        <v>683.83581216088692</v>
      </c>
      <c r="M134" s="56">
        <f>330.79597615344*Deflactores!$J$5</f>
        <v>729.85158067751422</v>
      </c>
      <c r="N134" s="56">
        <f>357.08557373496*Deflactores!$K$5</f>
        <v>763.63893701033726</v>
      </c>
      <c r="O134" s="56">
        <f>360.815398523639*Deflactores!$L$5</f>
        <v>743.89274604728769</v>
      </c>
      <c r="P134" s="56">
        <f>373.405928492964*Deflactores!$M$5</f>
        <v>751.51369492871083</v>
      </c>
      <c r="Q134" s="56">
        <f>423.265552748943*Deflactores!$N$5</f>
        <v>835.64916997988473</v>
      </c>
      <c r="R134" s="56">
        <f>450.194806717395*Deflactores!$O$5</f>
        <v>857.43328276239549</v>
      </c>
      <c r="S134" s="56">
        <f>465.187670096266*Deflactores!$P$5</f>
        <v>829.81027665504996</v>
      </c>
      <c r="T134" s="56">
        <f>498.152825365204*Deflactores!$Q$5</f>
        <v>840.29704371672051</v>
      </c>
      <c r="U134" s="56">
        <f>545.5624354178*Deflactores!$R$5</f>
        <v>884.10874978323352</v>
      </c>
      <c r="V134" s="56">
        <f>542.03879845239*Deflactores!$S$5</f>
        <v>851.32635758351637</v>
      </c>
    </row>
    <row r="135" spans="3:22" x14ac:dyDescent="0.2">
      <c r="C135" s="88" t="s">
        <v>128</v>
      </c>
      <c r="D135" s="57">
        <f>48.9840438634*Deflactores!$A$5</f>
        <v>177.83946760110462</v>
      </c>
      <c r="E135" s="57">
        <f>56.63122099569*Deflactores!$B$5</f>
        <v>190.99510971177631</v>
      </c>
      <c r="F135" s="57">
        <f>50.24047122172*Deflactores!$C$5</f>
        <v>158.3687060636513</v>
      </c>
      <c r="G135" s="57">
        <f>57.4651589667399*Deflactores!$D$5</f>
        <v>170.10061973879638</v>
      </c>
      <c r="H135" s="57">
        <f>77.33331708343*Deflactores!$E$5</f>
        <v>216.98408607543473</v>
      </c>
      <c r="I135" s="57">
        <f>88.9900776445299*Deflactores!$F$5</f>
        <v>238.12939045839511</v>
      </c>
      <c r="J135" s="57">
        <f>110.922520924169*Deflactores!$G$5</f>
        <v>284.09690996525842</v>
      </c>
      <c r="K135" s="57">
        <f>130.360003038789*Deflactores!$H$5</f>
        <v>315.89220657971009</v>
      </c>
      <c r="L135" s="57">
        <f>165.51569829527*Deflactores!$I$5</f>
        <v>372.49581279485869</v>
      </c>
      <c r="M135" s="57">
        <f>170.94684087137*Deflactores!$J$5</f>
        <v>377.16849966737249</v>
      </c>
      <c r="N135" s="57">
        <f>193.75324249166*Deflactores!$K$5</f>
        <v>414.34751505378938</v>
      </c>
      <c r="O135" s="57">
        <f>218.09609806903*Deflactores!$L$5</f>
        <v>449.64850712750291</v>
      </c>
      <c r="P135" s="57">
        <f>328.444887825649*Deflactores!$M$5</f>
        <v>661.0254749475688</v>
      </c>
      <c r="Q135" s="57">
        <f>388.5007387064*Deflactores!$N$5</f>
        <v>767.01332704279696</v>
      </c>
      <c r="R135" s="57">
        <f>384.142693237799*Deflactores!$O$5</f>
        <v>731.63156393058205</v>
      </c>
      <c r="S135" s="57">
        <f>432.82742000122*Deflactores!$P$5</f>
        <v>772.08547049576418</v>
      </c>
      <c r="T135" s="57">
        <f>374.456334155979*Deflactores!$Q$5</f>
        <v>631.64260959795047</v>
      </c>
      <c r="U135" s="57">
        <f>376.64350993671*Deflactores!$R$5</f>
        <v>610.36794519971284</v>
      </c>
      <c r="V135" s="57">
        <f>367.160403686449*Deflactores!$S$5</f>
        <v>576.66227954848694</v>
      </c>
    </row>
    <row r="136" spans="3:22" x14ac:dyDescent="0.2">
      <c r="C136" s="87" t="s">
        <v>129</v>
      </c>
      <c r="D136" s="56">
        <f>6282.2037637656*Deflactores!$A$5</f>
        <v>22807.912221891907</v>
      </c>
      <c r="E136" s="56">
        <f>7019.58090669603*Deflactores!$B$5</f>
        <v>23674.319603794782</v>
      </c>
      <c r="F136" s="56">
        <f>7927.23254633975*Deflactores!$C$5</f>
        <v>24988.331727405126</v>
      </c>
      <c r="G136" s="56">
        <f>8778.65963518517*Deflactores!$D$5</f>
        <v>25985.405265914789</v>
      </c>
      <c r="H136" s="56">
        <f>9927.32672568568*Deflactores!$E$5</f>
        <v>27854.384086761129</v>
      </c>
      <c r="I136" s="56">
        <f>10791.526221956*Deflactores!$F$5</f>
        <v>28877.147086163157</v>
      </c>
      <c r="J136" s="56">
        <f>12000.6723015822*Deflactores!$G$5</f>
        <v>30736.354438932536</v>
      </c>
      <c r="K136" s="56">
        <f>14334.2395219358*Deflactores!$H$5</f>
        <v>34735.152245118064</v>
      </c>
      <c r="L136" s="56">
        <f>18108.2106897709*Deflactores!$I$5</f>
        <v>40752.827246112167</v>
      </c>
      <c r="M136" s="56">
        <f>19546.5990085397*Deflactores!$J$5</f>
        <v>43126.631554414322</v>
      </c>
      <c r="N136" s="56">
        <f>19959.6618755118*Deflactores!$K$5</f>
        <v>42684.376235861753</v>
      </c>
      <c r="O136" s="56">
        <f>20991.3111776213*Deflactores!$L$5</f>
        <v>43277.765247679112</v>
      </c>
      <c r="P136" s="56">
        <f>23208.0713011206*Deflactores!$M$5</f>
        <v>46708.373072878931</v>
      </c>
      <c r="Q136" s="56">
        <f>25632.5115532229*Deflactores!$N$5</f>
        <v>50606.024668999038</v>
      </c>
      <c r="R136" s="56">
        <f>26141.4025798603*Deflactores!$O$5</f>
        <v>49788.465561161924</v>
      </c>
      <c r="S136" s="56">
        <f>26474.4600711582*Deflactores!$P$5</f>
        <v>47225.626232515227</v>
      </c>
      <c r="T136" s="56">
        <f>28407.9990563307*Deflactores!$Q$5</f>
        <v>47919.346050966858</v>
      </c>
      <c r="U136" s="56">
        <f>29574.074535266*Deflactores!$R$5</f>
        <v>47926.133410095674</v>
      </c>
      <c r="V136" s="56">
        <f>30006.7067125534*Deflactores!$S$5</f>
        <v>47128.545782352754</v>
      </c>
    </row>
    <row r="137" spans="3:22" x14ac:dyDescent="0.2">
      <c r="C137" s="88" t="s">
        <v>130</v>
      </c>
      <c r="D137" s="57">
        <f>34.607287836*Deflactores!$A$5</f>
        <v>125.64380476702512</v>
      </c>
      <c r="E137" s="57">
        <f>52.82939830755*Deflactores!$B$5</f>
        <v>178.17303862344002</v>
      </c>
      <c r="F137" s="57">
        <f>25.2892087092399*Deflactores!$C$5</f>
        <v>79.71699236221518</v>
      </c>
      <c r="G137" s="57">
        <f>25.44539947619*Deflactores!$D$5</f>
        <v>75.320042582781625</v>
      </c>
      <c r="H137" s="57">
        <f>73.3776347595799*Deflactores!$E$5</f>
        <v>205.8851167538501</v>
      </c>
      <c r="I137" s="57">
        <f>63.51004130515*Deflactores!$F$5</f>
        <v>169.94712022158228</v>
      </c>
      <c r="J137" s="57">
        <f>94.6572923666*Deflactores!$G$5</f>
        <v>242.43809140808679</v>
      </c>
      <c r="K137" s="57">
        <f>78.3388213841099*Deflactores!$H$5</f>
        <v>189.83294393232586</v>
      </c>
      <c r="L137" s="57">
        <f>144.72593136871*Deflactores!$I$5</f>
        <v>325.7080989472596</v>
      </c>
      <c r="M137" s="57">
        <f>120.56412721732*Deflactores!$J$5</f>
        <v>266.0066178729752</v>
      </c>
      <c r="N137" s="57">
        <f>125.31599673977*Deflactores!$K$5</f>
        <v>267.99227294401294</v>
      </c>
      <c r="O137" s="57">
        <f>148.28817219878*Deflactores!$L$5</f>
        <v>305.72557622164913</v>
      </c>
      <c r="P137" s="57">
        <f>281.16788766279*Deflactores!$M$5</f>
        <v>565.8761739685275</v>
      </c>
      <c r="Q137" s="57">
        <f>344.952886359949*Deflactores!$N$5</f>
        <v>681.03721480929505</v>
      </c>
      <c r="R137" s="57">
        <f>314.724108423019*Deflactores!$O$5</f>
        <v>599.4181217177296</v>
      </c>
      <c r="S137" s="57">
        <f>378.48716233881*Deflactores!$P$5</f>
        <v>675.15232470748526</v>
      </c>
      <c r="T137" s="57">
        <f>287.10083077556*Deflactores!$Q$5</f>
        <v>484.28909175101671</v>
      </c>
      <c r="U137" s="57">
        <f>470.91748321387*Deflactores!$R$5</f>
        <v>763.14320837804803</v>
      </c>
      <c r="V137" s="57">
        <f>402.91693743242*Deflactores!$S$5</f>
        <v>632.82150601102467</v>
      </c>
    </row>
    <row r="138" spans="3:22" x14ac:dyDescent="0.2">
      <c r="C138" s="87" t="s">
        <v>131</v>
      </c>
      <c r="D138" s="56">
        <f>4936.82546513962*Deflactores!$A$5</f>
        <v>17923.436758474803</v>
      </c>
      <c r="E138" s="56">
        <f>7395.99118972189*Deflactores!$B$5</f>
        <v>24943.805269813467</v>
      </c>
      <c r="F138" s="56">
        <f>8629.62599930291*Deflactores!$C$5</f>
        <v>27202.426053918243</v>
      </c>
      <c r="G138" s="56">
        <f>9690.84977502144*Deflactores!$D$5</f>
        <v>28685.547593817788</v>
      </c>
      <c r="H138" s="56">
        <f>11334.3052057757*Deflactores!$E$5</f>
        <v>31802.125514957945</v>
      </c>
      <c r="I138" s="56">
        <f>12246.5717399425*Deflactores!$F$5</f>
        <v>32770.717149911077</v>
      </c>
      <c r="J138" s="56">
        <f>13098.8182170197*Deflactores!$G$5</f>
        <v>33548.947036607497</v>
      </c>
      <c r="K138" s="56">
        <f>14267.0436162395*Deflactores!$H$5</f>
        <v>34572.321143332876</v>
      </c>
      <c r="L138" s="56">
        <f>16143.418834138*Deflactores!$I$5</f>
        <v>36331.03072303511</v>
      </c>
      <c r="M138" s="56">
        <f>18496.8343534747*Deflactores!$J$5</f>
        <v>40810.483692678587</v>
      </c>
      <c r="N138" s="56">
        <f>20057.207961674*Deflactores!$K$5</f>
        <v>42892.981665555504</v>
      </c>
      <c r="O138" s="56">
        <f>21638.4462275203*Deflactores!$L$5</f>
        <v>44611.962932430302</v>
      </c>
      <c r="P138" s="56">
        <f>22687.1181740219*Deflactores!$M$5</f>
        <v>45659.907101782315</v>
      </c>
      <c r="Q138" s="56">
        <f>25125.0342111252*Deflactores!$N$5</f>
        <v>49604.11696128847</v>
      </c>
      <c r="R138" s="56">
        <f>26844.8165151769*Deflactores!$O$5</f>
        <v>51128.175639332454</v>
      </c>
      <c r="S138" s="56">
        <f>28989.5391786389*Deflactores!$P$5</f>
        <v>51712.070358508521</v>
      </c>
      <c r="T138" s="56">
        <f>31306.90141167*Deflactores!$Q$5</f>
        <v>52809.289367918289</v>
      </c>
      <c r="U138" s="56">
        <f>35520.3507048684*Deflactores!$R$5</f>
        <v>57562.344499568877</v>
      </c>
      <c r="V138" s="56">
        <f>37914.9552329809*Deflactores!$S$5</f>
        <v>59549.24412900833</v>
      </c>
    </row>
    <row r="139" spans="3:22" x14ac:dyDescent="0.2">
      <c r="C139" s="88" t="s">
        <v>132</v>
      </c>
      <c r="D139" s="57">
        <f>37.7606621716099*Deflactores!$A$5</f>
        <v>137.09231674687959</v>
      </c>
      <c r="E139" s="57">
        <f>42.33119643583*Deflactores!$B$5</f>
        <v>142.76668179390708</v>
      </c>
      <c r="F139" s="57">
        <f>44.3320730912599*Deflactores!$C$5</f>
        <v>139.74417201618127</v>
      </c>
      <c r="G139" s="57">
        <f>35.7978886351*Deflactores!$D$5</f>
        <v>105.96408592022345</v>
      </c>
      <c r="H139" s="57">
        <f>38.35082029142*Deflactores!$E$5</f>
        <v>107.60585482450531</v>
      </c>
      <c r="I139" s="57">
        <f>38.72038410986*Deflactores!$F$5</f>
        <v>103.61224206621038</v>
      </c>
      <c r="J139" s="57">
        <f>53.12168762835*Deflactores!$G$5</f>
        <v>136.05629570636262</v>
      </c>
      <c r="K139" s="57">
        <f>61.3633124563199*Deflactores!$H$5</f>
        <v>148.69738971315675</v>
      </c>
      <c r="L139" s="57">
        <f>70.10778082233*Deflactores!$I$5</f>
        <v>157.77871869331872</v>
      </c>
      <c r="M139" s="57">
        <f>96.3785682298*Deflactores!$J$5</f>
        <v>212.64481867012481</v>
      </c>
      <c r="N139" s="57">
        <f>102.65575579383*Deflactores!$K$5</f>
        <v>219.53262186553087</v>
      </c>
      <c r="O139" s="57">
        <f>102.872157118319*Deflactores!$L$5</f>
        <v>212.09142338070342</v>
      </c>
      <c r="P139" s="57">
        <f>130.146528928619*Deflactores!$M$5</f>
        <v>261.93183175219934</v>
      </c>
      <c r="Q139" s="57">
        <f>156.5533173101*Deflactores!$N$5</f>
        <v>309.08173088533789</v>
      </c>
      <c r="R139" s="57">
        <f>165.127569869819*Deflactores!$O$5</f>
        <v>314.49912836718875</v>
      </c>
      <c r="S139" s="57">
        <f>190.50483545291*Deflactores!$P$5</f>
        <v>339.82601081965549</v>
      </c>
      <c r="T139" s="57">
        <f>261.25019912078*Deflactores!$Q$5</f>
        <v>440.68357904154533</v>
      </c>
      <c r="U139" s="57">
        <f>325.272630520469*Deflactores!$R$5</f>
        <v>527.11909772146464</v>
      </c>
      <c r="V139" s="57">
        <f>415.590641752029*Deflactores!$S$5</f>
        <v>652.72683117650888</v>
      </c>
    </row>
    <row r="140" spans="3:22" x14ac:dyDescent="0.2">
      <c r="C140" s="87" t="s">
        <v>133</v>
      </c>
      <c r="D140" s="56">
        <f>621.49657459909*Deflactores!$A$5</f>
        <v>2256.3800622674985</v>
      </c>
      <c r="E140" s="56">
        <f>653.59314795402*Deflactores!$B$5</f>
        <v>2204.3157962256169</v>
      </c>
      <c r="F140" s="56">
        <f>678.0501210261*Deflactores!$C$5</f>
        <v>2137.3589399532184</v>
      </c>
      <c r="G140" s="56">
        <f>708.508964218499*Deflactores!$D$5</f>
        <v>2097.232759310969</v>
      </c>
      <c r="H140" s="56">
        <f>751.3315328036*Deflactores!$E$5</f>
        <v>2108.1080203654678</v>
      </c>
      <c r="I140" s="56">
        <f>846.431485591409*Deflactores!$F$5</f>
        <v>2264.9740180450972</v>
      </c>
      <c r="J140" s="56">
        <f>917.38303312076*Deflactores!$G$5</f>
        <v>2349.6192007963668</v>
      </c>
      <c r="K140" s="56">
        <f>1080.54066059575*Deflactores!$H$5</f>
        <v>2618.398017934413</v>
      </c>
      <c r="L140" s="56">
        <f>1236.64953965962*Deflactores!$I$5</f>
        <v>2783.1002144348386</v>
      </c>
      <c r="M140" s="56">
        <f>1419.82407639778*Deflactores!$J$5</f>
        <v>3132.6283302861002</v>
      </c>
      <c r="N140" s="56">
        <f>1468.53002653013*Deflactores!$K$5</f>
        <v>3140.4984992745426</v>
      </c>
      <c r="O140" s="56">
        <f>1589.66254578562*Deflactores!$L$5</f>
        <v>3277.405679778693</v>
      </c>
      <c r="P140" s="56">
        <f>1863.72120965431*Deflactores!$M$5</f>
        <v>3750.9099500296461</v>
      </c>
      <c r="Q140" s="56">
        <f>2147.21580745269*Deflactores!$N$5</f>
        <v>4239.2278219007731</v>
      </c>
      <c r="R140" s="56">
        <f>2432.82272205721*Deflactores!$O$5</f>
        <v>4633.5122969597332</v>
      </c>
      <c r="S140" s="56">
        <f>2708.87048484514*Deflactores!$P$5</f>
        <v>4832.1327304029246</v>
      </c>
      <c r="T140" s="56">
        <f>3080.61885978045*Deflactores!$Q$5</f>
        <v>5196.4674069523053</v>
      </c>
      <c r="U140" s="56">
        <f>3390.75099638026*Deflactores!$R$5</f>
        <v>5494.866269412868</v>
      </c>
      <c r="V140" s="56">
        <f>3446.99769443205*Deflactores!$S$5</f>
        <v>5413.8559825941493</v>
      </c>
    </row>
    <row r="141" spans="3:22" x14ac:dyDescent="0.2">
      <c r="C141" s="88" t="s">
        <v>134</v>
      </c>
      <c r="D141" s="57">
        <f>6516.40731206201*Deflactores!$A$5</f>
        <v>23658.202052096054</v>
      </c>
      <c r="E141" s="57">
        <f>6478.92203873102*Deflactores!$B$5</f>
        <v>21850.887264035042</v>
      </c>
      <c r="F141" s="57">
        <f>5158.95092078134*Deflactores!$C$5</f>
        <v>16262.116220295524</v>
      </c>
      <c r="G141" s="57">
        <f>4582.2373630638*Deflactores!$D$5</f>
        <v>13563.721553412066</v>
      </c>
      <c r="H141" s="57">
        <f>5140.49390996985*Deflactores!$E$5</f>
        <v>14423.348371670209</v>
      </c>
      <c r="I141" s="57">
        <f>6302.46158775054*Deflactores!$F$5</f>
        <v>16864.816572847853</v>
      </c>
      <c r="J141" s="57">
        <f>5487.78973398512*Deflactores!$G$5</f>
        <v>14055.43340499877</v>
      </c>
      <c r="K141" s="57">
        <f>6451.80066143498*Deflactores!$H$5</f>
        <v>15634.19376989961</v>
      </c>
      <c r="L141" s="57">
        <f>6558.17734032426*Deflactores!$I$5</f>
        <v>14759.286424173104</v>
      </c>
      <c r="M141" s="57">
        <f>6448.97193648881*Deflactores!$J$5</f>
        <v>14228.686867122102</v>
      </c>
      <c r="N141" s="57">
        <f>7445.47291534893*Deflactores!$K$5</f>
        <v>15922.382310623341</v>
      </c>
      <c r="O141" s="57">
        <f>8181.22105386729*Deflactores!$L$5</f>
        <v>16867.21525933572</v>
      </c>
      <c r="P141" s="57">
        <f>9389.41140107247*Deflactores!$M$5</f>
        <v>18897.052019779851</v>
      </c>
      <c r="Q141" s="57">
        <f>12122.5404309413*Deflactores!$N$5</f>
        <v>23933.416701104292</v>
      </c>
      <c r="R141" s="57">
        <f>12027.827356282*Deflactores!$O$5</f>
        <v>22907.993030381916</v>
      </c>
      <c r="S141" s="57">
        <f>15427.7475314391*Deflactores!$P$5</f>
        <v>27520.298301497274</v>
      </c>
      <c r="T141" s="57">
        <f>15675.5093602604*Deflactores!$Q$5</f>
        <v>26441.853791602854</v>
      </c>
      <c r="U141" s="57">
        <f>19129.237502274*Deflactores!$R$5</f>
        <v>30999.799756173274</v>
      </c>
      <c r="V141" s="57">
        <f>10708.1226630911*Deflactores!$S$5</f>
        <v>16818.181815314394</v>
      </c>
    </row>
    <row r="142" spans="3:22" x14ac:dyDescent="0.2">
      <c r="C142" s="87" t="s">
        <v>135</v>
      </c>
      <c r="D142" s="56"/>
      <c r="E142" s="56"/>
      <c r="F142" s="56"/>
      <c r="G142" s="56"/>
      <c r="H142" s="56"/>
      <c r="I142" s="56"/>
      <c r="J142" s="56"/>
      <c r="K142" s="56"/>
      <c r="L142" s="56"/>
      <c r="M142" s="56"/>
      <c r="N142" s="56"/>
      <c r="O142" s="56"/>
      <c r="P142" s="56"/>
      <c r="Q142" s="56"/>
      <c r="R142" s="56">
        <f>0*Deflactores!$O$5</f>
        <v>0</v>
      </c>
      <c r="S142" s="56"/>
      <c r="T142" s="56"/>
      <c r="U142" s="56"/>
      <c r="V142" s="56"/>
    </row>
    <row r="143" spans="3:22" x14ac:dyDescent="0.2">
      <c r="C143" s="88" t="s">
        <v>136</v>
      </c>
      <c r="D143" s="57">
        <f>955.26729109934*Deflactores!$A$5</f>
        <v>3468.1543838970492</v>
      </c>
      <c r="E143" s="57">
        <f>1021.13483063448*Deflactores!$B$5</f>
        <v>3443.8911183354458</v>
      </c>
      <c r="F143" s="57">
        <f>1008.16745856668*Deflactores!$C$5</f>
        <v>3177.959362762896</v>
      </c>
      <c r="G143" s="57">
        <f>1074.42963885183*Deflactores!$D$5</f>
        <v>3180.3818299747036</v>
      </c>
      <c r="H143" s="57">
        <f>1225.44878976811*Deflactores!$E$5</f>
        <v>3438.4001062984939</v>
      </c>
      <c r="I143" s="57">
        <f>1461.88774534314*Deflactores!$F$5</f>
        <v>3911.879244646977</v>
      </c>
      <c r="J143" s="57">
        <f>2410.27041795264*Deflactores!$G$5</f>
        <v>6173.2312988914055</v>
      </c>
      <c r="K143" s="57">
        <f>3493.96846645618*Deflactores!$H$5</f>
        <v>8466.6875027638216</v>
      </c>
      <c r="L143" s="57">
        <f>4421.72021654173*Deflactores!$I$5</f>
        <v>9951.1543797730483</v>
      </c>
      <c r="M143" s="57">
        <f>5435.7062932363*Deflactores!$J$5</f>
        <v>11993.068586714031</v>
      </c>
      <c r="N143" s="57">
        <f>5625.46053098494*Deflactores!$K$5</f>
        <v>12030.227531015966</v>
      </c>
      <c r="O143" s="57">
        <f>5927.28742307161*Deflactores!$L$5</f>
        <v>12220.282548366395</v>
      </c>
      <c r="P143" s="57">
        <f>7909.04553998498*Deflactores!$M$5</f>
        <v>15917.679885539232</v>
      </c>
      <c r="Q143" s="57">
        <f>8695.89242408064*Deflactores!$N$5</f>
        <v>17168.218011654626</v>
      </c>
      <c r="R143" s="57">
        <f>9095.05626371197*Deflactores!$O$5</f>
        <v>17322.287669121437</v>
      </c>
      <c r="S143" s="57">
        <f>10375.7999459952*Deflactores!$P$5</f>
        <v>18508.541771801447</v>
      </c>
      <c r="T143" s="57">
        <f>9604.56888775987*Deflactores!$Q$5</f>
        <v>16201.234704714267</v>
      </c>
      <c r="U143" s="57">
        <f>11013.1096650553*Deflactores!$R$5</f>
        <v>17847.245310687693</v>
      </c>
      <c r="V143" s="57">
        <f>10360.6364082665*Deflactores!$S$5</f>
        <v>16272.419761980222</v>
      </c>
    </row>
    <row r="144" spans="3:22" x14ac:dyDescent="0.2">
      <c r="C144" s="87" t="s">
        <v>137</v>
      </c>
      <c r="D144" s="56">
        <f>65.82977626401*Deflactores!$A$5</f>
        <v>238.99889514509297</v>
      </c>
      <c r="E144" s="56">
        <f>64.96296487139*Deflactores!$B$5</f>
        <v>219.09484529315907</v>
      </c>
      <c r="F144" s="56">
        <f>71.49782094551*Deflactores!$C$5</f>
        <v>225.37641694363467</v>
      </c>
      <c r="G144" s="56">
        <f>63.7310305917399*Deflactores!$D$5</f>
        <v>188.64800855282763</v>
      </c>
      <c r="H144" s="56">
        <f>88.5807859427299*Deflactores!$E$5</f>
        <v>248.54256362611548</v>
      </c>
      <c r="I144" s="56">
        <f>182.05743480207*Deflactores!$F$5</f>
        <v>487.1692117295371</v>
      </c>
      <c r="J144" s="56">
        <f>117.82768293581*Deflactores!$G$5</f>
        <v>301.78254471257736</v>
      </c>
      <c r="K144" s="56">
        <f>144.31415487661*Deflactores!$H$5</f>
        <v>349.70631913144103</v>
      </c>
      <c r="L144" s="56">
        <f>172.41611466178*Deflactores!$I$5</f>
        <v>388.02531380013914</v>
      </c>
      <c r="M144" s="56">
        <f>166.80279632865*Deflactores!$J$5</f>
        <v>368.02528851023533</v>
      </c>
      <c r="N144" s="56">
        <f>186.98703753898*Deflactores!$K$5</f>
        <v>399.87776903852836</v>
      </c>
      <c r="O144" s="56">
        <f>216.68275274566*Deflactores!$L$5</f>
        <v>446.73461448872763</v>
      </c>
      <c r="P144" s="56">
        <f>279.65005607624*Deflactores!$M$5</f>
        <v>562.82139862392762</v>
      </c>
      <c r="Q144" s="56">
        <f>345.28612840835*Deflactores!$N$5</f>
        <v>681.69513142769244</v>
      </c>
      <c r="R144" s="56">
        <f>564.54603765831*Deflactores!$O$5</f>
        <v>1075.2246696700158</v>
      </c>
      <c r="S144" s="56">
        <f>355.55521316356*Deflactores!$P$5</f>
        <v>634.24589422230963</v>
      </c>
      <c r="T144" s="56">
        <f>318.64412329657*Deflactores!$Q$5</f>
        <v>537.49713174369299</v>
      </c>
      <c r="U144" s="56">
        <f>362.14008886012*Deflactores!$R$5</f>
        <v>586.86449143683774</v>
      </c>
      <c r="V144" s="56">
        <f>567.68213031927*Deflactores!$S$5</f>
        <v>891.6017850563594</v>
      </c>
    </row>
    <row r="145" spans="3:22" x14ac:dyDescent="0.2">
      <c r="C145" s="88" t="s">
        <v>138</v>
      </c>
      <c r="D145" s="57">
        <f>152.723888616289*Deflactores!$A$5</f>
        <v>554.47310796210024</v>
      </c>
      <c r="E145" s="57">
        <f>177.40664951114*Deflactores!$B$5</f>
        <v>598.32371422042274</v>
      </c>
      <c r="F145" s="57">
        <f>176.308889075639*Deflactores!$C$5</f>
        <v>555.76331096109618</v>
      </c>
      <c r="G145" s="57">
        <f>183.31467255512*Deflactores!$D$5</f>
        <v>542.62339075557338</v>
      </c>
      <c r="H145" s="57">
        <f>212.86852897299*Deflactores!$E$5</f>
        <v>597.27275326358961</v>
      </c>
      <c r="I145" s="57">
        <f>225.98368511964*Deflactores!$F$5</f>
        <v>604.71188041928394</v>
      </c>
      <c r="J145" s="57">
        <f>233.62188120358*Deflactores!$G$5</f>
        <v>598.35688909001419</v>
      </c>
      <c r="K145" s="57">
        <f>278.024714905509*Deflactores!$H$5</f>
        <v>673.71769429203846</v>
      </c>
      <c r="L145" s="57">
        <f>355.349937270159*Deflactores!$I$5</f>
        <v>799.72090305244842</v>
      </c>
      <c r="M145" s="57">
        <f>296.26477640733*Deflactores!$J$5</f>
        <v>653.66368078087487</v>
      </c>
      <c r="N145" s="57">
        <f>295.708203419889*Deflactores!$K$5</f>
        <v>632.38146465252339</v>
      </c>
      <c r="O145" s="57">
        <f>295.81717452214*Deflactores!$L$5</f>
        <v>609.88597267089028</v>
      </c>
      <c r="P145" s="57">
        <f>172.0687217555*Deflactores!$M$5</f>
        <v>346.30409160890616</v>
      </c>
      <c r="Q145" s="57">
        <f>177.17921142241*Deflactores!$N$5</f>
        <v>349.80323818283409</v>
      </c>
      <c r="R145" s="57">
        <f>138.32800753287*Deflactores!$O$5</f>
        <v>263.45714305705974</v>
      </c>
      <c r="S145" s="57">
        <f>77.52076228428*Deflactores!$P$5</f>
        <v>138.28295402652611</v>
      </c>
      <c r="T145" s="57">
        <f>91.51380185266*Deflactores!$Q$5</f>
        <v>154.36784304032037</v>
      </c>
      <c r="U145" s="57">
        <f>90.88932609065*Deflactores!$R$5</f>
        <v>147.29028841054154</v>
      </c>
      <c r="V145" s="57">
        <f>91.984617962*Deflactores!$S$5</f>
        <v>144.47107842996783</v>
      </c>
    </row>
    <row r="146" spans="3:22" x14ac:dyDescent="0.2">
      <c r="C146" s="87" t="s">
        <v>139</v>
      </c>
      <c r="D146" s="56">
        <f>572.98758448954*Deflactores!$A$5</f>
        <v>2080.2653054089819</v>
      </c>
      <c r="E146" s="56">
        <f>637.98386101546*Deflactores!$B$5</f>
        <v>2151.6717348945049</v>
      </c>
      <c r="F146" s="56">
        <f>628.79516952576*Deflactores!$C$5</f>
        <v>1982.0968027429196</v>
      </c>
      <c r="G146" s="56">
        <f>658.141414738569*Deflactores!$D$5</f>
        <v>1948.1415267222037</v>
      </c>
      <c r="H146" s="56">
        <f>795.600058747459*Deflactores!$E$5</f>
        <v>2232.3179470322898</v>
      </c>
      <c r="I146" s="56">
        <f>936.13344916068*Deflactores!$F$5</f>
        <v>2505.0083507826939</v>
      </c>
      <c r="J146" s="56">
        <f>1095.14090410864*Deflactores!$G$5</f>
        <v>2804.8961044306056</v>
      </c>
      <c r="K146" s="56">
        <f>1255.61461143861*Deflactores!$H$5</f>
        <v>3042.6423824418507</v>
      </c>
      <c r="L146" s="56">
        <f>1585.39879601481*Deflactores!$I$5</f>
        <v>3567.9661760663548</v>
      </c>
      <c r="M146" s="56">
        <f>1895.88756910708*Deflactores!$J$5</f>
        <v>4182.990842844516</v>
      </c>
      <c r="N146" s="56">
        <f>2652.28288070404*Deflactores!$K$5</f>
        <v>5671.9918939510371</v>
      </c>
      <c r="O146" s="56">
        <f>6257.01540038246*Deflactores!$L$5</f>
        <v>12900.082389210262</v>
      </c>
      <c r="P146" s="56">
        <f>2245.77229921975*Deflactores!$M$5</f>
        <v>4519.82282489921</v>
      </c>
      <c r="Q146" s="56">
        <f>3004.99232419617*Deflactores!$N$5</f>
        <v>5932.7278707225842</v>
      </c>
      <c r="R146" s="56">
        <f>3203.38533782694*Deflactores!$O$5</f>
        <v>6101.1125965521924</v>
      </c>
      <c r="S146" s="56">
        <f>3230.03237799645*Deflactores!$P$5</f>
        <v>5761.7908502074843</v>
      </c>
      <c r="T146" s="56">
        <f>3221.99601346219*Deflactores!$Q$5</f>
        <v>5434.9460388877105</v>
      </c>
      <c r="U146" s="56">
        <f>3598.40660135302*Deflactores!$R$5</f>
        <v>5831.3816256385062</v>
      </c>
      <c r="V146" s="56">
        <f>3132.77797223702*Deflactores!$S$5</f>
        <v>4920.342358955093</v>
      </c>
    </row>
    <row r="147" spans="3:22" x14ac:dyDescent="0.2">
      <c r="C147" s="88" t="s">
        <v>140</v>
      </c>
      <c r="D147" s="57">
        <f>329.48573229445*Deflactores!$A$5</f>
        <v>1196.2174331055307</v>
      </c>
      <c r="E147" s="57">
        <f>452.138387955839*Deflactores!$B$5</f>
        <v>1524.8871469520921</v>
      </c>
      <c r="F147" s="57">
        <f>331.09396108931*Deflactores!$C$5</f>
        <v>1043.6789490249494</v>
      </c>
      <c r="G147" s="57">
        <f>391.19067109607*Deflactores!$D$5</f>
        <v>1157.9499088828884</v>
      </c>
      <c r="H147" s="57">
        <f>2671.80244194294*Deflactores!$E$5</f>
        <v>7496.6215455837801</v>
      </c>
      <c r="I147" s="57">
        <f>2652.22540730511*Deflactores!$F$5</f>
        <v>7097.1150527887694</v>
      </c>
      <c r="J147" s="57">
        <f>761.98311195658*Deflactores!$G$5</f>
        <v>1951.6059114863444</v>
      </c>
      <c r="K147" s="57">
        <f>2481.36467868502*Deflactores!$H$5</f>
        <v>6012.9161200274702</v>
      </c>
      <c r="L147" s="57">
        <f>1712.21899730574*Deflactores!$I$5</f>
        <v>3853.3771337291096</v>
      </c>
      <c r="M147" s="57">
        <f>6406.37597704019*Deflactores!$J$5</f>
        <v>14134.705287613318</v>
      </c>
      <c r="N147" s="57">
        <f>2146.23853529777*Deflactores!$K$5</f>
        <v>4589.7998525190851</v>
      </c>
      <c r="O147" s="57">
        <f>2668.67894886045*Deflactores!$L$5</f>
        <v>5502.0127181637654</v>
      </c>
      <c r="P147" s="57">
        <f>2559.66690737808*Deflactores!$M$5</f>
        <v>5151.5645268784037</v>
      </c>
      <c r="Q147" s="57">
        <f>3180.04397300378*Deflactores!$N$5</f>
        <v>6278.3306821955402</v>
      </c>
      <c r="R147" s="57">
        <f>2863.66829298873*Deflactores!$O$5</f>
        <v>5454.0933581698691</v>
      </c>
      <c r="S147" s="57">
        <f>3244.6536524962*Deflactores!$P$5</f>
        <v>5787.8725471604066</v>
      </c>
      <c r="T147" s="57">
        <f>2976.05450795601*Deflactores!$Q$5</f>
        <v>5020.0855593700571</v>
      </c>
      <c r="U147" s="57">
        <f>3568.88803700228*Deflactores!$R$5</f>
        <v>5783.5454490081584</v>
      </c>
      <c r="V147" s="57">
        <f>3831.55298823316*Deflactores!$S$5</f>
        <v>6017.8386836404352</v>
      </c>
    </row>
    <row r="148" spans="3:22" x14ac:dyDescent="0.2">
      <c r="C148" s="87" t="s">
        <v>141</v>
      </c>
      <c r="D148" s="56">
        <f>352.21019412169*Deflactores!$A$5</f>
        <v>1278.7199354335914</v>
      </c>
      <c r="E148" s="56">
        <f>346.88272884147*Deflactores!$B$5</f>
        <v>1169.9006958942168</v>
      </c>
      <c r="F148" s="56">
        <f>369.998333879449*Deflactores!$C$5</f>
        <v>1166.3138493188105</v>
      </c>
      <c r="G148" s="56">
        <f>375.78878168746*Deflactores!$D$5</f>
        <v>1112.3593113685006</v>
      </c>
      <c r="H148" s="56">
        <f>396.348432447519*Deflactores!$E$5</f>
        <v>1112.0860403450008</v>
      </c>
      <c r="I148" s="56">
        <f>441.697370667429*Deflactores!$F$5</f>
        <v>1181.9421718481444</v>
      </c>
      <c r="J148" s="56">
        <f>514.1992090049*Deflactores!$G$5</f>
        <v>1316.976977873951</v>
      </c>
      <c r="K148" s="56">
        <f>591.2092053602*Deflactores!$H$5</f>
        <v>1432.6355943387027</v>
      </c>
      <c r="L148" s="56">
        <f>670.43102598332*Deflactores!$I$5</f>
        <v>1508.8160973168822</v>
      </c>
      <c r="M148" s="56">
        <f>760.27805954613*Deflactores!$J$5</f>
        <v>1677.4392178724386</v>
      </c>
      <c r="N148" s="56">
        <f>851.35898472206*Deflactores!$K$5</f>
        <v>1820.6584581596712</v>
      </c>
      <c r="O148" s="56">
        <f>880.27589357383*Deflactores!$L$5</f>
        <v>1814.8639288380173</v>
      </c>
      <c r="P148" s="56">
        <f>1028.07827094689*Deflactores!$M$5</f>
        <v>2069.1018570418219</v>
      </c>
      <c r="Q148" s="56">
        <f>1163.27548586957*Deflactores!$N$5</f>
        <v>2296.6437686967688</v>
      </c>
      <c r="R148" s="56">
        <f>1289.41694612977*Deflactores!$O$5</f>
        <v>2455.8013297197654</v>
      </c>
      <c r="S148" s="56">
        <f>1391.0061567796*Deflactores!$P$5</f>
        <v>2481.3022313065449</v>
      </c>
      <c r="T148" s="56">
        <f>1500.27376692332*Deflactores!$Q$5</f>
        <v>2530.700513817606</v>
      </c>
      <c r="U148" s="56">
        <f>1658.16728468619*Deflactores!$R$5</f>
        <v>2687.1355317429093</v>
      </c>
      <c r="V148" s="56">
        <f>1742.91090376258*Deflactores!$S$5</f>
        <v>2737.4165752142562</v>
      </c>
    </row>
    <row r="149" spans="3:22" x14ac:dyDescent="0.2">
      <c r="C149" s="88" t="s">
        <v>142</v>
      </c>
      <c r="D149" s="57">
        <f>109.67958693058*Deflactores!$A$5</f>
        <v>398.19822554538979</v>
      </c>
      <c r="E149" s="57">
        <f>292.01027609524*Deflactores!$B$5</f>
        <v>984.83722828474947</v>
      </c>
      <c r="F149" s="57">
        <f>119.44037357706*Deflactores!$C$5</f>
        <v>376.50159234534618</v>
      </c>
      <c r="G149" s="57">
        <f>111.30625244135*Deflactores!$D$5</f>
        <v>329.47376917611734</v>
      </c>
      <c r="H149" s="57">
        <f>225.162861578999*Deflactores!$E$5</f>
        <v>631.76855177620621</v>
      </c>
      <c r="I149" s="57">
        <f>90.20396635527*Deflactores!$F$5</f>
        <v>241.37764674071371</v>
      </c>
      <c r="J149" s="57">
        <f>127.61651687747*Deflactores!$G$5</f>
        <v>326.8538958847152</v>
      </c>
      <c r="K149" s="57">
        <f>291.70621428702*Deflactores!$H$5</f>
        <v>706.87110736505338</v>
      </c>
      <c r="L149" s="57">
        <f>275.81540941414*Deflactores!$I$5</f>
        <v>620.72713446059174</v>
      </c>
      <c r="M149" s="57">
        <f>450.8221088492*Deflactores!$J$5</f>
        <v>994.67119453513737</v>
      </c>
      <c r="N149" s="57">
        <f>546.35690633571*Deflactores!$K$5</f>
        <v>1168.4017442052454</v>
      </c>
      <c r="O149" s="57">
        <f>403.164869790879*Deflactores!$L$5</f>
        <v>831.20460857738396</v>
      </c>
      <c r="P149" s="57">
        <f>572.044251131806*Deflactores!$M$5</f>
        <v>1151.291546349649</v>
      </c>
      <c r="Q149" s="57">
        <f>421.36961174883*Deflactores!$N$5</f>
        <v>831.90603162906552</v>
      </c>
      <c r="R149" s="57">
        <f>433.09740531024*Deflactores!$O$5</f>
        <v>824.86986622248435</v>
      </c>
      <c r="S149" s="57">
        <f>404.917526413933*Deflactores!$P$5</f>
        <v>722.29929169552452</v>
      </c>
      <c r="T149" s="57">
        <f>481.28465212296*Deflactores!$Q$5</f>
        <v>811.84337370497713</v>
      </c>
      <c r="U149" s="57">
        <f>528.37542303389*Deflactores!$R$5</f>
        <v>856.25641420296051</v>
      </c>
      <c r="V149" s="57">
        <f>355.652625882078*Deflactores!$S$5</f>
        <v>558.5881590426352</v>
      </c>
    </row>
    <row r="150" spans="3:22" x14ac:dyDescent="0.2">
      <c r="C150" s="87" t="s">
        <v>143</v>
      </c>
      <c r="D150" s="56">
        <f>761.50300446958*Deflactores!$A$5</f>
        <v>2764.6816842881985</v>
      </c>
      <c r="E150" s="56">
        <f>512.964381366079*Deflactores!$B$5</f>
        <v>1730.0295945359212</v>
      </c>
      <c r="F150" s="56">
        <f>593.26046287281*Deflactores!$C$5</f>
        <v>1870.0838105051757</v>
      </c>
      <c r="G150" s="56">
        <f>495.395035170499*Deflactores!$D$5</f>
        <v>1466.401625144679</v>
      </c>
      <c r="H150" s="56">
        <f>639.61599874718*Deflactores!$E$5</f>
        <v>1794.6533028921458</v>
      </c>
      <c r="I150" s="56">
        <f>578.21101475654*Deflactores!$F$5</f>
        <v>1547.2403232448298</v>
      </c>
      <c r="J150" s="56">
        <f>194.72001890771*Deflactores!$G$5</f>
        <v>498.72068556641977</v>
      </c>
      <c r="K150" s="56">
        <f>351.79594114575*Deflactores!$H$5</f>
        <v>852.48230687176249</v>
      </c>
      <c r="L150" s="56">
        <f>311.87358812064*Deflactores!$I$5</f>
        <v>701.87666120348092</v>
      </c>
      <c r="M150" s="56">
        <f>288.335349329969*Deflactores!$J$5</f>
        <v>636.16859225659812</v>
      </c>
      <c r="N150" s="56">
        <f>280.110181487819*Deflactores!$K$5</f>
        <v>599.02459514059285</v>
      </c>
      <c r="O150" s="56">
        <f>290.21996289474*Deflactores!$L$5</f>
        <v>598.34620706013402</v>
      </c>
      <c r="P150" s="56">
        <f>834.6499419756*Deflactores!$M$5</f>
        <v>1679.8095959473669</v>
      </c>
      <c r="Q150" s="56">
        <f>589.26145788034*Deflactores!$N$5</f>
        <v>1163.3733125240078</v>
      </c>
      <c r="R150" s="56">
        <f>653.851469160669*Deflactores!$O$5</f>
        <v>1245.3142579083094</v>
      </c>
      <c r="S150" s="56">
        <f>655.997420238809*Deflactores!$P$5</f>
        <v>1170.1801998765716</v>
      </c>
      <c r="T150" s="56">
        <f>729.77254206628*Deflactores!$Q$5</f>
        <v>1230.9991602162756</v>
      </c>
      <c r="U150" s="56">
        <f>1150.85926431728*Deflactores!$R$5</f>
        <v>1865.0198021291496</v>
      </c>
      <c r="V150" s="56">
        <f>614.07066555235*Deflactores!$S$5</f>
        <v>964.45963738421528</v>
      </c>
    </row>
    <row r="151" spans="3:22" x14ac:dyDescent="0.2">
      <c r="C151" s="88" t="s">
        <v>144</v>
      </c>
      <c r="D151" s="57">
        <f>693.18703127138*Deflactores!$A$5</f>
        <v>2516.656504168332</v>
      </c>
      <c r="E151" s="57">
        <f>773.71666460527*Deflactores!$B$5</f>
        <v>2609.4457552550366</v>
      </c>
      <c r="F151" s="57">
        <f>763.19454848389*Deflactores!$C$5</f>
        <v>2405.7523780942029</v>
      </c>
      <c r="G151" s="57">
        <f>781.96057965096*Deflactores!$D$5</f>
        <v>2314.6543331920893</v>
      </c>
      <c r="H151" s="57">
        <f>864.50179858742*Deflactores!$E$5</f>
        <v>2425.6444667269266</v>
      </c>
      <c r="I151" s="57">
        <f>1018.29315099037*Deflactores!$F$5</f>
        <v>2724.8602739948337</v>
      </c>
      <c r="J151" s="57">
        <f>1145.28599044168*Deflactores!$G$5</f>
        <v>2933.3286712210502</v>
      </c>
      <c r="K151" s="57">
        <f>1275.61400602996*Deflactores!$H$5</f>
        <v>3091.1055056426076</v>
      </c>
      <c r="L151" s="57">
        <f>1413.89589815147*Deflactores!$I$5</f>
        <v>3181.9960717544786</v>
      </c>
      <c r="M151" s="57">
        <f>1621.13184757084*Deflactores!$J$5</f>
        <v>3576.7836573907261</v>
      </c>
      <c r="N151" s="57">
        <f>1714.929361387*Deflactores!$K$5</f>
        <v>3667.4313691244251</v>
      </c>
      <c r="O151" s="57">
        <f>1870.43706018619*Deflactores!$L$5</f>
        <v>3856.2782151310048</v>
      </c>
      <c r="P151" s="57">
        <f>2245.8668583066*Deflactores!$M$5</f>
        <v>4520.0131337382645</v>
      </c>
      <c r="Q151" s="57">
        <f>2665.00103771408*Deflactores!$N$5</f>
        <v>5261.4862955366361</v>
      </c>
      <c r="R151" s="57">
        <f>2936.89060138028*Deflactores!$O$5</f>
        <v>5593.5513068596647</v>
      </c>
      <c r="S151" s="57">
        <f>3112.78532762754*Deflactores!$P$5</f>
        <v>5552.6434166921463</v>
      </c>
      <c r="T151" s="57">
        <f>3392.37363584261*Deflactores!$Q$5</f>
        <v>5722.3434099591123</v>
      </c>
      <c r="U151" s="57">
        <f>3690.34656984302*Deflactores!$R$5</f>
        <v>5980.3745278616125</v>
      </c>
      <c r="V151" s="57">
        <f>4064.04925052754*Deflactores!$S$5</f>
        <v>6382.9974078793275</v>
      </c>
    </row>
    <row r="152" spans="3:22" x14ac:dyDescent="0.2">
      <c r="C152" s="87" t="s">
        <v>145</v>
      </c>
      <c r="D152" s="56">
        <f>192.02652659248*Deflactores!$A$5</f>
        <v>697.16365904229053</v>
      </c>
      <c r="E152" s="56">
        <f>137.36840630174*Deflactores!$B$5</f>
        <v>463.29027294907655</v>
      </c>
      <c r="F152" s="56">
        <f>195.77395155376*Deflactores!$C$5</f>
        <v>617.1213492745477</v>
      </c>
      <c r="G152" s="56">
        <f>248.69832938027*Deflactores!$D$5</f>
        <v>736.16328078152719</v>
      </c>
      <c r="H152" s="56">
        <f>140.18903939502*Deflactores!$E$5</f>
        <v>393.34651270815948</v>
      </c>
      <c r="I152" s="56">
        <f>197.79053511684*Deflactores!$F$5</f>
        <v>529.26956366924867</v>
      </c>
      <c r="J152" s="56">
        <f>488.57744069018*Deflactores!$G$5</f>
        <v>1251.3540083866817</v>
      </c>
      <c r="K152" s="56">
        <f>348.74295873237*Deflactores!$H$5</f>
        <v>845.08422978730061</v>
      </c>
      <c r="L152" s="56">
        <f>358.18401216258*Deflactores!$I$5</f>
        <v>806.09903540754749</v>
      </c>
      <c r="M152" s="56">
        <f>405.5674403872*Deflactores!$J$5</f>
        <v>894.82357336967641</v>
      </c>
      <c r="N152" s="56">
        <f>716.80594695235*Deflactores!$K$5</f>
        <v>1532.9124771074171</v>
      </c>
      <c r="O152" s="56">
        <f>566.05885647627*Deflactores!$L$5</f>
        <v>1167.0429779091933</v>
      </c>
      <c r="P152" s="56">
        <f>430.75762411473*Deflactores!$M$5</f>
        <v>866.9392449757886</v>
      </c>
      <c r="Q152" s="56">
        <f>562.420477975779*Deflactores!$N$5</f>
        <v>1110.3814202402596</v>
      </c>
      <c r="R152" s="56">
        <f>1113.655092891*Deflactores!$O$5</f>
        <v>2121.0483282229629</v>
      </c>
      <c r="S152" s="56">
        <f>874.6914127896*Deflactores!$P$5</f>
        <v>1560.2905448558677</v>
      </c>
      <c r="T152" s="56">
        <f>760.94535648053*Deflactores!$Q$5</f>
        <v>1283.582268176008</v>
      </c>
      <c r="U152" s="56">
        <f>807.10471710354*Deflactores!$R$5</f>
        <v>1307.9499174757143</v>
      </c>
      <c r="V152" s="56">
        <f>1828.22310654451*Deflactores!$S$5</f>
        <v>2871.407955645202</v>
      </c>
    </row>
    <row r="153" spans="3:22" x14ac:dyDescent="0.2">
      <c r="C153" s="88" t="s">
        <v>146</v>
      </c>
      <c r="D153" s="57">
        <f>196.049552837769*Deflactores!$A$5</f>
        <v>711.76949370148338</v>
      </c>
      <c r="E153" s="57">
        <f>204.960167644259*Deflactores!$B$5</f>
        <v>691.25102756902595</v>
      </c>
      <c r="F153" s="57">
        <f>218.07147137988*Deflactores!$C$5</f>
        <v>687.4078986921935</v>
      </c>
      <c r="G153" s="57">
        <f>215.63209498771*Deflactores!$D$5</f>
        <v>638.28506964043913</v>
      </c>
      <c r="H153" s="57">
        <f>214.077307106179*Deflactores!$E$5</f>
        <v>600.66437835339445</v>
      </c>
      <c r="I153" s="57">
        <f>260.30375181534*Deflactores!$F$5</f>
        <v>696.54927149769105</v>
      </c>
      <c r="J153" s="57">
        <f>263.82688732488*Deflactores!$G$5</f>
        <v>675.71853605807621</v>
      </c>
      <c r="K153" s="57">
        <f>258.008478367*Deflactores!$H$5</f>
        <v>625.21375918788237</v>
      </c>
      <c r="L153" s="57">
        <f>261.26213558305*Deflactores!$I$5</f>
        <v>587.97475133094315</v>
      </c>
      <c r="M153" s="57">
        <f>282.82748017945*Deflactores!$J$5</f>
        <v>624.01630717618173</v>
      </c>
      <c r="N153" s="57">
        <f>323.633596266339*Deflactores!$K$5</f>
        <v>692.10081171493687</v>
      </c>
      <c r="O153" s="57">
        <f>363.872147386069*Deflactores!$L$5</f>
        <v>750.1948421178937</v>
      </c>
      <c r="P153" s="57">
        <f>614.287405262531*Deflactores!$M$5</f>
        <v>1236.3097702818443</v>
      </c>
      <c r="Q153" s="57">
        <f>626.525966339973*Deflactores!$N$5</f>
        <v>1236.9442784619594</v>
      </c>
      <c r="R153" s="57">
        <f>651.573536093203*Deflactores!$O$5</f>
        <v>1240.9757457824321</v>
      </c>
      <c r="S153" s="57">
        <f>829.516767098511*Deflactores!$P$5</f>
        <v>1479.707185389442</v>
      </c>
      <c r="T153" s="57">
        <f>999.077908925505*Deflactores!$Q$5</f>
        <v>1685.2704041120658</v>
      </c>
      <c r="U153" s="57">
        <f>929.258057631787*Deflactores!$R$5</f>
        <v>1505.9049638006475</v>
      </c>
      <c r="V153" s="57">
        <f>830.56812368518*Deflactores!$S$5</f>
        <v>1304.4906332917913</v>
      </c>
    </row>
    <row r="154" spans="3:22" x14ac:dyDescent="0.2">
      <c r="C154" s="90" t="s">
        <v>147</v>
      </c>
      <c r="D154" s="58">
        <f>5088.77608936451*Deflactores!$A$5</f>
        <v>18475.102484341936</v>
      </c>
      <c r="E154" s="58">
        <f>6536.30082854015*Deflactores!$B$5</f>
        <v>22044.403632957368</v>
      </c>
      <c r="F154" s="58">
        <f>7567.74779513991*Deflactores!$C$5</f>
        <v>23855.158938362496</v>
      </c>
      <c r="G154" s="58">
        <f>8360.49616885159*Deflactores!$D$5</f>
        <v>24747.614123343792</v>
      </c>
      <c r="H154" s="58">
        <f>10533.5461936662*Deflactores!$E$5</f>
        <v>29555.332425482706</v>
      </c>
      <c r="I154" s="58">
        <f>13709.2240766075*Deflactores!$F$5</f>
        <v>36684.642371707909</v>
      </c>
      <c r="J154" s="58">
        <f>15573.685462259*Deflactores!$G$5</f>
        <v>39887.62498125487</v>
      </c>
      <c r="K154" s="58">
        <f>17544.9516148442*Deflactores!$H$5</f>
        <v>42515.444543969919</v>
      </c>
      <c r="L154" s="58">
        <f>19628.749500022*Deflactores!$I$5</f>
        <v>44174.824952941148</v>
      </c>
      <c r="M154" s="58">
        <f>22283.8045928084*Deflactores!$J$5</f>
        <v>49165.864091484749</v>
      </c>
      <c r="N154" s="58">
        <f>23598.9016248897*Deflactores!$K$5</f>
        <v>50467.007006051907</v>
      </c>
      <c r="O154" s="58">
        <f>25578.194851457*Deflactores!$L$5</f>
        <v>52734.538727665618</v>
      </c>
      <c r="P154" s="58">
        <f>28743.2088375963*Deflactores!$M$5</f>
        <v>57848.345270866776</v>
      </c>
      <c r="Q154" s="58">
        <f>30286.0584574033*Deflactores!$N$5</f>
        <v>59793.478225483908</v>
      </c>
      <c r="R154" s="58">
        <f>34699.0312922923*Deflactores!$O$5</f>
        <v>66087.177963165261</v>
      </c>
      <c r="S154" s="58">
        <f>32666.9133856316*Deflactores!$P$5</f>
        <v>58271.837747522237</v>
      </c>
      <c r="T154" s="58">
        <f>34558.0532878842*Deflactores!$Q$5</f>
        <v>58293.416268642046</v>
      </c>
      <c r="U154" s="58">
        <f>37589.097066358*Deflactores!$R$5</f>
        <v>60914.842106693373</v>
      </c>
      <c r="V154" s="58">
        <f>46032.521071481*Deflactores!$S$5</f>
        <v>72298.696340668917</v>
      </c>
    </row>
    <row r="155" spans="3:22" ht="22.5" customHeight="1" x14ac:dyDescent="0.2">
      <c r="C155" s="89" t="s">
        <v>148</v>
      </c>
      <c r="D155" s="59"/>
      <c r="E155" s="59"/>
      <c r="F155" s="59"/>
      <c r="G155" s="59"/>
      <c r="H155" s="59"/>
      <c r="I155" s="59"/>
      <c r="J155" s="59"/>
      <c r="K155" s="59"/>
      <c r="L155" s="59"/>
      <c r="M155" s="59"/>
      <c r="N155" s="59"/>
      <c r="O155" s="59"/>
      <c r="P155" s="59"/>
      <c r="Q155" s="59"/>
      <c r="R155" s="59"/>
      <c r="S155" s="59"/>
      <c r="T155" s="59"/>
      <c r="U155" s="59">
        <f>0.150079299*Deflactores!$R$5</f>
        <v>0.24321033266452963</v>
      </c>
      <c r="V155" s="59">
        <f>120.549378302679*Deflactores!$S$5</f>
        <v>189.33490265345154</v>
      </c>
    </row>
    <row r="156" spans="3:22" x14ac:dyDescent="0.2">
      <c r="C156" s="87" t="s">
        <v>149</v>
      </c>
      <c r="D156" s="56">
        <f>193.72590013149*Deflactores!$A$5</f>
        <v>703.33333515714378</v>
      </c>
      <c r="E156" s="56">
        <f>165.92532885036*Deflactores!$B$5</f>
        <v>559.60167961324635</v>
      </c>
      <c r="F156" s="56">
        <f>126.25443722471*Deflactores!$C$5</f>
        <v>397.98097772275008</v>
      </c>
      <c r="G156" s="56">
        <f>128.69265170294*Deflactores!$D$5</f>
        <v>380.9386453306293</v>
      </c>
      <c r="H156" s="56">
        <f>213.09342868988*Deflactores!$E$5</f>
        <v>597.9037834762903</v>
      </c>
      <c r="I156" s="56">
        <f>92.7405091295799*Deflactores!$F$5</f>
        <v>248.16520554171666</v>
      </c>
      <c r="J156" s="56">
        <f>288.43018744068*Deflactores!$G$5</f>
        <v>738.73298505915079</v>
      </c>
      <c r="K156" s="56">
        <f>426.448556872529*Deflactores!$H$5</f>
        <v>1033.3827284670463</v>
      </c>
      <c r="L156" s="56">
        <f>568.01791331091*Deflactores!$I$5</f>
        <v>1278.3336957158795</v>
      </c>
      <c r="M156" s="56">
        <f>778.56636299345*Deflactores!$J$5</f>
        <v>1717.7896094767946</v>
      </c>
      <c r="N156" s="56">
        <f>982.521467105629*Deflactores!$K$5</f>
        <v>2101.1536279179659</v>
      </c>
      <c r="O156" s="56">
        <f>1113.06499947614*Deflactores!$L$5</f>
        <v>2294.8049955112483</v>
      </c>
      <c r="P156" s="56">
        <f>1405.91427049001*Deflactores!$M$5</f>
        <v>2829.5314764635805</v>
      </c>
      <c r="Q156" s="56">
        <f>1310.15775512983*Deflactores!$N$5</f>
        <v>2586.6320410589701</v>
      </c>
      <c r="R156" s="56">
        <f>1857.7605078794*Deflactores!$O$5</f>
        <v>3538.2586984334062</v>
      </c>
      <c r="S156" s="56">
        <f>1462.35950592694*Deflactores!$P$5</f>
        <v>2608.5836409448652</v>
      </c>
      <c r="T156" s="56">
        <f>1225.61434392147*Deflactores!$Q$5</f>
        <v>2067.3979098261607</v>
      </c>
      <c r="U156" s="56">
        <f>1210.95342313564*Deflactores!$R$5</f>
        <v>1962.4051207893094</v>
      </c>
      <c r="V156" s="56">
        <f>1228.3227458125*Deflactores!$S$5</f>
        <v>1929.2042047823786</v>
      </c>
    </row>
    <row r="157" spans="3:22" x14ac:dyDescent="0.2">
      <c r="C157" s="88" t="s">
        <v>150</v>
      </c>
      <c r="D157" s="57">
        <f>956.338729953339*Deflactores!$A$5</f>
        <v>3472.0443060091084</v>
      </c>
      <c r="E157" s="57">
        <f>1428.8533283859*Deflactores!$B$5</f>
        <v>4818.9672307766677</v>
      </c>
      <c r="F157" s="57">
        <f>1032.25549950833*Deflactores!$C$5</f>
        <v>3253.8900175272997</v>
      </c>
      <c r="G157" s="57">
        <f>907.808277873939*Deflactores!$D$5</f>
        <v>2687.171730608839</v>
      </c>
      <c r="H157" s="57">
        <f>1063.66923699627*Deflactores!$E$5</f>
        <v>2984.4742987966742</v>
      </c>
      <c r="I157" s="57">
        <f>1375.50602361113*Deflactores!$F$5</f>
        <v>3680.7295784453468</v>
      </c>
      <c r="J157" s="57">
        <f>1778.33633401168*Deflactores!$G$5</f>
        <v>4554.7094779522022</v>
      </c>
      <c r="K157" s="57">
        <f>2801.14311823266*Deflactores!$H$5</f>
        <v>6787.812672118398</v>
      </c>
      <c r="L157" s="57">
        <f>2293.22794479697*Deflactores!$I$5</f>
        <v>5160.9473664374591</v>
      </c>
      <c r="M157" s="57">
        <f>3411.36140080721*Deflactores!$J$5</f>
        <v>7526.6559756655306</v>
      </c>
      <c r="N157" s="57">
        <f>3264.49993159593*Deflactores!$K$5</f>
        <v>6981.237666813563</v>
      </c>
      <c r="O157" s="57">
        <f>4404.72476050962*Deflactores!$L$5</f>
        <v>9081.216630679115</v>
      </c>
      <c r="P157" s="57">
        <f>7164.91891855625*Deflactores!$M$5</f>
        <v>14420.056778638665</v>
      </c>
      <c r="Q157" s="57">
        <f>7867.84869426477*Deflactores!$N$5</f>
        <v>15533.419122319761</v>
      </c>
      <c r="R157" s="57">
        <f>6824.42851459451*Deflactores!$O$5</f>
        <v>12997.689126874537</v>
      </c>
      <c r="S157" s="57">
        <f>6207.85849427525*Deflactores!$P$5</f>
        <v>11073.691556579579</v>
      </c>
      <c r="T157" s="57">
        <f>5283.19402400072*Deflactores!$Q$5</f>
        <v>8911.8280449278063</v>
      </c>
      <c r="U157" s="57">
        <f>4964.24522797003*Deflactores!$R$5</f>
        <v>8044.7852659739219</v>
      </c>
      <c r="V157" s="57">
        <f>4026.0019478934*Deflactores!$S$5</f>
        <v>6323.2402988681624</v>
      </c>
    </row>
    <row r="158" spans="3:22" x14ac:dyDescent="0.2">
      <c r="C158" s="87" t="s">
        <v>151</v>
      </c>
      <c r="D158" s="56">
        <f>141.46421762401*Deflactores!$A$5</f>
        <v>513.59420665671678</v>
      </c>
      <c r="E158" s="56">
        <f>57.401781247*Deflactores!$B$5</f>
        <v>193.59391011111236</v>
      </c>
      <c r="F158" s="56">
        <f>85.75221225956*Deflactores!$C$5</f>
        <v>270.30930577281242</v>
      </c>
      <c r="G158" s="56">
        <f>60.65770921996*Deflactores!$D$5</f>
        <v>179.55077677976627</v>
      </c>
      <c r="H158" s="56">
        <f>32.3949812499*Deflactores!$E$5</f>
        <v>90.894787202222858</v>
      </c>
      <c r="I158" s="56">
        <f>56.95167879717*Deflactores!$F$5</f>
        <v>152.39753595592043</v>
      </c>
      <c r="J158" s="56">
        <f>149.68032462916*Deflactores!$G$5</f>
        <v>383.36414783443308</v>
      </c>
      <c r="K158" s="56">
        <f>352.33168523716*Deflactores!$H$5</f>
        <v>853.78053776507716</v>
      </c>
      <c r="L158" s="56">
        <f>397.84936249448*Deflactores!$I$5</f>
        <v>895.3665614721499</v>
      </c>
      <c r="M158" s="56">
        <f>657.01831289666*Deflactores!$J$5</f>
        <v>1449.6121137195225</v>
      </c>
      <c r="N158" s="56">
        <f>315.11706956662*Deflactores!$K$5</f>
        <v>673.8879465802039</v>
      </c>
      <c r="O158" s="56">
        <f>960.24870659873*Deflactores!$L$5</f>
        <v>1979.7437974180207</v>
      </c>
      <c r="P158" s="56">
        <f>3011.09604453374*Deflactores!$M$5</f>
        <v>6060.107088673114</v>
      </c>
      <c r="Q158" s="56">
        <f>3478.03563047096*Deflactores!$N$5</f>
        <v>6866.6527878006746</v>
      </c>
      <c r="R158" s="56">
        <f>3668.24190724048*Deflactores!$O$5</f>
        <v>6986.470420273432</v>
      </c>
      <c r="S158" s="56">
        <f>3805.94999877668*Deflactores!$P$5</f>
        <v>6789.1232387277205</v>
      </c>
      <c r="T158" s="56">
        <f>3173.94806763313*Deflactores!$Q$5</f>
        <v>5353.8975236911519</v>
      </c>
      <c r="U158" s="56">
        <f>3771.11273998334*Deflactores!$R$5</f>
        <v>6111.2597814492319</v>
      </c>
      <c r="V158" s="56">
        <f>2307.52601065269*Deflactores!$S$5</f>
        <v>3624.2012920237944</v>
      </c>
    </row>
    <row r="159" spans="3:22" x14ac:dyDescent="0.2">
      <c r="C159" s="79" t="s">
        <v>152</v>
      </c>
      <c r="D159" s="44">
        <f t="shared" ref="D159:V159" si="32">+SUM(D130:D158)</f>
        <v>109545.8864877836</v>
      </c>
      <c r="E159" s="44">
        <f t="shared" si="32"/>
        <v>119907.86372926281</v>
      </c>
      <c r="F159" s="44">
        <f t="shared" si="32"/>
        <v>116070.88702811747</v>
      </c>
      <c r="G159" s="44">
        <f t="shared" si="32"/>
        <v>115112.89130027818</v>
      </c>
      <c r="H159" s="44">
        <f t="shared" si="32"/>
        <v>133854.5527670836</v>
      </c>
      <c r="I159" s="44">
        <f t="shared" si="32"/>
        <v>146816.46027926204</v>
      </c>
      <c r="J159" s="44">
        <f t="shared" si="32"/>
        <v>150032.12960782129</v>
      </c>
      <c r="K159" s="44">
        <f t="shared" si="32"/>
        <v>171611.73638506318</v>
      </c>
      <c r="L159" s="44">
        <f t="shared" si="32"/>
        <v>182082.72097669431</v>
      </c>
      <c r="M159" s="44">
        <f t="shared" si="32"/>
        <v>210568.81691482812</v>
      </c>
      <c r="N159" s="44">
        <f t="shared" si="32"/>
        <v>207724.67504000335</v>
      </c>
      <c r="O159" s="44">
        <f t="shared" si="32"/>
        <v>223938.67227074428</v>
      </c>
      <c r="P159" s="44">
        <f t="shared" si="32"/>
        <v>243267.51614140463</v>
      </c>
      <c r="Q159" s="44">
        <f t="shared" si="32"/>
        <v>268193.01275049651</v>
      </c>
      <c r="R159" s="44">
        <f t="shared" si="32"/>
        <v>273402.75988867093</v>
      </c>
      <c r="S159" s="44">
        <f t="shared" si="32"/>
        <v>265452.93316514994</v>
      </c>
      <c r="T159" s="44">
        <f t="shared" si="32"/>
        <v>256296.85051017499</v>
      </c>
      <c r="U159" s="44">
        <f t="shared" si="32"/>
        <v>273515.97845357517</v>
      </c>
      <c r="V159" s="44">
        <f t="shared" si="32"/>
        <v>263810.5980729835</v>
      </c>
    </row>
    <row r="160" spans="3:22" x14ac:dyDescent="0.2">
      <c r="C160" s="1" t="s">
        <v>52</v>
      </c>
      <c r="D160" s="12"/>
      <c r="E160" s="12"/>
      <c r="F160" s="12"/>
      <c r="G160" s="12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</row>
    <row r="161" spans="2:22" x14ac:dyDescent="0.2">
      <c r="B161" s="9"/>
    </row>
    <row r="162" spans="2:22" x14ac:dyDescent="0.2">
      <c r="D162" s="11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</row>
    <row r="163" spans="2:22" x14ac:dyDescent="0.2"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</row>
    <row r="164" spans="2:22" ht="18" customHeight="1" x14ac:dyDescent="0.2">
      <c r="D164" s="160" t="s">
        <v>157</v>
      </c>
      <c r="E164" s="158"/>
      <c r="F164" s="158"/>
      <c r="G164" s="158"/>
      <c r="H164" s="158"/>
      <c r="I164" s="158"/>
      <c r="J164" s="158"/>
      <c r="K164" s="158"/>
      <c r="L164" s="158"/>
      <c r="M164" s="158"/>
      <c r="N164" s="158"/>
      <c r="O164" s="158"/>
      <c r="P164" s="158"/>
      <c r="Q164" s="158"/>
      <c r="R164" s="158"/>
      <c r="S164" s="158"/>
      <c r="T164" s="158"/>
      <c r="U164" s="158"/>
      <c r="V164" s="158"/>
    </row>
    <row r="165" spans="2:22" x14ac:dyDescent="0.2">
      <c r="H165" s="67"/>
      <c r="I165" s="27"/>
      <c r="J165" s="27"/>
      <c r="L165" s="175"/>
      <c r="M165" s="158"/>
      <c r="N165" s="158"/>
      <c r="O165" s="158"/>
      <c r="P165" s="158"/>
      <c r="Q165" s="158"/>
      <c r="R165" s="28"/>
      <c r="S165" s="28"/>
      <c r="T165" s="28"/>
      <c r="U165" s="28"/>
      <c r="V165" s="28"/>
    </row>
    <row r="166" spans="2:22" ht="0.75" customHeight="1" x14ac:dyDescent="0.2"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</row>
    <row r="167" spans="2:22" x14ac:dyDescent="0.2">
      <c r="C167" s="177" t="s">
        <v>120</v>
      </c>
      <c r="D167" s="153">
        <v>2000</v>
      </c>
      <c r="E167" s="153">
        <v>2001</v>
      </c>
      <c r="F167" s="153">
        <v>2002</v>
      </c>
      <c r="G167" s="153">
        <v>2003</v>
      </c>
      <c r="H167" s="153">
        <v>2004</v>
      </c>
      <c r="I167" s="153">
        <v>2005</v>
      </c>
      <c r="J167" s="153">
        <v>2006</v>
      </c>
      <c r="K167" s="153">
        <v>2007</v>
      </c>
      <c r="L167" s="153">
        <v>2008</v>
      </c>
      <c r="M167" s="153">
        <v>2009</v>
      </c>
      <c r="N167" s="153">
        <v>2010</v>
      </c>
      <c r="O167" s="153">
        <v>2011</v>
      </c>
      <c r="P167" s="153">
        <v>2012</v>
      </c>
      <c r="Q167" s="153">
        <v>2013</v>
      </c>
      <c r="R167" s="153">
        <v>2014</v>
      </c>
      <c r="S167" s="153">
        <v>2015</v>
      </c>
      <c r="T167" s="153">
        <v>2016</v>
      </c>
      <c r="U167" s="153">
        <v>2017</v>
      </c>
      <c r="V167" s="153">
        <v>2018</v>
      </c>
    </row>
    <row r="168" spans="2:22" ht="12" customHeight="1" thickBot="1" x14ac:dyDescent="0.25">
      <c r="C168" s="156"/>
      <c r="D168" s="154"/>
      <c r="E168" s="154"/>
      <c r="F168" s="154"/>
      <c r="G168" s="154"/>
      <c r="H168" s="154"/>
      <c r="I168" s="154"/>
      <c r="J168" s="154"/>
      <c r="K168" s="154"/>
      <c r="L168" s="154"/>
      <c r="M168" s="154"/>
      <c r="N168" s="154"/>
      <c r="O168" s="154"/>
      <c r="P168" s="154"/>
      <c r="Q168" s="154"/>
      <c r="R168" s="154"/>
      <c r="S168" s="154"/>
      <c r="T168" s="154"/>
      <c r="U168" s="154"/>
      <c r="V168" s="154"/>
    </row>
    <row r="169" spans="2:22" x14ac:dyDescent="0.2">
      <c r="C169" s="87" t="s">
        <v>123</v>
      </c>
      <c r="D169" s="60">
        <f t="shared" ref="D169:V169" si="33">+IFERROR(IF(D130&gt;0,+((D130/D14)*100)," "),"")</f>
        <v>85.48556559336842</v>
      </c>
      <c r="E169" s="60">
        <f t="shared" si="33"/>
        <v>67.198731340609115</v>
      </c>
      <c r="F169" s="60">
        <f t="shared" si="33"/>
        <v>64.022527792647566</v>
      </c>
      <c r="G169" s="60">
        <f t="shared" si="33"/>
        <v>74.3902752761106</v>
      </c>
      <c r="H169" s="60">
        <f t="shared" si="33"/>
        <v>73.212707275588755</v>
      </c>
      <c r="I169" s="60">
        <f t="shared" si="33"/>
        <v>82.178018111330715</v>
      </c>
      <c r="J169" s="60">
        <f t="shared" si="33"/>
        <v>80.531764450618709</v>
      </c>
      <c r="K169" s="60">
        <f t="shared" si="33"/>
        <v>93.234710224201095</v>
      </c>
      <c r="L169" s="60">
        <f t="shared" si="33"/>
        <v>97.369570742029694</v>
      </c>
      <c r="M169" s="60">
        <f t="shared" si="33"/>
        <v>87.021741919566608</v>
      </c>
      <c r="N169" s="60">
        <f t="shared" si="33"/>
        <v>81.367737841336108</v>
      </c>
      <c r="O169" s="60">
        <f t="shared" si="33"/>
        <v>77.864715071001598</v>
      </c>
      <c r="P169" s="60">
        <f t="shared" si="33"/>
        <v>85.278328039357547</v>
      </c>
      <c r="Q169" s="60">
        <f t="shared" si="33"/>
        <v>87.827588518922965</v>
      </c>
      <c r="R169" s="60">
        <f t="shared" si="33"/>
        <v>91.317008911113646</v>
      </c>
      <c r="S169" s="60">
        <f t="shared" si="33"/>
        <v>87.849533834504726</v>
      </c>
      <c r="T169" s="60">
        <f t="shared" si="33"/>
        <v>80.780355565231886</v>
      </c>
      <c r="U169" s="60">
        <f t="shared" si="33"/>
        <v>91.819067454827476</v>
      </c>
      <c r="V169" s="60">
        <f t="shared" si="33"/>
        <v>60.407586823639328</v>
      </c>
    </row>
    <row r="170" spans="2:22" x14ac:dyDescent="0.2">
      <c r="C170" s="88" t="s">
        <v>124</v>
      </c>
      <c r="D170" s="62">
        <f t="shared" ref="D170:V170" si="34">+IFERROR(IF(D131&gt;0,+((D131/D15)*100)," "),"")</f>
        <v>73.495639443549337</v>
      </c>
      <c r="E170" s="62">
        <f t="shared" si="34"/>
        <v>75.355771842815571</v>
      </c>
      <c r="F170" s="62">
        <f t="shared" si="34"/>
        <v>72.944433005649913</v>
      </c>
      <c r="G170" s="62">
        <f t="shared" si="34"/>
        <v>71.565844032814113</v>
      </c>
      <c r="H170" s="62">
        <f t="shared" si="34"/>
        <v>44.719913687670257</v>
      </c>
      <c r="I170" s="62">
        <f t="shared" si="34"/>
        <v>57.891332750207525</v>
      </c>
      <c r="J170" s="62">
        <f t="shared" si="34"/>
        <v>54.514651290934623</v>
      </c>
      <c r="K170" s="62">
        <f t="shared" si="34"/>
        <v>93.360495416862463</v>
      </c>
      <c r="L170" s="62">
        <f t="shared" si="34"/>
        <v>97.260826156597673</v>
      </c>
      <c r="M170" s="62">
        <f t="shared" si="34"/>
        <v>93.841934333669599</v>
      </c>
      <c r="N170" s="62">
        <f t="shared" si="34"/>
        <v>92.990023340974929</v>
      </c>
      <c r="O170" s="62">
        <f t="shared" si="34"/>
        <v>95.348476934121976</v>
      </c>
      <c r="P170" s="62">
        <f t="shared" si="34"/>
        <v>81.420484661537657</v>
      </c>
      <c r="Q170" s="62">
        <f t="shared" si="34"/>
        <v>71.345782507830023</v>
      </c>
      <c r="R170" s="62">
        <f t="shared" si="34"/>
        <v>75.512830541007503</v>
      </c>
      <c r="S170" s="62">
        <f t="shared" si="34"/>
        <v>68.526638220723981</v>
      </c>
      <c r="T170" s="62">
        <f t="shared" si="34"/>
        <v>73.152127381935017</v>
      </c>
      <c r="U170" s="62">
        <f t="shared" si="34"/>
        <v>76.3248965916695</v>
      </c>
      <c r="V170" s="62">
        <f t="shared" si="34"/>
        <v>77.726980379740326</v>
      </c>
    </row>
    <row r="171" spans="2:22" x14ac:dyDescent="0.2">
      <c r="C171" s="87" t="s">
        <v>125</v>
      </c>
      <c r="D171" s="60">
        <f t="shared" ref="D171:V171" si="35">+IFERROR(IF(D132&gt;0,+((D132/D16)*100)," "),"")</f>
        <v>66.15653595535953</v>
      </c>
      <c r="E171" s="60">
        <f t="shared" si="35"/>
        <v>51.967734163153523</v>
      </c>
      <c r="F171" s="60">
        <f t="shared" si="35"/>
        <v>34.234644661719003</v>
      </c>
      <c r="G171" s="60">
        <f t="shared" si="35"/>
        <v>24.513710702207771</v>
      </c>
      <c r="H171" s="60">
        <f t="shared" si="35"/>
        <v>44.584197100288229</v>
      </c>
      <c r="I171" s="60">
        <f t="shared" si="35"/>
        <v>43.731029775810413</v>
      </c>
      <c r="J171" s="60">
        <f t="shared" si="35"/>
        <v>34.136821742501958</v>
      </c>
      <c r="K171" s="60">
        <f t="shared" si="35"/>
        <v>82.894919769688386</v>
      </c>
      <c r="L171" s="60">
        <f t="shared" si="35"/>
        <v>90.435334575253222</v>
      </c>
      <c r="M171" s="60">
        <f t="shared" si="35"/>
        <v>77.316373307031611</v>
      </c>
      <c r="N171" s="60">
        <f t="shared" si="35"/>
        <v>93.912790733948555</v>
      </c>
      <c r="O171" s="60">
        <f t="shared" si="35"/>
        <v>95.041746313245213</v>
      </c>
      <c r="P171" s="60">
        <f t="shared" si="35"/>
        <v>90.923909656538001</v>
      </c>
      <c r="Q171" s="60">
        <f t="shared" si="35"/>
        <v>96.379613927901559</v>
      </c>
      <c r="R171" s="60">
        <f t="shared" si="35"/>
        <v>94.762164254867372</v>
      </c>
      <c r="S171" s="60">
        <f t="shared" si="35"/>
        <v>98.15104900551701</v>
      </c>
      <c r="T171" s="60">
        <f t="shared" si="35"/>
        <v>98.391747332416443</v>
      </c>
      <c r="U171" s="60">
        <f t="shared" si="35"/>
        <v>99.616140108691724</v>
      </c>
      <c r="V171" s="60">
        <f t="shared" si="35"/>
        <v>80.359304580074152</v>
      </c>
    </row>
    <row r="172" spans="2:22" x14ac:dyDescent="0.2">
      <c r="C172" s="88" t="s">
        <v>126</v>
      </c>
      <c r="D172" s="62">
        <f t="shared" ref="D172:V172" si="36">+IFERROR(IF(D133&gt;0,+((D133/D17)*100)," "),"")</f>
        <v>78.289474332284854</v>
      </c>
      <c r="E172" s="62">
        <f t="shared" si="36"/>
        <v>70.888874527271568</v>
      </c>
      <c r="F172" s="62">
        <f t="shared" si="36"/>
        <v>64.771926261852684</v>
      </c>
      <c r="G172" s="62">
        <f t="shared" si="36"/>
        <v>78.7657938848877</v>
      </c>
      <c r="H172" s="62">
        <f t="shared" si="36"/>
        <v>80.448194770659384</v>
      </c>
      <c r="I172" s="62">
        <f t="shared" si="36"/>
        <v>80.797504790849729</v>
      </c>
      <c r="J172" s="62">
        <f t="shared" si="36"/>
        <v>86.329623210683309</v>
      </c>
      <c r="K172" s="62">
        <f t="shared" si="36"/>
        <v>90.02818778156643</v>
      </c>
      <c r="L172" s="62">
        <f t="shared" si="36"/>
        <v>91.397529849595585</v>
      </c>
      <c r="M172" s="62">
        <f t="shared" si="36"/>
        <v>91.792844610080095</v>
      </c>
      <c r="N172" s="62">
        <f t="shared" si="36"/>
        <v>90.623051758515913</v>
      </c>
      <c r="O172" s="62">
        <f t="shared" si="36"/>
        <v>89.455151231831849</v>
      </c>
      <c r="P172" s="62">
        <f t="shared" si="36"/>
        <v>93.621298270811266</v>
      </c>
      <c r="Q172" s="62">
        <f t="shared" si="36"/>
        <v>94.187215779788218</v>
      </c>
      <c r="R172" s="62">
        <f t="shared" si="36"/>
        <v>92.24554331617145</v>
      </c>
      <c r="S172" s="62">
        <f t="shared" si="36"/>
        <v>95.32459630969629</v>
      </c>
      <c r="T172" s="62">
        <f t="shared" si="36"/>
        <v>96.801432339779666</v>
      </c>
      <c r="U172" s="62">
        <f t="shared" si="36"/>
        <v>97.56252186825256</v>
      </c>
      <c r="V172" s="62">
        <f t="shared" si="36"/>
        <v>87.861732018180945</v>
      </c>
    </row>
    <row r="173" spans="2:22" x14ac:dyDescent="0.2">
      <c r="C173" s="87" t="s">
        <v>127</v>
      </c>
      <c r="D173" s="60">
        <f t="shared" ref="D173:V173" si="37">+IFERROR(IF(D134&gt;0,+((D134/D18)*100)," "),"")</f>
        <v>86.625023337689782</v>
      </c>
      <c r="E173" s="60">
        <f t="shared" si="37"/>
        <v>81.078374192575367</v>
      </c>
      <c r="F173" s="60">
        <f t="shared" si="37"/>
        <v>93.68000752536453</v>
      </c>
      <c r="G173" s="60">
        <f t="shared" si="37"/>
        <v>91.303240186385864</v>
      </c>
      <c r="H173" s="60">
        <f t="shared" si="37"/>
        <v>93.497565104521968</v>
      </c>
      <c r="I173" s="60">
        <f t="shared" si="37"/>
        <v>93.773634793614264</v>
      </c>
      <c r="J173" s="60">
        <f t="shared" si="37"/>
        <v>93.859918648426785</v>
      </c>
      <c r="K173" s="60">
        <f t="shared" si="37"/>
        <v>97.100852780428795</v>
      </c>
      <c r="L173" s="60">
        <f t="shared" si="37"/>
        <v>94.597994838217474</v>
      </c>
      <c r="M173" s="60">
        <f t="shared" si="37"/>
        <v>94.575461099225961</v>
      </c>
      <c r="N173" s="60">
        <f t="shared" si="37"/>
        <v>94.048409947523467</v>
      </c>
      <c r="O173" s="60">
        <f t="shared" si="37"/>
        <v>89.355637074634245</v>
      </c>
      <c r="P173" s="60">
        <f t="shared" si="37"/>
        <v>87.399118466244403</v>
      </c>
      <c r="Q173" s="60">
        <f t="shared" si="37"/>
        <v>90.465072174835484</v>
      </c>
      <c r="R173" s="60">
        <f t="shared" si="37"/>
        <v>95.408839041333309</v>
      </c>
      <c r="S173" s="60">
        <f t="shared" si="37"/>
        <v>97.687119133242263</v>
      </c>
      <c r="T173" s="60">
        <f t="shared" si="37"/>
        <v>96.870415888958235</v>
      </c>
      <c r="U173" s="60">
        <f t="shared" si="37"/>
        <v>98.184179198252821</v>
      </c>
      <c r="V173" s="60">
        <f t="shared" si="37"/>
        <v>92.269699098342443</v>
      </c>
    </row>
    <row r="174" spans="2:22" x14ac:dyDescent="0.2">
      <c r="C174" s="88" t="s">
        <v>128</v>
      </c>
      <c r="D174" s="62">
        <f t="shared" ref="D174:V174" si="38">+IFERROR(IF(D135&gt;0,+((D135/D19)*100)," "),"")</f>
        <v>75.11805845215153</v>
      </c>
      <c r="E174" s="62">
        <f t="shared" si="38"/>
        <v>82.653089817889438</v>
      </c>
      <c r="F174" s="62">
        <f t="shared" si="38"/>
        <v>74.585372011652581</v>
      </c>
      <c r="G174" s="62">
        <f t="shared" si="38"/>
        <v>85.548595294956513</v>
      </c>
      <c r="H174" s="62">
        <f t="shared" si="38"/>
        <v>79.741147097668545</v>
      </c>
      <c r="I174" s="62">
        <f t="shared" si="38"/>
        <v>83.898784440267789</v>
      </c>
      <c r="J174" s="62">
        <f t="shared" si="38"/>
        <v>84.615851441276064</v>
      </c>
      <c r="K174" s="62">
        <f t="shared" si="38"/>
        <v>86.763697681262514</v>
      </c>
      <c r="L174" s="62">
        <f t="shared" si="38"/>
        <v>90.324469986422557</v>
      </c>
      <c r="M174" s="62">
        <f t="shared" si="38"/>
        <v>83.635584489408345</v>
      </c>
      <c r="N174" s="62">
        <f t="shared" si="38"/>
        <v>87.987810080198798</v>
      </c>
      <c r="O174" s="62">
        <f t="shared" si="38"/>
        <v>89.636128443013959</v>
      </c>
      <c r="P174" s="62">
        <f t="shared" si="38"/>
        <v>94.074972542496781</v>
      </c>
      <c r="Q174" s="62">
        <f t="shared" si="38"/>
        <v>93.461351350135175</v>
      </c>
      <c r="R174" s="62">
        <f t="shared" si="38"/>
        <v>97.707635248106456</v>
      </c>
      <c r="S174" s="62">
        <f t="shared" si="38"/>
        <v>98.069213509139431</v>
      </c>
      <c r="T174" s="62">
        <f t="shared" si="38"/>
        <v>98.280744110073087</v>
      </c>
      <c r="U174" s="62">
        <f t="shared" si="38"/>
        <v>93.358935144710571</v>
      </c>
      <c r="V174" s="62">
        <f t="shared" si="38"/>
        <v>90.787070732686232</v>
      </c>
    </row>
    <row r="175" spans="2:22" x14ac:dyDescent="0.2">
      <c r="C175" s="87" t="s">
        <v>129</v>
      </c>
      <c r="D175" s="60">
        <f t="shared" ref="D175:V175" si="39">+IFERROR(IF(D136&gt;0,+((D136/D20)*100)," "),"")</f>
        <v>94.258406987307666</v>
      </c>
      <c r="E175" s="60">
        <f t="shared" si="39"/>
        <v>89.183907166697878</v>
      </c>
      <c r="F175" s="60">
        <f t="shared" si="39"/>
        <v>89.587478713707398</v>
      </c>
      <c r="G175" s="60">
        <f t="shared" si="39"/>
        <v>88.211195692519183</v>
      </c>
      <c r="H175" s="60">
        <f t="shared" si="39"/>
        <v>88.863327193706681</v>
      </c>
      <c r="I175" s="60">
        <f t="shared" si="39"/>
        <v>89.116731806972112</v>
      </c>
      <c r="J175" s="60">
        <f t="shared" si="39"/>
        <v>90.064860242581062</v>
      </c>
      <c r="K175" s="60">
        <f t="shared" si="39"/>
        <v>96.795563810018479</v>
      </c>
      <c r="L175" s="60">
        <f t="shared" si="39"/>
        <v>97.33580240191165</v>
      </c>
      <c r="M175" s="60">
        <f t="shared" si="39"/>
        <v>95.155285893327289</v>
      </c>
      <c r="N175" s="60">
        <f t="shared" si="39"/>
        <v>94.849377161664421</v>
      </c>
      <c r="O175" s="60">
        <f t="shared" si="39"/>
        <v>95.407116996827398</v>
      </c>
      <c r="P175" s="60">
        <f t="shared" si="39"/>
        <v>96.854560905027938</v>
      </c>
      <c r="Q175" s="60">
        <f t="shared" si="39"/>
        <v>96.862029986917221</v>
      </c>
      <c r="R175" s="60">
        <f t="shared" si="39"/>
        <v>96.676892649451233</v>
      </c>
      <c r="S175" s="60">
        <f t="shared" si="39"/>
        <v>96.927549760759206</v>
      </c>
      <c r="T175" s="60">
        <f t="shared" si="39"/>
        <v>98.236392414013082</v>
      </c>
      <c r="U175" s="60">
        <f t="shared" si="39"/>
        <v>98.645750724223888</v>
      </c>
      <c r="V175" s="60">
        <f t="shared" si="39"/>
        <v>95.433929835314785</v>
      </c>
    </row>
    <row r="176" spans="2:22" x14ac:dyDescent="0.2">
      <c r="C176" s="88" t="s">
        <v>130</v>
      </c>
      <c r="D176" s="62">
        <f t="shared" ref="D176:V176" si="40">+IFERROR(IF(D137&gt;0,+((D137/D21)*100)," "),"")</f>
        <v>86.449273964205616</v>
      </c>
      <c r="E176" s="62">
        <f t="shared" si="40"/>
        <v>66.940827861135745</v>
      </c>
      <c r="F176" s="62">
        <f t="shared" si="40"/>
        <v>65.051526243013242</v>
      </c>
      <c r="G176" s="62">
        <f t="shared" si="40"/>
        <v>64.14871350406564</v>
      </c>
      <c r="H176" s="62">
        <f t="shared" si="40"/>
        <v>81.819618567181465</v>
      </c>
      <c r="I176" s="62">
        <f t="shared" si="40"/>
        <v>87.326615823607838</v>
      </c>
      <c r="J176" s="62">
        <f t="shared" si="40"/>
        <v>91.865062333087394</v>
      </c>
      <c r="K176" s="62">
        <f t="shared" si="40"/>
        <v>90.587645656524899</v>
      </c>
      <c r="L176" s="62">
        <f t="shared" si="40"/>
        <v>92.683912241701023</v>
      </c>
      <c r="M176" s="62">
        <f t="shared" si="40"/>
        <v>82.284035019192871</v>
      </c>
      <c r="N176" s="62">
        <f t="shared" si="40"/>
        <v>87.709997244075822</v>
      </c>
      <c r="O176" s="62">
        <f t="shared" si="40"/>
        <v>84.446938240226203</v>
      </c>
      <c r="P176" s="62">
        <f t="shared" si="40"/>
        <v>84.695037183731415</v>
      </c>
      <c r="Q176" s="62">
        <f t="shared" si="40"/>
        <v>88.741413898721589</v>
      </c>
      <c r="R176" s="62">
        <f t="shared" si="40"/>
        <v>89.166834721737487</v>
      </c>
      <c r="S176" s="62">
        <f t="shared" si="40"/>
        <v>86.735096914790148</v>
      </c>
      <c r="T176" s="62">
        <f t="shared" si="40"/>
        <v>70.232272274788883</v>
      </c>
      <c r="U176" s="62">
        <f t="shared" si="40"/>
        <v>79.75376338516908</v>
      </c>
      <c r="V176" s="62">
        <f t="shared" si="40"/>
        <v>70.787316276504768</v>
      </c>
    </row>
    <row r="177" spans="3:22" x14ac:dyDescent="0.2">
      <c r="C177" s="87" t="s">
        <v>131</v>
      </c>
      <c r="D177" s="60">
        <f t="shared" ref="D177:V177" si="41">+IFERROR(IF(D138&gt;0,+((D138/D22)*100)," "),"")</f>
        <v>94.299448962052182</v>
      </c>
      <c r="E177" s="60">
        <f t="shared" si="41"/>
        <v>95.335743122697565</v>
      </c>
      <c r="F177" s="60">
        <f t="shared" si="41"/>
        <v>98.562862590908495</v>
      </c>
      <c r="G177" s="60">
        <f t="shared" si="41"/>
        <v>95.307603777491749</v>
      </c>
      <c r="H177" s="60">
        <f t="shared" si="41"/>
        <v>97.841766435273982</v>
      </c>
      <c r="I177" s="60">
        <f t="shared" si="41"/>
        <v>97.020649169325466</v>
      </c>
      <c r="J177" s="60">
        <f t="shared" si="41"/>
        <v>96.355013217226144</v>
      </c>
      <c r="K177" s="60">
        <f t="shared" si="41"/>
        <v>99.197442675913152</v>
      </c>
      <c r="L177" s="60">
        <f t="shared" si="41"/>
        <v>99.198900682452631</v>
      </c>
      <c r="M177" s="60">
        <f t="shared" si="41"/>
        <v>98.070445087217536</v>
      </c>
      <c r="N177" s="60">
        <f t="shared" si="41"/>
        <v>96.150541757426979</v>
      </c>
      <c r="O177" s="60">
        <f t="shared" si="41"/>
        <v>99.392485711811091</v>
      </c>
      <c r="P177" s="60">
        <f t="shared" si="41"/>
        <v>97.05503119387383</v>
      </c>
      <c r="Q177" s="60">
        <f t="shared" si="41"/>
        <v>99.395025529620156</v>
      </c>
      <c r="R177" s="60">
        <f t="shared" si="41"/>
        <v>99.669505995279522</v>
      </c>
      <c r="S177" s="60">
        <f t="shared" si="41"/>
        <v>99.741528819266136</v>
      </c>
      <c r="T177" s="60">
        <f t="shared" si="41"/>
        <v>99.032178205917091</v>
      </c>
      <c r="U177" s="60">
        <f t="shared" si="41"/>
        <v>99.788730757435644</v>
      </c>
      <c r="V177" s="60">
        <f t="shared" si="41"/>
        <v>99.13903424277018</v>
      </c>
    </row>
    <row r="178" spans="3:22" x14ac:dyDescent="0.2">
      <c r="C178" s="88" t="s">
        <v>132</v>
      </c>
      <c r="D178" s="62">
        <f t="shared" ref="D178:V178" si="42">+IFERROR(IF(D139&gt;0,+((D139/D23)*100)," "),"")</f>
        <v>88.179502979576966</v>
      </c>
      <c r="E178" s="62">
        <f t="shared" si="42"/>
        <v>78.183405478623698</v>
      </c>
      <c r="F178" s="62">
        <f t="shared" si="42"/>
        <v>79.989465981469209</v>
      </c>
      <c r="G178" s="62">
        <f t="shared" si="42"/>
        <v>85.964775942052967</v>
      </c>
      <c r="H178" s="62">
        <f t="shared" si="42"/>
        <v>76.628459178269409</v>
      </c>
      <c r="I178" s="62">
        <f t="shared" si="42"/>
        <v>76.40246618257224</v>
      </c>
      <c r="J178" s="62">
        <f t="shared" si="42"/>
        <v>72.031580598205039</v>
      </c>
      <c r="K178" s="62">
        <f t="shared" si="42"/>
        <v>50.013069999837569</v>
      </c>
      <c r="L178" s="62">
        <f t="shared" si="42"/>
        <v>60.956216148907203</v>
      </c>
      <c r="M178" s="62">
        <f t="shared" si="42"/>
        <v>58.79265198156142</v>
      </c>
      <c r="N178" s="62">
        <f t="shared" si="42"/>
        <v>64.945207222444708</v>
      </c>
      <c r="O178" s="62">
        <f t="shared" si="42"/>
        <v>61.655607388776637</v>
      </c>
      <c r="P178" s="62">
        <f t="shared" si="42"/>
        <v>70.824898389761742</v>
      </c>
      <c r="Q178" s="62">
        <f t="shared" si="42"/>
        <v>70.478703545136028</v>
      </c>
      <c r="R178" s="62">
        <f t="shared" si="42"/>
        <v>69.529744990509883</v>
      </c>
      <c r="S178" s="62">
        <f t="shared" si="42"/>
        <v>72.825281182344483</v>
      </c>
      <c r="T178" s="62">
        <f t="shared" si="42"/>
        <v>88.718745369393147</v>
      </c>
      <c r="U178" s="62">
        <f t="shared" si="42"/>
        <v>88.245500685796259</v>
      </c>
      <c r="V178" s="62">
        <f t="shared" si="42"/>
        <v>90.125133405955424</v>
      </c>
    </row>
    <row r="179" spans="3:22" x14ac:dyDescent="0.2">
      <c r="C179" s="87" t="s">
        <v>133</v>
      </c>
      <c r="D179" s="60">
        <f t="shared" ref="D179:V179" si="43">+IFERROR(IF(D140&gt;0,+((D140/D24)*100)," "),"")</f>
        <v>96.063889168711512</v>
      </c>
      <c r="E179" s="60">
        <f t="shared" si="43"/>
        <v>97.227968905940998</v>
      </c>
      <c r="F179" s="60">
        <f t="shared" si="43"/>
        <v>96.232992193482431</v>
      </c>
      <c r="G179" s="60">
        <f t="shared" si="43"/>
        <v>96.19407584448598</v>
      </c>
      <c r="H179" s="60">
        <f t="shared" si="43"/>
        <v>94.916521189324598</v>
      </c>
      <c r="I179" s="60">
        <f t="shared" si="43"/>
        <v>96.732163028995487</v>
      </c>
      <c r="J179" s="60">
        <f t="shared" si="43"/>
        <v>94.920425565891804</v>
      </c>
      <c r="K179" s="60">
        <f t="shared" si="43"/>
        <v>97.812851143453344</v>
      </c>
      <c r="L179" s="60">
        <f t="shared" si="43"/>
        <v>95.821977581656427</v>
      </c>
      <c r="M179" s="60">
        <f t="shared" si="43"/>
        <v>95.877423368402575</v>
      </c>
      <c r="N179" s="60">
        <f t="shared" si="43"/>
        <v>90.284741446901279</v>
      </c>
      <c r="O179" s="60">
        <f t="shared" si="43"/>
        <v>92.108540875482433</v>
      </c>
      <c r="P179" s="60">
        <f t="shared" si="43"/>
        <v>90.976573998812199</v>
      </c>
      <c r="Q179" s="60">
        <f t="shared" si="43"/>
        <v>93.872393848277682</v>
      </c>
      <c r="R179" s="60">
        <f t="shared" si="43"/>
        <v>90.215698966211804</v>
      </c>
      <c r="S179" s="60">
        <f t="shared" si="43"/>
        <v>89.745350985975293</v>
      </c>
      <c r="T179" s="60">
        <f t="shared" si="43"/>
        <v>94.846826911684673</v>
      </c>
      <c r="U179" s="60">
        <f t="shared" si="43"/>
        <v>98.562922020841185</v>
      </c>
      <c r="V179" s="60">
        <f t="shared" si="43"/>
        <v>91.948412206118064</v>
      </c>
    </row>
    <row r="180" spans="3:22" x14ac:dyDescent="0.2">
      <c r="C180" s="88" t="s">
        <v>134</v>
      </c>
      <c r="D180" s="62">
        <f t="shared" ref="D180:V180" si="44">+IFERROR(IF(D141&gt;0,+((D141/D25)*100)," "),"")</f>
        <v>88.454640233378129</v>
      </c>
      <c r="E180" s="62">
        <f t="shared" si="44"/>
        <v>89.447407539148656</v>
      </c>
      <c r="F180" s="62">
        <f t="shared" si="44"/>
        <v>79.506694961885387</v>
      </c>
      <c r="G180" s="62">
        <f t="shared" si="44"/>
        <v>85.564965059344019</v>
      </c>
      <c r="H180" s="62">
        <f t="shared" si="44"/>
        <v>79.657314931217329</v>
      </c>
      <c r="I180" s="62">
        <f t="shared" si="44"/>
        <v>83.279932203563305</v>
      </c>
      <c r="J180" s="62">
        <f t="shared" si="44"/>
        <v>84.472633477961381</v>
      </c>
      <c r="K180" s="62">
        <f t="shared" si="44"/>
        <v>82.955513501017563</v>
      </c>
      <c r="L180" s="62">
        <f t="shared" si="44"/>
        <v>79.194539049896875</v>
      </c>
      <c r="M180" s="62">
        <f t="shared" si="44"/>
        <v>73.947448779115504</v>
      </c>
      <c r="N180" s="62">
        <f t="shared" si="44"/>
        <v>78.35953032650896</v>
      </c>
      <c r="O180" s="62">
        <f t="shared" si="44"/>
        <v>95.383282639165358</v>
      </c>
      <c r="P180" s="62">
        <f t="shared" si="44"/>
        <v>91.97202456683371</v>
      </c>
      <c r="Q180" s="62">
        <f t="shared" si="44"/>
        <v>84.44110642585143</v>
      </c>
      <c r="R180" s="62">
        <f t="shared" si="44"/>
        <v>68.851578749281543</v>
      </c>
      <c r="S180" s="62">
        <f t="shared" si="44"/>
        <v>84.74943567151638</v>
      </c>
      <c r="T180" s="62">
        <f t="shared" si="44"/>
        <v>83.952818665347237</v>
      </c>
      <c r="U180" s="62">
        <f t="shared" si="44"/>
        <v>90.214320359708694</v>
      </c>
      <c r="V180" s="62">
        <f t="shared" si="44"/>
        <v>82.549276391915086</v>
      </c>
    </row>
    <row r="181" spans="3:22" x14ac:dyDescent="0.2">
      <c r="C181" s="87" t="s">
        <v>135</v>
      </c>
      <c r="D181" s="60" t="str">
        <f t="shared" ref="D181:V181" si="45">+IFERROR(IF(D142&gt;0,+((D142/D26)*100)," "),"")</f>
        <v xml:space="preserve"> </v>
      </c>
      <c r="E181" s="60" t="str">
        <f t="shared" si="45"/>
        <v xml:space="preserve"> </v>
      </c>
      <c r="F181" s="60" t="str">
        <f t="shared" si="45"/>
        <v xml:space="preserve"> </v>
      </c>
      <c r="G181" s="60" t="str">
        <f t="shared" si="45"/>
        <v xml:space="preserve"> </v>
      </c>
      <c r="H181" s="60" t="str">
        <f t="shared" si="45"/>
        <v xml:space="preserve"> </v>
      </c>
      <c r="I181" s="60" t="str">
        <f t="shared" si="45"/>
        <v xml:space="preserve"> </v>
      </c>
      <c r="J181" s="60" t="str">
        <f t="shared" si="45"/>
        <v xml:space="preserve"> </v>
      </c>
      <c r="K181" s="60" t="str">
        <f t="shared" si="45"/>
        <v xml:space="preserve"> </v>
      </c>
      <c r="L181" s="60" t="str">
        <f t="shared" si="45"/>
        <v xml:space="preserve"> </v>
      </c>
      <c r="M181" s="60" t="str">
        <f t="shared" si="45"/>
        <v xml:space="preserve"> </v>
      </c>
      <c r="N181" s="60" t="str">
        <f t="shared" si="45"/>
        <v xml:space="preserve"> </v>
      </c>
      <c r="O181" s="60" t="str">
        <f t="shared" si="45"/>
        <v xml:space="preserve"> </v>
      </c>
      <c r="P181" s="60" t="str">
        <f t="shared" si="45"/>
        <v xml:space="preserve"> </v>
      </c>
      <c r="Q181" s="60" t="str">
        <f t="shared" si="45"/>
        <v xml:space="preserve"> </v>
      </c>
      <c r="R181" s="60" t="str">
        <f t="shared" si="45"/>
        <v xml:space="preserve"> </v>
      </c>
      <c r="S181" s="60" t="str">
        <f t="shared" si="45"/>
        <v xml:space="preserve"> </v>
      </c>
      <c r="T181" s="60" t="str">
        <f t="shared" si="45"/>
        <v xml:space="preserve"> </v>
      </c>
      <c r="U181" s="60" t="str">
        <f t="shared" si="45"/>
        <v xml:space="preserve"> </v>
      </c>
      <c r="V181" s="60" t="str">
        <f t="shared" si="45"/>
        <v xml:space="preserve"> </v>
      </c>
    </row>
    <row r="182" spans="3:22" x14ac:dyDescent="0.2">
      <c r="C182" s="88" t="s">
        <v>136</v>
      </c>
      <c r="D182" s="62">
        <f t="shared" ref="D182:V182" si="46">+IFERROR(IF(D143&gt;0,+((D143/D27)*100)," "),"")</f>
        <v>79.531551176930947</v>
      </c>
      <c r="E182" s="62">
        <f t="shared" si="46"/>
        <v>77.550268937967473</v>
      </c>
      <c r="F182" s="62">
        <f t="shared" si="46"/>
        <v>79.508341111532815</v>
      </c>
      <c r="G182" s="62">
        <f t="shared" si="46"/>
        <v>84.936466299634844</v>
      </c>
      <c r="H182" s="62">
        <f t="shared" si="46"/>
        <v>85.341427412876314</v>
      </c>
      <c r="I182" s="62">
        <f t="shared" si="46"/>
        <v>82.685454341619575</v>
      </c>
      <c r="J182" s="62">
        <f t="shared" si="46"/>
        <v>81.126583436461928</v>
      </c>
      <c r="K182" s="62">
        <f t="shared" si="46"/>
        <v>89.769698148379845</v>
      </c>
      <c r="L182" s="62">
        <f t="shared" si="46"/>
        <v>87.195546872527927</v>
      </c>
      <c r="M182" s="62">
        <f t="shared" si="46"/>
        <v>91.098279604274964</v>
      </c>
      <c r="N182" s="62">
        <f t="shared" si="46"/>
        <v>87.521763938527499</v>
      </c>
      <c r="O182" s="62">
        <f t="shared" si="46"/>
        <v>85.93295975091128</v>
      </c>
      <c r="P182" s="62">
        <f t="shared" si="46"/>
        <v>89.686623091957927</v>
      </c>
      <c r="Q182" s="62">
        <f t="shared" si="46"/>
        <v>90.831938310488056</v>
      </c>
      <c r="R182" s="62">
        <f t="shared" si="46"/>
        <v>91.804493138257698</v>
      </c>
      <c r="S182" s="62">
        <f t="shared" si="46"/>
        <v>94.547655690152325</v>
      </c>
      <c r="T182" s="62">
        <f t="shared" si="46"/>
        <v>88.254002178251355</v>
      </c>
      <c r="U182" s="62">
        <f t="shared" si="46"/>
        <v>96.287049541459666</v>
      </c>
      <c r="V182" s="62">
        <f t="shared" si="46"/>
        <v>91.975461382562571</v>
      </c>
    </row>
    <row r="183" spans="3:22" x14ac:dyDescent="0.2">
      <c r="C183" s="87" t="s">
        <v>137</v>
      </c>
      <c r="D183" s="60">
        <f t="shared" ref="D183:V183" si="47">+IFERROR(IF(D144&gt;0,+((D144/D28)*100)," "),"")</f>
        <v>70.194714920957423</v>
      </c>
      <c r="E183" s="60">
        <f t="shared" si="47"/>
        <v>80.243396890036635</v>
      </c>
      <c r="F183" s="60">
        <f t="shared" si="47"/>
        <v>72.959568570684681</v>
      </c>
      <c r="G183" s="60">
        <f t="shared" si="47"/>
        <v>74.618527018330795</v>
      </c>
      <c r="H183" s="60">
        <f t="shared" si="47"/>
        <v>71.68245519528881</v>
      </c>
      <c r="I183" s="60">
        <f t="shared" si="47"/>
        <v>69.129481370196743</v>
      </c>
      <c r="J183" s="60">
        <f t="shared" si="47"/>
        <v>84.957159518825193</v>
      </c>
      <c r="K183" s="60">
        <f t="shared" si="47"/>
        <v>87.997883188678998</v>
      </c>
      <c r="L183" s="60">
        <f t="shared" si="47"/>
        <v>87.939730119106414</v>
      </c>
      <c r="M183" s="60">
        <f t="shared" si="47"/>
        <v>83.841977409512396</v>
      </c>
      <c r="N183" s="60">
        <f t="shared" si="47"/>
        <v>76.311263853353623</v>
      </c>
      <c r="O183" s="60">
        <f t="shared" si="47"/>
        <v>86.106690273243245</v>
      </c>
      <c r="P183" s="60">
        <f t="shared" si="47"/>
        <v>83.605989017554506</v>
      </c>
      <c r="Q183" s="60">
        <f t="shared" si="47"/>
        <v>80.049632987116937</v>
      </c>
      <c r="R183" s="60">
        <f t="shared" si="47"/>
        <v>94.721858789193305</v>
      </c>
      <c r="S183" s="60">
        <f t="shared" si="47"/>
        <v>91.309464325473428</v>
      </c>
      <c r="T183" s="60">
        <f t="shared" si="47"/>
        <v>93.616938561597351</v>
      </c>
      <c r="U183" s="60">
        <f t="shared" si="47"/>
        <v>90.664322151411753</v>
      </c>
      <c r="V183" s="60">
        <f t="shared" si="47"/>
        <v>91.238473962544916</v>
      </c>
    </row>
    <row r="184" spans="3:22" x14ac:dyDescent="0.2">
      <c r="C184" s="88" t="s">
        <v>138</v>
      </c>
      <c r="D184" s="62">
        <f t="shared" ref="D184:V184" si="48">+IFERROR(IF(D145&gt;0,+((D145/D29)*100)," "),"")</f>
        <v>92.77505523600172</v>
      </c>
      <c r="E184" s="62">
        <f t="shared" si="48"/>
        <v>92.652171903624421</v>
      </c>
      <c r="F184" s="62">
        <f t="shared" si="48"/>
        <v>90.496684393370103</v>
      </c>
      <c r="G184" s="62">
        <f t="shared" si="48"/>
        <v>76.041417711315034</v>
      </c>
      <c r="H184" s="62">
        <f t="shared" si="48"/>
        <v>84.185407284789093</v>
      </c>
      <c r="I184" s="62">
        <f t="shared" si="48"/>
        <v>83.949889213732192</v>
      </c>
      <c r="J184" s="62">
        <f t="shared" si="48"/>
        <v>74.600791967656079</v>
      </c>
      <c r="K184" s="62">
        <f t="shared" si="48"/>
        <v>88.510849105425166</v>
      </c>
      <c r="L184" s="62">
        <f t="shared" si="48"/>
        <v>85.289701353473575</v>
      </c>
      <c r="M184" s="62">
        <f t="shared" si="48"/>
        <v>74.143000043738155</v>
      </c>
      <c r="N184" s="62">
        <f t="shared" si="48"/>
        <v>72.464801273087772</v>
      </c>
      <c r="O184" s="62">
        <f t="shared" si="48"/>
        <v>79.947647408587102</v>
      </c>
      <c r="P184" s="62">
        <f t="shared" si="48"/>
        <v>77.864538975898824</v>
      </c>
      <c r="Q184" s="62">
        <f t="shared" si="48"/>
        <v>78.250480453335612</v>
      </c>
      <c r="R184" s="62">
        <f t="shared" si="48"/>
        <v>83.623034849490438</v>
      </c>
      <c r="S184" s="62">
        <f t="shared" si="48"/>
        <v>94.592801949555962</v>
      </c>
      <c r="T184" s="62">
        <f t="shared" si="48"/>
        <v>97.020182299042133</v>
      </c>
      <c r="U184" s="62">
        <f t="shared" si="48"/>
        <v>97.109287093899582</v>
      </c>
      <c r="V184" s="62">
        <f t="shared" si="48"/>
        <v>95.857043525022846</v>
      </c>
    </row>
    <row r="185" spans="3:22" x14ac:dyDescent="0.2">
      <c r="C185" s="87" t="s">
        <v>139</v>
      </c>
      <c r="D185" s="60">
        <f t="shared" ref="D185:V185" si="49">+IFERROR(IF(D146&gt;0,+((D146/D30)*100)," "),"")</f>
        <v>90.037238177459329</v>
      </c>
      <c r="E185" s="60">
        <f t="shared" si="49"/>
        <v>78.999387633537268</v>
      </c>
      <c r="F185" s="60">
        <f t="shared" si="49"/>
        <v>80.633533642893468</v>
      </c>
      <c r="G185" s="60">
        <f t="shared" si="49"/>
        <v>84.904697148194501</v>
      </c>
      <c r="H185" s="60">
        <f t="shared" si="49"/>
        <v>79.374433346017099</v>
      </c>
      <c r="I185" s="60">
        <f t="shared" si="49"/>
        <v>89.818228214804535</v>
      </c>
      <c r="J185" s="60">
        <f t="shared" si="49"/>
        <v>80.3219876180233</v>
      </c>
      <c r="K185" s="60">
        <f t="shared" si="49"/>
        <v>80.229674247094991</v>
      </c>
      <c r="L185" s="60">
        <f t="shared" si="49"/>
        <v>87.418290606177507</v>
      </c>
      <c r="M185" s="60">
        <f t="shared" si="49"/>
        <v>84.34936901770817</v>
      </c>
      <c r="N185" s="60">
        <f t="shared" si="49"/>
        <v>84.345286481608966</v>
      </c>
      <c r="O185" s="60">
        <f t="shared" si="49"/>
        <v>94.958173336625265</v>
      </c>
      <c r="P185" s="60">
        <f t="shared" si="49"/>
        <v>83.949348798920482</v>
      </c>
      <c r="Q185" s="60">
        <f t="shared" si="49"/>
        <v>87.737617522712085</v>
      </c>
      <c r="R185" s="60">
        <f t="shared" si="49"/>
        <v>88.636728430979318</v>
      </c>
      <c r="S185" s="60">
        <f t="shared" si="49"/>
        <v>90.133234560464118</v>
      </c>
      <c r="T185" s="60">
        <f t="shared" si="49"/>
        <v>86.475694678173937</v>
      </c>
      <c r="U185" s="60">
        <f t="shared" si="49"/>
        <v>85.942539202694007</v>
      </c>
      <c r="V185" s="60">
        <f t="shared" si="49"/>
        <v>81.076075218785647</v>
      </c>
    </row>
    <row r="186" spans="3:22" x14ac:dyDescent="0.2">
      <c r="C186" s="88" t="s">
        <v>140</v>
      </c>
      <c r="D186" s="62">
        <f t="shared" ref="D186:V186" si="50">+IFERROR(IF(D147&gt;0,+((D147/D31)*100)," "),"")</f>
        <v>85.327139961690818</v>
      </c>
      <c r="E186" s="62">
        <f t="shared" si="50"/>
        <v>71.130026232293517</v>
      </c>
      <c r="F186" s="62">
        <f t="shared" si="50"/>
        <v>76.816301607224275</v>
      </c>
      <c r="G186" s="62">
        <f t="shared" si="50"/>
        <v>90.66871706957555</v>
      </c>
      <c r="H186" s="62">
        <f t="shared" si="50"/>
        <v>87.652497189616469</v>
      </c>
      <c r="I186" s="62">
        <f t="shared" si="50"/>
        <v>87.662955826603067</v>
      </c>
      <c r="J186" s="62">
        <f t="shared" si="50"/>
        <v>65.073963026244101</v>
      </c>
      <c r="K186" s="62">
        <f t="shared" si="50"/>
        <v>60.50910682519222</v>
      </c>
      <c r="L186" s="62">
        <f t="shared" si="50"/>
        <v>92.342457318184785</v>
      </c>
      <c r="M186" s="62">
        <f t="shared" si="50"/>
        <v>87.336859902542258</v>
      </c>
      <c r="N186" s="62">
        <f t="shared" si="50"/>
        <v>89.020752811985645</v>
      </c>
      <c r="O186" s="62">
        <f t="shared" si="50"/>
        <v>90.55601119800771</v>
      </c>
      <c r="P186" s="62">
        <f t="shared" si="50"/>
        <v>91.115161635941263</v>
      </c>
      <c r="Q186" s="62">
        <f t="shared" si="50"/>
        <v>90.74558410516407</v>
      </c>
      <c r="R186" s="62">
        <f t="shared" si="50"/>
        <v>93.993153103962129</v>
      </c>
      <c r="S186" s="62">
        <f t="shared" si="50"/>
        <v>94.085233999276511</v>
      </c>
      <c r="T186" s="62">
        <f t="shared" si="50"/>
        <v>90.437945240763653</v>
      </c>
      <c r="U186" s="62">
        <f t="shared" si="50"/>
        <v>91.044756453534347</v>
      </c>
      <c r="V186" s="62">
        <f t="shared" si="50"/>
        <v>91.399396831071272</v>
      </c>
    </row>
    <row r="187" spans="3:22" x14ac:dyDescent="0.2">
      <c r="C187" s="87" t="s">
        <v>141</v>
      </c>
      <c r="D187" s="60">
        <f t="shared" ref="D187:V187" si="51">+IFERROR(IF(D148&gt;0,+((D148/D32)*100)," "),"")</f>
        <v>92.366221893220612</v>
      </c>
      <c r="E187" s="60">
        <f t="shared" si="51"/>
        <v>89.767557104261826</v>
      </c>
      <c r="F187" s="60">
        <f t="shared" si="51"/>
        <v>89.160992903042029</v>
      </c>
      <c r="G187" s="60">
        <f t="shared" si="51"/>
        <v>88.584051777055379</v>
      </c>
      <c r="H187" s="60">
        <f t="shared" si="51"/>
        <v>81.333097129784903</v>
      </c>
      <c r="I187" s="60">
        <f t="shared" si="51"/>
        <v>86.561973697189941</v>
      </c>
      <c r="J187" s="60">
        <f t="shared" si="51"/>
        <v>89.766792976195987</v>
      </c>
      <c r="K187" s="60">
        <f t="shared" si="51"/>
        <v>91.361987665277695</v>
      </c>
      <c r="L187" s="60">
        <f t="shared" si="51"/>
        <v>90.070869355371187</v>
      </c>
      <c r="M187" s="60">
        <f t="shared" si="51"/>
        <v>89.351998406606398</v>
      </c>
      <c r="N187" s="60">
        <f t="shared" si="51"/>
        <v>85.584389731927729</v>
      </c>
      <c r="O187" s="60">
        <f t="shared" si="51"/>
        <v>87.604916669008773</v>
      </c>
      <c r="P187" s="60">
        <f t="shared" si="51"/>
        <v>86.348140900477887</v>
      </c>
      <c r="Q187" s="60">
        <f t="shared" si="51"/>
        <v>87.776248248979599</v>
      </c>
      <c r="R187" s="60">
        <f t="shared" si="51"/>
        <v>91.526369767747497</v>
      </c>
      <c r="S187" s="60">
        <f t="shared" si="51"/>
        <v>89.492396979570429</v>
      </c>
      <c r="T187" s="60">
        <f t="shared" si="51"/>
        <v>94.386446345504993</v>
      </c>
      <c r="U187" s="60">
        <f t="shared" si="51"/>
        <v>93.116913117376157</v>
      </c>
      <c r="V187" s="60">
        <f t="shared" si="51"/>
        <v>92.359061175128616</v>
      </c>
    </row>
    <row r="188" spans="3:22" x14ac:dyDescent="0.2">
      <c r="C188" s="88" t="s">
        <v>142</v>
      </c>
      <c r="D188" s="62">
        <f t="shared" ref="D188:V188" si="52">+IFERROR(IF(D149&gt;0,+((D149/D33)*100)," "),"")</f>
        <v>21.542747872945881</v>
      </c>
      <c r="E188" s="62">
        <f t="shared" si="52"/>
        <v>26.562514867370261</v>
      </c>
      <c r="F188" s="62">
        <f t="shared" si="52"/>
        <v>13.245301161469628</v>
      </c>
      <c r="G188" s="62">
        <f t="shared" si="52"/>
        <v>25.433587690496605</v>
      </c>
      <c r="H188" s="62">
        <f t="shared" si="52"/>
        <v>64.691429724476436</v>
      </c>
      <c r="I188" s="62">
        <f t="shared" si="52"/>
        <v>29.34252893715491</v>
      </c>
      <c r="J188" s="62">
        <f t="shared" si="52"/>
        <v>31.191210612931425</v>
      </c>
      <c r="K188" s="62">
        <f t="shared" si="52"/>
        <v>64.830476727790128</v>
      </c>
      <c r="L188" s="62">
        <f t="shared" si="52"/>
        <v>41.806719167303434</v>
      </c>
      <c r="M188" s="62">
        <f t="shared" si="52"/>
        <v>37.935288326807729</v>
      </c>
      <c r="N188" s="62">
        <f t="shared" si="52"/>
        <v>50.700699370265454</v>
      </c>
      <c r="O188" s="62">
        <f t="shared" si="52"/>
        <v>42.426960475969388</v>
      </c>
      <c r="P188" s="62">
        <f t="shared" si="52"/>
        <v>53.831205064691531</v>
      </c>
      <c r="Q188" s="62">
        <f t="shared" si="52"/>
        <v>59.178128686854116</v>
      </c>
      <c r="R188" s="62">
        <f t="shared" si="52"/>
        <v>85.271809327186787</v>
      </c>
      <c r="S188" s="62">
        <f t="shared" si="52"/>
        <v>92.144274432633736</v>
      </c>
      <c r="T188" s="62">
        <f t="shared" si="52"/>
        <v>84.079980401237137</v>
      </c>
      <c r="U188" s="62">
        <f t="shared" si="52"/>
        <v>95.932858991599772</v>
      </c>
      <c r="V188" s="62">
        <f t="shared" si="52"/>
        <v>71.842190736535827</v>
      </c>
    </row>
    <row r="189" spans="3:22" x14ac:dyDescent="0.2">
      <c r="C189" s="87" t="s">
        <v>143</v>
      </c>
      <c r="D189" s="60">
        <f t="shared" ref="D189:V189" si="53">+IFERROR(IF(D150&gt;0,+((D150/D34)*100)," "),"")</f>
        <v>96.550728502552886</v>
      </c>
      <c r="E189" s="60">
        <f t="shared" si="53"/>
        <v>62.315863014269425</v>
      </c>
      <c r="F189" s="60">
        <f t="shared" si="53"/>
        <v>50.901138385407961</v>
      </c>
      <c r="G189" s="60">
        <f t="shared" si="53"/>
        <v>61.399396327768685</v>
      </c>
      <c r="H189" s="60">
        <f t="shared" si="53"/>
        <v>76.367760072997811</v>
      </c>
      <c r="I189" s="60">
        <f t="shared" si="53"/>
        <v>84.461942502292146</v>
      </c>
      <c r="J189" s="60">
        <f t="shared" si="53"/>
        <v>89.720244063133208</v>
      </c>
      <c r="K189" s="60">
        <f t="shared" si="53"/>
        <v>97.087836903666329</v>
      </c>
      <c r="L189" s="60">
        <f t="shared" si="53"/>
        <v>87.739209455947133</v>
      </c>
      <c r="M189" s="60">
        <f t="shared" si="53"/>
        <v>88.605758634861772</v>
      </c>
      <c r="N189" s="60">
        <f t="shared" si="53"/>
        <v>83.452218961004732</v>
      </c>
      <c r="O189" s="60">
        <f t="shared" si="53"/>
        <v>86.596965604806954</v>
      </c>
      <c r="P189" s="60">
        <f t="shared" si="53"/>
        <v>89.705917526862706</v>
      </c>
      <c r="Q189" s="60">
        <f t="shared" si="53"/>
        <v>90.734337302376616</v>
      </c>
      <c r="R189" s="60">
        <f t="shared" si="53"/>
        <v>92.455334548915573</v>
      </c>
      <c r="S189" s="60">
        <f t="shared" si="53"/>
        <v>95.392497672811714</v>
      </c>
      <c r="T189" s="60">
        <f t="shared" si="53"/>
        <v>89.629194835299572</v>
      </c>
      <c r="U189" s="60">
        <f t="shared" si="53"/>
        <v>61.875879706918248</v>
      </c>
      <c r="V189" s="60">
        <f t="shared" si="53"/>
        <v>37.587553979315871</v>
      </c>
    </row>
    <row r="190" spans="3:22" x14ac:dyDescent="0.2">
      <c r="C190" s="88" t="s">
        <v>144</v>
      </c>
      <c r="D190" s="62">
        <f t="shared" ref="D190:V190" si="54">+IFERROR(IF(D151&gt;0,+((D151/D35)*100)," "),"")</f>
        <v>98.025718527667891</v>
      </c>
      <c r="E190" s="62">
        <f t="shared" si="54"/>
        <v>95.825753907381113</v>
      </c>
      <c r="F190" s="62">
        <f t="shared" si="54"/>
        <v>91.764140355033419</v>
      </c>
      <c r="G190" s="62">
        <f t="shared" si="54"/>
        <v>95.666641163029581</v>
      </c>
      <c r="H190" s="62">
        <f t="shared" si="54"/>
        <v>83.284614400000791</v>
      </c>
      <c r="I190" s="62">
        <f t="shared" si="54"/>
        <v>94.678574173464042</v>
      </c>
      <c r="J190" s="62">
        <f t="shared" si="54"/>
        <v>93.777881908613438</v>
      </c>
      <c r="K190" s="62">
        <f t="shared" si="54"/>
        <v>96.681375498893843</v>
      </c>
      <c r="L190" s="62">
        <f t="shared" si="54"/>
        <v>96.1769027128706</v>
      </c>
      <c r="M190" s="62">
        <f t="shared" si="54"/>
        <v>96.087399261362606</v>
      </c>
      <c r="N190" s="62">
        <f t="shared" si="54"/>
        <v>92.12459989542451</v>
      </c>
      <c r="O190" s="62">
        <f t="shared" si="54"/>
        <v>87.476959795009577</v>
      </c>
      <c r="P190" s="62">
        <f t="shared" si="54"/>
        <v>91.718179377067173</v>
      </c>
      <c r="Q190" s="62">
        <f t="shared" si="54"/>
        <v>94.091316772484433</v>
      </c>
      <c r="R190" s="62">
        <f t="shared" si="54"/>
        <v>97.05757257141785</v>
      </c>
      <c r="S190" s="62">
        <f t="shared" si="54"/>
        <v>96.139369704847908</v>
      </c>
      <c r="T190" s="62">
        <f t="shared" si="54"/>
        <v>96.968895740616929</v>
      </c>
      <c r="U190" s="62">
        <f t="shared" si="54"/>
        <v>96.747309947691491</v>
      </c>
      <c r="V190" s="62">
        <f t="shared" si="54"/>
        <v>96.891308944059176</v>
      </c>
    </row>
    <row r="191" spans="3:22" x14ac:dyDescent="0.2">
      <c r="C191" s="87" t="s">
        <v>145</v>
      </c>
      <c r="D191" s="60">
        <f t="shared" ref="D191:V191" si="55">+IFERROR(IF(D152&gt;0,+((D152/D36)*100)," "),"")</f>
        <v>84.81536416752769</v>
      </c>
      <c r="E191" s="60">
        <f t="shared" si="55"/>
        <v>68.304421528448074</v>
      </c>
      <c r="F191" s="60">
        <f t="shared" si="55"/>
        <v>72.394075928299998</v>
      </c>
      <c r="G191" s="60">
        <f t="shared" si="55"/>
        <v>71.27282967534731</v>
      </c>
      <c r="H191" s="60">
        <f t="shared" si="55"/>
        <v>80.360448348786193</v>
      </c>
      <c r="I191" s="60">
        <f t="shared" si="55"/>
        <v>93.712171132202442</v>
      </c>
      <c r="J191" s="60">
        <f t="shared" si="55"/>
        <v>85.79591719713477</v>
      </c>
      <c r="K191" s="60">
        <f t="shared" si="55"/>
        <v>73.469605744687158</v>
      </c>
      <c r="L191" s="60">
        <f t="shared" si="55"/>
        <v>91.643559055074732</v>
      </c>
      <c r="M191" s="60">
        <f t="shared" si="55"/>
        <v>90.620192882845842</v>
      </c>
      <c r="N191" s="60">
        <f t="shared" si="55"/>
        <v>92.121868750127348</v>
      </c>
      <c r="O191" s="60">
        <f t="shared" si="55"/>
        <v>85.813630736513844</v>
      </c>
      <c r="P191" s="60">
        <f t="shared" si="55"/>
        <v>86.42158922771138</v>
      </c>
      <c r="Q191" s="60">
        <f t="shared" si="55"/>
        <v>85.816076869955864</v>
      </c>
      <c r="R191" s="60">
        <f t="shared" si="55"/>
        <v>93.000050591258372</v>
      </c>
      <c r="S191" s="60">
        <f t="shared" si="55"/>
        <v>90.787729442813884</v>
      </c>
      <c r="T191" s="60">
        <f t="shared" si="55"/>
        <v>93.684894947751701</v>
      </c>
      <c r="U191" s="60">
        <f t="shared" si="55"/>
        <v>94.596886046725302</v>
      </c>
      <c r="V191" s="60">
        <f t="shared" si="55"/>
        <v>95.693944952636585</v>
      </c>
    </row>
    <row r="192" spans="3:22" x14ac:dyDescent="0.2">
      <c r="C192" s="88" t="s">
        <v>146</v>
      </c>
      <c r="D192" s="62">
        <f t="shared" ref="D192:V192" si="56">+IFERROR(IF(D153&gt;0,+((D153/D37)*100)," "),"")</f>
        <v>93.08636644908718</v>
      </c>
      <c r="E192" s="62">
        <f t="shared" si="56"/>
        <v>91.775652358494568</v>
      </c>
      <c r="F192" s="62">
        <f t="shared" si="56"/>
        <v>90.588274143588137</v>
      </c>
      <c r="G192" s="62">
        <f t="shared" si="56"/>
        <v>96.155389542302103</v>
      </c>
      <c r="H192" s="62">
        <f t="shared" si="56"/>
        <v>88.030530052621231</v>
      </c>
      <c r="I192" s="62">
        <f t="shared" si="56"/>
        <v>86.155767506555193</v>
      </c>
      <c r="J192" s="62">
        <f t="shared" si="56"/>
        <v>86.812566027276063</v>
      </c>
      <c r="K192" s="62">
        <f t="shared" si="56"/>
        <v>84.559613138923709</v>
      </c>
      <c r="L192" s="62">
        <f t="shared" si="56"/>
        <v>88.520162924967678</v>
      </c>
      <c r="M192" s="62">
        <f t="shared" si="56"/>
        <v>92.900036447627215</v>
      </c>
      <c r="N192" s="62">
        <f t="shared" si="56"/>
        <v>84.579861480778064</v>
      </c>
      <c r="O192" s="62">
        <f t="shared" si="56"/>
        <v>95.753920465436053</v>
      </c>
      <c r="P192" s="62">
        <f t="shared" si="56"/>
        <v>95.940986628565852</v>
      </c>
      <c r="Q192" s="62">
        <f t="shared" si="56"/>
        <v>98.196744633056881</v>
      </c>
      <c r="R192" s="62">
        <f t="shared" si="56"/>
        <v>97.894561349837943</v>
      </c>
      <c r="S192" s="62">
        <f t="shared" si="56"/>
        <v>98.602787371375328</v>
      </c>
      <c r="T192" s="62">
        <f t="shared" si="56"/>
        <v>97.948505250994174</v>
      </c>
      <c r="U192" s="62">
        <f t="shared" si="56"/>
        <v>96.123437077041885</v>
      </c>
      <c r="V192" s="62">
        <f t="shared" si="56"/>
        <v>89.828389949732397</v>
      </c>
    </row>
    <row r="193" spans="3:22" x14ac:dyDescent="0.2">
      <c r="C193" s="90" t="s">
        <v>147</v>
      </c>
      <c r="D193" s="61">
        <f t="shared" ref="D193:V193" si="57">+IFERROR(IF(D154&gt;0,+((D154/D38)*100)," "),"")</f>
        <v>88.80059438491017</v>
      </c>
      <c r="E193" s="61">
        <f t="shared" si="57"/>
        <v>92.114876333399636</v>
      </c>
      <c r="F193" s="61">
        <f t="shared" si="57"/>
        <v>92.528611811276548</v>
      </c>
      <c r="G193" s="61">
        <f t="shared" si="57"/>
        <v>91.152789076550462</v>
      </c>
      <c r="H193" s="61">
        <f t="shared" si="57"/>
        <v>88.071086069571408</v>
      </c>
      <c r="I193" s="61">
        <f t="shared" si="57"/>
        <v>90.947391748341957</v>
      </c>
      <c r="J193" s="61">
        <f t="shared" si="57"/>
        <v>90.658960731159965</v>
      </c>
      <c r="K193" s="61">
        <f t="shared" si="57"/>
        <v>92.773161160154459</v>
      </c>
      <c r="L193" s="61">
        <f t="shared" si="57"/>
        <v>97.206602430708529</v>
      </c>
      <c r="M193" s="61">
        <f t="shared" si="57"/>
        <v>94.032341293464228</v>
      </c>
      <c r="N193" s="61">
        <f t="shared" si="57"/>
        <v>86.551305743012634</v>
      </c>
      <c r="O193" s="61">
        <f t="shared" si="57"/>
        <v>96.295776125896452</v>
      </c>
      <c r="P193" s="61">
        <f t="shared" si="57"/>
        <v>96.111250791374573</v>
      </c>
      <c r="Q193" s="61">
        <f t="shared" si="57"/>
        <v>97.484688074096141</v>
      </c>
      <c r="R193" s="61">
        <f t="shared" si="57"/>
        <v>94.25918018414427</v>
      </c>
      <c r="S193" s="61">
        <f t="shared" si="57"/>
        <v>89.16799951482966</v>
      </c>
      <c r="T193" s="61">
        <f t="shared" si="57"/>
        <v>90.684274165478357</v>
      </c>
      <c r="U193" s="61">
        <f t="shared" si="57"/>
        <v>92.602144525132204</v>
      </c>
      <c r="V193" s="61">
        <f t="shared" si="57"/>
        <v>90.731918136588831</v>
      </c>
    </row>
    <row r="194" spans="3:22" ht="22.5" customHeight="1" x14ac:dyDescent="0.2">
      <c r="C194" s="89" t="s">
        <v>148</v>
      </c>
      <c r="D194" s="63" t="str">
        <f t="shared" ref="D194:V194" si="58">+IFERROR(IF(D155&gt;0,+((D155/D39)*100)," "),"")</f>
        <v xml:space="preserve"> </v>
      </c>
      <c r="E194" s="63" t="str">
        <f t="shared" si="58"/>
        <v xml:space="preserve"> </v>
      </c>
      <c r="F194" s="63" t="str">
        <f t="shared" si="58"/>
        <v xml:space="preserve"> </v>
      </c>
      <c r="G194" s="63" t="str">
        <f t="shared" si="58"/>
        <v xml:space="preserve"> </v>
      </c>
      <c r="H194" s="63" t="str">
        <f t="shared" si="58"/>
        <v xml:space="preserve"> </v>
      </c>
      <c r="I194" s="63" t="str">
        <f t="shared" si="58"/>
        <v xml:space="preserve"> </v>
      </c>
      <c r="J194" s="63" t="str">
        <f t="shared" si="58"/>
        <v xml:space="preserve"> </v>
      </c>
      <c r="K194" s="63" t="str">
        <f t="shared" si="58"/>
        <v xml:space="preserve"> </v>
      </c>
      <c r="L194" s="63" t="str">
        <f t="shared" si="58"/>
        <v xml:space="preserve"> </v>
      </c>
      <c r="M194" s="63" t="str">
        <f t="shared" si="58"/>
        <v xml:space="preserve"> </v>
      </c>
      <c r="N194" s="63" t="str">
        <f t="shared" si="58"/>
        <v xml:space="preserve"> </v>
      </c>
      <c r="O194" s="63" t="str">
        <f t="shared" si="58"/>
        <v xml:space="preserve"> </v>
      </c>
      <c r="P194" s="63" t="str">
        <f t="shared" si="58"/>
        <v xml:space="preserve"> </v>
      </c>
      <c r="Q194" s="63" t="str">
        <f t="shared" si="58"/>
        <v xml:space="preserve"> </v>
      </c>
      <c r="R194" s="63" t="str">
        <f t="shared" si="58"/>
        <v xml:space="preserve"> </v>
      </c>
      <c r="S194" s="63" t="str">
        <f t="shared" si="58"/>
        <v xml:space="preserve"> </v>
      </c>
      <c r="T194" s="63" t="str">
        <f t="shared" si="58"/>
        <v xml:space="preserve"> </v>
      </c>
      <c r="U194" s="63">
        <f t="shared" si="58"/>
        <v>59.926249401054143</v>
      </c>
      <c r="V194" s="63">
        <f t="shared" si="58"/>
        <v>74.919441741776879</v>
      </c>
    </row>
    <row r="195" spans="3:22" x14ac:dyDescent="0.2">
      <c r="C195" s="87" t="s">
        <v>149</v>
      </c>
      <c r="D195" s="60">
        <f t="shared" ref="D195:V195" si="59">+IFERROR(IF(D156&gt;0,+((D156/D40)*100)," "),"")</f>
        <v>57.946506719513046</v>
      </c>
      <c r="E195" s="60">
        <f t="shared" si="59"/>
        <v>50.601830362485359</v>
      </c>
      <c r="F195" s="60">
        <f t="shared" si="59"/>
        <v>38.788750663330077</v>
      </c>
      <c r="G195" s="60">
        <f t="shared" si="59"/>
        <v>47.464382012348686</v>
      </c>
      <c r="H195" s="60">
        <f t="shared" si="59"/>
        <v>68.890171394424129</v>
      </c>
      <c r="I195" s="60">
        <f t="shared" si="59"/>
        <v>31.68997556033381</v>
      </c>
      <c r="J195" s="60">
        <f t="shared" si="59"/>
        <v>65.980992459583703</v>
      </c>
      <c r="K195" s="60">
        <f t="shared" si="59"/>
        <v>78.882078991180933</v>
      </c>
      <c r="L195" s="60">
        <f t="shared" si="59"/>
        <v>80.711181341368103</v>
      </c>
      <c r="M195" s="60">
        <f t="shared" si="59"/>
        <v>71.293141071324754</v>
      </c>
      <c r="N195" s="60">
        <f t="shared" si="59"/>
        <v>82.957490845088117</v>
      </c>
      <c r="O195" s="60">
        <f t="shared" si="59"/>
        <v>85.953929547952313</v>
      </c>
      <c r="P195" s="60">
        <f t="shared" si="59"/>
        <v>95.360909337235384</v>
      </c>
      <c r="Q195" s="60">
        <f t="shared" si="59"/>
        <v>86.377701703649961</v>
      </c>
      <c r="R195" s="60">
        <f t="shared" si="59"/>
        <v>91.047922129883034</v>
      </c>
      <c r="S195" s="60">
        <f t="shared" si="59"/>
        <v>89.442612707501567</v>
      </c>
      <c r="T195" s="60">
        <f t="shared" si="59"/>
        <v>96.171117040979865</v>
      </c>
      <c r="U195" s="60">
        <f t="shared" si="59"/>
        <v>90.667857623040831</v>
      </c>
      <c r="V195" s="60">
        <f t="shared" si="59"/>
        <v>88.720516074028524</v>
      </c>
    </row>
    <row r="196" spans="3:22" x14ac:dyDescent="0.2">
      <c r="C196" s="88" t="s">
        <v>150</v>
      </c>
      <c r="D196" s="62">
        <f t="shared" ref="D196:V196" si="60">+IFERROR(IF(D157&gt;0,+((D157/D41)*100)," "),"")</f>
        <v>75.146173780763007</v>
      </c>
      <c r="E196" s="62">
        <f t="shared" si="60"/>
        <v>75.817134766296263</v>
      </c>
      <c r="F196" s="62">
        <f t="shared" si="60"/>
        <v>50.962496406755463</v>
      </c>
      <c r="G196" s="62">
        <f t="shared" si="60"/>
        <v>73.101816747142465</v>
      </c>
      <c r="H196" s="62">
        <f t="shared" si="60"/>
        <v>69.328264686306483</v>
      </c>
      <c r="I196" s="62">
        <f t="shared" si="60"/>
        <v>75.104703650283412</v>
      </c>
      <c r="J196" s="62">
        <f t="shared" si="60"/>
        <v>60.130109740236449</v>
      </c>
      <c r="K196" s="62">
        <f t="shared" si="60"/>
        <v>86.112771029380397</v>
      </c>
      <c r="L196" s="62">
        <f t="shared" si="60"/>
        <v>85.3346522695483</v>
      </c>
      <c r="M196" s="62">
        <f t="shared" si="60"/>
        <v>85.281561317436328</v>
      </c>
      <c r="N196" s="62">
        <f t="shared" si="60"/>
        <v>75.157772566330593</v>
      </c>
      <c r="O196" s="62">
        <f t="shared" si="60"/>
        <v>81.433489037381818</v>
      </c>
      <c r="P196" s="62">
        <f t="shared" si="60"/>
        <v>85.924681380195651</v>
      </c>
      <c r="Q196" s="62">
        <f t="shared" si="60"/>
        <v>91.909688301285854</v>
      </c>
      <c r="R196" s="62">
        <f t="shared" si="60"/>
        <v>88.981079429512519</v>
      </c>
      <c r="S196" s="62">
        <f t="shared" si="60"/>
        <v>85.582227148910334</v>
      </c>
      <c r="T196" s="62">
        <f t="shared" si="60"/>
        <v>88.724024551310166</v>
      </c>
      <c r="U196" s="62">
        <f t="shared" si="60"/>
        <v>75.378324866078486</v>
      </c>
      <c r="V196" s="62">
        <f t="shared" si="60"/>
        <v>74.358984377868538</v>
      </c>
    </row>
    <row r="197" spans="3:22" x14ac:dyDescent="0.2">
      <c r="C197" s="87" t="s">
        <v>151</v>
      </c>
      <c r="D197" s="60">
        <f t="shared" ref="D197:V197" si="61">+IFERROR(IF(D158&gt;0,+((D158/D42)*100)," "),"")</f>
        <v>70.544390799355057</v>
      </c>
      <c r="E197" s="60">
        <f t="shared" si="61"/>
        <v>24.567331667500309</v>
      </c>
      <c r="F197" s="60">
        <f t="shared" si="61"/>
        <v>44.710842606184556</v>
      </c>
      <c r="G197" s="60">
        <f t="shared" si="61"/>
        <v>26.590552464241469</v>
      </c>
      <c r="H197" s="60">
        <f t="shared" si="61"/>
        <v>11.991879920800518</v>
      </c>
      <c r="I197" s="60">
        <f t="shared" si="61"/>
        <v>20.57740391711836</v>
      </c>
      <c r="J197" s="60">
        <f t="shared" si="61"/>
        <v>57.957680073449971</v>
      </c>
      <c r="K197" s="60">
        <f t="shared" si="61"/>
        <v>86.10303026741866</v>
      </c>
      <c r="L197" s="60">
        <f t="shared" si="61"/>
        <v>89.672546597489671</v>
      </c>
      <c r="M197" s="60">
        <f t="shared" si="61"/>
        <v>91.022979083180445</v>
      </c>
      <c r="N197" s="60">
        <f t="shared" si="61"/>
        <v>49.599082421096377</v>
      </c>
      <c r="O197" s="60">
        <f t="shared" si="61"/>
        <v>83.806185524648654</v>
      </c>
      <c r="P197" s="60">
        <f t="shared" si="61"/>
        <v>97.777633048253861</v>
      </c>
      <c r="Q197" s="60">
        <f t="shared" si="61"/>
        <v>96.706824110033068</v>
      </c>
      <c r="R197" s="60">
        <f t="shared" si="61"/>
        <v>98.638701165579391</v>
      </c>
      <c r="S197" s="60">
        <f t="shared" si="61"/>
        <v>97.854117710304038</v>
      </c>
      <c r="T197" s="60">
        <f t="shared" si="61"/>
        <v>97.840910081699562</v>
      </c>
      <c r="U197" s="60">
        <f t="shared" si="61"/>
        <v>98.017554742959149</v>
      </c>
      <c r="V197" s="60">
        <f t="shared" si="61"/>
        <v>60.639076562993743</v>
      </c>
    </row>
    <row r="198" spans="3:22" x14ac:dyDescent="0.2">
      <c r="C198" s="91" t="s">
        <v>154</v>
      </c>
      <c r="D198" s="74">
        <f t="shared" ref="D198:V198" si="62">+IFERROR(IF(D159&gt;0,+((D159/D43)*100)," "),"")</f>
        <v>88.621541537873654</v>
      </c>
      <c r="E198" s="74">
        <f t="shared" si="62"/>
        <v>85.983539138254244</v>
      </c>
      <c r="F198" s="74">
        <f t="shared" si="62"/>
        <v>84.080794576408863</v>
      </c>
      <c r="G198" s="74">
        <f t="shared" si="62"/>
        <v>87.580737555202916</v>
      </c>
      <c r="H198" s="74">
        <f t="shared" si="62"/>
        <v>87.024287605769601</v>
      </c>
      <c r="I198" s="74">
        <f t="shared" si="62"/>
        <v>88.612003386757038</v>
      </c>
      <c r="J198" s="74">
        <f t="shared" si="62"/>
        <v>87.439512265310043</v>
      </c>
      <c r="K198" s="74">
        <f t="shared" si="62"/>
        <v>90.958149355740773</v>
      </c>
      <c r="L198" s="74">
        <f t="shared" si="62"/>
        <v>93.635040534479515</v>
      </c>
      <c r="M198" s="74">
        <f t="shared" si="62"/>
        <v>90.883341954879199</v>
      </c>
      <c r="N198" s="74">
        <f t="shared" si="62"/>
        <v>88.409810864370428</v>
      </c>
      <c r="O198" s="74">
        <f t="shared" si="62"/>
        <v>93.535488524183236</v>
      </c>
      <c r="P198" s="74">
        <f t="shared" si="62"/>
        <v>93.548836347740647</v>
      </c>
      <c r="Q198" s="74">
        <f t="shared" si="62"/>
        <v>94.061084548495046</v>
      </c>
      <c r="R198" s="74">
        <f t="shared" si="62"/>
        <v>92.013866799579787</v>
      </c>
      <c r="S198" s="74">
        <f t="shared" si="62"/>
        <v>92.649444308002202</v>
      </c>
      <c r="T198" s="74">
        <f t="shared" si="62"/>
        <v>92.805020452637251</v>
      </c>
      <c r="U198" s="74">
        <f t="shared" si="62"/>
        <v>94.128058204542214</v>
      </c>
      <c r="V198" s="74">
        <f t="shared" si="62"/>
        <v>90.631728587282311</v>
      </c>
    </row>
    <row r="199" spans="3:22" x14ac:dyDescent="0.2">
      <c r="C199" s="1" t="s">
        <v>52</v>
      </c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</row>
    <row r="203" spans="3:22" ht="18" customHeight="1" x14ac:dyDescent="0.2">
      <c r="D203" s="160" t="s">
        <v>158</v>
      </c>
      <c r="E203" s="158"/>
      <c r="F203" s="158"/>
      <c r="G203" s="158"/>
      <c r="H203" s="158"/>
      <c r="I203" s="158"/>
      <c r="J203" s="158"/>
      <c r="K203" s="158"/>
      <c r="L203" s="158"/>
      <c r="M203" s="158"/>
      <c r="N203" s="158"/>
      <c r="O203" s="158"/>
      <c r="P203" s="158"/>
      <c r="Q203" s="158"/>
      <c r="R203" s="158"/>
      <c r="S203" s="158"/>
      <c r="T203" s="158"/>
      <c r="U203" s="158"/>
      <c r="V203" s="158"/>
    </row>
    <row r="204" spans="3:22" ht="15.75" customHeight="1" x14ac:dyDescent="0.2"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</row>
    <row r="205" spans="3:22" x14ac:dyDescent="0.2">
      <c r="C205" s="177" t="s">
        <v>120</v>
      </c>
      <c r="D205" s="153">
        <v>2000</v>
      </c>
      <c r="E205" s="153">
        <v>2001</v>
      </c>
      <c r="F205" s="153">
        <v>2002</v>
      </c>
      <c r="G205" s="153">
        <v>2003</v>
      </c>
      <c r="H205" s="153">
        <v>2004</v>
      </c>
      <c r="I205" s="153">
        <v>2005</v>
      </c>
      <c r="J205" s="153">
        <v>2006</v>
      </c>
      <c r="K205" s="153">
        <v>2007</v>
      </c>
      <c r="L205" s="153">
        <v>2008</v>
      </c>
      <c r="M205" s="153">
        <v>2009</v>
      </c>
      <c r="N205" s="153">
        <v>2010</v>
      </c>
      <c r="O205" s="153">
        <v>2011</v>
      </c>
      <c r="P205" s="153">
        <v>2012</v>
      </c>
      <c r="Q205" s="153">
        <v>2013</v>
      </c>
      <c r="R205" s="153">
        <v>2014</v>
      </c>
      <c r="S205" s="153">
        <v>2015</v>
      </c>
      <c r="T205" s="153">
        <v>2016</v>
      </c>
      <c r="U205" s="153">
        <v>2017</v>
      </c>
      <c r="V205" s="153">
        <v>2018</v>
      </c>
    </row>
    <row r="206" spans="3:22" ht="12" customHeight="1" thickBot="1" x14ac:dyDescent="0.25">
      <c r="C206" s="156"/>
      <c r="D206" s="154"/>
      <c r="E206" s="154"/>
      <c r="F206" s="154"/>
      <c r="G206" s="154"/>
      <c r="H206" s="154"/>
      <c r="I206" s="154"/>
      <c r="J206" s="154"/>
      <c r="K206" s="154"/>
      <c r="L206" s="154"/>
      <c r="M206" s="154"/>
      <c r="N206" s="154"/>
      <c r="O206" s="154"/>
      <c r="P206" s="154"/>
      <c r="Q206" s="154"/>
      <c r="R206" s="154"/>
      <c r="S206" s="154"/>
      <c r="T206" s="154"/>
      <c r="U206" s="154"/>
      <c r="V206" s="154"/>
    </row>
    <row r="207" spans="3:22" x14ac:dyDescent="0.2">
      <c r="C207" s="87" t="s">
        <v>123</v>
      </c>
      <c r="D207" s="56">
        <f>302.52965147338*Deflactores!$A$5</f>
        <v>1098.3517878109144</v>
      </c>
      <c r="E207" s="56">
        <f>463.47829017666*Deflactores!$B$5</f>
        <v>1563.132232096051</v>
      </c>
      <c r="F207" s="56">
        <f>444.69422712737*Deflactores!$C$5</f>
        <v>1401.7712738667663</v>
      </c>
      <c r="G207" s="56">
        <f>357.934670062419*Deflactores!$D$5</f>
        <v>1059.5099761032332</v>
      </c>
      <c r="H207" s="56">
        <f>421.43160073441*Deflactores!$E$5</f>
        <v>1182.4651285811312</v>
      </c>
      <c r="I207" s="56">
        <f>499.45723115007*Deflactores!$F$5</f>
        <v>1336.5023288201919</v>
      </c>
      <c r="J207" s="56">
        <f>802.79726803653*Deflactores!$G$5</f>
        <v>2056.1399189047338</v>
      </c>
      <c r="K207" s="56">
        <f>1259.95963178096*Deflactores!$H$5</f>
        <v>3053.1713639667305</v>
      </c>
      <c r="L207" s="56">
        <f>1725.30854085723*Deflactores!$I$5</f>
        <v>3882.8353676884517</v>
      </c>
      <c r="M207" s="56">
        <f>1251.08090075293*Deflactores!$J$5</f>
        <v>2760.3218865831377</v>
      </c>
      <c r="N207" s="56">
        <f>1313.52252360458*Deflactores!$K$5</f>
        <v>2809.0099893227198</v>
      </c>
      <c r="O207" s="56">
        <f>1344.21672021832*Deflactores!$L$5</f>
        <v>2771.3702668384658</v>
      </c>
      <c r="P207" s="56">
        <f>1397.86250580937*Deflactores!$M$5</f>
        <v>2813.3265612115229</v>
      </c>
      <c r="Q207" s="56">
        <f>2536.45460435428*Deflactores!$N$5</f>
        <v>5007.6982902445852</v>
      </c>
      <c r="R207" s="56">
        <f>1977.04397974008*Deflactores!$O$5</f>
        <v>3765.4439465320197</v>
      </c>
      <c r="S207" s="56">
        <f>2247.01028150628*Deflactores!$P$5</f>
        <v>4008.2580498266625</v>
      </c>
      <c r="T207" s="56">
        <f>1307.85633200413*Deflactores!$Q$5</f>
        <v>2206.1258180831919</v>
      </c>
      <c r="U207" s="56">
        <f>1725.52468022208*Deflactores!$R$5</f>
        <v>2796.2912559824003</v>
      </c>
      <c r="V207" s="56">
        <f>1468.10307569212*Deflactores!$S$5</f>
        <v>2305.8032885369353</v>
      </c>
    </row>
    <row r="208" spans="3:22" x14ac:dyDescent="0.2">
      <c r="C208" s="88" t="s">
        <v>124</v>
      </c>
      <c r="D208" s="57">
        <f>89.7130898002*Deflactores!$A$5</f>
        <v>325.7086771237071</v>
      </c>
      <c r="E208" s="57">
        <f>116.94058521485*Deflactores!$B$5</f>
        <v>394.39516772151961</v>
      </c>
      <c r="F208" s="57">
        <f>119.19044104765*Deflactores!$C$5</f>
        <v>375.71375158025467</v>
      </c>
      <c r="G208" s="57">
        <f>133.433412717869*Deflactores!$D$5</f>
        <v>394.97160723611518</v>
      </c>
      <c r="H208" s="57">
        <f>135.264330935169*Deflactores!$E$5</f>
        <v>379.52862147253717</v>
      </c>
      <c r="I208" s="57">
        <f>165.642393810299*Deflactores!$F$5</f>
        <v>443.24404828228091</v>
      </c>
      <c r="J208" s="57">
        <f>205.51080483035*Deflactores!$G$5</f>
        <v>526.35825556732539</v>
      </c>
      <c r="K208" s="57">
        <f>430.16417724707*Deflactores!$H$5</f>
        <v>1042.3865294149261</v>
      </c>
      <c r="L208" s="57">
        <f>1173.41131139107*Deflactores!$I$5</f>
        <v>2640.7815372264818</v>
      </c>
      <c r="M208" s="57">
        <f>1367.51445504931*Deflactores!$J$5</f>
        <v>3017.2150164067502</v>
      </c>
      <c r="N208" s="57">
        <f>1607.86552928204*Deflactores!$K$5</f>
        <v>3438.4719348752883</v>
      </c>
      <c r="O208" s="57">
        <f>1332.8621611587*Deflactores!$L$5</f>
        <v>2747.9605837884128</v>
      </c>
      <c r="P208" s="57">
        <f>316.890343992231*Deflactores!$M$5</f>
        <v>637.77089523451173</v>
      </c>
      <c r="Q208" s="57">
        <f>380.9952318705*Deflactores!$N$5</f>
        <v>752.19527601793982</v>
      </c>
      <c r="R208" s="57">
        <f>425.122807889801*Deflactores!$O$5</f>
        <v>809.68158518749703</v>
      </c>
      <c r="S208" s="57">
        <f>458.163545273186*Deflactores!$P$5</f>
        <v>817.28051428732988</v>
      </c>
      <c r="T208" s="57">
        <f>463.362868098356*Deflactores!$Q$5</f>
        <v>781.61244583065695</v>
      </c>
      <c r="U208" s="57">
        <f>507.97188005546*Deflactores!$R$5</f>
        <v>823.19154444154867</v>
      </c>
      <c r="V208" s="57">
        <f>542.94193576149*Deflactores!$S$5</f>
        <v>852.74482540897293</v>
      </c>
    </row>
    <row r="209" spans="3:22" x14ac:dyDescent="0.2">
      <c r="C209" s="87" t="s">
        <v>125</v>
      </c>
      <c r="D209" s="56">
        <f>29.856069884*Deflactores!$A$5</f>
        <v>108.3942270597051</v>
      </c>
      <c r="E209" s="56">
        <f>39.45256639898*Deflactores!$B$5</f>
        <v>133.0581808991511</v>
      </c>
      <c r="F209" s="56">
        <f>30.27030615067*Deflactores!$C$5</f>
        <v>95.418476392787184</v>
      </c>
      <c r="G209" s="56">
        <f>18.0033934463*Deflactores!$D$5</f>
        <v>53.291219195782375</v>
      </c>
      <c r="H209" s="56">
        <f>41.9360459324899*Deflactores!$E$5</f>
        <v>117.66538593530068</v>
      </c>
      <c r="I209" s="56">
        <f>43.43608343066*Deflactores!$F$5</f>
        <v>116.23102648094897</v>
      </c>
      <c r="J209" s="56">
        <f>44.5943188486*Deflactores!$G$5</f>
        <v>114.21583355064425</v>
      </c>
      <c r="K209" s="56">
        <f>79.15478908498*Deflactores!$H$5</f>
        <v>191.81022094611151</v>
      </c>
      <c r="L209" s="56">
        <f>107.071134917579*Deflactores!$I$5</f>
        <v>240.96535759914281</v>
      </c>
      <c r="M209" s="56">
        <f>119.60943600823*Deflactores!$J$5</f>
        <v>263.90023527390127</v>
      </c>
      <c r="N209" s="56">
        <f>220.570571145269*Deflactores!$K$5</f>
        <v>471.6972313481217</v>
      </c>
      <c r="O209" s="56">
        <f>234.31040817924*Deflactores!$L$5</f>
        <v>483.07753405512221</v>
      </c>
      <c r="P209" s="56">
        <f>314.32878550468*Deflactores!$M$5</f>
        <v>632.61552372896347</v>
      </c>
      <c r="Q209" s="56">
        <f>371.50547393151*Deflactores!$N$5</f>
        <v>733.45973684277169</v>
      </c>
      <c r="R209" s="56">
        <f>300.10470642536*Deflactores!$O$5</f>
        <v>571.57426021635808</v>
      </c>
      <c r="S209" s="56">
        <f>178.15722769886*Deflactores!$P$5</f>
        <v>317.80012220507564</v>
      </c>
      <c r="T209" s="56">
        <f>243.681486927739*Deflactores!$Q$5</f>
        <v>411.04822184589096</v>
      </c>
      <c r="U209" s="56">
        <f>335.84673051296*Deflactores!$R$5</f>
        <v>544.25490788274294</v>
      </c>
      <c r="V209" s="56">
        <f>207.61466380429*Deflactores!$S$5</f>
        <v>326.07967551783503</v>
      </c>
    </row>
    <row r="210" spans="3:22" x14ac:dyDescent="0.2">
      <c r="C210" s="88" t="s">
        <v>126</v>
      </c>
      <c r="D210" s="57">
        <f>135.9458375332*Deflactores!$A$5</f>
        <v>493.55940144326939</v>
      </c>
      <c r="E210" s="57">
        <f>182.998860619859*Deflactores!$B$5</f>
        <v>617.18406996522447</v>
      </c>
      <c r="F210" s="57">
        <f>163.545219246789*Deflactores!$C$5</f>
        <v>515.52949495053372</v>
      </c>
      <c r="G210" s="57">
        <f>159.414076814029*Deflactores!$D$5</f>
        <v>471.87606801625776</v>
      </c>
      <c r="H210" s="57">
        <f>154.559280837819*Deflactores!$E$5</f>
        <v>433.66695703599225</v>
      </c>
      <c r="I210" s="57">
        <f>178.77147116077*Deflactores!$F$5</f>
        <v>478.37627054235395</v>
      </c>
      <c r="J210" s="57">
        <f>226.50650726379*Deflactores!$G$5</f>
        <v>580.13285547898931</v>
      </c>
      <c r="K210" s="57">
        <f>290.403950096809*Deflactores!$H$5</f>
        <v>703.71542234659671</v>
      </c>
      <c r="L210" s="57">
        <f>281.16573020384*Deflactores!$I$5</f>
        <v>632.76811976772069</v>
      </c>
      <c r="M210" s="57">
        <f>382.268064783159*Deflactores!$J$5</f>
        <v>843.41700454998613</v>
      </c>
      <c r="N210" s="57">
        <f>364.26928719027*Deflactores!$K$5</f>
        <v>779.0015383314186</v>
      </c>
      <c r="O210" s="57">
        <f>517.84026541015*Deflactores!$L$5</f>
        <v>1067.6307569633148</v>
      </c>
      <c r="P210" s="57">
        <f>696.386485618759*Deflactores!$M$5</f>
        <v>1401.5417029342491</v>
      </c>
      <c r="Q210" s="57">
        <f>773.084388477839*Deflactores!$N$5</f>
        <v>1526.2931825191536</v>
      </c>
      <c r="R210" s="57">
        <f>693.695835334847*Deflactores!$O$5</f>
        <v>1321.2011521561997</v>
      </c>
      <c r="S210" s="57">
        <f>705.530932593409*Deflactores!$P$5</f>
        <v>1258.5389854440416</v>
      </c>
      <c r="T210" s="57">
        <f>681.17395613005*Deflactores!$Q$5</f>
        <v>1149.0218110742958</v>
      </c>
      <c r="U210" s="57">
        <f>770.172288053889*Deflactores!$R$5</f>
        <v>1248.0992357686071</v>
      </c>
      <c r="V210" s="57">
        <f>728.037958265939*Deflactores!$S$5</f>
        <v>1143.4567137310225</v>
      </c>
    </row>
    <row r="211" spans="3:22" x14ac:dyDescent="0.2">
      <c r="C211" s="87" t="s">
        <v>127</v>
      </c>
      <c r="D211" s="56">
        <f>162.36267304875*Deflactores!$A$5</f>
        <v>589.46728477140744</v>
      </c>
      <c r="E211" s="56">
        <f>176.212293919919*Deflactores!$B$5</f>
        <v>594.29561676517824</v>
      </c>
      <c r="F211" s="56">
        <f>183.29421470424*Deflactores!$C$5</f>
        <v>577.78255071608771</v>
      </c>
      <c r="G211" s="56">
        <f>202.09252200271*Deflactores!$D$5</f>
        <v>598.20705024297843</v>
      </c>
      <c r="H211" s="56">
        <f>212.161283088139*Deflactores!$E$5</f>
        <v>595.28834204546683</v>
      </c>
      <c r="I211" s="56">
        <f>236.41392533257*Deflactores!$F$5</f>
        <v>632.62225885676514</v>
      </c>
      <c r="J211" s="56">
        <f>274.78853444552*Deflactores!$G$5</f>
        <v>703.79371907012091</v>
      </c>
      <c r="K211" s="56">
        <f>281.66485840589*Deflactores!$H$5</f>
        <v>682.53859745096224</v>
      </c>
      <c r="L211" s="56">
        <f>297.87884068075*Deflactores!$I$5</f>
        <v>670.38125094226848</v>
      </c>
      <c r="M211" s="56">
        <f>326.312562727169*Deflactores!$J$5</f>
        <v>719.95960310860676</v>
      </c>
      <c r="N211" s="56">
        <f>355.46258701022*Deflactores!$K$5</f>
        <v>760.16812791463781</v>
      </c>
      <c r="O211" s="56">
        <f>346.654967357439*Deflactores!$L$5</f>
        <v>714.69819928309801</v>
      </c>
      <c r="P211" s="56">
        <f>370.512688758364*Deflactores!$M$5</f>
        <v>745.69078447830873</v>
      </c>
      <c r="Q211" s="56">
        <f>411.761765509603*Deflactores!$N$5</f>
        <v>812.93735184172965</v>
      </c>
      <c r="R211" s="56">
        <f>439.485661673045*Deflactores!$O$5</f>
        <v>837.03682937389647</v>
      </c>
      <c r="S211" s="56">
        <f>449.989091902626*Deflactores!$P$5</f>
        <v>802.69877481103526</v>
      </c>
      <c r="T211" s="56">
        <f>492.712598344024*Deflactores!$Q$5</f>
        <v>831.12032835895047</v>
      </c>
      <c r="U211" s="56">
        <f>524.9818361038*Deflactores!$R$5</f>
        <v>850.75695217393547</v>
      </c>
      <c r="V211" s="56">
        <f>542.02806151796*Deflactores!$S$5</f>
        <v>851.30949414992836</v>
      </c>
    </row>
    <row r="212" spans="3:22" x14ac:dyDescent="0.2">
      <c r="C212" s="88" t="s">
        <v>128</v>
      </c>
      <c r="D212" s="57">
        <f>37.46923257477*Deflactores!$A$5</f>
        <v>136.03426436374554</v>
      </c>
      <c r="E212" s="57">
        <f>52.2779329028699*Deflactores!$B$5</f>
        <v>176.31316003319839</v>
      </c>
      <c r="F212" s="57">
        <f>44.78517056422*Deflactores!$C$5</f>
        <v>141.17243211741973</v>
      </c>
      <c r="G212" s="57">
        <f>50.96539756331*Deflactores!$D$5</f>
        <v>150.86090192095045</v>
      </c>
      <c r="H212" s="57">
        <f>68.74012532597*Deflactores!$E$5</f>
        <v>192.87305695777985</v>
      </c>
      <c r="I212" s="57">
        <f>86.77886899153*Deflactores!$F$5</f>
        <v>232.21239630969339</v>
      </c>
      <c r="J212" s="57">
        <f>104.81345604869*Deflactores!$G$5</f>
        <v>268.45025462925696</v>
      </c>
      <c r="K212" s="57">
        <f>116.73646848815*Deflactores!$H$5</f>
        <v>282.87925559553645</v>
      </c>
      <c r="L212" s="57">
        <f>147.77517202042*Deflactores!$I$5</f>
        <v>332.57046539747745</v>
      </c>
      <c r="M212" s="57">
        <f>161.9369660358*Deflactores!$J$5</f>
        <v>357.28956562799016</v>
      </c>
      <c r="N212" s="57">
        <f>188.96104073066*Deflactores!$K$5</f>
        <v>404.09923809196141</v>
      </c>
      <c r="O212" s="57">
        <f>204.95199901556*Deflactores!$L$5</f>
        <v>422.54933126302615</v>
      </c>
      <c r="P212" s="57">
        <f>278.68742868667*Deflactores!$M$5</f>
        <v>560.88402267144875</v>
      </c>
      <c r="Q212" s="57">
        <f>351.33206452478*Deflactores!$N$5</f>
        <v>693.63156581181261</v>
      </c>
      <c r="R212" s="57">
        <f>343.85401782281*Deflactores!$O$5</f>
        <v>654.89844594748695</v>
      </c>
      <c r="S212" s="57">
        <f>368.34004192243*Deflactores!$P$5</f>
        <v>657.05170566436675</v>
      </c>
      <c r="T212" s="57">
        <f>310.373544190139*Deflactores!$Q$5</f>
        <v>523.54610543391698</v>
      </c>
      <c r="U212" s="57">
        <f>321.003212558189*Deflactores!$R$5</f>
        <v>520.20031165430657</v>
      </c>
      <c r="V212" s="57">
        <f>363.85136706307*Deflactores!$S$5</f>
        <v>571.46510528027056</v>
      </c>
    </row>
    <row r="213" spans="3:22" x14ac:dyDescent="0.2">
      <c r="C213" s="87" t="s">
        <v>129</v>
      </c>
      <c r="D213" s="56">
        <f>5543.58254189525*Deflactores!$A$5</f>
        <v>20126.304202296622</v>
      </c>
      <c r="E213" s="56">
        <f>6775.80863671407*Deflactores!$B$5</f>
        <v>22852.170431813542</v>
      </c>
      <c r="F213" s="56">
        <f>7381.79960531138*Deflactores!$C$5</f>
        <v>23269.010490668574</v>
      </c>
      <c r="G213" s="56">
        <f>8355.22337634951*Deflactores!$D$5</f>
        <v>24732.006313525024</v>
      </c>
      <c r="H213" s="56">
        <f>9160.68598259379*Deflactores!$E$5</f>
        <v>25703.321035779845</v>
      </c>
      <c r="I213" s="56">
        <f>10278.9948979044*Deflactores!$F$5</f>
        <v>27505.659668489869</v>
      </c>
      <c r="J213" s="56">
        <f>11593.9761071256*Deflactores!$G$5</f>
        <v>29694.716265033308</v>
      </c>
      <c r="K213" s="56">
        <f>13793.1849733898*Deflactores!$H$5</f>
        <v>33424.052895347959</v>
      </c>
      <c r="L213" s="56">
        <f>17401.2461066625*Deflactores!$I$5</f>
        <v>39161.791775069672</v>
      </c>
      <c r="M213" s="56">
        <f>18433.0793779753*Deflactores!$J$5</f>
        <v>40669.817925865544</v>
      </c>
      <c r="N213" s="56">
        <f>19080.1996549499*Deflactores!$K$5</f>
        <v>40803.618107701928</v>
      </c>
      <c r="O213" s="56">
        <f>20040.6356821171*Deflactores!$L$5</f>
        <v>41317.758529994215</v>
      </c>
      <c r="P213" s="56">
        <f>22010.3681756558*Deflactores!$M$5</f>
        <v>44297.885631293822</v>
      </c>
      <c r="Q213" s="56">
        <f>24336.8775537104*Deflactores!$N$5</f>
        <v>48048.066741030045</v>
      </c>
      <c r="R213" s="56">
        <f>24763.1768160098*Deflactores!$O$5</f>
        <v>47163.520485267552</v>
      </c>
      <c r="S213" s="56">
        <f>25097.9380783112*Deflactores!$P$5</f>
        <v>44770.161117823453</v>
      </c>
      <c r="T213" s="56">
        <f>26619.8992499798*Deflactores!$Q$5</f>
        <v>44903.133144725551</v>
      </c>
      <c r="U213" s="56">
        <f>27982.6319818237*Deflactores!$R$5</f>
        <v>45347.128341320727</v>
      </c>
      <c r="V213" s="56">
        <f>29750.2919814999*Deflactores!$S$5</f>
        <v>46725.820701340483</v>
      </c>
    </row>
    <row r="214" spans="3:22" x14ac:dyDescent="0.2">
      <c r="C214" s="88" t="s">
        <v>130</v>
      </c>
      <c r="D214" s="57">
        <f>22.090675061*Deflactores!$A$5</f>
        <v>80.201501998339793</v>
      </c>
      <c r="E214" s="57">
        <f>50.04488849666*Deflactores!$B$5</f>
        <v>168.78196868933196</v>
      </c>
      <c r="F214" s="57">
        <f>17.09019117652*Deflactores!$C$5</f>
        <v>53.871936253571697</v>
      </c>
      <c r="G214" s="57">
        <f>23.73282922319*Deflactores!$D$5</f>
        <v>70.250722900743781</v>
      </c>
      <c r="H214" s="57">
        <f>70.68408738308*Deflactores!$E$5</f>
        <v>198.32748263400259</v>
      </c>
      <c r="I214" s="57">
        <f>62.90508294341*Deflactores!$F$5</f>
        <v>168.32830641956161</v>
      </c>
      <c r="J214" s="57">
        <f>92.83373931983*Deflactores!$G$5</f>
        <v>237.76757200924209</v>
      </c>
      <c r="K214" s="57">
        <f>74.39826406113*Deflactores!$H$5</f>
        <v>180.28406913259479</v>
      </c>
      <c r="L214" s="57">
        <f>141.88393765342*Deflactores!$I$5</f>
        <v>319.31214515050073</v>
      </c>
      <c r="M214" s="57">
        <f>118.75807382132*Deflactores!$J$5</f>
        <v>262.02183262502172</v>
      </c>
      <c r="N214" s="57">
        <f>124.15135201377*Deflactores!$K$5</f>
        <v>265.50164289347646</v>
      </c>
      <c r="O214" s="57">
        <f>142.29653280678*Deflactores!$L$5</f>
        <v>293.37261928334385</v>
      </c>
      <c r="P214" s="57">
        <f>208.78518284341*Deflactores!$M$5</f>
        <v>420.19933866147517</v>
      </c>
      <c r="Q214" s="57">
        <f>277.95694301465*Deflactores!$N$5</f>
        <v>548.76775870799577</v>
      </c>
      <c r="R214" s="57">
        <f>250.48148130179*Deflactores!$O$5</f>
        <v>477.06271946979984</v>
      </c>
      <c r="S214" s="57">
        <f>352.26475720274*Deflactores!$P$5</f>
        <v>628.37631867959533</v>
      </c>
      <c r="T214" s="57">
        <f>224.82246659068*Deflactores!$Q$5</f>
        <v>379.23633956858708</v>
      </c>
      <c r="U214" s="57">
        <f>358.76980480957*Deflactores!$R$5</f>
        <v>581.40279278439255</v>
      </c>
      <c r="V214" s="57">
        <f>402.91398656442*Deflactores!$S$5</f>
        <v>632.81687137654217</v>
      </c>
    </row>
    <row r="215" spans="3:22" x14ac:dyDescent="0.2">
      <c r="C215" s="87" t="s">
        <v>131</v>
      </c>
      <c r="D215" s="56">
        <f>4627.1174366393*Deflactores!$A$5</f>
        <v>16799.023448420627</v>
      </c>
      <c r="E215" s="56">
        <f>7383.95313219946*Deflactores!$B$5</f>
        <v>24903.205578039415</v>
      </c>
      <c r="F215" s="56">
        <f>8248.19658238829*Deflactores!$C$5</f>
        <v>26000.078987052624</v>
      </c>
      <c r="G215" s="56">
        <f>9684.25249222364*Deflactores!$D$5</f>
        <v>28666.019206310026</v>
      </c>
      <c r="H215" s="56">
        <f>11101.1034450814*Deflactores!$E$5</f>
        <v>31147.801184594038</v>
      </c>
      <c r="I215" s="56">
        <f>12242.2136462143*Deflactores!$F$5</f>
        <v>32759.055285683902</v>
      </c>
      <c r="J215" s="56">
        <f>13093.4253508949*Deflactores!$G$5</f>
        <v>33535.134723389703</v>
      </c>
      <c r="K215" s="56">
        <f>14150.3914700697*Deflactores!$H$5</f>
        <v>34289.646220067705</v>
      </c>
      <c r="L215" s="56">
        <f>15582.2333528658*Deflactores!$I$5</f>
        <v>35068.073528471919</v>
      </c>
      <c r="M215" s="56">
        <f>18264.5099700978*Deflactores!$J$5</f>
        <v>40297.894874612342</v>
      </c>
      <c r="N215" s="56">
        <f>19872.4575390299*Deflactores!$K$5</f>
        <v>42497.886969109248</v>
      </c>
      <c r="O215" s="56">
        <f>21241.9359421544*Deflactores!$L$5</f>
        <v>43794.478073902268</v>
      </c>
      <c r="P215" s="56">
        <f>22323.3462558173*Deflactores!$M$5</f>
        <v>44927.782736578527</v>
      </c>
      <c r="Q215" s="56">
        <f>24513.9850423804*Deflactores!$N$5</f>
        <v>48397.728377662424</v>
      </c>
      <c r="R215" s="56">
        <f>26078.7445641026*Deflactores!$O$5</f>
        <v>49669.128182451939</v>
      </c>
      <c r="S215" s="56">
        <f>28713.9498446691*Deflactores!$P$5</f>
        <v>51220.469062589953</v>
      </c>
      <c r="T215" s="56">
        <f>31049.9397419164*Deflactores!$Q$5</f>
        <v>52375.83979090512</v>
      </c>
      <c r="U215" s="56">
        <f>35353.5187878564*Deflactores!$R$5</f>
        <v>57291.985787168785</v>
      </c>
      <c r="V215" s="56">
        <f>37882.9553819915*Deflactores!$S$5</f>
        <v>59498.985150013097</v>
      </c>
    </row>
    <row r="216" spans="3:22" x14ac:dyDescent="0.2">
      <c r="C216" s="88" t="s">
        <v>132</v>
      </c>
      <c r="D216" s="57">
        <f>37.18937689934*Deflactores!$A$5</f>
        <v>135.01823178663923</v>
      </c>
      <c r="E216" s="57">
        <f>36.5859675651*Deflactores!$B$5</f>
        <v>123.3902565784265</v>
      </c>
      <c r="F216" s="57">
        <f>43.15576316195*Deflactores!$C$5</f>
        <v>136.03619163891727</v>
      </c>
      <c r="G216" s="57">
        <f>35.7400468353699*Deflactores!$D$5</f>
        <v>105.79287041925195</v>
      </c>
      <c r="H216" s="57">
        <f>37.2009968133299*Deflactores!$E$5</f>
        <v>104.37964643269025</v>
      </c>
      <c r="I216" s="57">
        <f>38.53550499585*Deflactores!$F$5</f>
        <v>103.11752229640022</v>
      </c>
      <c r="J216" s="57">
        <f>52.51217555571*Deflactores!$G$5</f>
        <v>134.49520157524452</v>
      </c>
      <c r="K216" s="57">
        <f>58.46746987392*Deflactores!$H$5</f>
        <v>141.68009850467467</v>
      </c>
      <c r="L216" s="57">
        <f>67.99598454909*Deflactores!$I$5</f>
        <v>153.02608630038173</v>
      </c>
      <c r="M216" s="57">
        <f>95.82699040279*Deflactores!$J$5</f>
        <v>211.4278451337745</v>
      </c>
      <c r="N216" s="57">
        <f>97.37742031798*Deflactores!$K$5</f>
        <v>208.24473238346013</v>
      </c>
      <c r="O216" s="57">
        <f>85.57103521062*Deflactores!$L$5</f>
        <v>176.42171765783667</v>
      </c>
      <c r="P216" s="57">
        <f>123.134385685369*Deflactores!$M$5</f>
        <v>247.8192500388549</v>
      </c>
      <c r="Q216" s="57">
        <f>147.34633293899*Deflactores!$N$5</f>
        <v>290.90446888570767</v>
      </c>
      <c r="R216" s="57">
        <f>149.23791921828*Deflactores!$O$5</f>
        <v>284.23597313570417</v>
      </c>
      <c r="S216" s="57">
        <f>181.23173677971*Deflactores!$P$5</f>
        <v>323.28448775249149</v>
      </c>
      <c r="T216" s="57">
        <f>245.97719596201*Deflactores!$Q$5</f>
        <v>414.92068309975906</v>
      </c>
      <c r="U216" s="57">
        <f>311.493215058019*Deflactores!$R$5</f>
        <v>504.78892799868873</v>
      </c>
      <c r="V216" s="57">
        <f>393.1637952259*Deflactores!$S$5</f>
        <v>617.503216889697</v>
      </c>
    </row>
    <row r="217" spans="3:22" x14ac:dyDescent="0.2">
      <c r="C217" s="87" t="s">
        <v>133</v>
      </c>
      <c r="D217" s="56">
        <f>557.60463642844*Deflactores!$A$5</f>
        <v>2024.4166029018877</v>
      </c>
      <c r="E217" s="56">
        <f>631.18890573392*Deflactores!$B$5</f>
        <v>2128.7549902673122</v>
      </c>
      <c r="F217" s="56">
        <f>634.43601506128*Deflactores!$C$5</f>
        <v>1999.8779538118019</v>
      </c>
      <c r="G217" s="56">
        <f>660.610922073849*Deflactores!$D$5</f>
        <v>1955.4514295526085</v>
      </c>
      <c r="H217" s="56">
        <f>730.71467877518*Deflactores!$E$5</f>
        <v>2050.2606474888958</v>
      </c>
      <c r="I217" s="56">
        <f>831.224472089269*Deflactores!$F$5</f>
        <v>2224.2814267831568</v>
      </c>
      <c r="J217" s="56">
        <f>896.77505729606*Deflactores!$G$5</f>
        <v>2296.8376537880863</v>
      </c>
      <c r="K217" s="56">
        <f>1016.90322765765*Deflactores!$H$5</f>
        <v>2464.1899123554094</v>
      </c>
      <c r="L217" s="56">
        <f>1178.82501708997*Deflactores!$I$5</f>
        <v>2652.9651713186781</v>
      </c>
      <c r="M217" s="56">
        <f>1357.65290409423*Deflactores!$J$5</f>
        <v>2995.4569870734113</v>
      </c>
      <c r="N217" s="56">
        <f>1415.54931790331*Deflactores!$K$5</f>
        <v>3027.1975568851185</v>
      </c>
      <c r="O217" s="56">
        <f>1509.25277468738*Deflactores!$L$5</f>
        <v>3111.6249351761739</v>
      </c>
      <c r="P217" s="56">
        <f>1786.95085302207*Deflactores!$M$5</f>
        <v>3596.4025628370064</v>
      </c>
      <c r="Q217" s="56">
        <f>2049.55762174282*Deflactores!$N$5</f>
        <v>4046.4221912507414</v>
      </c>
      <c r="R217" s="56">
        <f>2340.68743685758*Deflactores!$O$5</f>
        <v>4458.033018060456</v>
      </c>
      <c r="S217" s="56">
        <f>2560.93276891821*Deflactores!$P$5</f>
        <v>4568.23872617096</v>
      </c>
      <c r="T217" s="56">
        <f>2888.78083338683*Deflactores!$Q$5</f>
        <v>4872.8700724740156</v>
      </c>
      <c r="U217" s="56">
        <f>3109.40447204428*Deflactores!$R$5</f>
        <v>5038.9314254090796</v>
      </c>
      <c r="V217" s="56">
        <f>3434.64547864465*Deflactores!$S$5</f>
        <v>5394.455587448273</v>
      </c>
    </row>
    <row r="218" spans="3:22" x14ac:dyDescent="0.2">
      <c r="C218" s="88" t="s">
        <v>134</v>
      </c>
      <c r="D218" s="57">
        <f>5097.67510245609*Deflactores!$A$5</f>
        <v>18507.410877556573</v>
      </c>
      <c r="E218" s="57">
        <f>6030.71643057261*Deflactores!$B$5</f>
        <v>20339.263855629913</v>
      </c>
      <c r="F218" s="57">
        <f>5136.23361461974*Deflactores!$C$5</f>
        <v>16190.506414603475</v>
      </c>
      <c r="G218" s="57">
        <f>4555.63502817047*Deflactores!$D$5</f>
        <v>13484.976906512653</v>
      </c>
      <c r="H218" s="57">
        <f>5063.31964573434*Deflactores!$E$5</f>
        <v>14206.810560733938</v>
      </c>
      <c r="I218" s="57">
        <f>6214.86805619851*Deflactores!$F$5</f>
        <v>16630.424213287246</v>
      </c>
      <c r="J218" s="57">
        <f>5406.73092532713*Deflactores!$G$5</f>
        <v>13847.824013566498</v>
      </c>
      <c r="K218" s="57">
        <f>6169.40311990631*Deflactores!$H$5</f>
        <v>14949.879713082406</v>
      </c>
      <c r="L218" s="57">
        <f>6267.81454634216*Deflactores!$I$5</f>
        <v>14105.820160466808</v>
      </c>
      <c r="M218" s="57">
        <f>6160.3135561685*Deflactores!$J$5</f>
        <v>13591.805555558427</v>
      </c>
      <c r="N218" s="57">
        <f>6767.36789787486*Deflactores!$K$5</f>
        <v>14472.233010809783</v>
      </c>
      <c r="O218" s="57">
        <f>6930.39442165924*Deflactores!$L$5</f>
        <v>14288.387243487152</v>
      </c>
      <c r="P218" s="57">
        <f>7260.41663256747*Deflactores!$M$5</f>
        <v>14612.254690984264</v>
      </c>
      <c r="Q218" s="57">
        <f>7727.51678232076*Deflactores!$N$5</f>
        <v>15256.363158336653</v>
      </c>
      <c r="R218" s="57">
        <f>10626.2850223051*Deflactores!$O$5</f>
        <v>20238.6396162128</v>
      </c>
      <c r="S218" s="57">
        <f>13820.9990847834*Deflactores!$P$5</f>
        <v>24654.151026444768</v>
      </c>
      <c r="T218" s="57">
        <f>15605.5934499623*Deflactores!$Q$5</f>
        <v>26323.917829502898</v>
      </c>
      <c r="U218" s="57">
        <f>18628.9729237025*Deflactores!$R$5</f>
        <v>30189.098244470078</v>
      </c>
      <c r="V218" s="57">
        <f>10699.2805460466*Deflactores!$S$5</f>
        <v>16804.294382683533</v>
      </c>
    </row>
    <row r="219" spans="3:22" x14ac:dyDescent="0.2">
      <c r="C219" s="87" t="s">
        <v>135</v>
      </c>
      <c r="D219" s="56"/>
      <c r="E219" s="56"/>
      <c r="F219" s="56"/>
      <c r="G219" s="56"/>
      <c r="H219" s="56"/>
      <c r="I219" s="56"/>
      <c r="J219" s="56"/>
      <c r="K219" s="56"/>
      <c r="L219" s="56"/>
      <c r="M219" s="56"/>
      <c r="N219" s="56"/>
      <c r="O219" s="56"/>
      <c r="P219" s="56"/>
      <c r="Q219" s="56"/>
      <c r="R219" s="56"/>
      <c r="S219" s="56"/>
      <c r="T219" s="56"/>
      <c r="U219" s="56"/>
      <c r="V219" s="56"/>
    </row>
    <row r="220" spans="3:22" x14ac:dyDescent="0.2">
      <c r="C220" s="88" t="s">
        <v>136</v>
      </c>
      <c r="D220" s="57">
        <f>850.67840782788*Deflactores!$A$5</f>
        <v>3088.4382589919733</v>
      </c>
      <c r="E220" s="57">
        <f>1006.46176377679*Deflactores!$B$5</f>
        <v>3394.4045636573114</v>
      </c>
      <c r="F220" s="57">
        <f>995.502265637309*Deflactores!$C$5</f>
        <v>3138.0359669925983</v>
      </c>
      <c r="G220" s="57">
        <f>1022.85641921872*Deflactores!$D$5</f>
        <v>3027.7217350710321</v>
      </c>
      <c r="H220" s="57">
        <f>1170.2192793716*Deflactores!$E$5</f>
        <v>3283.4355284199614</v>
      </c>
      <c r="I220" s="57">
        <f>1451.21555366581*Deflactores!$F$5</f>
        <v>3883.3214259974729</v>
      </c>
      <c r="J220" s="57">
        <f>2256.36529694469*Deflactores!$G$5</f>
        <v>5779.0465207066472</v>
      </c>
      <c r="K220" s="57">
        <f>2944.92996427918*Deflactores!$H$5</f>
        <v>7136.2412009306981</v>
      </c>
      <c r="L220" s="57">
        <f>4117.19677107537*Deflactores!$I$5</f>
        <v>9265.8193360134883</v>
      </c>
      <c r="M220" s="57">
        <f>5030.12426574385*Deflactores!$J$5</f>
        <v>11098.212829090036</v>
      </c>
      <c r="N220" s="57">
        <f>5373.02445823706*Deflactores!$K$5</f>
        <v>11490.384903827291</v>
      </c>
      <c r="O220" s="57">
        <f>5146.71917256394*Deflactores!$L$5</f>
        <v>10610.985767454658</v>
      </c>
      <c r="P220" s="57">
        <f>6975.16702838508*Deflactores!$M$5</f>
        <v>14038.163687980546</v>
      </c>
      <c r="Q220" s="57">
        <f>8125.95866607984*Deflactores!$N$5</f>
        <v>16043.003193855888</v>
      </c>
      <c r="R220" s="57">
        <f>8784.1908006498*Deflactores!$O$5</f>
        <v>16730.218656965619</v>
      </c>
      <c r="S220" s="57">
        <f>10029.6174647998*Deflactores!$P$5</f>
        <v>17891.015128340667</v>
      </c>
      <c r="T220" s="57">
        <f>9058.64187767232*Deflactores!$Q$5</f>
        <v>15280.350933101879</v>
      </c>
      <c r="U220" s="57">
        <f>10137.523377007*Deflactores!$R$5</f>
        <v>16428.317891572231</v>
      </c>
      <c r="V220" s="57">
        <f>10337.9541621424*Deflactores!$S$5</f>
        <v>16236.79501698083</v>
      </c>
    </row>
    <row r="221" spans="3:22" x14ac:dyDescent="0.2">
      <c r="C221" s="87" t="s">
        <v>137</v>
      </c>
      <c r="D221" s="56">
        <f>61.05987657869*Deflactores!$A$5</f>
        <v>221.68149230033112</v>
      </c>
      <c r="E221" s="56">
        <f>64.12166682799*Deflactores!$B$5</f>
        <v>216.2574737995846</v>
      </c>
      <c r="F221" s="56">
        <f>68.68233332447*Deflactores!$C$5</f>
        <v>216.50139804672654</v>
      </c>
      <c r="G221" s="56">
        <f>62.85087446058*Deflactores!$D$5</f>
        <v>186.04268898060036</v>
      </c>
      <c r="H221" s="56">
        <f>87.98363649121*Deflactores!$E$5</f>
        <v>246.86706420522933</v>
      </c>
      <c r="I221" s="56">
        <f>178.6396138784*Deflactores!$F$5</f>
        <v>478.02343239332242</v>
      </c>
      <c r="J221" s="56">
        <f>116.91517292484*Deflactores!$G$5</f>
        <v>299.44540639053929</v>
      </c>
      <c r="K221" s="56">
        <f>127.77724189538*Deflactores!$H$5</f>
        <v>309.63358355392643</v>
      </c>
      <c r="L221" s="56">
        <f>160.56388415491*Deflactores!$I$5</f>
        <v>361.35167328410398</v>
      </c>
      <c r="M221" s="56">
        <f>156.8202976525*Deflactores!$J$5</f>
        <v>346.0004062168673</v>
      </c>
      <c r="N221" s="56">
        <f>181.85941874354*Deflactores!$K$5</f>
        <v>388.91219200502337</v>
      </c>
      <c r="O221" s="56">
        <f>206.11638216198*Deflactores!$L$5</f>
        <v>424.94993883073454</v>
      </c>
      <c r="P221" s="56">
        <f>262.16957107366*Deflactores!$M$5</f>
        <v>527.64031854184657</v>
      </c>
      <c r="Q221" s="56">
        <f>314.64626460299*Deflactores!$N$5</f>
        <v>621.20313865635364</v>
      </c>
      <c r="R221" s="56">
        <f>491.095170246189*Deflactores!$O$5</f>
        <v>935.33141140225689</v>
      </c>
      <c r="S221" s="56">
        <f>313.001325561299*Deflactores!$P$5</f>
        <v>558.33749098223086</v>
      </c>
      <c r="T221" s="56">
        <f>293.99129595538*Deflactores!$Q$5</f>
        <v>495.91210626707613</v>
      </c>
      <c r="U221" s="56">
        <f>310.36686766624*Deflactores!$R$5</f>
        <v>502.96363080130243</v>
      </c>
      <c r="V221" s="56">
        <f>566.32455164174*Deflactores!$S$5</f>
        <v>889.46957143258476</v>
      </c>
    </row>
    <row r="222" spans="3:22" x14ac:dyDescent="0.2">
      <c r="C222" s="88" t="s">
        <v>138</v>
      </c>
      <c r="D222" s="57">
        <f>147.11819346647*Deflactores!$A$5</f>
        <v>534.12130026410853</v>
      </c>
      <c r="E222" s="57">
        <f>175.5738163482*Deflactores!$B$5</f>
        <v>592.1422799358653</v>
      </c>
      <c r="F222" s="57">
        <f>174.225064620469*Deflactores!$C$5</f>
        <v>549.19465078327539</v>
      </c>
      <c r="G222" s="57">
        <f>180.967693714309*Deflactores!$D$5</f>
        <v>535.67618026291882</v>
      </c>
      <c r="H222" s="57">
        <f>208.87196315765*Deflactores!$E$5</f>
        <v>586.05907184415287</v>
      </c>
      <c r="I222" s="57">
        <f>223.69028418744*Deflactores!$F$5</f>
        <v>598.57494717327654</v>
      </c>
      <c r="J222" s="57">
        <f>231.7250296764*Deflactores!$G$5</f>
        <v>593.49863620281985</v>
      </c>
      <c r="K222" s="57">
        <f>272.38366298219*Deflactores!$H$5</f>
        <v>660.04813079135556</v>
      </c>
      <c r="L222" s="57">
        <f>338.93428912023*Deflactores!$I$5</f>
        <v>762.77721575788223</v>
      </c>
      <c r="M222" s="57">
        <f>285.91673285954*Deflactores!$J$5</f>
        <v>630.83227869401571</v>
      </c>
      <c r="N222" s="57">
        <f>288.11947145271*Deflactores!$K$5</f>
        <v>616.15271827092295</v>
      </c>
      <c r="O222" s="57">
        <f>291.408450517419*Deflactores!$L$5</f>
        <v>600.79651080242286</v>
      </c>
      <c r="P222" s="57">
        <f>161.967853108749*Deflactores!$M$5</f>
        <v>325.97516659867443</v>
      </c>
      <c r="Q222" s="57">
        <f>167.66013832703*Deflactores!$N$5</f>
        <v>331.00982237219199</v>
      </c>
      <c r="R222" s="57">
        <f>132.41477522366*Deflactores!$O$5</f>
        <v>252.19490254479777</v>
      </c>
      <c r="S222" s="57">
        <f>73.23585503259*Deflactores!$P$5</f>
        <v>130.63945807739594</v>
      </c>
      <c r="T222" s="57">
        <f>87.27512724723*Deflactores!$Q$5</f>
        <v>147.21793731087121</v>
      </c>
      <c r="U222" s="57">
        <f>87.29626979986*Deflactores!$R$5</f>
        <v>141.46757720661049</v>
      </c>
      <c r="V222" s="57">
        <f>91.983347156*Deflactores!$S$5</f>
        <v>144.46908250154669</v>
      </c>
    </row>
    <row r="223" spans="3:22" x14ac:dyDescent="0.2">
      <c r="C223" s="87" t="s">
        <v>139</v>
      </c>
      <c r="D223" s="56">
        <f>484.8634374601*Deflactores!$A$5</f>
        <v>1760.3253789663859</v>
      </c>
      <c r="E223" s="56">
        <f>607.73491004221*Deflactores!$B$5</f>
        <v>2049.6537736317287</v>
      </c>
      <c r="F223" s="56">
        <f>588.99374813547*Deflactores!$C$5</f>
        <v>1856.6342134838183</v>
      </c>
      <c r="G223" s="56">
        <f>620.79445657314*Deflactores!$D$5</f>
        <v>1837.5920939263203</v>
      </c>
      <c r="H223" s="56">
        <f>740.54863544711*Deflactores!$E$5</f>
        <v>2077.853051144129</v>
      </c>
      <c r="I223" s="56">
        <f>886.35043575054*Deflactores!$F$5</f>
        <v>2371.7935143388754</v>
      </c>
      <c r="J223" s="56">
        <f>1039.70400965401*Deflactores!$G$5</f>
        <v>2662.9100561384157</v>
      </c>
      <c r="K223" s="56">
        <f>1212.85744215649*Deflactores!$H$5</f>
        <v>2939.031947977438</v>
      </c>
      <c r="L223" s="56">
        <f>1274.00447807014*Deflactores!$I$5</f>
        <v>2867.1681203098806</v>
      </c>
      <c r="M223" s="56">
        <f>1711.04053891382*Deflactores!$J$5</f>
        <v>3775.1536655642321</v>
      </c>
      <c r="N223" s="56">
        <f>1938.41193451804*Deflactores!$K$5</f>
        <v>4145.3560099915794</v>
      </c>
      <c r="O223" s="56">
        <f>3745.71896436314*Deflactores!$L$5</f>
        <v>7722.5450402692431</v>
      </c>
      <c r="P223" s="56">
        <f>2102.95945380215*Deflactores!$M$5</f>
        <v>4232.3988689480502</v>
      </c>
      <c r="Q223" s="56">
        <f>2753.79363026255*Deflactores!$N$5</f>
        <v>5436.7886696173864</v>
      </c>
      <c r="R223" s="56">
        <f>2826.10023451671*Deflactores!$O$5</f>
        <v>5382.541880405056</v>
      </c>
      <c r="S223" s="56">
        <f>2816.34116863543*Deflactores!$P$5</f>
        <v>5023.8409023539853</v>
      </c>
      <c r="T223" s="56">
        <f>2758.16442671805*Deflactores!$Q$5</f>
        <v>4652.5429463471837</v>
      </c>
      <c r="U223" s="56">
        <f>2839.58647365268*Deflactores!$R$5</f>
        <v>4601.679082248158</v>
      </c>
      <c r="V223" s="56">
        <f>3123.52174926534*Deflactores!$S$5</f>
        <v>4905.8045313863649</v>
      </c>
    </row>
    <row r="224" spans="3:22" x14ac:dyDescent="0.2">
      <c r="C224" s="88" t="s">
        <v>140</v>
      </c>
      <c r="D224" s="57">
        <f>278.73867058469*Deflactores!$A$5</f>
        <v>1011.9772249685437</v>
      </c>
      <c r="E224" s="57">
        <f>438.90382139608*Deflactores!$B$5</f>
        <v>1480.2520949855921</v>
      </c>
      <c r="F224" s="57">
        <f>296.52774341435*Deflactores!$C$5</f>
        <v>934.71884109643702</v>
      </c>
      <c r="G224" s="57">
        <f>352.32129499366*Deflactores!$D$5</f>
        <v>1042.8940196664839</v>
      </c>
      <c r="H224" s="57">
        <f>2490.39132788738*Deflactores!$E$5</f>
        <v>6987.6129284465442</v>
      </c>
      <c r="I224" s="57">
        <f>2619.22121466278*Deflactores!$F$5</f>
        <v>7008.7988215356254</v>
      </c>
      <c r="J224" s="57">
        <f>753.38780506645*Deflactores!$G$5</f>
        <v>1929.5914449258664</v>
      </c>
      <c r="K224" s="57">
        <f>2374.6117771994*Deflactores!$H$5</f>
        <v>5754.2293386299225</v>
      </c>
      <c r="L224" s="57">
        <f>1649.3775517572*Deflactores!$I$5</f>
        <v>3711.951422585696</v>
      </c>
      <c r="M224" s="57">
        <f>6391.96980812418*Deflactores!$J$5</f>
        <v>14102.920242108472</v>
      </c>
      <c r="N224" s="57">
        <f>2133.23679415905*Deflactores!$K$5</f>
        <v>4561.9952126435328</v>
      </c>
      <c r="O224" s="57">
        <f>2633.35981804258*Deflactores!$L$5</f>
        <v>5429.1953015024665</v>
      </c>
      <c r="P224" s="57">
        <f>2393.7729277478*Deflactores!$M$5</f>
        <v>4817.6876703926373</v>
      </c>
      <c r="Q224" s="57">
        <f>2875.65653265813*Deflactores!$N$5</f>
        <v>5677.3814430590955</v>
      </c>
      <c r="R224" s="57">
        <f>2590.72051515071*Deflactores!$O$5</f>
        <v>4934.2417168752436</v>
      </c>
      <c r="S224" s="57">
        <f>3092.6431988391*Deflactores!$P$5</f>
        <v>5516.7135188534994</v>
      </c>
      <c r="T224" s="57">
        <f>2910.96344154161*Deflactores!$Q$5</f>
        <v>4910.2882684678307</v>
      </c>
      <c r="U224" s="57">
        <f>3264.26141829479*Deflactores!$R$5</f>
        <v>5289.8841528268676</v>
      </c>
      <c r="V224" s="57">
        <f>3808.71846638707*Deflactores!$S$5</f>
        <v>5981.974774330075</v>
      </c>
    </row>
    <row r="225" spans="2:22" x14ac:dyDescent="0.2">
      <c r="C225" s="87" t="s">
        <v>141</v>
      </c>
      <c r="D225" s="56">
        <f>331.4965143222*Deflactores!$A$5</f>
        <v>1203.5176961518841</v>
      </c>
      <c r="E225" s="56">
        <f>326.31665537064*Deflactores!$B$5</f>
        <v>1100.5393190805228</v>
      </c>
      <c r="F225" s="56">
        <f>349.9234091645*Deflactores!$C$5</f>
        <v>1103.0333948540992</v>
      </c>
      <c r="G225" s="56">
        <f>356.3717167347*Deflactores!$D$5</f>
        <v>1054.8835322814784</v>
      </c>
      <c r="H225" s="56">
        <f>382.70238872206*Deflactores!$E$5</f>
        <v>1073.7975711833881</v>
      </c>
      <c r="I225" s="56">
        <f>434.63290751267*Deflactores!$F$5</f>
        <v>1163.0383080749459</v>
      </c>
      <c r="J225" s="56">
        <f>501.589129461639*Deflactores!$G$5</f>
        <v>1284.6797977989895</v>
      </c>
      <c r="K225" s="56">
        <f>568.47644249831*Deflactores!$H$5</f>
        <v>1377.548892476944</v>
      </c>
      <c r="L225" s="56">
        <f>660.63340996333*Deflactores!$I$5</f>
        <v>1486.7664006391237</v>
      </c>
      <c r="M225" s="56">
        <f>748.75178067771*Deflactores!$J$5</f>
        <v>1652.0082167179869</v>
      </c>
      <c r="N225" s="56">
        <f>829.28647848606*Deflactores!$K$5</f>
        <v>1773.455696583748</v>
      </c>
      <c r="O225" s="56">
        <f>864.11494485067*Deflactores!$L$5</f>
        <v>1781.544917028677</v>
      </c>
      <c r="P225" s="56">
        <f>990.790870488039*Deflactores!$M$5</f>
        <v>1994.0575421156716</v>
      </c>
      <c r="Q225" s="56">
        <f>1110.97696186676*Deflactores!$N$5</f>
        <v>2193.391288332406</v>
      </c>
      <c r="R225" s="56">
        <f>1234.09479916246*Deflactores!$O$5</f>
        <v>2350.4357204860253</v>
      </c>
      <c r="S225" s="56">
        <f>1297.97748430956*Deflactores!$P$5</f>
        <v>2315.3559833691456</v>
      </c>
      <c r="T225" s="56">
        <f>1436.19019104751*Deflactores!$Q$5</f>
        <v>2422.6026839603501</v>
      </c>
      <c r="U225" s="56">
        <f>1597.19964162511*Deflactores!$R$5</f>
        <v>2588.3346921237317</v>
      </c>
      <c r="V225" s="56">
        <f>1732.97311843895*Deflactores!$S$5</f>
        <v>2721.8082855380035</v>
      </c>
    </row>
    <row r="226" spans="2:22" x14ac:dyDescent="0.2">
      <c r="C226" s="88" t="s">
        <v>142</v>
      </c>
      <c r="D226" s="57">
        <f>104.84427173628*Deflactores!$A$5</f>
        <v>380.64332782735244</v>
      </c>
      <c r="E226" s="57">
        <f>274.33863748824*Deflactores!$B$5</f>
        <v>925.23765590774394</v>
      </c>
      <c r="F226" s="57">
        <f>116.855616179789*Deflactores!$C$5</f>
        <v>368.35388444094076</v>
      </c>
      <c r="G226" s="57">
        <f>110.96458620939*Deflactores!$D$5</f>
        <v>328.46241483819841</v>
      </c>
      <c r="H226" s="57">
        <f>204.6908372228*Deflactores!$E$5</f>
        <v>574.32754623584412</v>
      </c>
      <c r="I226" s="57">
        <f>89.68740909649*Deflactores!$F$5</f>
        <v>239.99538628622247</v>
      </c>
      <c r="J226" s="57">
        <f>123.475751287849*Deflactores!$G$5</f>
        <v>316.24848681989579</v>
      </c>
      <c r="K226" s="57">
        <f>209.11009018618*Deflactores!$H$5</f>
        <v>506.72174184699401</v>
      </c>
      <c r="L226" s="57">
        <f>234.476219478349*Deflactores!$I$5</f>
        <v>527.69260472104281</v>
      </c>
      <c r="M226" s="57">
        <f>388.54979005678*Deflactores!$J$5</f>
        <v>857.27668680382214</v>
      </c>
      <c r="N226" s="57">
        <f>408.75087080791*Deflactores!$K$5</f>
        <v>874.12682965870999</v>
      </c>
      <c r="O226" s="57">
        <f>355.986465884319*Deflactores!$L$5</f>
        <v>733.9369404573946</v>
      </c>
      <c r="P226" s="57">
        <f>550.920808289336*Deflactores!$M$5</f>
        <v>1108.778679335918</v>
      </c>
      <c r="Q226" s="57">
        <f>401.33351556564*Deflactores!$N$5</f>
        <v>792.34895679417832</v>
      </c>
      <c r="R226" s="57">
        <f>397.78579724981*Deflactores!$O$5</f>
        <v>757.61598508680106</v>
      </c>
      <c r="S226" s="57">
        <f>324.227407333473*Deflactores!$P$5</f>
        <v>578.36278103171173</v>
      </c>
      <c r="T226" s="57">
        <f>368.24813616203*Deflactores!$Q$5</f>
        <v>621.17046098110995</v>
      </c>
      <c r="U226" s="57">
        <f>393.602880587909*Deflactores!$R$5</f>
        <v>637.85137699438803</v>
      </c>
      <c r="V226" s="57">
        <f>346.847336517788*Deflactores!$S$5</f>
        <v>544.75856798130769</v>
      </c>
    </row>
    <row r="227" spans="2:22" x14ac:dyDescent="0.2">
      <c r="C227" s="87" t="s">
        <v>143</v>
      </c>
      <c r="D227" s="56">
        <f>519.34846388923*Deflactores!$A$5</f>
        <v>1885.5253064666308</v>
      </c>
      <c r="E227" s="56">
        <f>434.53259556806*Deflactores!$B$5</f>
        <v>1465.509648294196</v>
      </c>
      <c r="F227" s="56">
        <f>581.73350719791*Deflactores!$C$5</f>
        <v>1833.7483819015968</v>
      </c>
      <c r="G227" s="56">
        <f>493.253587233749*Deflactores!$D$5</f>
        <v>1460.0627995374903</v>
      </c>
      <c r="H227" s="56">
        <f>544.38970826548*Deflactores!$E$5</f>
        <v>1527.4645879915033</v>
      </c>
      <c r="I227" s="56">
        <f>536.00393416154*Deflactores!$F$5</f>
        <v>1434.2979970760257</v>
      </c>
      <c r="J227" s="56">
        <f>193.70758400371*Deflactores!$G$5</f>
        <v>496.12761767208286</v>
      </c>
      <c r="K227" s="56">
        <f>323.4822294536*Deflactores!$H$5</f>
        <v>783.87168509819844</v>
      </c>
      <c r="L227" s="56">
        <f>279.03868379348*Deflactores!$I$5</f>
        <v>627.98116668931243</v>
      </c>
      <c r="M227" s="56">
        <f>273.710360827189*Deflactores!$J$5</f>
        <v>603.9007542367267</v>
      </c>
      <c r="N227" s="56">
        <f>278.476700110319*Deflactores!$K$5</f>
        <v>595.53134289381876</v>
      </c>
      <c r="O227" s="56">
        <f>258.214570902429*Deflactores!$L$5</f>
        <v>532.36072241923875</v>
      </c>
      <c r="P227" s="56">
        <f>321.70650642284*Deflactores!$M$5</f>
        <v>647.463864058578</v>
      </c>
      <c r="Q227" s="56">
        <f>423.04089814125*Deflactores!$N$5</f>
        <v>835.20563651671591</v>
      </c>
      <c r="R227" s="56">
        <f>400.465229152289*Deflactores!$O$5</f>
        <v>762.71918498560194</v>
      </c>
      <c r="S227" s="56">
        <f>453.70967117815*Deflactores!$P$5</f>
        <v>809.33561219174385</v>
      </c>
      <c r="T227" s="56">
        <f>503.69324227082*Deflactores!$Q$5</f>
        <v>849.64276195757191</v>
      </c>
      <c r="U227" s="56">
        <f>965.463301785449*Deflactores!$R$5</f>
        <v>1564.5772092967611</v>
      </c>
      <c r="V227" s="56">
        <f>613.92871019729*Deflactores!$S$5</f>
        <v>964.23668224574965</v>
      </c>
    </row>
    <row r="228" spans="2:22" x14ac:dyDescent="0.2">
      <c r="C228" s="88" t="s">
        <v>144</v>
      </c>
      <c r="D228" s="57">
        <f>651.603211265379*Deflactores!$A$5</f>
        <v>2365.6839868459519</v>
      </c>
      <c r="E228" s="57">
        <f>768.78315157199*Deflactores!$B$5</f>
        <v>2592.80693224383</v>
      </c>
      <c r="F228" s="57">
        <f>757.37753802298*Deflactores!$C$5</f>
        <v>2387.4159175186746</v>
      </c>
      <c r="G228" s="57">
        <f>758.64414113991*Deflactores!$D$5</f>
        <v>2245.6361539658437</v>
      </c>
      <c r="H228" s="57">
        <f>857.92111038983*Deflactores!$E$5</f>
        <v>2407.1801790414393</v>
      </c>
      <c r="I228" s="57">
        <f>1001.1944786702*Deflactores!$F$5</f>
        <v>2679.1057750099667</v>
      </c>
      <c r="J228" s="57">
        <f>1141.28755112517*Deflactores!$G$5</f>
        <v>2923.0877909648157</v>
      </c>
      <c r="K228" s="57">
        <f>1251.92743625646*Deflactores!$H$5</f>
        <v>3033.7075107236542</v>
      </c>
      <c r="L228" s="57">
        <f>1382.48460054591*Deflactores!$I$5</f>
        <v>3111.3044276806268</v>
      </c>
      <c r="M228" s="57">
        <f>1591.79816597595*Deflactores!$J$5</f>
        <v>3512.0632997610114</v>
      </c>
      <c r="N228" s="57">
        <f>1706.0588827173*Deflactores!$K$5</f>
        <v>3648.4615663646805</v>
      </c>
      <c r="O228" s="57">
        <f>1844.54177571752*Deflactores!$L$5</f>
        <v>3802.8899330568615</v>
      </c>
      <c r="P228" s="57">
        <f>2123.5887388934*Deflactores!$M$5</f>
        <v>4273.9171981433919</v>
      </c>
      <c r="Q228" s="57">
        <f>2573.40625712867*Deflactores!$N$5</f>
        <v>5080.6515881677433</v>
      </c>
      <c r="R228" s="57">
        <f>2816.204692881*Deflactores!$O$5</f>
        <v>5363.695002069685</v>
      </c>
      <c r="S228" s="57">
        <f>2925.89222470222*Deflactores!$P$5</f>
        <v>5219.2600804328531</v>
      </c>
      <c r="T228" s="57">
        <f>3162.40046426952*Deflactores!$Q$5</f>
        <v>5334.4187282806452</v>
      </c>
      <c r="U228" s="57">
        <f>3462.24762919294*Deflactores!$R$5</f>
        <v>5610.7298159954362</v>
      </c>
      <c r="V228" s="57">
        <f>4024.01833501514*Deflactores!$S$5</f>
        <v>6320.1248356737815</v>
      </c>
    </row>
    <row r="229" spans="2:22" x14ac:dyDescent="0.2">
      <c r="C229" s="87" t="s">
        <v>145</v>
      </c>
      <c r="D229" s="56">
        <f>162.86828866117*Deflactores!$A$5</f>
        <v>591.30295214861155</v>
      </c>
      <c r="E229" s="56">
        <f>129.521367984739*Deflactores!$B$5</f>
        <v>436.82526093066735</v>
      </c>
      <c r="F229" s="56">
        <f>195.18221528276*Deflactores!$C$5</f>
        <v>615.2560700426784</v>
      </c>
      <c r="G229" s="56">
        <f>241.405617519489*Deflactores!$D$5</f>
        <v>714.57637787548458</v>
      </c>
      <c r="H229" s="56">
        <f>137.96290002252*Deflactores!$E$5</f>
        <v>387.1003456557707</v>
      </c>
      <c r="I229" s="56">
        <f>195.52114332484*Deflactores!$F$5</f>
        <v>523.19687670858661</v>
      </c>
      <c r="J229" s="56">
        <f>478.85840088375*Deflactores!$G$5</f>
        <v>1226.4614153061138</v>
      </c>
      <c r="K229" s="56">
        <f>330.13499634437*Deflactores!$H$5</f>
        <v>799.99286616598692</v>
      </c>
      <c r="L229" s="56">
        <f>322.29767710058*Deflactores!$I$5</f>
        <v>725.336245624904</v>
      </c>
      <c r="M229" s="56">
        <f>344.87103264158*Deflactores!$J$5</f>
        <v>760.90607639855432</v>
      </c>
      <c r="N229" s="56">
        <f>707.77560472435*Deflactores!$K$5</f>
        <v>1513.600801007761</v>
      </c>
      <c r="O229" s="56">
        <f>530.47093129209*Deflactores!$L$5</f>
        <v>1093.6713881718704</v>
      </c>
      <c r="P229" s="56">
        <f>416.5564495479*Deflactores!$M$5</f>
        <v>838.35807805613388</v>
      </c>
      <c r="Q229" s="56">
        <f>532.24238499859*Deflactores!$N$5</f>
        <v>1050.8010972392949</v>
      </c>
      <c r="R229" s="56">
        <f>1081.36811758866*Deflactores!$O$5</f>
        <v>2059.5551105961054</v>
      </c>
      <c r="S229" s="56">
        <f>838.95819733716*Deflactores!$P$5</f>
        <v>1496.5489813827267</v>
      </c>
      <c r="T229" s="56">
        <f>721.61593149353*Deflactores!$Q$5</f>
        <v>1217.2403789707701</v>
      </c>
      <c r="U229" s="56">
        <f>761.74939752261*Deflactores!$R$5</f>
        <v>1234.4495584196393</v>
      </c>
      <c r="V229" s="56">
        <f>1823.78899135751*Deflactores!$S$5</f>
        <v>2864.4437325267968</v>
      </c>
    </row>
    <row r="230" spans="2:22" x14ac:dyDescent="0.2">
      <c r="C230" s="88" t="s">
        <v>146</v>
      </c>
      <c r="D230" s="57">
        <f>189.67614194636*Deflactores!$A$5</f>
        <v>688.63044860973764</v>
      </c>
      <c r="E230" s="57">
        <f>204.624024604049*Deflactores!$B$5</f>
        <v>690.11734767099506</v>
      </c>
      <c r="F230" s="57">
        <f>199.01195629783*Deflactores!$C$5</f>
        <v>627.32823247202532</v>
      </c>
      <c r="G230" s="57">
        <f>213.7177854897*Deflactores!$D$5</f>
        <v>632.61858863110558</v>
      </c>
      <c r="H230" s="57">
        <f>213.111016007869*Deflactores!$E$5</f>
        <v>597.95313048821595</v>
      </c>
      <c r="I230" s="57">
        <f>259.97727299458*Deflactores!$F$5</f>
        <v>695.67564373330481</v>
      </c>
      <c r="J230" s="57">
        <f>261.49198880641*Deflactores!$G$5</f>
        <v>669.73834872864052</v>
      </c>
      <c r="K230" s="57">
        <f>253.14528251635*Deflactores!$H$5</f>
        <v>613.42911947876848</v>
      </c>
      <c r="L230" s="57">
        <f>258.45219428857*Deflactores!$I$5</f>
        <v>581.650932036619</v>
      </c>
      <c r="M230" s="57">
        <f>275.82087038871*Deflactores!$J$5</f>
        <v>608.55727623382802</v>
      </c>
      <c r="N230" s="57">
        <f>320.82054443847*Deflactores!$K$5</f>
        <v>686.08501027798695</v>
      </c>
      <c r="O230" s="57">
        <f>353.989538474867*Deflactores!$L$5</f>
        <v>729.81987721576854</v>
      </c>
      <c r="P230" s="57">
        <f>587.289055004951*Deflactores!$M$5</f>
        <v>1181.9731130119912</v>
      </c>
      <c r="Q230" s="57">
        <f>576.149773761403*Deflactores!$N$5</f>
        <v>1137.4870388126976</v>
      </c>
      <c r="R230" s="57">
        <f>643.094560661233*Deflactores!$O$5</f>
        <v>1224.8268350650781</v>
      </c>
      <c r="S230" s="57">
        <f>814.727557090594*Deflactores!$P$5</f>
        <v>1453.3259220046245</v>
      </c>
      <c r="T230" s="57">
        <f>970.638021477386*Deflactores!$Q$5</f>
        <v>1637.2972678987549</v>
      </c>
      <c r="U230" s="57">
        <f>891.006933013587*Deflactores!$R$5</f>
        <v>1443.9172759238218</v>
      </c>
      <c r="V230" s="57">
        <f>817.33229387514*Deflactores!$S$5</f>
        <v>1283.7024336021218</v>
      </c>
    </row>
    <row r="231" spans="2:22" x14ac:dyDescent="0.2">
      <c r="C231" s="90" t="s">
        <v>147</v>
      </c>
      <c r="D231" s="58">
        <f>4801.66123655999*Deflactores!$A$5</f>
        <v>17432.715034552868</v>
      </c>
      <c r="E231" s="58">
        <f>6489.5945976592*Deflactores!$B$5</f>
        <v>21886.881659486065</v>
      </c>
      <c r="F231" s="58">
        <f>7516.56890423311*Deflactores!$C$5</f>
        <v>23693.832132829299</v>
      </c>
      <c r="G231" s="58">
        <f>8343.37622310467*Deflactores!$D$5</f>
        <v>24696.937966976915</v>
      </c>
      <c r="H231" s="58">
        <f>10517.3973374364*Deflactores!$E$5</f>
        <v>29510.02149169195</v>
      </c>
      <c r="I231" s="58">
        <f>13701.909543934*Deflactores!$F$5</f>
        <v>36665.069344544296</v>
      </c>
      <c r="J231" s="58">
        <f>15092.6279285219*Deflactores!$G$5</f>
        <v>38655.531104271591</v>
      </c>
      <c r="K231" s="58">
        <f>17111.3338741922*Deflactores!$H$5</f>
        <v>41464.68923778976</v>
      </c>
      <c r="L231" s="58">
        <f>18989.3340223265*Deflactores!$I$5</f>
        <v>42735.809859322049</v>
      </c>
      <c r="M231" s="58">
        <f>19927.9792076336*Deflactores!$J$5</f>
        <v>43968.089616826408</v>
      </c>
      <c r="N231" s="58">
        <f>20054.4913758102*Deflactores!$K$5</f>
        <v>42887.172159672555</v>
      </c>
      <c r="O231" s="58">
        <f>20703.7381342028*Deflactores!$L$5</f>
        <v>42684.876191854215</v>
      </c>
      <c r="P231" s="58">
        <f>23573.6346259336*Deflactores!$M$5</f>
        <v>47444.10280826212</v>
      </c>
      <c r="Q231" s="58">
        <f>28265.2954945901*Deflactores!$N$5</f>
        <v>55803.905056503274</v>
      </c>
      <c r="R231" s="58">
        <f>31655.4594451141*Deflactores!$O$5</f>
        <v>60290.443391130539</v>
      </c>
      <c r="S231" s="58">
        <f>32006.668237379*Deflactores!$P$5</f>
        <v>57094.080372701304</v>
      </c>
      <c r="T231" s="58">
        <f>34274.1266870674*Deflactores!$Q$5</f>
        <v>57814.481549915952</v>
      </c>
      <c r="U231" s="58">
        <f>37149.9971082152*Deflactores!$R$5</f>
        <v>60203.260645396083</v>
      </c>
      <c r="V231" s="58">
        <f>46000.2904956762*Deflactores!$S$5</f>
        <v>72248.074985184663</v>
      </c>
    </row>
    <row r="232" spans="2:22" ht="22.5" customHeight="1" x14ac:dyDescent="0.2">
      <c r="C232" s="89" t="s">
        <v>148</v>
      </c>
      <c r="D232" s="59">
        <f>0*Deflactores!$A$5</f>
        <v>0</v>
      </c>
      <c r="E232" s="59">
        <f>0*Deflactores!$B$5</f>
        <v>0</v>
      </c>
      <c r="F232" s="59">
        <f>0*Deflactores!$C$5</f>
        <v>0</v>
      </c>
      <c r="G232" s="59">
        <f>0*Deflactores!$D$5</f>
        <v>0</v>
      </c>
      <c r="H232" s="59">
        <f>0*Deflactores!$E$5</f>
        <v>0</v>
      </c>
      <c r="I232" s="59">
        <f>0*Deflactores!$F$5</f>
        <v>0</v>
      </c>
      <c r="J232" s="59">
        <f>0*Deflactores!$G$5</f>
        <v>0</v>
      </c>
      <c r="K232" s="59">
        <f>0*Deflactores!$H$5</f>
        <v>0</v>
      </c>
      <c r="L232" s="59">
        <f>0*Deflactores!$I$5</f>
        <v>0</v>
      </c>
      <c r="M232" s="59">
        <f>0*Deflactores!$J$5</f>
        <v>0</v>
      </c>
      <c r="N232" s="59">
        <f>0*Deflactores!$K$5</f>
        <v>0</v>
      </c>
      <c r="O232" s="59">
        <f>0*Deflactores!$L$5</f>
        <v>0</v>
      </c>
      <c r="P232" s="59">
        <f>0*Deflactores!$M$5</f>
        <v>0</v>
      </c>
      <c r="Q232" s="59">
        <f>0*Deflactores!$N$5</f>
        <v>0</v>
      </c>
      <c r="R232" s="59">
        <f>0*Deflactores!$O$5</f>
        <v>0</v>
      </c>
      <c r="S232" s="59">
        <f>0*Deflactores!$P$5</f>
        <v>0</v>
      </c>
      <c r="T232" s="59">
        <f>0*Deflactores!$Q$5</f>
        <v>0</v>
      </c>
      <c r="U232" s="59">
        <f>0.137947055*Deflactores!$R$5</f>
        <v>0.22354947924325105</v>
      </c>
      <c r="V232" s="59">
        <f>120.319795553179*Deflactores!$S$5</f>
        <v>188.97431989359399</v>
      </c>
    </row>
    <row r="233" spans="2:22" x14ac:dyDescent="0.2">
      <c r="C233" s="87" t="s">
        <v>149</v>
      </c>
      <c r="D233" s="56">
        <f>169.42402114659*Deflactores!$A$5</f>
        <v>615.10392656782392</v>
      </c>
      <c r="E233" s="56">
        <f>149.61616603736*Deflactores!$B$5</f>
        <v>504.59720882824905</v>
      </c>
      <c r="F233" s="56">
        <f>120.16496513471*Deflactores!$C$5</f>
        <v>378.78565984350422</v>
      </c>
      <c r="G233" s="56">
        <f>126.31937811507*Deflactores!$D$5</f>
        <v>373.913600671133</v>
      </c>
      <c r="H233" s="56">
        <f>211.10386242088*Deflactores!$E$5</f>
        <v>592.32140016665232</v>
      </c>
      <c r="I233" s="56">
        <f>91.9670290025799*Deflactores!$F$5</f>
        <v>246.0954427541177</v>
      </c>
      <c r="J233" s="56">
        <f>256.657457190679*Deflactores!$G$5</f>
        <v>657.3560526744651</v>
      </c>
      <c r="K233" s="56">
        <f>379.48000777413*Deflactores!$H$5</f>
        <v>919.56715414456073</v>
      </c>
      <c r="L233" s="56">
        <f>434.218503025909*Deflactores!$I$5</f>
        <v>977.21591293812048</v>
      </c>
      <c r="M233" s="56">
        <f>635.25627486534*Deflactores!$J$5</f>
        <v>1401.5974490896367</v>
      </c>
      <c r="N233" s="56">
        <f>688.58569237485*Deflactores!$K$5</f>
        <v>1472.562558788627</v>
      </c>
      <c r="O233" s="56">
        <f>908.77566557938*Deflactores!$L$5</f>
        <v>1873.6218802604844</v>
      </c>
      <c r="P233" s="56">
        <f>888.81470912145*Deflactores!$M$5</f>
        <v>1788.8211600031798</v>
      </c>
      <c r="Q233" s="56">
        <f>1083.53068816234*Deflactores!$N$5</f>
        <v>2139.2043702352862</v>
      </c>
      <c r="R233" s="56">
        <f>1558.05970636825*Deflactores!$O$5</f>
        <v>2967.4537085670113</v>
      </c>
      <c r="S233" s="56">
        <f>1282.87530941286*Deflactores!$P$5</f>
        <v>2288.4164474899376</v>
      </c>
      <c r="T233" s="56">
        <f>1083.8850099488*Deflactores!$Q$5</f>
        <v>1828.3252110858411</v>
      </c>
      <c r="U233" s="56">
        <f>1053.41298792114*Deflactores!$R$5</f>
        <v>1707.1036774061465</v>
      </c>
      <c r="V233" s="56">
        <f>1185.75721917907*Deflactores!$S$5</f>
        <v>1862.3507713179752</v>
      </c>
    </row>
    <row r="234" spans="2:22" x14ac:dyDescent="0.2">
      <c r="C234" s="88" t="s">
        <v>150</v>
      </c>
      <c r="D234" s="57">
        <f>710.6718386997*Deflactores!$A$5</f>
        <v>2580.1361313879952</v>
      </c>
      <c r="E234" s="57">
        <f>1310.42666840421*Deflactores!$B$5</f>
        <v>4419.5601101404445</v>
      </c>
      <c r="F234" s="57">
        <f>852.87997947447*Deflactores!$C$5</f>
        <v>2688.4600301792543</v>
      </c>
      <c r="G234" s="57">
        <f>855.05354285731*Deflactores!$D$5</f>
        <v>2531.0142730843872</v>
      </c>
      <c r="H234" s="57">
        <f>1044.00926729736*Deflactores!$E$5</f>
        <v>2929.3117799978686</v>
      </c>
      <c r="I234" s="57">
        <f>1329.05606332228*Deflactores!$F$5</f>
        <v>3556.4336903735998</v>
      </c>
      <c r="J234" s="57">
        <f>1695.86523669854*Deflactores!$G$5</f>
        <v>4343.4829054500797</v>
      </c>
      <c r="K234" s="57">
        <f>2331.58665907746*Deflactores!$H$5</f>
        <v>5649.9696026290867</v>
      </c>
      <c r="L234" s="57">
        <f>2012.62997777102*Deflactores!$I$5</f>
        <v>4529.4570070791824</v>
      </c>
      <c r="M234" s="57">
        <f>2822.91157390977*Deflactores!$J$5</f>
        <v>6228.3299158851323</v>
      </c>
      <c r="N234" s="57">
        <f>2879.68836024903*Deflactores!$K$5</f>
        <v>6158.3057958365125</v>
      </c>
      <c r="O234" s="57">
        <f>3691.7343323927*Deflactores!$L$5</f>
        <v>7611.2449785613398</v>
      </c>
      <c r="P234" s="57">
        <f>5905.67891817859*Deflactores!$M$5</f>
        <v>11885.720729649882</v>
      </c>
      <c r="Q234" s="57">
        <f>5934.82122480479*Deflactores!$N$5</f>
        <v>11717.061306495632</v>
      </c>
      <c r="R234" s="57">
        <f>5931.45502761803*Deflactores!$O$5</f>
        <v>11296.947188199387</v>
      </c>
      <c r="S234" s="57">
        <f>5241.71367924821*Deflactores!$P$5</f>
        <v>9350.2647596472289</v>
      </c>
      <c r="T234" s="57">
        <f>3974.84731708563*Deflactores!$Q$5</f>
        <v>6704.8750497876745</v>
      </c>
      <c r="U234" s="57">
        <f>4137.15985980063*Deflactores!$R$5</f>
        <v>6704.4557943227737</v>
      </c>
      <c r="V234" s="57">
        <f>3920.27935701715*Deflactores!$S$5</f>
        <v>6157.1923545845657</v>
      </c>
    </row>
    <row r="235" spans="2:22" x14ac:dyDescent="0.2">
      <c r="C235" s="87" t="s">
        <v>151</v>
      </c>
      <c r="D235" s="56">
        <f>102.62553094401*Deflactores!$A$5</f>
        <v>372.58805819011093</v>
      </c>
      <c r="E235" s="56">
        <f>56.12031383494*Deflactores!$B$5</f>
        <v>189.27201832323982</v>
      </c>
      <c r="F235" s="56">
        <f>79.36781270879*Deflactores!$C$5</f>
        <v>250.18431348548515</v>
      </c>
      <c r="G235" s="56">
        <f>58.11579675183*Deflactores!$D$5</f>
        <v>172.02655003220008</v>
      </c>
      <c r="H235" s="56">
        <f>29.9712437914*Deflactores!$E$5</f>
        <v>84.094193652717593</v>
      </c>
      <c r="I235" s="56">
        <f>38.39018128682*Deflactores!$F$5</f>
        <v>102.72864920890052</v>
      </c>
      <c r="J235" s="56">
        <f>128.79955595091*Deflactores!$G$5</f>
        <v>329.88391848366274</v>
      </c>
      <c r="K235" s="56">
        <f>303.05471304116*Deflactores!$H$5</f>
        <v>734.3711244657411</v>
      </c>
      <c r="L235" s="56">
        <f>211.56625805128*Deflactores!$I$5</f>
        <v>476.13335813132636</v>
      </c>
      <c r="M235" s="56">
        <f>247.00716585591*Deflactores!$J$5</f>
        <v>544.98416980437048</v>
      </c>
      <c r="N235" s="56">
        <f>184.41300274062*Deflactores!$K$5</f>
        <v>394.37311317498398</v>
      </c>
      <c r="O235" s="56">
        <f>790.501183071729*Deflactores!$L$5</f>
        <v>1629.7754980385957</v>
      </c>
      <c r="P235" s="56">
        <f>2083.90812294276*Deflactores!$M$5</f>
        <v>4194.0563174378667</v>
      </c>
      <c r="Q235" s="56">
        <f>2012.63460090615*Deflactores!$N$5</f>
        <v>3973.5254210909106</v>
      </c>
      <c r="R235" s="56">
        <f>2229.53886662888*Deflactores!$O$5</f>
        <v>4246.3413636399155</v>
      </c>
      <c r="S235" s="56">
        <f>2130.09994283383*Deflactores!$P$5</f>
        <v>3799.7112487957038</v>
      </c>
      <c r="T235" s="56">
        <f>2067.46919018956*Deflactores!$Q$5</f>
        <v>3487.4603937417291</v>
      </c>
      <c r="U235" s="56">
        <f>2294.6695789907*Deflactores!$R$5</f>
        <v>3718.6164606319508</v>
      </c>
      <c r="V235" s="56">
        <f>2303.41686545827*Deflactores!$S$5</f>
        <v>3617.7474669080734</v>
      </c>
    </row>
    <row r="236" spans="2:22" x14ac:dyDescent="0.2">
      <c r="C236" s="79" t="s">
        <v>152</v>
      </c>
      <c r="D236" s="44">
        <f t="shared" ref="D236:V236" si="63">+SUM(D207:D235)</f>
        <v>95156.28103177376</v>
      </c>
      <c r="E236" s="44">
        <f t="shared" si="63"/>
        <v>115938.00285541431</v>
      </c>
      <c r="F236" s="44">
        <f t="shared" si="63"/>
        <v>111398.25304162319</v>
      </c>
      <c r="G236" s="44">
        <f t="shared" si="63"/>
        <v>112583.2732477372</v>
      </c>
      <c r="H236" s="44">
        <f t="shared" si="63"/>
        <v>129177.78791985697</v>
      </c>
      <c r="I236" s="44">
        <f t="shared" si="63"/>
        <v>144276.20400746094</v>
      </c>
      <c r="J236" s="44">
        <f t="shared" si="63"/>
        <v>146162.95576909778</v>
      </c>
      <c r="K236" s="44">
        <f t="shared" si="63"/>
        <v>164089.28743491462</v>
      </c>
      <c r="L236" s="44">
        <f t="shared" si="63"/>
        <v>172609.70664821289</v>
      </c>
      <c r="M236" s="44">
        <f t="shared" si="63"/>
        <v>196081.36121585002</v>
      </c>
      <c r="N236" s="44">
        <f t="shared" si="63"/>
        <v>191143.60599066489</v>
      </c>
      <c r="O236" s="44">
        <f t="shared" si="63"/>
        <v>198451.54467761642</v>
      </c>
      <c r="P236" s="44">
        <f t="shared" si="63"/>
        <v>214193.2889031895</v>
      </c>
      <c r="Q236" s="44">
        <f t="shared" si="63"/>
        <v>238947.43612690066</v>
      </c>
      <c r="R236" s="44">
        <f t="shared" si="63"/>
        <v>249805.01827203081</v>
      </c>
      <c r="S236" s="44">
        <f t="shared" si="63"/>
        <v>247551.51757935443</v>
      </c>
      <c r="T236" s="44">
        <f t="shared" si="63"/>
        <v>242576.21926897802</v>
      </c>
      <c r="U236" s="44">
        <f t="shared" si="63"/>
        <v>258113.96211770043</v>
      </c>
      <c r="V236" s="44">
        <f t="shared" si="63"/>
        <v>262656.66242446459</v>
      </c>
    </row>
    <row r="237" spans="2:22" x14ac:dyDescent="0.2">
      <c r="C237" s="1" t="s">
        <v>52</v>
      </c>
      <c r="D237" s="12"/>
      <c r="E237" s="12"/>
      <c r="F237" s="12"/>
      <c r="G237" s="12"/>
      <c r="H237" s="13"/>
      <c r="I237" s="13"/>
      <c r="J237" s="13"/>
      <c r="K237" s="13"/>
      <c r="L237" s="13"/>
      <c r="M237" s="13"/>
      <c r="N237" s="13"/>
      <c r="O237" s="13"/>
      <c r="P237" s="13"/>
      <c r="Q237" s="13"/>
      <c r="R237" s="13"/>
      <c r="S237" s="13"/>
      <c r="T237" s="13"/>
      <c r="U237" s="13"/>
    </row>
    <row r="238" spans="2:22" x14ac:dyDescent="0.2">
      <c r="B238" s="9"/>
    </row>
    <row r="241" spans="3:22" ht="18" customHeight="1" x14ac:dyDescent="0.2">
      <c r="D241" s="160" t="s">
        <v>159</v>
      </c>
      <c r="E241" s="158"/>
      <c r="F241" s="158"/>
      <c r="G241" s="158"/>
      <c r="H241" s="158"/>
      <c r="I241" s="158"/>
      <c r="J241" s="158"/>
      <c r="K241" s="158"/>
      <c r="L241" s="158"/>
      <c r="M241" s="158"/>
      <c r="N241" s="158"/>
      <c r="O241" s="158"/>
      <c r="P241" s="158"/>
      <c r="Q241" s="158"/>
      <c r="R241" s="158"/>
      <c r="S241" s="158"/>
      <c r="T241" s="158"/>
      <c r="U241" s="158"/>
      <c r="V241" s="158"/>
    </row>
    <row r="242" spans="3:22" x14ac:dyDescent="0.2">
      <c r="H242" s="27"/>
      <c r="I242" s="27"/>
      <c r="J242" s="27"/>
      <c r="L242" s="175"/>
      <c r="M242" s="158"/>
      <c r="N242" s="158"/>
      <c r="O242" s="158"/>
      <c r="P242" s="158"/>
      <c r="Q242" s="158"/>
      <c r="R242" s="28"/>
      <c r="S242" s="28"/>
      <c r="T242" s="28"/>
      <c r="U242" s="28"/>
      <c r="V242" s="28"/>
    </row>
    <row r="243" spans="3:22" x14ac:dyDescent="0.2"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</row>
    <row r="244" spans="3:22" ht="13.5" customHeight="1" x14ac:dyDescent="0.2">
      <c r="C244" s="177" t="s">
        <v>120</v>
      </c>
      <c r="D244" s="153">
        <v>2000</v>
      </c>
      <c r="E244" s="153">
        <v>2001</v>
      </c>
      <c r="F244" s="153">
        <v>2002</v>
      </c>
      <c r="G244" s="153">
        <v>2003</v>
      </c>
      <c r="H244" s="153">
        <v>2004</v>
      </c>
      <c r="I244" s="153">
        <v>2005</v>
      </c>
      <c r="J244" s="153">
        <v>2006</v>
      </c>
      <c r="K244" s="153">
        <v>2007</v>
      </c>
      <c r="L244" s="153">
        <v>2008</v>
      </c>
      <c r="M244" s="153">
        <v>2009</v>
      </c>
      <c r="N244" s="153">
        <v>2010</v>
      </c>
      <c r="O244" s="153">
        <v>2011</v>
      </c>
      <c r="P244" s="153">
        <v>2012</v>
      </c>
      <c r="Q244" s="153">
        <v>2013</v>
      </c>
      <c r="R244" s="153">
        <v>2014</v>
      </c>
      <c r="S244" s="153">
        <v>2015</v>
      </c>
      <c r="T244" s="153">
        <v>2016</v>
      </c>
      <c r="U244" s="153">
        <v>2017</v>
      </c>
      <c r="V244" s="153">
        <v>2018</v>
      </c>
    </row>
    <row r="245" spans="3:22" ht="12" customHeight="1" thickBot="1" x14ac:dyDescent="0.25">
      <c r="C245" s="156"/>
      <c r="D245" s="154"/>
      <c r="E245" s="154"/>
      <c r="F245" s="154"/>
      <c r="G245" s="154"/>
      <c r="H245" s="154"/>
      <c r="I245" s="154"/>
      <c r="J245" s="154"/>
      <c r="K245" s="154"/>
      <c r="L245" s="154"/>
      <c r="M245" s="154"/>
      <c r="N245" s="154"/>
      <c r="O245" s="154"/>
      <c r="P245" s="154"/>
      <c r="Q245" s="154"/>
      <c r="R245" s="154"/>
      <c r="S245" s="154"/>
      <c r="T245" s="154"/>
      <c r="U245" s="154"/>
      <c r="V245" s="154"/>
    </row>
    <row r="246" spans="3:22" x14ac:dyDescent="0.2">
      <c r="C246" s="87" t="s">
        <v>123</v>
      </c>
      <c r="D246" s="60">
        <f t="shared" ref="D246:V246" si="64">+IFERROR(IF(D207&gt;0,+((D207/D14)*100)," "),"")</f>
        <v>60.160546682464975</v>
      </c>
      <c r="E246" s="60">
        <f t="shared" si="64"/>
        <v>63.457511373096565</v>
      </c>
      <c r="F246" s="60">
        <f t="shared" si="64"/>
        <v>58.509631515480621</v>
      </c>
      <c r="G246" s="60">
        <f t="shared" si="64"/>
        <v>66.100723644467962</v>
      </c>
      <c r="H246" s="60">
        <f t="shared" si="64"/>
        <v>65.161453767044762</v>
      </c>
      <c r="I246" s="60">
        <f t="shared" si="64"/>
        <v>72.924475103273707</v>
      </c>
      <c r="J246" s="60">
        <f t="shared" si="64"/>
        <v>78.033019045122145</v>
      </c>
      <c r="K246" s="60">
        <f t="shared" si="64"/>
        <v>88.766811840723449</v>
      </c>
      <c r="L246" s="60">
        <f t="shared" si="64"/>
        <v>91.485988038595295</v>
      </c>
      <c r="M246" s="60">
        <f t="shared" si="64"/>
        <v>76.297830517400584</v>
      </c>
      <c r="N246" s="60">
        <f t="shared" si="64"/>
        <v>77.380378930863131</v>
      </c>
      <c r="O246" s="60">
        <f t="shared" si="64"/>
        <v>77.05141809103506</v>
      </c>
      <c r="P246" s="60">
        <f t="shared" si="64"/>
        <v>61.938219361280808</v>
      </c>
      <c r="Q246" s="60">
        <f t="shared" si="64"/>
        <v>67.658759684932349</v>
      </c>
      <c r="R246" s="60">
        <f t="shared" si="64"/>
        <v>57.114464856097968</v>
      </c>
      <c r="S246" s="60">
        <f t="shared" si="64"/>
        <v>58.793721003455047</v>
      </c>
      <c r="T246" s="60">
        <f t="shared" si="64"/>
        <v>50.50958191650782</v>
      </c>
      <c r="U246" s="60">
        <f t="shared" si="64"/>
        <v>60.710439166762967</v>
      </c>
      <c r="V246" s="60">
        <f t="shared" si="64"/>
        <v>60.355080710273</v>
      </c>
    </row>
    <row r="247" spans="3:22" x14ac:dyDescent="0.2">
      <c r="C247" s="88" t="s">
        <v>124</v>
      </c>
      <c r="D247" s="62">
        <f t="shared" ref="D247:V247" si="65">+IFERROR(IF(D208&gt;0,+((D208/D15)*100)," "),"")</f>
        <v>60.837948200215976</v>
      </c>
      <c r="E247" s="62">
        <f t="shared" si="65"/>
        <v>72.246910875912192</v>
      </c>
      <c r="F247" s="62">
        <f t="shared" si="65"/>
        <v>67.207173512942148</v>
      </c>
      <c r="G247" s="62">
        <f t="shared" si="65"/>
        <v>62.606102539661677</v>
      </c>
      <c r="H247" s="62">
        <f t="shared" si="65"/>
        <v>39.331421175303156</v>
      </c>
      <c r="I247" s="62">
        <f t="shared" si="65"/>
        <v>52.359765255651183</v>
      </c>
      <c r="J247" s="62">
        <f t="shared" si="65"/>
        <v>46.472173054335272</v>
      </c>
      <c r="K247" s="62">
        <f t="shared" si="65"/>
        <v>80.888308657986514</v>
      </c>
      <c r="L247" s="62">
        <f t="shared" si="65"/>
        <v>79.536711913248297</v>
      </c>
      <c r="M247" s="62">
        <f t="shared" si="65"/>
        <v>79.45646583506759</v>
      </c>
      <c r="N247" s="62">
        <f t="shared" si="65"/>
        <v>83.807616496719461</v>
      </c>
      <c r="O247" s="62">
        <f t="shared" si="65"/>
        <v>94.523961100042442</v>
      </c>
      <c r="P247" s="62">
        <f t="shared" si="65"/>
        <v>76.175310074404337</v>
      </c>
      <c r="Q247" s="62">
        <f t="shared" si="65"/>
        <v>66.949319195099065</v>
      </c>
      <c r="R247" s="62">
        <f t="shared" si="65"/>
        <v>72.081549268988113</v>
      </c>
      <c r="S247" s="62">
        <f t="shared" si="65"/>
        <v>63.916490507191646</v>
      </c>
      <c r="T247" s="62">
        <f t="shared" si="65"/>
        <v>66.254142194130594</v>
      </c>
      <c r="U247" s="62">
        <f t="shared" si="65"/>
        <v>69.124640990805403</v>
      </c>
      <c r="V247" s="62">
        <f t="shared" si="65"/>
        <v>76.945092983467205</v>
      </c>
    </row>
    <row r="248" spans="3:22" x14ac:dyDescent="0.2">
      <c r="C248" s="87" t="s">
        <v>125</v>
      </c>
      <c r="D248" s="60">
        <f t="shared" ref="D248:V248" si="66">+IFERROR(IF(D209&gt;0,+((D209/D16)*100)," "),"")</f>
        <v>66.15653595535953</v>
      </c>
      <c r="E248" s="60">
        <f t="shared" si="66"/>
        <v>51.967734163153523</v>
      </c>
      <c r="F248" s="60">
        <f t="shared" si="66"/>
        <v>34.234644661719003</v>
      </c>
      <c r="G248" s="60">
        <f t="shared" si="66"/>
        <v>24.513710702207771</v>
      </c>
      <c r="H248" s="60">
        <f t="shared" si="66"/>
        <v>44.584197100288229</v>
      </c>
      <c r="I248" s="60">
        <f t="shared" si="66"/>
        <v>43.731029775810413</v>
      </c>
      <c r="J248" s="60">
        <f t="shared" si="66"/>
        <v>34.136821742501958</v>
      </c>
      <c r="K248" s="60">
        <f t="shared" si="66"/>
        <v>57.681431676382388</v>
      </c>
      <c r="L248" s="60">
        <f t="shared" si="66"/>
        <v>53.911193872455208</v>
      </c>
      <c r="M248" s="60">
        <f t="shared" si="66"/>
        <v>50.45890796012187</v>
      </c>
      <c r="N248" s="60">
        <f t="shared" si="66"/>
        <v>61.838903263282553</v>
      </c>
      <c r="O248" s="60">
        <f t="shared" si="66"/>
        <v>61.729374805515526</v>
      </c>
      <c r="P248" s="60">
        <f t="shared" si="66"/>
        <v>73.926304972042956</v>
      </c>
      <c r="Q248" s="60">
        <f t="shared" si="66"/>
        <v>86.366437864929907</v>
      </c>
      <c r="R248" s="60">
        <f t="shared" si="66"/>
        <v>79.652372022857975</v>
      </c>
      <c r="S248" s="60">
        <f t="shared" si="66"/>
        <v>50.22951973257598</v>
      </c>
      <c r="T248" s="60">
        <f t="shared" si="66"/>
        <v>79.500286032561164</v>
      </c>
      <c r="U248" s="60">
        <f t="shared" si="66"/>
        <v>88.303703006560724</v>
      </c>
      <c r="V248" s="60">
        <f t="shared" si="66"/>
        <v>62.015615686145033</v>
      </c>
    </row>
    <row r="249" spans="3:22" x14ac:dyDescent="0.2">
      <c r="C249" s="88" t="s">
        <v>126</v>
      </c>
      <c r="D249" s="62">
        <f t="shared" ref="D249:V249" si="67">+IFERROR(IF(D210&gt;0,+((D210/D17)*100)," "),"")</f>
        <v>53.894567124573911</v>
      </c>
      <c r="E249" s="62">
        <f t="shared" si="67"/>
        <v>61.595914097054127</v>
      </c>
      <c r="F249" s="62">
        <f t="shared" si="67"/>
        <v>55.634209006598198</v>
      </c>
      <c r="G249" s="62">
        <f t="shared" si="67"/>
        <v>74.416736956690286</v>
      </c>
      <c r="H249" s="62">
        <f t="shared" si="67"/>
        <v>76.753227939196407</v>
      </c>
      <c r="I249" s="62">
        <f t="shared" si="67"/>
        <v>79.216855395944492</v>
      </c>
      <c r="J249" s="62">
        <f t="shared" si="67"/>
        <v>71.254012706817008</v>
      </c>
      <c r="K249" s="62">
        <f t="shared" si="67"/>
        <v>85.738396172064384</v>
      </c>
      <c r="L249" s="62">
        <f t="shared" si="67"/>
        <v>85.878736434639322</v>
      </c>
      <c r="M249" s="62">
        <f t="shared" si="67"/>
        <v>79.6252008286407</v>
      </c>
      <c r="N249" s="62">
        <f t="shared" si="67"/>
        <v>77.961835220248531</v>
      </c>
      <c r="O249" s="62">
        <f t="shared" si="67"/>
        <v>87.667011227931766</v>
      </c>
      <c r="P249" s="62">
        <f t="shared" si="67"/>
        <v>87.592718558949102</v>
      </c>
      <c r="Q249" s="62">
        <f t="shared" si="67"/>
        <v>71.692557772592806</v>
      </c>
      <c r="R249" s="62">
        <f t="shared" si="67"/>
        <v>76.85758909760159</v>
      </c>
      <c r="S249" s="62">
        <f t="shared" si="67"/>
        <v>78.970285199691176</v>
      </c>
      <c r="T249" s="62">
        <f t="shared" si="67"/>
        <v>79.813608723563505</v>
      </c>
      <c r="U249" s="62">
        <f t="shared" si="67"/>
        <v>77.879657331022685</v>
      </c>
      <c r="V249" s="62">
        <f t="shared" si="67"/>
        <v>86.253885642717606</v>
      </c>
    </row>
    <row r="250" spans="3:22" x14ac:dyDescent="0.2">
      <c r="C250" s="87" t="s">
        <v>127</v>
      </c>
      <c r="D250" s="60">
        <f t="shared" ref="D250:V250" si="68">+IFERROR(IF(D211&gt;0,+((D211/D18)*100)," "),"")</f>
        <v>83.645771919463243</v>
      </c>
      <c r="E250" s="60">
        <f t="shared" si="68"/>
        <v>79.068846529736561</v>
      </c>
      <c r="F250" s="60">
        <f t="shared" si="68"/>
        <v>93.294313025223673</v>
      </c>
      <c r="G250" s="60">
        <f t="shared" si="68"/>
        <v>87.723321854074712</v>
      </c>
      <c r="H250" s="60">
        <f t="shared" si="68"/>
        <v>92.166551913861099</v>
      </c>
      <c r="I250" s="60">
        <f t="shared" si="68"/>
        <v>93.607985295995618</v>
      </c>
      <c r="J250" s="60">
        <f t="shared" si="68"/>
        <v>91.06355261593248</v>
      </c>
      <c r="K250" s="60">
        <f t="shared" si="68"/>
        <v>97.002818481250415</v>
      </c>
      <c r="L250" s="60">
        <f t="shared" si="68"/>
        <v>92.736766616361948</v>
      </c>
      <c r="M250" s="60">
        <f t="shared" si="68"/>
        <v>93.293641117560412</v>
      </c>
      <c r="N250" s="60">
        <f t="shared" si="68"/>
        <v>93.620951287597237</v>
      </c>
      <c r="O250" s="60">
        <f t="shared" si="68"/>
        <v>85.84881792754507</v>
      </c>
      <c r="P250" s="60">
        <f t="shared" si="68"/>
        <v>86.721928890449234</v>
      </c>
      <c r="Q250" s="60">
        <f t="shared" si="68"/>
        <v>88.006353443457584</v>
      </c>
      <c r="R250" s="60">
        <f t="shared" si="68"/>
        <v>93.139272443582513</v>
      </c>
      <c r="S250" s="60">
        <f t="shared" si="68"/>
        <v>94.495492583143104</v>
      </c>
      <c r="T250" s="60">
        <f t="shared" si="68"/>
        <v>95.81251351996994</v>
      </c>
      <c r="U250" s="60">
        <f t="shared" si="68"/>
        <v>94.480314855932875</v>
      </c>
      <c r="V250" s="60">
        <f t="shared" si="68"/>
        <v>92.267871381005762</v>
      </c>
    </row>
    <row r="251" spans="3:22" x14ac:dyDescent="0.2">
      <c r="C251" s="88" t="s">
        <v>128</v>
      </c>
      <c r="D251" s="62">
        <f t="shared" ref="D251:V251" si="69">+IFERROR(IF(D212&gt;0,+((D212/D19)*100)," "),"")</f>
        <v>57.459853877271726</v>
      </c>
      <c r="E251" s="62">
        <f t="shared" si="69"/>
        <v>76.299479469873219</v>
      </c>
      <c r="F251" s="62">
        <f t="shared" si="69"/>
        <v>66.486609816939236</v>
      </c>
      <c r="G251" s="62">
        <f t="shared" si="69"/>
        <v>75.872376385727804</v>
      </c>
      <c r="H251" s="62">
        <f t="shared" si="69"/>
        <v>70.880399960301617</v>
      </c>
      <c r="I251" s="62">
        <f t="shared" si="69"/>
        <v>81.814083279858181</v>
      </c>
      <c r="J251" s="62">
        <f t="shared" si="69"/>
        <v>79.955628056143667</v>
      </c>
      <c r="K251" s="62">
        <f t="shared" si="69"/>
        <v>77.696282787522748</v>
      </c>
      <c r="L251" s="62">
        <f t="shared" si="69"/>
        <v>80.643191113421423</v>
      </c>
      <c r="M251" s="62">
        <f t="shared" si="69"/>
        <v>79.227511522348834</v>
      </c>
      <c r="N251" s="62">
        <f t="shared" si="69"/>
        <v>85.811560883073696</v>
      </c>
      <c r="O251" s="62">
        <f t="shared" si="69"/>
        <v>84.233986169695413</v>
      </c>
      <c r="P251" s="62">
        <f t="shared" si="69"/>
        <v>79.823170259099186</v>
      </c>
      <c r="Q251" s="62">
        <f t="shared" si="69"/>
        <v>84.519709363883109</v>
      </c>
      <c r="R251" s="62">
        <f t="shared" si="69"/>
        <v>87.460111941343371</v>
      </c>
      <c r="S251" s="62">
        <f t="shared" si="69"/>
        <v>83.457786050510236</v>
      </c>
      <c r="T251" s="62">
        <f t="shared" si="69"/>
        <v>81.46141510422747</v>
      </c>
      <c r="U251" s="62">
        <f t="shared" si="69"/>
        <v>79.567329083938077</v>
      </c>
      <c r="V251" s="62">
        <f t="shared" si="69"/>
        <v>89.968851395940135</v>
      </c>
    </row>
    <row r="252" spans="3:22" x14ac:dyDescent="0.2">
      <c r="C252" s="87" t="s">
        <v>129</v>
      </c>
      <c r="D252" s="60">
        <f t="shared" ref="D252:V252" si="70">+IFERROR(IF(D213&gt;0,+((D213/D20)*100)," "),"")</f>
        <v>83.176108106447018</v>
      </c>
      <c r="E252" s="60">
        <f t="shared" si="70"/>
        <v>86.086775901333056</v>
      </c>
      <c r="F252" s="60">
        <f t="shared" si="70"/>
        <v>83.423415567017457</v>
      </c>
      <c r="G252" s="60">
        <f t="shared" si="70"/>
        <v>83.956352670498688</v>
      </c>
      <c r="H252" s="60">
        <f t="shared" si="70"/>
        <v>82.000830463631985</v>
      </c>
      <c r="I252" s="60">
        <f t="shared" si="70"/>
        <v>84.884233492206405</v>
      </c>
      <c r="J252" s="60">
        <f t="shared" si="70"/>
        <v>87.012611585637572</v>
      </c>
      <c r="K252" s="60">
        <f t="shared" si="70"/>
        <v>93.141956655042421</v>
      </c>
      <c r="L252" s="60">
        <f t="shared" si="70"/>
        <v>93.535704968460607</v>
      </c>
      <c r="M252" s="60">
        <f t="shared" si="70"/>
        <v>89.734533221832066</v>
      </c>
      <c r="N252" s="60">
        <f t="shared" si="70"/>
        <v>90.670125810725807</v>
      </c>
      <c r="O252" s="60">
        <f t="shared" si="70"/>
        <v>91.086224058882564</v>
      </c>
      <c r="P252" s="60">
        <f t="shared" si="70"/>
        <v>91.856170094936289</v>
      </c>
      <c r="Q252" s="60">
        <f t="shared" si="70"/>
        <v>91.965992427263046</v>
      </c>
      <c r="R252" s="60">
        <f t="shared" si="70"/>
        <v>91.579898185920243</v>
      </c>
      <c r="S252" s="60">
        <f t="shared" si="70"/>
        <v>91.887866095829239</v>
      </c>
      <c r="T252" s="60">
        <f t="shared" si="70"/>
        <v>92.053046874476991</v>
      </c>
      <c r="U252" s="60">
        <f t="shared" si="70"/>
        <v>93.33741739898025</v>
      </c>
      <c r="V252" s="60">
        <f t="shared" si="70"/>
        <v>94.618423299175547</v>
      </c>
    </row>
    <row r="253" spans="3:22" x14ac:dyDescent="0.2">
      <c r="C253" s="88" t="s">
        <v>130</v>
      </c>
      <c r="D253" s="62">
        <f t="shared" ref="D253:V253" si="71">+IFERROR(IF(D214&gt;0,+((D214/D21)*100)," "),"")</f>
        <v>55.182677979638065</v>
      </c>
      <c r="E253" s="62">
        <f t="shared" si="71"/>
        <v>63.412538728571597</v>
      </c>
      <c r="F253" s="62">
        <f t="shared" si="71"/>
        <v>43.961162747306822</v>
      </c>
      <c r="G253" s="62">
        <f t="shared" si="71"/>
        <v>59.831265919166029</v>
      </c>
      <c r="H253" s="62">
        <f t="shared" si="71"/>
        <v>78.816182715645226</v>
      </c>
      <c r="I253" s="62">
        <f t="shared" si="71"/>
        <v>86.49479513259115</v>
      </c>
      <c r="J253" s="62">
        <f t="shared" si="71"/>
        <v>90.095301017071478</v>
      </c>
      <c r="K253" s="62">
        <f t="shared" si="71"/>
        <v>86.030954552977931</v>
      </c>
      <c r="L253" s="62">
        <f t="shared" si="71"/>
        <v>90.863871468024215</v>
      </c>
      <c r="M253" s="62">
        <f t="shared" si="71"/>
        <v>81.051418283908703</v>
      </c>
      <c r="N253" s="62">
        <f t="shared" si="71"/>
        <v>86.894850029311883</v>
      </c>
      <c r="O253" s="62">
        <f t="shared" si="71"/>
        <v>81.034827926966216</v>
      </c>
      <c r="P253" s="62">
        <f t="shared" si="71"/>
        <v>62.891495082619151</v>
      </c>
      <c r="Q253" s="62">
        <f t="shared" si="71"/>
        <v>71.506263902798068</v>
      </c>
      <c r="R253" s="62">
        <f t="shared" si="71"/>
        <v>70.965776838655188</v>
      </c>
      <c r="S253" s="62">
        <f t="shared" si="71"/>
        <v>80.725902740907074</v>
      </c>
      <c r="T253" s="62">
        <f t="shared" si="71"/>
        <v>54.997377208670919</v>
      </c>
      <c r="U253" s="62">
        <f t="shared" si="71"/>
        <v>60.760628225669144</v>
      </c>
      <c r="V253" s="62">
        <f t="shared" si="71"/>
        <v>70.786797847004777</v>
      </c>
    </row>
    <row r="254" spans="3:22" x14ac:dyDescent="0.2">
      <c r="C254" s="87" t="s">
        <v>131</v>
      </c>
      <c r="D254" s="60">
        <f t="shared" ref="D254:V254" si="72">+IFERROR(IF(D215&gt;0,+((D215/D22)*100)," "),"")</f>
        <v>88.383644031752155</v>
      </c>
      <c r="E254" s="60">
        <f t="shared" si="72"/>
        <v>95.180570255367812</v>
      </c>
      <c r="F254" s="60">
        <f t="shared" si="72"/>
        <v>94.206384661213391</v>
      </c>
      <c r="G254" s="60">
        <f t="shared" si="72"/>
        <v>95.242720797206431</v>
      </c>
      <c r="H254" s="60">
        <f t="shared" si="72"/>
        <v>95.828685634298253</v>
      </c>
      <c r="I254" s="60">
        <f t="shared" si="72"/>
        <v>96.986123173673022</v>
      </c>
      <c r="J254" s="60">
        <f t="shared" si="72"/>
        <v>96.315343250201281</v>
      </c>
      <c r="K254" s="60">
        <f t="shared" si="72"/>
        <v>98.386371027577425</v>
      </c>
      <c r="L254" s="60">
        <f t="shared" si="72"/>
        <v>95.750499609971399</v>
      </c>
      <c r="M254" s="60">
        <f t="shared" si="72"/>
        <v>96.838658325927426</v>
      </c>
      <c r="N254" s="60">
        <f t="shared" si="72"/>
        <v>95.264882434300475</v>
      </c>
      <c r="O254" s="60">
        <f t="shared" si="72"/>
        <v>97.571183828190001</v>
      </c>
      <c r="P254" s="60">
        <f t="shared" si="72"/>
        <v>95.498822309255331</v>
      </c>
      <c r="Q254" s="60">
        <f t="shared" si="72"/>
        <v>96.977705528505524</v>
      </c>
      <c r="R254" s="60">
        <f t="shared" si="72"/>
        <v>96.825232022415946</v>
      </c>
      <c r="S254" s="60">
        <f t="shared" si="72"/>
        <v>98.793335012974595</v>
      </c>
      <c r="T254" s="60">
        <f t="shared" si="72"/>
        <v>98.219339096210661</v>
      </c>
      <c r="U254" s="60">
        <f t="shared" si="72"/>
        <v>99.320043232732374</v>
      </c>
      <c r="V254" s="60">
        <f t="shared" si="72"/>
        <v>99.055361868544551</v>
      </c>
    </row>
    <row r="255" spans="3:22" x14ac:dyDescent="0.2">
      <c r="C255" s="88" t="s">
        <v>132</v>
      </c>
      <c r="D255" s="62">
        <f t="shared" ref="D255:V255" si="73">+IFERROR(IF(D216&gt;0,+((D216/D23)*100)," "),"")</f>
        <v>86.845425437732715</v>
      </c>
      <c r="E255" s="62">
        <f t="shared" si="73"/>
        <v>67.572281858513065</v>
      </c>
      <c r="F255" s="62">
        <f t="shared" si="73"/>
        <v>77.867020615999735</v>
      </c>
      <c r="G255" s="62">
        <f t="shared" si="73"/>
        <v>85.825875086626311</v>
      </c>
      <c r="H255" s="62">
        <f t="shared" si="73"/>
        <v>74.331006326322068</v>
      </c>
      <c r="I255" s="62">
        <f t="shared" si="73"/>
        <v>76.037665559315599</v>
      </c>
      <c r="J255" s="62">
        <f t="shared" si="73"/>
        <v>71.205098610412989</v>
      </c>
      <c r="K255" s="62">
        <f t="shared" si="73"/>
        <v>47.652865310998934</v>
      </c>
      <c r="L255" s="62">
        <f t="shared" si="73"/>
        <v>59.12008457286575</v>
      </c>
      <c r="M255" s="62">
        <f t="shared" si="73"/>
        <v>58.456179632783389</v>
      </c>
      <c r="N255" s="62">
        <f t="shared" si="73"/>
        <v>61.605866056254946</v>
      </c>
      <c r="O255" s="62">
        <f t="shared" si="73"/>
        <v>51.2863178783062</v>
      </c>
      <c r="P255" s="62">
        <f t="shared" si="73"/>
        <v>67.00893543795668</v>
      </c>
      <c r="Q255" s="62">
        <f t="shared" si="73"/>
        <v>66.333813272700397</v>
      </c>
      <c r="R255" s="62">
        <f t="shared" si="73"/>
        <v>62.839139910687145</v>
      </c>
      <c r="S255" s="62">
        <f t="shared" si="73"/>
        <v>69.280405186405019</v>
      </c>
      <c r="T255" s="62">
        <f t="shared" si="73"/>
        <v>83.532140027735906</v>
      </c>
      <c r="U255" s="62">
        <f t="shared" si="73"/>
        <v>84.507186107358407</v>
      </c>
      <c r="V255" s="62">
        <f t="shared" si="73"/>
        <v>85.261639544492894</v>
      </c>
    </row>
    <row r="256" spans="3:22" x14ac:dyDescent="0.2">
      <c r="C256" s="87" t="s">
        <v>133</v>
      </c>
      <c r="D256" s="60">
        <f t="shared" ref="D256:V256" si="74">+IFERROR(IF(D217&gt;0,+((D217/D24)*100)," "),"")</f>
        <v>86.188198267021917</v>
      </c>
      <c r="E256" s="60">
        <f t="shared" si="74"/>
        <v>93.895132610523945</v>
      </c>
      <c r="F256" s="60">
        <f t="shared" si="74"/>
        <v>90.043013328075403</v>
      </c>
      <c r="G256" s="60">
        <f t="shared" si="74"/>
        <v>89.690971252228593</v>
      </c>
      <c r="H256" s="60">
        <f t="shared" si="74"/>
        <v>92.311971830210624</v>
      </c>
      <c r="I256" s="60">
        <f t="shared" si="74"/>
        <v>94.994270081587771</v>
      </c>
      <c r="J256" s="60">
        <f t="shared" si="74"/>
        <v>92.78814519367063</v>
      </c>
      <c r="K256" s="60">
        <f t="shared" si="74"/>
        <v>92.052254636428771</v>
      </c>
      <c r="L256" s="60">
        <f t="shared" si="74"/>
        <v>91.341435659598176</v>
      </c>
      <c r="M256" s="60">
        <f t="shared" si="74"/>
        <v>91.679148450160255</v>
      </c>
      <c r="N256" s="60">
        <f t="shared" si="74"/>
        <v>87.02750496304931</v>
      </c>
      <c r="O256" s="60">
        <f t="shared" si="74"/>
        <v>87.449422053298633</v>
      </c>
      <c r="P256" s="60">
        <f t="shared" si="74"/>
        <v>87.229069278208812</v>
      </c>
      <c r="Q256" s="60">
        <f t="shared" si="74"/>
        <v>89.602954493534511</v>
      </c>
      <c r="R256" s="60">
        <f t="shared" si="74"/>
        <v>86.799071409105167</v>
      </c>
      <c r="S256" s="60">
        <f t="shared" si="74"/>
        <v>84.844148689961926</v>
      </c>
      <c r="T256" s="60">
        <f t="shared" si="74"/>
        <v>88.940472080846689</v>
      </c>
      <c r="U256" s="60">
        <f t="shared" si="74"/>
        <v>90.384693785100794</v>
      </c>
      <c r="V256" s="60">
        <f t="shared" si="74"/>
        <v>91.618917750489828</v>
      </c>
    </row>
    <row r="257" spans="3:22" x14ac:dyDescent="0.2">
      <c r="C257" s="88" t="s">
        <v>134</v>
      </c>
      <c r="D257" s="62">
        <f t="shared" ref="D257:V257" si="75">+IFERROR(IF(D218&gt;0,+((D218/D25)*100)," "),"")</f>
        <v>69.19656731397879</v>
      </c>
      <c r="E257" s="62">
        <f t="shared" si="75"/>
        <v>83.259521737372665</v>
      </c>
      <c r="F257" s="62">
        <f t="shared" si="75"/>
        <v>79.156589299109953</v>
      </c>
      <c r="G257" s="62">
        <f t="shared" si="75"/>
        <v>85.068214743877405</v>
      </c>
      <c r="H257" s="62">
        <f t="shared" si="75"/>
        <v>78.461419210210806</v>
      </c>
      <c r="I257" s="62">
        <f t="shared" si="75"/>
        <v>82.122482329802565</v>
      </c>
      <c r="J257" s="62">
        <f t="shared" si="75"/>
        <v>83.22490873524346</v>
      </c>
      <c r="K257" s="62">
        <f t="shared" si="75"/>
        <v>79.32452204634275</v>
      </c>
      <c r="L257" s="62">
        <f t="shared" si="75"/>
        <v>75.688206965025927</v>
      </c>
      <c r="M257" s="62">
        <f t="shared" si="75"/>
        <v>70.637533492831878</v>
      </c>
      <c r="N257" s="62">
        <f t="shared" si="75"/>
        <v>71.222845889476517</v>
      </c>
      <c r="O257" s="62">
        <f t="shared" si="75"/>
        <v>80.800135526168276</v>
      </c>
      <c r="P257" s="62">
        <f t="shared" si="75"/>
        <v>71.117899554350302</v>
      </c>
      <c r="Q257" s="62">
        <f t="shared" si="75"/>
        <v>53.827006867143353</v>
      </c>
      <c r="R257" s="62">
        <f t="shared" si="75"/>
        <v>60.828649959248459</v>
      </c>
      <c r="S257" s="62">
        <f t="shared" si="75"/>
        <v>75.923064625278897</v>
      </c>
      <c r="T257" s="62">
        <f t="shared" si="75"/>
        <v>83.57837228506186</v>
      </c>
      <c r="U257" s="62">
        <f t="shared" si="75"/>
        <v>87.855050736416132</v>
      </c>
      <c r="V257" s="62">
        <f t="shared" si="75"/>
        <v>82.481112215358536</v>
      </c>
    </row>
    <row r="258" spans="3:22" x14ac:dyDescent="0.2">
      <c r="C258" s="87" t="s">
        <v>135</v>
      </c>
      <c r="D258" s="60" t="str">
        <f t="shared" ref="D258:V258" si="76">+IFERROR(IF(D219&gt;0,+((D219/D26)*100)," "),"")</f>
        <v xml:space="preserve"> </v>
      </c>
      <c r="E258" s="60" t="str">
        <f t="shared" si="76"/>
        <v xml:space="preserve"> </v>
      </c>
      <c r="F258" s="60" t="str">
        <f t="shared" si="76"/>
        <v xml:space="preserve"> </v>
      </c>
      <c r="G258" s="60" t="str">
        <f t="shared" si="76"/>
        <v xml:space="preserve"> </v>
      </c>
      <c r="H258" s="60" t="str">
        <f t="shared" si="76"/>
        <v xml:space="preserve"> </v>
      </c>
      <c r="I258" s="60" t="str">
        <f t="shared" si="76"/>
        <v xml:space="preserve"> </v>
      </c>
      <c r="J258" s="60" t="str">
        <f t="shared" si="76"/>
        <v xml:space="preserve"> </v>
      </c>
      <c r="K258" s="60" t="str">
        <f t="shared" si="76"/>
        <v xml:space="preserve"> </v>
      </c>
      <c r="L258" s="60" t="str">
        <f t="shared" si="76"/>
        <v xml:space="preserve"> </v>
      </c>
      <c r="M258" s="60" t="str">
        <f t="shared" si="76"/>
        <v xml:space="preserve"> </v>
      </c>
      <c r="N258" s="60" t="str">
        <f t="shared" si="76"/>
        <v xml:space="preserve"> </v>
      </c>
      <c r="O258" s="60" t="str">
        <f t="shared" si="76"/>
        <v xml:space="preserve"> </v>
      </c>
      <c r="P258" s="60" t="str">
        <f t="shared" si="76"/>
        <v xml:space="preserve"> </v>
      </c>
      <c r="Q258" s="60" t="str">
        <f t="shared" si="76"/>
        <v xml:space="preserve"> </v>
      </c>
      <c r="R258" s="60" t="str">
        <f t="shared" si="76"/>
        <v xml:space="preserve"> </v>
      </c>
      <c r="S258" s="60" t="str">
        <f t="shared" si="76"/>
        <v xml:space="preserve"> </v>
      </c>
      <c r="T258" s="60" t="str">
        <f t="shared" si="76"/>
        <v xml:space="preserve"> </v>
      </c>
      <c r="U258" s="60" t="str">
        <f t="shared" si="76"/>
        <v xml:space="preserve"> </v>
      </c>
      <c r="V258" s="60" t="str">
        <f t="shared" si="76"/>
        <v xml:space="preserve"> </v>
      </c>
    </row>
    <row r="259" spans="3:22" x14ac:dyDescent="0.2">
      <c r="C259" s="88" t="s">
        <v>136</v>
      </c>
      <c r="D259" s="62">
        <f t="shared" ref="D259:V259" si="77">+IFERROR(IF(D220&gt;0,+((D220/D27)*100)," "),"")</f>
        <v>70.823919082808345</v>
      </c>
      <c r="E259" s="62">
        <f t="shared" si="77"/>
        <v>76.435920228256336</v>
      </c>
      <c r="F259" s="62">
        <f t="shared" si="77"/>
        <v>78.509510539175878</v>
      </c>
      <c r="G259" s="62">
        <f t="shared" si="77"/>
        <v>80.859468725356834</v>
      </c>
      <c r="H259" s="62">
        <f t="shared" si="77"/>
        <v>81.49519141190531</v>
      </c>
      <c r="I259" s="62">
        <f t="shared" si="77"/>
        <v>82.08182727075048</v>
      </c>
      <c r="J259" s="62">
        <f t="shared" si="77"/>
        <v>75.946336212851207</v>
      </c>
      <c r="K259" s="62">
        <f t="shared" si="77"/>
        <v>75.663382912438934</v>
      </c>
      <c r="L259" s="62">
        <f t="shared" si="77"/>
        <v>81.190397957042464</v>
      </c>
      <c r="M259" s="62">
        <f t="shared" si="77"/>
        <v>84.301035060552948</v>
      </c>
      <c r="N259" s="62">
        <f t="shared" si="77"/>
        <v>83.594325420931014</v>
      </c>
      <c r="O259" s="62">
        <f t="shared" si="77"/>
        <v>74.616393627827151</v>
      </c>
      <c r="P259" s="62">
        <f t="shared" si="77"/>
        <v>79.096671414464112</v>
      </c>
      <c r="Q259" s="62">
        <f t="shared" si="77"/>
        <v>84.878761175449341</v>
      </c>
      <c r="R259" s="62">
        <f t="shared" si="77"/>
        <v>88.666651497356781</v>
      </c>
      <c r="S259" s="62">
        <f t="shared" si="77"/>
        <v>91.393128597457292</v>
      </c>
      <c r="T259" s="62">
        <f t="shared" si="77"/>
        <v>83.237614238253968</v>
      </c>
      <c r="U259" s="62">
        <f t="shared" si="77"/>
        <v>88.631843804006763</v>
      </c>
      <c r="V259" s="62">
        <f t="shared" si="77"/>
        <v>91.774102125249726</v>
      </c>
    </row>
    <row r="260" spans="3:22" x14ac:dyDescent="0.2">
      <c r="C260" s="87" t="s">
        <v>137</v>
      </c>
      <c r="D260" s="60">
        <f t="shared" ref="D260:V260" si="78">+IFERROR(IF(D221&gt;0,+((D221/D28)*100)," "),"")</f>
        <v>65.108540128720549</v>
      </c>
      <c r="E260" s="60">
        <f t="shared" si="78"/>
        <v>79.20421074862503</v>
      </c>
      <c r="F260" s="60">
        <f t="shared" si="78"/>
        <v>70.086519302459635</v>
      </c>
      <c r="G260" s="60">
        <f t="shared" si="78"/>
        <v>73.588009334190033</v>
      </c>
      <c r="H260" s="60">
        <f t="shared" si="78"/>
        <v>71.199222422538952</v>
      </c>
      <c r="I260" s="60">
        <f t="shared" si="78"/>
        <v>67.831692086686374</v>
      </c>
      <c r="J260" s="60">
        <f t="shared" si="78"/>
        <v>84.299213468857133</v>
      </c>
      <c r="K260" s="60">
        <f t="shared" si="78"/>
        <v>77.914233819233246</v>
      </c>
      <c r="L260" s="60">
        <f t="shared" si="78"/>
        <v>81.894576195250863</v>
      </c>
      <c r="M260" s="60">
        <f t="shared" si="78"/>
        <v>78.824361116994027</v>
      </c>
      <c r="N260" s="60">
        <f t="shared" si="78"/>
        <v>74.21863178650959</v>
      </c>
      <c r="O260" s="60">
        <f t="shared" si="78"/>
        <v>81.907762635337534</v>
      </c>
      <c r="P260" s="60">
        <f t="shared" si="78"/>
        <v>78.37991019013316</v>
      </c>
      <c r="Q260" s="60">
        <f t="shared" si="78"/>
        <v>72.946220337149043</v>
      </c>
      <c r="R260" s="60">
        <f t="shared" si="78"/>
        <v>82.397969811399022</v>
      </c>
      <c r="S260" s="60">
        <f t="shared" si="78"/>
        <v>80.381280633953651</v>
      </c>
      <c r="T260" s="60">
        <f t="shared" si="78"/>
        <v>86.373992422522278</v>
      </c>
      <c r="U260" s="60">
        <f t="shared" si="78"/>
        <v>77.702531536312719</v>
      </c>
      <c r="V260" s="60">
        <f t="shared" si="78"/>
        <v>91.020282477897936</v>
      </c>
    </row>
    <row r="261" spans="3:22" x14ac:dyDescent="0.2">
      <c r="C261" s="88" t="s">
        <v>138</v>
      </c>
      <c r="D261" s="62">
        <f t="shared" ref="D261:V261" si="79">+IFERROR(IF(D222&gt;0,+((D222/D29)*100)," "),"")</f>
        <v>89.369768205448878</v>
      </c>
      <c r="E261" s="62">
        <f t="shared" si="79"/>
        <v>91.69495877913711</v>
      </c>
      <c r="F261" s="62">
        <f t="shared" si="79"/>
        <v>89.427088838435836</v>
      </c>
      <c r="G261" s="62">
        <f t="shared" si="79"/>
        <v>75.067858989003454</v>
      </c>
      <c r="H261" s="62">
        <f t="shared" si="79"/>
        <v>82.604842405010402</v>
      </c>
      <c r="I261" s="62">
        <f t="shared" si="79"/>
        <v>83.097921718472833</v>
      </c>
      <c r="J261" s="62">
        <f t="shared" si="79"/>
        <v>73.995084037201664</v>
      </c>
      <c r="K261" s="62">
        <f t="shared" si="79"/>
        <v>86.71498611622853</v>
      </c>
      <c r="L261" s="62">
        <f t="shared" si="79"/>
        <v>81.349681723846601</v>
      </c>
      <c r="M261" s="62">
        <f t="shared" si="79"/>
        <v>71.553306450998889</v>
      </c>
      <c r="N261" s="62">
        <f t="shared" si="79"/>
        <v>70.605143855550708</v>
      </c>
      <c r="O261" s="62">
        <f t="shared" si="79"/>
        <v>78.756144201173342</v>
      </c>
      <c r="P261" s="62">
        <f t="shared" si="79"/>
        <v>73.293693836751743</v>
      </c>
      <c r="Q261" s="62">
        <f t="shared" si="79"/>
        <v>74.046420410376783</v>
      </c>
      <c r="R261" s="62">
        <f t="shared" si="79"/>
        <v>80.048325430295634</v>
      </c>
      <c r="S261" s="62">
        <f t="shared" si="79"/>
        <v>89.364249351673138</v>
      </c>
      <c r="T261" s="62">
        <f t="shared" si="79"/>
        <v>92.526466874703814</v>
      </c>
      <c r="U261" s="62">
        <f t="shared" si="79"/>
        <v>93.270341973557635</v>
      </c>
      <c r="V261" s="62">
        <f t="shared" si="79"/>
        <v>95.855719219842754</v>
      </c>
    </row>
    <row r="262" spans="3:22" x14ac:dyDescent="0.2">
      <c r="C262" s="87" t="s">
        <v>139</v>
      </c>
      <c r="D262" s="60">
        <f t="shared" ref="D262:V262" si="80">+IFERROR(IF(D223&gt;0,+((D223/D30)*100)," "),"")</f>
        <v>76.189722053102557</v>
      </c>
      <c r="E262" s="60">
        <f t="shared" si="80"/>
        <v>75.253762156992906</v>
      </c>
      <c r="F262" s="60">
        <f t="shared" si="80"/>
        <v>75.529599315393114</v>
      </c>
      <c r="G262" s="60">
        <f t="shared" si="80"/>
        <v>80.086686761017134</v>
      </c>
      <c r="H262" s="60">
        <f t="shared" si="80"/>
        <v>73.882131678472902</v>
      </c>
      <c r="I262" s="60">
        <f t="shared" si="80"/>
        <v>85.041748895855278</v>
      </c>
      <c r="J262" s="60">
        <f t="shared" si="80"/>
        <v>76.256025390458902</v>
      </c>
      <c r="K262" s="60">
        <f t="shared" si="80"/>
        <v>77.497630726749165</v>
      </c>
      <c r="L262" s="60">
        <f t="shared" si="80"/>
        <v>70.248125567812437</v>
      </c>
      <c r="M262" s="60">
        <f t="shared" si="80"/>
        <v>76.125394866676572</v>
      </c>
      <c r="N262" s="60">
        <f t="shared" si="80"/>
        <v>61.643466134688637</v>
      </c>
      <c r="O262" s="60">
        <f t="shared" si="80"/>
        <v>56.846053258321561</v>
      </c>
      <c r="P262" s="60">
        <f t="shared" si="80"/>
        <v>78.610853272417728</v>
      </c>
      <c r="Q262" s="60">
        <f t="shared" si="80"/>
        <v>80.403297646720944</v>
      </c>
      <c r="R262" s="60">
        <f t="shared" si="80"/>
        <v>78.197360788169206</v>
      </c>
      <c r="S262" s="60">
        <f t="shared" si="80"/>
        <v>78.589286251169526</v>
      </c>
      <c r="T262" s="60">
        <f t="shared" si="80"/>
        <v>74.026840455577016</v>
      </c>
      <c r="U262" s="60">
        <f t="shared" si="80"/>
        <v>67.819259707775743</v>
      </c>
      <c r="V262" s="60">
        <f t="shared" si="80"/>
        <v>80.836524814465776</v>
      </c>
    </row>
    <row r="263" spans="3:22" x14ac:dyDescent="0.2">
      <c r="C263" s="88" t="s">
        <v>140</v>
      </c>
      <c r="D263" s="62">
        <f t="shared" ref="D263:V263" si="81">+IFERROR(IF(D224&gt;0,+((D224/D31)*100)," "),"")</f>
        <v>72.185139526650474</v>
      </c>
      <c r="E263" s="62">
        <f t="shared" si="81"/>
        <v>69.047975489323562</v>
      </c>
      <c r="F263" s="62">
        <f t="shared" si="81"/>
        <v>68.796677831529792</v>
      </c>
      <c r="G263" s="62">
        <f t="shared" si="81"/>
        <v>81.659717814491486</v>
      </c>
      <c r="H263" s="62">
        <f t="shared" si="81"/>
        <v>81.701032771702089</v>
      </c>
      <c r="I263" s="62">
        <f t="shared" si="81"/>
        <v>86.572081320338128</v>
      </c>
      <c r="J263" s="62">
        <f t="shared" si="81"/>
        <v>64.339916990326955</v>
      </c>
      <c r="K263" s="62">
        <f t="shared" si="81"/>
        <v>57.905893047153043</v>
      </c>
      <c r="L263" s="62">
        <f t="shared" si="81"/>
        <v>88.953326890061817</v>
      </c>
      <c r="M263" s="62">
        <f t="shared" si="81"/>
        <v>87.140463443630196</v>
      </c>
      <c r="N263" s="62">
        <f t="shared" si="81"/>
        <v>88.481472221780976</v>
      </c>
      <c r="O263" s="62">
        <f t="shared" si="81"/>
        <v>89.357530726157535</v>
      </c>
      <c r="P263" s="62">
        <f t="shared" si="81"/>
        <v>85.209917979091571</v>
      </c>
      <c r="Q263" s="62">
        <f t="shared" si="81"/>
        <v>82.059598532973695</v>
      </c>
      <c r="R263" s="62">
        <f t="shared" si="81"/>
        <v>85.034286487137734</v>
      </c>
      <c r="S263" s="62">
        <f t="shared" si="81"/>
        <v>89.677386310614409</v>
      </c>
      <c r="T263" s="62">
        <f t="shared" si="81"/>
        <v>88.459922901350424</v>
      </c>
      <c r="U263" s="62">
        <f t="shared" si="81"/>
        <v>83.273524623918561</v>
      </c>
      <c r="V263" s="62">
        <f t="shared" si="81"/>
        <v>90.854693017743372</v>
      </c>
    </row>
    <row r="264" spans="3:22" x14ac:dyDescent="0.2">
      <c r="C264" s="87" t="s">
        <v>141</v>
      </c>
      <c r="D264" s="60">
        <f t="shared" ref="D264:V264" si="82">+IFERROR(IF(D225&gt;0,+((D225/D32)*100)," "),"")</f>
        <v>86.934112384420374</v>
      </c>
      <c r="E264" s="60">
        <f t="shared" si="82"/>
        <v>84.44539482518536</v>
      </c>
      <c r="F264" s="60">
        <f t="shared" si="82"/>
        <v>84.323402956969872</v>
      </c>
      <c r="G264" s="60">
        <f t="shared" si="82"/>
        <v>84.006900007356506</v>
      </c>
      <c r="H264" s="60">
        <f t="shared" si="82"/>
        <v>78.532846368336507</v>
      </c>
      <c r="I264" s="60">
        <f t="shared" si="82"/>
        <v>85.177510228768156</v>
      </c>
      <c r="J264" s="60">
        <f t="shared" si="82"/>
        <v>87.565376910302177</v>
      </c>
      <c r="K264" s="60">
        <f t="shared" si="82"/>
        <v>87.849000415831355</v>
      </c>
      <c r="L264" s="60">
        <f t="shared" si="82"/>
        <v>88.754582133674859</v>
      </c>
      <c r="M264" s="60">
        <f t="shared" si="82"/>
        <v>87.997367639410513</v>
      </c>
      <c r="N264" s="60">
        <f t="shared" si="82"/>
        <v>83.365511432688379</v>
      </c>
      <c r="O264" s="60">
        <f t="shared" si="82"/>
        <v>85.996581627097484</v>
      </c>
      <c r="P264" s="60">
        <f t="shared" si="82"/>
        <v>83.21637768786961</v>
      </c>
      <c r="Q264" s="60">
        <f t="shared" si="82"/>
        <v>83.830004833994934</v>
      </c>
      <c r="R264" s="60">
        <f t="shared" si="82"/>
        <v>87.599451252465258</v>
      </c>
      <c r="S264" s="60">
        <f t="shared" si="82"/>
        <v>83.507262516581577</v>
      </c>
      <c r="T264" s="60">
        <f t="shared" si="82"/>
        <v>90.354768174903896</v>
      </c>
      <c r="U264" s="60">
        <f t="shared" si="82"/>
        <v>89.693182125744514</v>
      </c>
      <c r="V264" s="60">
        <f t="shared" si="82"/>
        <v>91.832445316183097</v>
      </c>
    </row>
    <row r="265" spans="3:22" x14ac:dyDescent="0.2">
      <c r="C265" s="88" t="s">
        <v>142</v>
      </c>
      <c r="D265" s="62">
        <f t="shared" ref="D265:V265" si="83">+IFERROR(IF(D226&gt;0,+((D226/D33)*100)," "),"")</f>
        <v>20.59301803686472</v>
      </c>
      <c r="E265" s="62">
        <f t="shared" si="83"/>
        <v>24.955026358725675</v>
      </c>
      <c r="F265" s="62">
        <f t="shared" si="83"/>
        <v>12.958665335317404</v>
      </c>
      <c r="G265" s="62">
        <f t="shared" si="83"/>
        <v>25.355516621883321</v>
      </c>
      <c r="H265" s="62">
        <f t="shared" si="83"/>
        <v>58.80962259309851</v>
      </c>
      <c r="I265" s="62">
        <f t="shared" si="83"/>
        <v>29.174497564191189</v>
      </c>
      <c r="J265" s="62">
        <f t="shared" si="83"/>
        <v>30.179151243463942</v>
      </c>
      <c r="K265" s="62">
        <f t="shared" si="83"/>
        <v>46.473836248213487</v>
      </c>
      <c r="L265" s="62">
        <f t="shared" si="83"/>
        <v>35.540731679800757</v>
      </c>
      <c r="M265" s="62">
        <f t="shared" si="83"/>
        <v>32.69526499654215</v>
      </c>
      <c r="N265" s="62">
        <f t="shared" si="83"/>
        <v>37.931166931075978</v>
      </c>
      <c r="O265" s="62">
        <f t="shared" si="83"/>
        <v>37.462152210553832</v>
      </c>
      <c r="P265" s="62">
        <f t="shared" si="83"/>
        <v>51.843421110783225</v>
      </c>
      <c r="Q265" s="62">
        <f t="shared" si="83"/>
        <v>56.364212720323117</v>
      </c>
      <c r="R265" s="62">
        <f t="shared" si="83"/>
        <v>78.319367052894194</v>
      </c>
      <c r="S265" s="62">
        <f t="shared" si="83"/>
        <v>73.782183410297691</v>
      </c>
      <c r="T265" s="62">
        <f t="shared" si="83"/>
        <v>64.332606358253969</v>
      </c>
      <c r="U265" s="62">
        <f t="shared" si="83"/>
        <v>71.463296731925155</v>
      </c>
      <c r="V265" s="62">
        <f t="shared" si="83"/>
        <v>70.063513364392776</v>
      </c>
    </row>
    <row r="266" spans="3:22" x14ac:dyDescent="0.2">
      <c r="C266" s="87" t="s">
        <v>143</v>
      </c>
      <c r="D266" s="60">
        <f t="shared" ref="D266:V266" si="84">+IFERROR(IF(D227&gt;0,+((D227/D34)*100)," "),"")</f>
        <v>65.848029805363723</v>
      </c>
      <c r="E266" s="60">
        <f t="shared" si="84"/>
        <v>52.787824426604089</v>
      </c>
      <c r="F266" s="60">
        <f t="shared" si="84"/>
        <v>49.912137427667858</v>
      </c>
      <c r="G266" s="60">
        <f t="shared" si="84"/>
        <v>61.133984684031596</v>
      </c>
      <c r="H266" s="60">
        <f t="shared" si="84"/>
        <v>64.998096840070232</v>
      </c>
      <c r="I266" s="60">
        <f t="shared" si="84"/>
        <v>78.296560101361024</v>
      </c>
      <c r="J266" s="60">
        <f t="shared" si="84"/>
        <v>89.253749106967604</v>
      </c>
      <c r="K266" s="60">
        <f t="shared" si="84"/>
        <v>89.273883695587642</v>
      </c>
      <c r="L266" s="60">
        <f t="shared" si="84"/>
        <v>78.50178551893751</v>
      </c>
      <c r="M266" s="60">
        <f t="shared" si="84"/>
        <v>84.111484157846533</v>
      </c>
      <c r="N266" s="60">
        <f t="shared" si="84"/>
        <v>82.965561728983417</v>
      </c>
      <c r="O266" s="60">
        <f t="shared" si="84"/>
        <v>77.047071786745448</v>
      </c>
      <c r="P266" s="60">
        <f t="shared" si="84"/>
        <v>34.576144898199814</v>
      </c>
      <c r="Q266" s="60">
        <f t="shared" si="84"/>
        <v>65.139735564451513</v>
      </c>
      <c r="R266" s="60">
        <f t="shared" si="84"/>
        <v>56.62623467683138</v>
      </c>
      <c r="S266" s="60">
        <f t="shared" si="84"/>
        <v>65.976629506009388</v>
      </c>
      <c r="T266" s="60">
        <f t="shared" si="84"/>
        <v>61.862590254340958</v>
      </c>
      <c r="U266" s="60">
        <f t="shared" si="84"/>
        <v>51.908076838708197</v>
      </c>
      <c r="V266" s="60">
        <f t="shared" si="84"/>
        <v>37.578864825330356</v>
      </c>
    </row>
    <row r="267" spans="3:22" x14ac:dyDescent="0.2">
      <c r="C267" s="88" t="s">
        <v>144</v>
      </c>
      <c r="D267" s="62">
        <f t="shared" ref="D267:V267" si="85">+IFERROR(IF(D228&gt;0,+((D228/D35)*100)," "),"")</f>
        <v>92.145222137339999</v>
      </c>
      <c r="E267" s="62">
        <f t="shared" si="85"/>
        <v>95.214732292553734</v>
      </c>
      <c r="F267" s="62">
        <f t="shared" si="85"/>
        <v>91.064721097595012</v>
      </c>
      <c r="G267" s="62">
        <f t="shared" si="85"/>
        <v>92.814060848517897</v>
      </c>
      <c r="H267" s="62">
        <f t="shared" si="85"/>
        <v>82.6506422325415</v>
      </c>
      <c r="I267" s="62">
        <f t="shared" si="85"/>
        <v>93.088778627890079</v>
      </c>
      <c r="J267" s="62">
        <f t="shared" si="85"/>
        <v>93.450483186222868</v>
      </c>
      <c r="K267" s="62">
        <f t="shared" si="85"/>
        <v>94.886122283009414</v>
      </c>
      <c r="L267" s="62">
        <f t="shared" si="85"/>
        <v>94.040223967395292</v>
      </c>
      <c r="M267" s="62">
        <f t="shared" si="85"/>
        <v>94.348739213793166</v>
      </c>
      <c r="N267" s="62">
        <f t="shared" si="85"/>
        <v>91.648085050716233</v>
      </c>
      <c r="O267" s="62">
        <f t="shared" si="85"/>
        <v>86.265884155757291</v>
      </c>
      <c r="P267" s="62">
        <f t="shared" si="85"/>
        <v>86.724505576347482</v>
      </c>
      <c r="Q267" s="62">
        <f t="shared" si="85"/>
        <v>90.857444292584617</v>
      </c>
      <c r="R267" s="62">
        <f t="shared" si="85"/>
        <v>93.069177049633268</v>
      </c>
      <c r="S267" s="62">
        <f t="shared" si="85"/>
        <v>90.36711648907027</v>
      </c>
      <c r="T267" s="62">
        <f t="shared" si="85"/>
        <v>90.395255307324589</v>
      </c>
      <c r="U267" s="62">
        <f t="shared" si="85"/>
        <v>90.767394920157344</v>
      </c>
      <c r="V267" s="62">
        <f t="shared" si="85"/>
        <v>95.936928826317725</v>
      </c>
    </row>
    <row r="268" spans="3:22" x14ac:dyDescent="0.2">
      <c r="C268" s="87" t="s">
        <v>145</v>
      </c>
      <c r="D268" s="60">
        <f t="shared" ref="D268:V268" si="86">+IFERROR(IF(D229&gt;0,+((D229/D36)*100)," "),"")</f>
        <v>71.936588445693005</v>
      </c>
      <c r="E268" s="60">
        <f t="shared" si="86"/>
        <v>64.402597030484657</v>
      </c>
      <c r="F268" s="60">
        <f t="shared" si="86"/>
        <v>72.175261319960541</v>
      </c>
      <c r="G268" s="60">
        <f t="shared" si="86"/>
        <v>69.182859020457727</v>
      </c>
      <c r="H268" s="60">
        <f t="shared" si="86"/>
        <v>79.084360297730328</v>
      </c>
      <c r="I268" s="60">
        <f t="shared" si="86"/>
        <v>92.63694459594636</v>
      </c>
      <c r="J268" s="60">
        <f t="shared" si="86"/>
        <v>84.089219619591688</v>
      </c>
      <c r="K268" s="60">
        <f t="shared" si="86"/>
        <v>69.549470223305988</v>
      </c>
      <c r="L268" s="60">
        <f t="shared" si="86"/>
        <v>82.461821861757926</v>
      </c>
      <c r="M268" s="60">
        <f t="shared" si="86"/>
        <v>77.058157005526098</v>
      </c>
      <c r="N268" s="60">
        <f t="shared" si="86"/>
        <v>90.961314760538528</v>
      </c>
      <c r="O268" s="60">
        <f t="shared" si="86"/>
        <v>80.418557352370215</v>
      </c>
      <c r="P268" s="60">
        <f t="shared" si="86"/>
        <v>83.572450857873221</v>
      </c>
      <c r="Q268" s="60">
        <f t="shared" si="86"/>
        <v>81.211398256474325</v>
      </c>
      <c r="R268" s="60">
        <f t="shared" si="86"/>
        <v>90.303802573605537</v>
      </c>
      <c r="S268" s="60">
        <f t="shared" si="86"/>
        <v>87.078835712770768</v>
      </c>
      <c r="T268" s="60">
        <f t="shared" si="86"/>
        <v>88.842795555353533</v>
      </c>
      <c r="U268" s="60">
        <f t="shared" si="86"/>
        <v>89.281005830577783</v>
      </c>
      <c r="V268" s="60">
        <f t="shared" si="86"/>
        <v>95.461851849174792</v>
      </c>
    </row>
    <row r="269" spans="3:22" x14ac:dyDescent="0.2">
      <c r="C269" s="88" t="s">
        <v>146</v>
      </c>
      <c r="D269" s="62">
        <f t="shared" ref="D269:V269" si="87">+IFERROR(IF(D230&gt;0,+((D230/D37)*100)," "),"")</f>
        <v>90.060204679367445</v>
      </c>
      <c r="E269" s="62">
        <f t="shared" si="87"/>
        <v>91.625136542882117</v>
      </c>
      <c r="F269" s="62">
        <f t="shared" si="87"/>
        <v>82.670830534979117</v>
      </c>
      <c r="G269" s="62">
        <f t="shared" si="87"/>
        <v>95.30175420802513</v>
      </c>
      <c r="H269" s="62">
        <f t="shared" si="87"/>
        <v>87.633182390137947</v>
      </c>
      <c r="I269" s="62">
        <f t="shared" si="87"/>
        <v>86.047709004973683</v>
      </c>
      <c r="J269" s="62">
        <f t="shared" si="87"/>
        <v>86.044264760271162</v>
      </c>
      <c r="K269" s="62">
        <f t="shared" si="87"/>
        <v>82.965750943570441</v>
      </c>
      <c r="L269" s="62">
        <f t="shared" si="87"/>
        <v>87.568105863036891</v>
      </c>
      <c r="M269" s="62">
        <f t="shared" si="87"/>
        <v>90.598582909516097</v>
      </c>
      <c r="N269" s="62">
        <f t="shared" si="87"/>
        <v>83.844685847950359</v>
      </c>
      <c r="O269" s="62">
        <f t="shared" si="87"/>
        <v>93.153285724711523</v>
      </c>
      <c r="P269" s="62">
        <f t="shared" si="87"/>
        <v>91.724314857558582</v>
      </c>
      <c r="Q269" s="62">
        <f t="shared" si="87"/>
        <v>90.301177036518894</v>
      </c>
      <c r="R269" s="62">
        <f t="shared" si="87"/>
        <v>96.620652060050546</v>
      </c>
      <c r="S269" s="62">
        <f t="shared" si="87"/>
        <v>96.844827330492791</v>
      </c>
      <c r="T269" s="62">
        <f t="shared" si="87"/>
        <v>95.160289797360846</v>
      </c>
      <c r="U269" s="62">
        <f t="shared" si="87"/>
        <v>92.166700258709596</v>
      </c>
      <c r="V269" s="62">
        <f t="shared" si="87"/>
        <v>88.396895954743442</v>
      </c>
    </row>
    <row r="270" spans="3:22" x14ac:dyDescent="0.2">
      <c r="C270" s="90" t="s">
        <v>147</v>
      </c>
      <c r="D270" s="61">
        <f t="shared" ref="D270:V270" si="88">+IFERROR(IF(D231&gt;0,+((D231/D38)*100)," "),"")</f>
        <v>83.79035830101887</v>
      </c>
      <c r="E270" s="61">
        <f t="shared" si="88"/>
        <v>91.456654076735433</v>
      </c>
      <c r="F270" s="61">
        <f t="shared" si="88"/>
        <v>91.902862663995492</v>
      </c>
      <c r="G270" s="61">
        <f t="shared" si="88"/>
        <v>90.966133790529867</v>
      </c>
      <c r="H270" s="61">
        <f t="shared" si="88"/>
        <v>87.936065319598796</v>
      </c>
      <c r="I270" s="61">
        <f t="shared" si="88"/>
        <v>90.89886692558062</v>
      </c>
      <c r="J270" s="61">
        <f t="shared" si="88"/>
        <v>87.858584663068086</v>
      </c>
      <c r="K270" s="61">
        <f t="shared" si="88"/>
        <v>90.480302825830279</v>
      </c>
      <c r="L270" s="61">
        <f t="shared" si="88"/>
        <v>94.04005297077893</v>
      </c>
      <c r="M270" s="61">
        <f t="shared" si="88"/>
        <v>84.091319969033151</v>
      </c>
      <c r="N270" s="61">
        <f t="shared" si="88"/>
        <v>73.551830596966255</v>
      </c>
      <c r="O270" s="61">
        <f t="shared" si="88"/>
        <v>77.944614305994008</v>
      </c>
      <c r="P270" s="61">
        <f t="shared" si="88"/>
        <v>78.825280865433399</v>
      </c>
      <c r="Q270" s="61">
        <f t="shared" si="88"/>
        <v>90.980261379595831</v>
      </c>
      <c r="R270" s="61">
        <f t="shared" si="88"/>
        <v>85.991382022001204</v>
      </c>
      <c r="S270" s="61">
        <f t="shared" si="88"/>
        <v>87.365786420373311</v>
      </c>
      <c r="T270" s="61">
        <f t="shared" si="88"/>
        <v>89.939218374955303</v>
      </c>
      <c r="U270" s="61">
        <f t="shared" si="88"/>
        <v>91.520405378455237</v>
      </c>
      <c r="V270" s="61">
        <f t="shared" si="88"/>
        <v>90.668390397995609</v>
      </c>
    </row>
    <row r="271" spans="3:22" ht="22.5" customHeight="1" x14ac:dyDescent="0.2">
      <c r="C271" s="89" t="s">
        <v>148</v>
      </c>
      <c r="D271" s="63" t="str">
        <f t="shared" ref="D271:V271" si="89">+IFERROR(IF(D232&gt;0,+((D232/D39)*100)," "),"")</f>
        <v xml:space="preserve"> </v>
      </c>
      <c r="E271" s="63" t="str">
        <f t="shared" si="89"/>
        <v xml:space="preserve"> </v>
      </c>
      <c r="F271" s="63" t="str">
        <f t="shared" si="89"/>
        <v xml:space="preserve"> </v>
      </c>
      <c r="G271" s="63" t="str">
        <f t="shared" si="89"/>
        <v xml:space="preserve"> </v>
      </c>
      <c r="H271" s="63" t="str">
        <f t="shared" si="89"/>
        <v xml:space="preserve"> </v>
      </c>
      <c r="I271" s="63" t="str">
        <f t="shared" si="89"/>
        <v xml:space="preserve"> </v>
      </c>
      <c r="J271" s="63" t="str">
        <f t="shared" si="89"/>
        <v xml:space="preserve"> </v>
      </c>
      <c r="K271" s="63" t="str">
        <f t="shared" si="89"/>
        <v xml:space="preserve"> </v>
      </c>
      <c r="L271" s="63" t="str">
        <f t="shared" si="89"/>
        <v xml:space="preserve"> </v>
      </c>
      <c r="M271" s="63" t="str">
        <f t="shared" si="89"/>
        <v xml:space="preserve"> </v>
      </c>
      <c r="N271" s="63" t="str">
        <f t="shared" si="89"/>
        <v xml:space="preserve"> </v>
      </c>
      <c r="O271" s="63" t="str">
        <f t="shared" si="89"/>
        <v xml:space="preserve"> </v>
      </c>
      <c r="P271" s="63" t="str">
        <f t="shared" si="89"/>
        <v xml:space="preserve"> </v>
      </c>
      <c r="Q271" s="63" t="str">
        <f t="shared" si="89"/>
        <v xml:space="preserve"> </v>
      </c>
      <c r="R271" s="63" t="str">
        <f t="shared" si="89"/>
        <v xml:space="preserve"> </v>
      </c>
      <c r="S271" s="63" t="str">
        <f t="shared" si="89"/>
        <v xml:space="preserve"> </v>
      </c>
      <c r="T271" s="63" t="str">
        <f t="shared" si="89"/>
        <v xml:space="preserve"> </v>
      </c>
      <c r="U271" s="63">
        <f t="shared" si="89"/>
        <v>55.081877894904977</v>
      </c>
      <c r="V271" s="63">
        <f t="shared" si="89"/>
        <v>74.776759865949245</v>
      </c>
    </row>
    <row r="272" spans="3:22" x14ac:dyDescent="0.2">
      <c r="C272" s="87" t="s">
        <v>149</v>
      </c>
      <c r="D272" s="60">
        <f t="shared" ref="D272:V272" si="90">+IFERROR(IF(D233&gt;0,+((D233/D40)*100)," "),"")</f>
        <v>50.677427092372383</v>
      </c>
      <c r="E272" s="60">
        <f t="shared" si="90"/>
        <v>45.628065984643712</v>
      </c>
      <c r="F272" s="60">
        <f t="shared" si="90"/>
        <v>36.917901449928422</v>
      </c>
      <c r="G272" s="60">
        <f t="shared" si="90"/>
        <v>46.589072018313459</v>
      </c>
      <c r="H272" s="60">
        <f t="shared" si="90"/>
        <v>68.246972014158644</v>
      </c>
      <c r="I272" s="60">
        <f t="shared" si="90"/>
        <v>31.425672867248689</v>
      </c>
      <c r="J272" s="60">
        <f t="shared" si="90"/>
        <v>58.71269542851492</v>
      </c>
      <c r="K272" s="60">
        <f t="shared" si="90"/>
        <v>70.194098365211701</v>
      </c>
      <c r="L272" s="60">
        <f t="shared" si="90"/>
        <v>61.699266023532282</v>
      </c>
      <c r="M272" s="60">
        <f t="shared" si="90"/>
        <v>58.170269578933706</v>
      </c>
      <c r="N272" s="60">
        <f t="shared" si="90"/>
        <v>58.139535047028211</v>
      </c>
      <c r="O272" s="60">
        <f t="shared" si="90"/>
        <v>70.17814734167996</v>
      </c>
      <c r="P272" s="60">
        <f t="shared" si="90"/>
        <v>60.286875717244584</v>
      </c>
      <c r="Q272" s="60">
        <f t="shared" si="90"/>
        <v>71.436351998361147</v>
      </c>
      <c r="R272" s="60">
        <f t="shared" si="90"/>
        <v>76.359734323910956</v>
      </c>
      <c r="S272" s="60">
        <f t="shared" si="90"/>
        <v>78.464781735800671</v>
      </c>
      <c r="T272" s="60">
        <f t="shared" si="90"/>
        <v>85.049944680990649</v>
      </c>
      <c r="U272" s="60">
        <f t="shared" si="90"/>
        <v>78.872314147129458</v>
      </c>
      <c r="V272" s="60">
        <f t="shared" si="90"/>
        <v>85.646050911875477</v>
      </c>
    </row>
    <row r="273" spans="3:22" x14ac:dyDescent="0.2">
      <c r="C273" s="88" t="s">
        <v>150</v>
      </c>
      <c r="D273" s="62">
        <f t="shared" ref="D273:V273" si="91">+IFERROR(IF(D234&gt;0,+((D234/D41)*100)," "),"")</f>
        <v>55.842420493236425</v>
      </c>
      <c r="E273" s="62">
        <f t="shared" si="91"/>
        <v>69.533235739447235</v>
      </c>
      <c r="F273" s="62">
        <f t="shared" si="91"/>
        <v>42.106719615506009</v>
      </c>
      <c r="G273" s="62">
        <f t="shared" si="91"/>
        <v>68.853709447701007</v>
      </c>
      <c r="H273" s="62">
        <f t="shared" si="91"/>
        <v>68.046859212119998</v>
      </c>
      <c r="I273" s="62">
        <f t="shared" si="91"/>
        <v>72.568465755153838</v>
      </c>
      <c r="J273" s="62">
        <f t="shared" si="91"/>
        <v>57.341550547583608</v>
      </c>
      <c r="K273" s="62">
        <f t="shared" si="91"/>
        <v>71.6776614523624</v>
      </c>
      <c r="L273" s="62">
        <f t="shared" si="91"/>
        <v>74.89315647405661</v>
      </c>
      <c r="M273" s="62">
        <f t="shared" si="91"/>
        <v>70.57074235146159</v>
      </c>
      <c r="N273" s="62">
        <f t="shared" si="91"/>
        <v>66.29835116452233</v>
      </c>
      <c r="O273" s="62">
        <f t="shared" si="91"/>
        <v>68.251893961938364</v>
      </c>
      <c r="P273" s="62">
        <f t="shared" si="91"/>
        <v>70.82335266405012</v>
      </c>
      <c r="Q273" s="62">
        <f t="shared" si="91"/>
        <v>69.32868056973183</v>
      </c>
      <c r="R273" s="62">
        <f t="shared" si="91"/>
        <v>77.337944095443575</v>
      </c>
      <c r="S273" s="62">
        <f t="shared" si="91"/>
        <v>72.262847350766378</v>
      </c>
      <c r="T273" s="62">
        <f t="shared" si="91"/>
        <v>66.75212936468273</v>
      </c>
      <c r="U273" s="62">
        <f t="shared" si="91"/>
        <v>62.819656486324234</v>
      </c>
      <c r="V273" s="62">
        <f t="shared" si="91"/>
        <v>72.406321516523349</v>
      </c>
    </row>
    <row r="274" spans="3:22" x14ac:dyDescent="0.2">
      <c r="C274" s="87" t="s">
        <v>151</v>
      </c>
      <c r="D274" s="60">
        <f t="shared" ref="D274:V274" si="92">+IFERROR(IF(D235&gt;0,+((D235/D42)*100)," "),"")</f>
        <v>51.176585022704678</v>
      </c>
      <c r="E274" s="60">
        <f t="shared" si="92"/>
        <v>24.01887769535433</v>
      </c>
      <c r="F274" s="60">
        <f t="shared" si="92"/>
        <v>41.38204354750313</v>
      </c>
      <c r="G274" s="60">
        <f t="shared" si="92"/>
        <v>25.476252934758424</v>
      </c>
      <c r="H274" s="60">
        <f t="shared" si="92"/>
        <v>11.094667839161545</v>
      </c>
      <c r="I274" s="60">
        <f t="shared" si="92"/>
        <v>13.870886398339998</v>
      </c>
      <c r="J274" s="60">
        <f t="shared" si="92"/>
        <v>49.872442994093959</v>
      </c>
      <c r="K274" s="60">
        <f t="shared" si="92"/>
        <v>74.060694007984665</v>
      </c>
      <c r="L274" s="60">
        <f t="shared" si="92"/>
        <v>47.685598927717663</v>
      </c>
      <c r="M274" s="60">
        <f t="shared" si="92"/>
        <v>34.220245691438592</v>
      </c>
      <c r="N274" s="60">
        <f t="shared" si="92"/>
        <v>29.026405123128836</v>
      </c>
      <c r="O274" s="60">
        <f t="shared" si="92"/>
        <v>68.991385617817599</v>
      </c>
      <c r="P274" s="60">
        <f t="shared" si="92"/>
        <v>67.669579693836809</v>
      </c>
      <c r="Q274" s="60">
        <f t="shared" si="92"/>
        <v>55.96133019524072</v>
      </c>
      <c r="R274" s="60">
        <f t="shared" si="92"/>
        <v>59.952103368201712</v>
      </c>
      <c r="S274" s="60">
        <f t="shared" si="92"/>
        <v>54.766628728115364</v>
      </c>
      <c r="T274" s="60">
        <f t="shared" si="92"/>
        <v>63.732317865196528</v>
      </c>
      <c r="U274" s="60">
        <f t="shared" si="92"/>
        <v>59.64231689257786</v>
      </c>
      <c r="V274" s="60">
        <f t="shared" si="92"/>
        <v>60.531093047790627</v>
      </c>
    </row>
    <row r="275" spans="3:22" x14ac:dyDescent="0.2">
      <c r="C275" s="91" t="s">
        <v>154</v>
      </c>
      <c r="D275" s="74">
        <f t="shared" ref="D275:V275" si="93">+IFERROR(IF(D236&gt;0,+((D236/D43)*100)," "),"")</f>
        <v>76.980492672240516</v>
      </c>
      <c r="E275" s="74">
        <f t="shared" si="93"/>
        <v>83.136831030846992</v>
      </c>
      <c r="F275" s="74">
        <f t="shared" si="93"/>
        <v>80.695977001490178</v>
      </c>
      <c r="G275" s="74">
        <f t="shared" si="93"/>
        <v>85.656141514985478</v>
      </c>
      <c r="H275" s="74">
        <f t="shared" si="93"/>
        <v>83.983732609946642</v>
      </c>
      <c r="I275" s="74">
        <f t="shared" si="93"/>
        <v>87.078815643830211</v>
      </c>
      <c r="J275" s="74">
        <f t="shared" si="93"/>
        <v>85.184537452834647</v>
      </c>
      <c r="K275" s="74">
        <f t="shared" si="93"/>
        <v>86.971079184774879</v>
      </c>
      <c r="L275" s="74">
        <f t="shared" si="93"/>
        <v>88.763594875752815</v>
      </c>
      <c r="M275" s="74">
        <f t="shared" si="93"/>
        <v>84.630429440872149</v>
      </c>
      <c r="N275" s="74">
        <f t="shared" si="93"/>
        <v>81.352733132518054</v>
      </c>
      <c r="O275" s="74">
        <f t="shared" si="93"/>
        <v>82.889935854213022</v>
      </c>
      <c r="P275" s="74">
        <f t="shared" si="93"/>
        <v>82.368304853088361</v>
      </c>
      <c r="Q275" s="74">
        <f t="shared" si="93"/>
        <v>83.804028903198613</v>
      </c>
      <c r="R275" s="74">
        <f t="shared" si="93"/>
        <v>84.072032361739517</v>
      </c>
      <c r="S275" s="74">
        <f t="shared" si="93"/>
        <v>86.40142065057023</v>
      </c>
      <c r="T275" s="74">
        <f t="shared" si="93"/>
        <v>87.836783580324123</v>
      </c>
      <c r="U275" s="74">
        <f t="shared" si="93"/>
        <v>88.827593133626451</v>
      </c>
      <c r="V275" s="74">
        <f t="shared" si="93"/>
        <v>90.235295755289641</v>
      </c>
    </row>
    <row r="276" spans="3:22" x14ac:dyDescent="0.2">
      <c r="C276" s="1" t="s">
        <v>52</v>
      </c>
      <c r="D276" s="11"/>
      <c r="E276" s="11"/>
      <c r="F276" s="11"/>
      <c r="G276" s="11"/>
      <c r="H276" s="11"/>
      <c r="I276" s="11"/>
      <c r="J276" s="11"/>
      <c r="K276" s="11"/>
      <c r="L276" s="11"/>
      <c r="M276" s="11"/>
      <c r="N276" s="11"/>
      <c r="O276" s="11"/>
      <c r="P276" s="11"/>
      <c r="Q276" s="11"/>
      <c r="R276" s="11"/>
      <c r="S276" s="11"/>
      <c r="T276" s="11"/>
      <c r="U276" s="11"/>
      <c r="V276" s="11"/>
    </row>
  </sheetData>
  <mergeCells count="174">
    <mergeCell ref="C128:C129"/>
    <mergeCell ref="G244:G245"/>
    <mergeCell ref="L12:L13"/>
    <mergeCell ref="J167:J168"/>
    <mergeCell ref="K89:K90"/>
    <mergeCell ref="T205:T206"/>
    <mergeCell ref="N12:N13"/>
    <mergeCell ref="Q244:Q245"/>
    <mergeCell ref="C51:C52"/>
    <mergeCell ref="C244:C245"/>
    <mergeCell ref="D244:D245"/>
    <mergeCell ref="C89:C90"/>
    <mergeCell ref="T51:T52"/>
    <mergeCell ref="L51:L52"/>
    <mergeCell ref="S244:S245"/>
    <mergeCell ref="S128:S129"/>
    <mergeCell ref="R205:R206"/>
    <mergeCell ref="R12:R13"/>
    <mergeCell ref="T12:T13"/>
    <mergeCell ref="H128:H129"/>
    <mergeCell ref="E89:E90"/>
    <mergeCell ref="J128:J129"/>
    <mergeCell ref="T128:T129"/>
    <mergeCell ref="H244:H245"/>
    <mergeCell ref="J244:J245"/>
    <mergeCell ref="T244:T245"/>
    <mergeCell ref="I244:I245"/>
    <mergeCell ref="F244:F245"/>
    <mergeCell ref="E244:E245"/>
    <mergeCell ref="L128:L129"/>
    <mergeCell ref="N128:N129"/>
    <mergeCell ref="D203:V203"/>
    <mergeCell ref="M167:M168"/>
    <mergeCell ref="P167:P168"/>
    <mergeCell ref="R167:R168"/>
    <mergeCell ref="V244:V245"/>
    <mergeCell ref="D205:D206"/>
    <mergeCell ref="V12:V13"/>
    <mergeCell ref="F128:F129"/>
    <mergeCell ref="F205:F206"/>
    <mergeCell ref="H89:H90"/>
    <mergeCell ref="F12:F13"/>
    <mergeCell ref="K51:K52"/>
    <mergeCell ref="M51:M52"/>
    <mergeCell ref="R89:R90"/>
    <mergeCell ref="E128:E129"/>
    <mergeCell ref="G128:G129"/>
    <mergeCell ref="G205:G206"/>
    <mergeCell ref="J205:J206"/>
    <mergeCell ref="G167:G168"/>
    <mergeCell ref="M89:M90"/>
    <mergeCell ref="I167:I168"/>
    <mergeCell ref="O89:O90"/>
    <mergeCell ref="F167:F168"/>
    <mergeCell ref="I128:I129"/>
    <mergeCell ref="K128:K129"/>
    <mergeCell ref="H205:H206"/>
    <mergeCell ref="R244:R245"/>
    <mergeCell ref="L242:Q242"/>
    <mergeCell ref="S205:S206"/>
    <mergeCell ref="U205:U206"/>
    <mergeCell ref="P12:P13"/>
    <mergeCell ref="T6:T7"/>
    <mergeCell ref="U6:U7"/>
    <mergeCell ref="S167:S168"/>
    <mergeCell ref="P51:P52"/>
    <mergeCell ref="M128:M129"/>
    <mergeCell ref="O128:O129"/>
    <mergeCell ref="U167:U168"/>
    <mergeCell ref="U128:U129"/>
    <mergeCell ref="D48:V48"/>
    <mergeCell ref="D6:D7"/>
    <mergeCell ref="D128:D129"/>
    <mergeCell ref="V128:V129"/>
    <mergeCell ref="L49:Q49"/>
    <mergeCell ref="G51:G52"/>
    <mergeCell ref="I51:I52"/>
    <mergeCell ref="V205:V206"/>
    <mergeCell ref="D167:D168"/>
    <mergeCell ref="S12:S13"/>
    <mergeCell ref="P89:P90"/>
    <mergeCell ref="C167:C168"/>
    <mergeCell ref="Q6:Q7"/>
    <mergeCell ref="V89:V90"/>
    <mergeCell ref="S6:S7"/>
    <mergeCell ref="O167:O168"/>
    <mergeCell ref="Q167:Q168"/>
    <mergeCell ref="U244:U245"/>
    <mergeCell ref="G89:G90"/>
    <mergeCell ref="J12:J13"/>
    <mergeCell ref="M244:M245"/>
    <mergeCell ref="L6:L7"/>
    <mergeCell ref="O51:O52"/>
    <mergeCell ref="O244:O245"/>
    <mergeCell ref="Q89:Q90"/>
    <mergeCell ref="N6:N7"/>
    <mergeCell ref="S89:S90"/>
    <mergeCell ref="U89:U90"/>
    <mergeCell ref="L167:L168"/>
    <mergeCell ref="N205:N206"/>
    <mergeCell ref="S51:S52"/>
    <mergeCell ref="P205:P206"/>
    <mergeCell ref="U51:U52"/>
    <mergeCell ref="P244:P245"/>
    <mergeCell ref="I89:I90"/>
    <mergeCell ref="C12:C13"/>
    <mergeCell ref="H51:H52"/>
    <mergeCell ref="J89:J90"/>
    <mergeCell ref="R51:R52"/>
    <mergeCell ref="G6:G7"/>
    <mergeCell ref="L89:L90"/>
    <mergeCell ref="O12:O13"/>
    <mergeCell ref="M12:M13"/>
    <mergeCell ref="H12:H13"/>
    <mergeCell ref="E12:E13"/>
    <mergeCell ref="G12:G13"/>
    <mergeCell ref="Q12:Q13"/>
    <mergeCell ref="P6:P7"/>
    <mergeCell ref="R6:R7"/>
    <mergeCell ref="I6:I7"/>
    <mergeCell ref="K6:K7"/>
    <mergeCell ref="F6:F7"/>
    <mergeCell ref="D10:V10"/>
    <mergeCell ref="J51:J52"/>
    <mergeCell ref="N89:N90"/>
    <mergeCell ref="D12:D13"/>
    <mergeCell ref="D2:V2"/>
    <mergeCell ref="D51:D52"/>
    <mergeCell ref="A5:C6"/>
    <mergeCell ref="N51:N52"/>
    <mergeCell ref="K205:K206"/>
    <mergeCell ref="D4:V4"/>
    <mergeCell ref="K244:K245"/>
    <mergeCell ref="H6:H7"/>
    <mergeCell ref="J6:J7"/>
    <mergeCell ref="C205:C206"/>
    <mergeCell ref="E205:E206"/>
    <mergeCell ref="H167:H168"/>
    <mergeCell ref="V6:V7"/>
    <mergeCell ref="T167:T168"/>
    <mergeCell ref="L205:L206"/>
    <mergeCell ref="Q51:Q52"/>
    <mergeCell ref="V167:V168"/>
    <mergeCell ref="E167:E168"/>
    <mergeCell ref="I12:I13"/>
    <mergeCell ref="L244:L245"/>
    <mergeCell ref="K12:K13"/>
    <mergeCell ref="N244:N245"/>
    <mergeCell ref="I205:I206"/>
    <mergeCell ref="D241:V241"/>
    <mergeCell ref="D126:V126"/>
    <mergeCell ref="L165:Q165"/>
    <mergeCell ref="O6:O7"/>
    <mergeCell ref="K167:K168"/>
    <mergeCell ref="V51:V52"/>
    <mergeCell ref="C11:V11"/>
    <mergeCell ref="D89:D90"/>
    <mergeCell ref="M205:M206"/>
    <mergeCell ref="Q128:Q129"/>
    <mergeCell ref="E6:E7"/>
    <mergeCell ref="U12:U13"/>
    <mergeCell ref="N167:N168"/>
    <mergeCell ref="T89:T90"/>
    <mergeCell ref="M6:M7"/>
    <mergeCell ref="A7:C7"/>
    <mergeCell ref="D87:V87"/>
    <mergeCell ref="P128:P129"/>
    <mergeCell ref="R128:R129"/>
    <mergeCell ref="E51:E52"/>
    <mergeCell ref="F89:F90"/>
    <mergeCell ref="O205:O206"/>
    <mergeCell ref="Q205:Q206"/>
    <mergeCell ref="D164:V164"/>
    <mergeCell ref="F51:F52"/>
  </mergeCells>
  <pageMargins left="0.7" right="0.7" top="0.75" bottom="0.75" header="0.3" footer="0.3"/>
  <pageSetup orientation="portrait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1"/>
  <dimension ref="A1:K298"/>
  <sheetViews>
    <sheetView showGridLines="0" zoomScaleNormal="100" workbookViewId="0">
      <pane xSplit="3" ySplit="9" topLeftCell="D10" activePane="bottomRight" state="frozen"/>
      <selection activeCell="C204" sqref="C204:V204"/>
      <selection pane="topRight" activeCell="C204" sqref="C204:V204"/>
      <selection pane="bottomLeft" activeCell="C204" sqref="C204:V204"/>
      <selection pane="bottomRight" activeCell="K252" sqref="K252"/>
    </sheetView>
  </sheetViews>
  <sheetFormatPr baseColWidth="10" defaultColWidth="11.42578125" defaultRowHeight="11.25" x14ac:dyDescent="0.2"/>
  <cols>
    <col min="1" max="2" width="2.7109375" style="3" customWidth="1"/>
    <col min="3" max="3" width="45.7109375" style="3" customWidth="1"/>
    <col min="4" max="4" width="10.7109375" style="3" customWidth="1"/>
    <col min="5" max="25" width="10.7109375" style="9" customWidth="1"/>
    <col min="26" max="26" width="11.42578125" style="9" customWidth="1"/>
    <col min="27" max="16384" width="11.42578125" style="9"/>
  </cols>
  <sheetData>
    <row r="1" spans="1:11" ht="16.5" customHeight="1" x14ac:dyDescent="0.2"/>
    <row r="2" spans="1:11" ht="16.5" customHeight="1" x14ac:dyDescent="0.2">
      <c r="D2" s="179"/>
      <c r="E2" s="178"/>
      <c r="F2" s="178"/>
      <c r="G2" s="178"/>
      <c r="H2" s="178"/>
      <c r="I2" s="178"/>
      <c r="J2" s="178"/>
      <c r="K2" s="178"/>
    </row>
    <row r="3" spans="1:11" ht="16.5" customHeight="1" x14ac:dyDescent="0.2">
      <c r="D3" s="158"/>
      <c r="E3" s="178"/>
      <c r="F3" s="178"/>
      <c r="G3" s="178"/>
      <c r="H3" s="178"/>
      <c r="I3" s="178"/>
      <c r="J3" s="178"/>
      <c r="K3" s="178"/>
    </row>
    <row r="4" spans="1:11" ht="16.5" customHeight="1" x14ac:dyDescent="0.2">
      <c r="D4" s="158"/>
      <c r="E4" s="178"/>
      <c r="F4" s="178"/>
      <c r="G4" s="178"/>
      <c r="H4" s="178"/>
      <c r="I4" s="178"/>
      <c r="J4" s="178"/>
      <c r="K4" s="178"/>
    </row>
    <row r="5" spans="1:11" ht="16.5" customHeight="1" x14ac:dyDescent="0.2">
      <c r="D5" s="139"/>
      <c r="E5" s="139"/>
      <c r="F5" s="139"/>
      <c r="G5" s="139"/>
      <c r="H5" s="139"/>
      <c r="I5" s="139"/>
      <c r="J5" s="139"/>
      <c r="K5" s="139"/>
    </row>
    <row r="6" spans="1:11" ht="16.5" customHeight="1" x14ac:dyDescent="0.2">
      <c r="D6" s="161"/>
      <c r="E6" s="178"/>
      <c r="F6" s="178"/>
      <c r="G6" s="178"/>
      <c r="H6" s="178"/>
      <c r="I6" s="178"/>
      <c r="J6" s="178"/>
      <c r="K6" s="178"/>
    </row>
    <row r="7" spans="1:11" ht="16.5" customHeight="1" x14ac:dyDescent="0.2">
      <c r="A7" s="165" t="s">
        <v>9</v>
      </c>
      <c r="B7" s="158"/>
      <c r="C7" s="158"/>
      <c r="D7" s="147"/>
      <c r="E7" s="147"/>
      <c r="F7" s="147"/>
      <c r="G7" s="147"/>
      <c r="H7" s="147"/>
      <c r="I7" s="147"/>
      <c r="J7" s="147"/>
      <c r="K7" s="147"/>
    </row>
    <row r="8" spans="1:11" ht="16.5" customHeight="1" x14ac:dyDescent="0.2">
      <c r="A8" s="158"/>
      <c r="B8" s="158"/>
      <c r="C8" s="158"/>
      <c r="D8" s="151">
        <v>2019</v>
      </c>
      <c r="E8" s="151">
        <v>2020</v>
      </c>
      <c r="F8" s="151">
        <v>2021</v>
      </c>
      <c r="G8" s="151">
        <v>2022</v>
      </c>
      <c r="H8" s="151">
        <v>2023</v>
      </c>
      <c r="I8" s="151">
        <v>2024</v>
      </c>
      <c r="J8" s="151">
        <v>2025</v>
      </c>
      <c r="K8" s="151" t="s">
        <v>36</v>
      </c>
    </row>
    <row r="9" spans="1:11" ht="16.5" customHeight="1" x14ac:dyDescent="0.2">
      <c r="A9" s="162" t="s">
        <v>227</v>
      </c>
      <c r="B9" s="158"/>
      <c r="C9" s="158"/>
      <c r="D9" s="158"/>
      <c r="E9" s="178"/>
      <c r="F9" s="178"/>
      <c r="G9" s="178"/>
      <c r="H9" s="178"/>
      <c r="I9" s="178"/>
      <c r="J9" s="178"/>
      <c r="K9" s="178"/>
    </row>
    <row r="10" spans="1:11" s="102" customFormat="1" ht="14.25" customHeight="1" x14ac:dyDescent="0.25">
      <c r="B10" s="98"/>
      <c r="C10" s="98"/>
      <c r="D10" s="98"/>
    </row>
    <row r="11" spans="1:11" ht="18" customHeight="1" x14ac:dyDescent="0.2">
      <c r="C11" s="160" t="s">
        <v>119</v>
      </c>
      <c r="D11" s="158"/>
      <c r="E11" s="178"/>
      <c r="F11" s="178"/>
      <c r="G11" s="178"/>
      <c r="H11" s="178"/>
      <c r="I11" s="178"/>
      <c r="J11" s="178"/>
      <c r="K11" s="178"/>
    </row>
    <row r="12" spans="1:11" x14ac:dyDescent="0.2">
      <c r="C12" s="2"/>
      <c r="D12" s="2"/>
      <c r="E12" s="2"/>
      <c r="F12" s="2"/>
      <c r="G12" s="2"/>
      <c r="H12" s="2"/>
      <c r="I12" s="2"/>
      <c r="J12" s="2"/>
      <c r="K12" s="2"/>
    </row>
    <row r="13" spans="1:11" ht="9.9499999999999993" customHeight="1" x14ac:dyDescent="0.2">
      <c r="C13" s="177" t="s">
        <v>120</v>
      </c>
      <c r="D13" s="153">
        <v>2019</v>
      </c>
      <c r="E13" s="153">
        <v>2020</v>
      </c>
      <c r="F13" s="153">
        <v>2021</v>
      </c>
      <c r="G13" s="153">
        <v>2022</v>
      </c>
      <c r="H13" s="153">
        <v>2023</v>
      </c>
      <c r="I13" s="153">
        <v>2024</v>
      </c>
      <c r="J13" s="153">
        <v>2025</v>
      </c>
      <c r="K13" s="153" t="s">
        <v>36</v>
      </c>
    </row>
    <row r="14" spans="1:11" ht="9.9499999999999993" customHeight="1" thickBot="1" x14ac:dyDescent="0.25">
      <c r="C14" s="156"/>
      <c r="D14" s="154"/>
      <c r="E14" s="154"/>
      <c r="F14" s="154"/>
      <c r="G14" s="154"/>
      <c r="H14" s="154"/>
      <c r="I14" s="154"/>
      <c r="J14" s="154"/>
      <c r="K14" s="154"/>
    </row>
    <row r="15" spans="1:11" x14ac:dyDescent="0.2">
      <c r="C15" s="87" t="s">
        <v>123</v>
      </c>
      <c r="D15" s="42">
        <f>2263.008177069*Deflactores!$T$5</f>
        <v>3424.163356905854</v>
      </c>
      <c r="E15" s="42">
        <f>1848.385352454*Deflactores!$U$5</f>
        <v>2752.4815663210638</v>
      </c>
      <c r="F15" s="42">
        <f>2396.84557186*Deflactores!$V$5</f>
        <v>3379.2925521285388</v>
      </c>
      <c r="G15" s="42">
        <f>2587.244716219*Deflactores!$W$5</f>
        <v>3224.6594019206941</v>
      </c>
      <c r="H15" s="42">
        <f>5380.714478735*Deflactores!$X$5</f>
        <v>6136.8513292371217</v>
      </c>
      <c r="I15" s="42">
        <f>7882.496877194*Deflactores!$Y$5</f>
        <v>8545.81963372672</v>
      </c>
      <c r="J15" s="42">
        <f>5051.466451465*Deflactores!$Z$5</f>
        <v>5210.8032109642854</v>
      </c>
      <c r="K15" s="42">
        <f>4014.07427549*Deflactores!$AA$5</f>
        <v>4014.0742754900002</v>
      </c>
    </row>
    <row r="16" spans="1:11" x14ac:dyDescent="0.2">
      <c r="C16" s="88" t="s">
        <v>124</v>
      </c>
      <c r="D16" s="50">
        <f>622.602510556*Deflactores!$T$5</f>
        <v>942.06142256393764</v>
      </c>
      <c r="E16" s="50">
        <f>726.872387118*Deflactores!$U$5</f>
        <v>1082.405702876762</v>
      </c>
      <c r="F16" s="50">
        <f>1170.821132766*Deflactores!$V$5</f>
        <v>1650.7309358109724</v>
      </c>
      <c r="G16" s="50">
        <f>1362.009917729*Deflactores!$W$5</f>
        <v>1697.5657768981928</v>
      </c>
      <c r="H16" s="50">
        <f>2010.636058396*Deflactores!$X$5</f>
        <v>2293.1851553068204</v>
      </c>
      <c r="I16" s="50">
        <f>2043.195590413*Deflactores!$Y$5</f>
        <v>2215.1332584239394</v>
      </c>
      <c r="J16" s="50">
        <f>1763.960678017*Deflactores!$Z$5</f>
        <v>1819.6007146320858</v>
      </c>
      <c r="K16" s="50">
        <f>1796.378366946*Deflactores!$AA$5</f>
        <v>1796.3783669459999</v>
      </c>
    </row>
    <row r="17" spans="3:11" x14ac:dyDescent="0.2">
      <c r="C17" s="87" t="s">
        <v>125</v>
      </c>
      <c r="D17" s="42">
        <f>350.968983876*Deflactores!$T$5</f>
        <v>531.05205106028131</v>
      </c>
      <c r="E17" s="42">
        <f>270.045579608*Deflactores!$U$5</f>
        <v>402.13231453640049</v>
      </c>
      <c r="F17" s="42">
        <f>412.035071887*Deflactores!$V$5</f>
        <v>580.9248063332534</v>
      </c>
      <c r="G17" s="42">
        <f>330.504086272*Deflactores!$W$5</f>
        <v>411.92976547178705</v>
      </c>
      <c r="H17" s="42">
        <f>484.836286945*Deflactores!$X$5</f>
        <v>552.96898279209927</v>
      </c>
      <c r="I17" s="42">
        <f>375.665563998*Deflactores!$Y$5</f>
        <v>407.27832849734693</v>
      </c>
      <c r="J17" s="42">
        <f>281.450237264*Deflactores!$Z$5</f>
        <v>290.32793034517346</v>
      </c>
      <c r="K17" s="42">
        <f>379.855765201*Deflactores!$AA$5</f>
        <v>379.855765201</v>
      </c>
    </row>
    <row r="18" spans="3:11" x14ac:dyDescent="0.2">
      <c r="C18" s="88" t="s">
        <v>126</v>
      </c>
      <c r="D18" s="50">
        <f>1001.62005512*Deflactores!$T$5</f>
        <v>1515.553821253096</v>
      </c>
      <c r="E18" s="50">
        <f>1109.619731815*Deflactores!$U$5</f>
        <v>1652.3653216533044</v>
      </c>
      <c r="F18" s="50">
        <f>1180.478070828*Deflactores!$V$5</f>
        <v>1664.3461721250746</v>
      </c>
      <c r="G18" s="50">
        <f>1166.871493802*Deflactores!$W$5</f>
        <v>1454.351461125319</v>
      </c>
      <c r="H18" s="50">
        <f>1446.367435627*Deflactores!$X$5</f>
        <v>1649.6214313121504</v>
      </c>
      <c r="I18" s="50">
        <f>1470.119868961*Deflactores!$Y$5</f>
        <v>1593.8324411453441</v>
      </c>
      <c r="J18" s="50">
        <f>1464.940835322*Deflactores!$Z$5</f>
        <v>1511.1489865194981</v>
      </c>
      <c r="K18" s="50">
        <f>1769.598765235*Deflactores!$AA$5</f>
        <v>1769.598765235</v>
      </c>
    </row>
    <row r="19" spans="3:11" x14ac:dyDescent="0.2">
      <c r="C19" s="87" t="s">
        <v>127</v>
      </c>
      <c r="D19" s="42">
        <f>647.367*Deflactores!$T$5</f>
        <v>979.53263374464791</v>
      </c>
      <c r="E19" s="42">
        <f>690.460829558*Deflactores!$U$5</f>
        <v>1028.1842490809511</v>
      </c>
      <c r="F19" s="42">
        <f>776.347897349*Deflactores!$V$5</f>
        <v>1094.5664160316487</v>
      </c>
      <c r="G19" s="42">
        <f>971.637279727*Deflactores!$W$5</f>
        <v>1211.017755563214</v>
      </c>
      <c r="H19" s="42">
        <f>1183.665725483*Deflactores!$X$5</f>
        <v>1350.0029799965382</v>
      </c>
      <c r="I19" s="42">
        <f>1371.608*Deflactores!$Y$5</f>
        <v>1487.0306653834343</v>
      </c>
      <c r="J19" s="42">
        <f>1566.670325863*Deflactores!$Z$5</f>
        <v>1616.0872972167942</v>
      </c>
      <c r="K19" s="42">
        <f>1332.522*Deflactores!$AA$5</f>
        <v>1332.5219999999999</v>
      </c>
    </row>
    <row r="20" spans="3:11" x14ac:dyDescent="0.2">
      <c r="C20" s="88" t="s">
        <v>128</v>
      </c>
      <c r="D20" s="50">
        <f>383.014478751*Deflactores!$T$5</f>
        <v>579.54016984693465</v>
      </c>
      <c r="E20" s="50">
        <f>379.718754316*Deflactores!$U$5</f>
        <v>565.44966137800941</v>
      </c>
      <c r="F20" s="50">
        <f>615.051097295*Deflactores!$V$5</f>
        <v>867.15540486597547</v>
      </c>
      <c r="G20" s="50">
        <f>572.673558519*Deflactores!$W$5</f>
        <v>713.76208177493493</v>
      </c>
      <c r="H20" s="50">
        <f>804.18755564*Deflactores!$X$5</f>
        <v>917.19779766971419</v>
      </c>
      <c r="I20" s="50">
        <f>1324.029954937*Deflactores!$Y$5</f>
        <v>1435.44886358024</v>
      </c>
      <c r="J20" s="50">
        <f>1075.959820342*Deflactores!$Z$5</f>
        <v>1109.898470191888</v>
      </c>
      <c r="K20" s="50">
        <f>1135.249936919*Deflactores!$AA$5</f>
        <v>1135.249936919</v>
      </c>
    </row>
    <row r="21" spans="3:11" x14ac:dyDescent="0.2">
      <c r="C21" s="87" t="s">
        <v>129</v>
      </c>
      <c r="D21" s="42">
        <f>33563.9482759364*Deflactores!$T$5</f>
        <v>50785.69444163375</v>
      </c>
      <c r="E21" s="42">
        <f>35404.205533454*Deflactores!$U$5</f>
        <v>52721.378132377038</v>
      </c>
      <c r="F21" s="42">
        <f>38824.650875343*Deflactores!$V$5</f>
        <v>54738.550986505012</v>
      </c>
      <c r="G21" s="42">
        <f>42390.856385664*Deflactores!$W$5</f>
        <v>52834.613108909536</v>
      </c>
      <c r="H21" s="42">
        <f>47951.8827*Deflactores!$X$5</f>
        <v>54690.427498041288</v>
      </c>
      <c r="I21" s="42">
        <f>55898.946923629*Deflactores!$Y$5</f>
        <v>60602.91879172279</v>
      </c>
      <c r="J21" s="42">
        <f>60056.0795847993*Deflactores!$Z$5</f>
        <v>61950.408924846262</v>
      </c>
      <c r="K21" s="42">
        <f>65469.418324886*Deflactores!$AA$5</f>
        <v>65469.418324885999</v>
      </c>
    </row>
    <row r="22" spans="3:11" x14ac:dyDescent="0.2">
      <c r="C22" s="88" t="s">
        <v>130</v>
      </c>
      <c r="D22" s="50">
        <f>499.630371065*Deflactores!$T$5</f>
        <v>755.99196942092385</v>
      </c>
      <c r="E22" s="50">
        <f>461.981328593*Deflactores!$U$5</f>
        <v>687.9491277338459</v>
      </c>
      <c r="F22" s="50">
        <f>767.722084933*Deflactores!$V$5</f>
        <v>1082.4049551533717</v>
      </c>
      <c r="G22" s="50">
        <f>898.135598597*Deflactores!$W$5</f>
        <v>1119.4076014765108</v>
      </c>
      <c r="H22" s="50">
        <f>948.780870577*Deflactores!$X$5</f>
        <v>1082.1104092711653</v>
      </c>
      <c r="I22" s="50">
        <f>1058.666759556*Deflactores!$Y$5</f>
        <v>1147.7549969684362</v>
      </c>
      <c r="J22" s="50">
        <f>449.600696578*Deflactores!$Z$5</f>
        <v>463.78230478022482</v>
      </c>
      <c r="K22" s="50">
        <f>496.087196266*Deflactores!$AA$5</f>
        <v>496.08719626599998</v>
      </c>
    </row>
    <row r="23" spans="3:11" x14ac:dyDescent="0.2">
      <c r="C23" s="87" t="s">
        <v>131</v>
      </c>
      <c r="D23" s="42">
        <f>41460.543920518*Deflactores!$T$5</f>
        <v>62734.053145975391</v>
      </c>
      <c r="E23" s="42">
        <f>44611.394364525*Deflactores!$U$5</f>
        <v>66432.056753322657</v>
      </c>
      <c r="F23" s="42">
        <f>48094.75984832*Deflactores!$V$5</f>
        <v>67808.400198981049</v>
      </c>
      <c r="G23" s="42">
        <f>49755.57288569*Deflactores!$W$5</f>
        <v>62013.761163754411</v>
      </c>
      <c r="H23" s="42">
        <f>59051.239462706*Deflactores!$X$5</f>
        <v>67349.546016982495</v>
      </c>
      <c r="I23" s="42">
        <f>70125.283359031*Deflactores!$Y$5</f>
        <v>76026.420649035106</v>
      </c>
      <c r="J23" s="42">
        <f>80217.1222003794*Deflactores!$Z$5</f>
        <v>82747.384735144864</v>
      </c>
      <c r="K23" s="42">
        <f>88238.54283574*Deflactores!$AA$5</f>
        <v>88238.542835739994</v>
      </c>
    </row>
    <row r="24" spans="3:11" x14ac:dyDescent="0.2">
      <c r="C24" s="88" t="s">
        <v>132</v>
      </c>
      <c r="D24" s="50">
        <f>412.114986245*Deflactores!$T$5</f>
        <v>623.57222083023112</v>
      </c>
      <c r="E24" s="50">
        <f>350.44393491*Deflactores!$U$5</f>
        <v>521.8557210422382</v>
      </c>
      <c r="F24" s="50">
        <f>501.248972395*Deflactores!$V$5</f>
        <v>706.70673950096534</v>
      </c>
      <c r="G24" s="50">
        <f>510.979842441*Deflactores!$W$5</f>
        <v>636.86899920596886</v>
      </c>
      <c r="H24" s="50">
        <f>575.945132952*Deflactores!$X$5</f>
        <v>656.88110169991523</v>
      </c>
      <c r="I24" s="50">
        <f>584.086269041*Deflactores!$Y$5</f>
        <v>633.23791731556389</v>
      </c>
      <c r="J24" s="50">
        <f>619.316459157*Deflactores!$Z$5</f>
        <v>638.85135633087498</v>
      </c>
      <c r="K24" s="50">
        <f>661.064887349*Deflactores!$AA$5</f>
        <v>661.06488734899995</v>
      </c>
    </row>
    <row r="25" spans="3:11" x14ac:dyDescent="0.2">
      <c r="C25" s="87" t="s">
        <v>133</v>
      </c>
      <c r="D25" s="42">
        <f>3869.485738111*Deflactores!$T$5</f>
        <v>5854.9285896396032</v>
      </c>
      <c r="E25" s="42">
        <f>4000.956883406*Deflactores!$U$5</f>
        <v>5957.935153835544</v>
      </c>
      <c r="F25" s="42">
        <f>4504.999046571*Deflactores!$V$5</f>
        <v>6351.5605277855457</v>
      </c>
      <c r="G25" s="42">
        <f>4774.552489748*Deflactores!$W$5</f>
        <v>5950.8501377982948</v>
      </c>
      <c r="H25" s="42">
        <f>5467.340883494*Deflactores!$X$5</f>
        <v>6235.6511018868841</v>
      </c>
      <c r="I25" s="42">
        <f>6024.475401395*Deflactores!$Y$5</f>
        <v>6531.4431417158103</v>
      </c>
      <c r="J25" s="42">
        <f>6855.714859023*Deflactores!$Z$5</f>
        <v>7071.9624378564731</v>
      </c>
      <c r="K25" s="42">
        <f>7200.196385834*Deflactores!$AA$5</f>
        <v>7200.1963858339996</v>
      </c>
    </row>
    <row r="26" spans="3:11" x14ac:dyDescent="0.2">
      <c r="C26" s="88" t="s">
        <v>134</v>
      </c>
      <c r="D26" s="50">
        <f>10531.627512542*Deflactores!$T$5</f>
        <v>15935.432042377601</v>
      </c>
      <c r="E26" s="50">
        <f>40897.317476684*Deflactores!$U$5</f>
        <v>60901.322506749551</v>
      </c>
      <c r="F26" s="50">
        <f>24164.2715396651*Deflactores!$V$5</f>
        <v>34069.004611854718</v>
      </c>
      <c r="G26" s="50">
        <f>18262.849806368*Deflactores!$W$5</f>
        <v>22762.234265970059</v>
      </c>
      <c r="H26" s="50">
        <f>41677.019984296*Deflactores!$X$5</f>
        <v>47533.775765295621</v>
      </c>
      <c r="I26" s="50">
        <f>32833.826152824*Deflactores!$Y$5</f>
        <v>35596.836961520989</v>
      </c>
      <c r="J26" s="50">
        <f>24934.9563780146*Deflactores!$Z$5</f>
        <v>25721.471578244553</v>
      </c>
      <c r="K26" s="50">
        <f>33466.081163851*Deflactores!$AA$5</f>
        <v>33466.081163850999</v>
      </c>
    </row>
    <row r="27" spans="3:11" x14ac:dyDescent="0.2">
      <c r="C27" s="87" t="s">
        <v>135</v>
      </c>
      <c r="D27" s="42">
        <f>0*Deflactores!$T$5</f>
        <v>0</v>
      </c>
      <c r="E27" s="42">
        <f>0*Deflactores!$U$5</f>
        <v>0</v>
      </c>
      <c r="F27" s="42">
        <f>0*Deflactores!$V$5</f>
        <v>0</v>
      </c>
      <c r="G27" s="42">
        <f>0*Deflactores!$W$5</f>
        <v>0</v>
      </c>
      <c r="H27" s="42">
        <f>500*Deflactores!$X$5</f>
        <v>570.26361029659097</v>
      </c>
      <c r="I27" s="42">
        <f>12415.915576892*Deflactores!$Y$5</f>
        <v>13460.731638813902</v>
      </c>
      <c r="J27" s="42">
        <f>11248.040868552*Deflactores!$Z$5</f>
        <v>11602.834154804712</v>
      </c>
      <c r="K27" s="42">
        <f>11040.13053325*Deflactores!$AA$5</f>
        <v>11040.13053325</v>
      </c>
    </row>
    <row r="28" spans="3:11" x14ac:dyDescent="0.2">
      <c r="C28" s="88" t="s">
        <v>136</v>
      </c>
      <c r="D28" s="50">
        <f>11486.26077021*Deflactores!$T$5</f>
        <v>17379.890022385494</v>
      </c>
      <c r="E28" s="50">
        <f>18087.206693409*Deflactores!$U$5</f>
        <v>26934.157936141837</v>
      </c>
      <c r="F28" s="50">
        <f>23919.566735447*Deflactores!$V$5</f>
        <v>33723.997352282888</v>
      </c>
      <c r="G28" s="50">
        <f>23402.950660521*Deflactores!$W$5</f>
        <v>29168.692241227953</v>
      </c>
      <c r="H28" s="50">
        <f>21908.204396293*Deflactores!$X$5</f>
        <v>24986.903468291388</v>
      </c>
      <c r="I28" s="50">
        <f>13420.569244508*Deflactores!$Y$5</f>
        <v>14549.928269217726</v>
      </c>
      <c r="J28" s="50">
        <f>10947.78569699*Deflactores!$Z$5</f>
        <v>11293.10813224939</v>
      </c>
      <c r="K28" s="50">
        <f>12745.488385468*Deflactores!$AA$5</f>
        <v>12745.488385467999</v>
      </c>
    </row>
    <row r="29" spans="3:11" x14ac:dyDescent="0.2">
      <c r="C29" s="87" t="s">
        <v>137</v>
      </c>
      <c r="D29" s="42">
        <f>384.671257987*Deflactores!$T$5</f>
        <v>582.04704667039414</v>
      </c>
      <c r="E29" s="42">
        <f>379.77636893*Deflactores!$U$5</f>
        <v>565.5354568874659</v>
      </c>
      <c r="F29" s="42">
        <f>611.503373928*Deflactores!$V$5</f>
        <v>862.15349932317827</v>
      </c>
      <c r="G29" s="42">
        <f>683.047414493*Deflactores!$W$5</f>
        <v>851.32854008543381</v>
      </c>
      <c r="H29" s="42">
        <f>1026.940642159*Deflactores!$X$5</f>
        <v>1171.2537563157816</v>
      </c>
      <c r="I29" s="42">
        <f>1294.248362117*Deflactores!$Y$5</f>
        <v>1403.1611095081557</v>
      </c>
      <c r="J29" s="42">
        <f>1028.649419471*Deflactores!$Z$5</f>
        <v>1061.0957727694163</v>
      </c>
      <c r="K29" s="42">
        <f>831.537001053*Deflactores!$AA$5</f>
        <v>831.53700105300004</v>
      </c>
    </row>
    <row r="30" spans="3:11" x14ac:dyDescent="0.2">
      <c r="C30" s="88" t="s">
        <v>138</v>
      </c>
      <c r="D30" s="50">
        <f>97.627789965*Deflactores!$T$5</f>
        <v>147.72085421574744</v>
      </c>
      <c r="E30" s="50">
        <f>99.695353307*Deflactores!$U$5</f>
        <v>148.45909802361535</v>
      </c>
      <c r="F30" s="50">
        <f>117.173050941*Deflactores!$V$5</f>
        <v>165.20130583457856</v>
      </c>
      <c r="G30" s="50">
        <f>111.804*Deflactores!$W$5</f>
        <v>139.34894426964746</v>
      </c>
      <c r="H30" s="50">
        <f>143.794*Deflactores!$X$5</f>
        <v>164.00097115797604</v>
      </c>
      <c r="I30" s="50">
        <f>168.585191002*Deflactores!$Y$5</f>
        <v>182.77186247783436</v>
      </c>
      <c r="J30" s="50">
        <f>175.85005386*Deflactores!$Z$5</f>
        <v>181.39683478174621</v>
      </c>
      <c r="K30" s="50">
        <f>177.658336299*Deflactores!$AA$5</f>
        <v>177.65833629900001</v>
      </c>
    </row>
    <row r="31" spans="3:11" x14ac:dyDescent="0.2">
      <c r="C31" s="87" t="s">
        <v>160</v>
      </c>
      <c r="D31" s="42">
        <f>1391.776560443*Deflactores!$T$5</f>
        <v>2105.9006094453366</v>
      </c>
      <c r="E31" s="42">
        <f>1792.157702967*Deflactores!$U$5</f>
        <v>2668.7514239429847</v>
      </c>
      <c r="F31" s="42">
        <f>2240.342505493*Deflactores!$V$5</f>
        <v>3158.640186048538</v>
      </c>
      <c r="G31" s="42">
        <f>3061.302844798*Deflactores!$W$5</f>
        <v>3815.510353048815</v>
      </c>
      <c r="H31" s="42">
        <f>3386.444020794*Deflactores!$X$5</f>
        <v>3862.331586730581</v>
      </c>
      <c r="I31" s="42">
        <f>4117.7697776325*Deflactores!$Y$5</f>
        <v>4464.2856649484793</v>
      </c>
      <c r="J31" s="42">
        <f>4475.341877974*Deflactores!$Z$5</f>
        <v>4616.5061278684079</v>
      </c>
      <c r="K31" s="42">
        <f>4271.562797682*Deflactores!$AA$5</f>
        <v>4271.5627976819997</v>
      </c>
    </row>
    <row r="32" spans="3:11" x14ac:dyDescent="0.2">
      <c r="C32" s="88" t="s">
        <v>161</v>
      </c>
      <c r="D32" s="50">
        <f>2745.88053173099*Deflactores!$T$5</f>
        <v>4154.7987296149031</v>
      </c>
      <c r="E32" s="50">
        <f>2969.954584718*Deflactores!$U$5</f>
        <v>4422.6412183984603</v>
      </c>
      <c r="F32" s="50">
        <f>3498.837263849*Deflactores!$V$5</f>
        <v>4932.9814342854706</v>
      </c>
      <c r="G32" s="50">
        <f>3949.339071824*Deflactores!$W$5</f>
        <v>4922.3304194979046</v>
      </c>
      <c r="H32" s="50">
        <f>4435.38523878*Deflactores!$X$5</f>
        <v>5058.6775986457797</v>
      </c>
      <c r="I32" s="50">
        <f>4918.380473203*Deflactores!$Y$5</f>
        <v>5332.2688316749018</v>
      </c>
      <c r="J32" s="50">
        <f>5140.475146914*Deflactores!$Z$5</f>
        <v>5302.6194786769765</v>
      </c>
      <c r="K32" s="50">
        <f>5651.49653109*Deflactores!$AA$5</f>
        <v>5651.4965310899997</v>
      </c>
    </row>
    <row r="33" spans="1:11" x14ac:dyDescent="0.2">
      <c r="C33" s="87" t="s">
        <v>140</v>
      </c>
      <c r="D33" s="42">
        <f>4012.537771226*Deflactores!$T$5</f>
        <v>6071.3809802614032</v>
      </c>
      <c r="E33" s="42">
        <f>4360.527328086*Deflactores!$U$5</f>
        <v>6493.3814120855259</v>
      </c>
      <c r="F33" s="42">
        <f>6163.481599712*Deflactores!$V$5</f>
        <v>8689.8412269944256</v>
      </c>
      <c r="G33" s="42">
        <f>5782.76013072*Deflactores!$W$5</f>
        <v>7207.4480267292811</v>
      </c>
      <c r="H33" s="42">
        <f>9061.18469346*Deflactores!$X$5</f>
        <v>10334.527793713418</v>
      </c>
      <c r="I33" s="42">
        <f>12022.512081509*Deflactores!$Y$5</f>
        <v>13034.22270805267</v>
      </c>
      <c r="J33" s="42">
        <f>10819.91703917*Deflactores!$Z$5</f>
        <v>11161.206155040989</v>
      </c>
      <c r="K33" s="42">
        <f>13385.081165113*Deflactores!$AA$5</f>
        <v>13385.081165113001</v>
      </c>
    </row>
    <row r="34" spans="1:11" x14ac:dyDescent="0.2">
      <c r="C34" s="88" t="s">
        <v>141</v>
      </c>
      <c r="D34" s="50">
        <f>1899.029755191*Deflactores!$T$5</f>
        <v>2873.4266925278771</v>
      </c>
      <c r="E34" s="50">
        <f>2366.107585884*Deflactores!$U$5</f>
        <v>3523.4360115609179</v>
      </c>
      <c r="F34" s="50">
        <f>2863.913840026*Deflactores!$V$5</f>
        <v>4037.8082022311446</v>
      </c>
      <c r="G34" s="50">
        <f>3201.152359704*Deflactores!$W$5</f>
        <v>3989.8143337540973</v>
      </c>
      <c r="H34" s="50">
        <f>4036.230878127*Deflactores!$X$5</f>
        <v>4603.4311851025659</v>
      </c>
      <c r="I34" s="50">
        <f>4284.482677902*Deflactores!$Y$5</f>
        <v>4645.0276809003817</v>
      </c>
      <c r="J34" s="50">
        <f>4262.924786703*Deflactores!$Z$5</f>
        <v>4397.3888335354686</v>
      </c>
      <c r="K34" s="50">
        <f>5015.568652634*Deflactores!$AA$5</f>
        <v>5015.5686526339996</v>
      </c>
    </row>
    <row r="35" spans="1:11" x14ac:dyDescent="0.2">
      <c r="C35" s="87" t="s">
        <v>142</v>
      </c>
      <c r="D35" s="42">
        <f>503.671049092*Deflactores!$T$5</f>
        <v>762.105929492879</v>
      </c>
      <c r="E35" s="42">
        <f>620.581536088*Deflactores!$U$5</f>
        <v>924.125067434465</v>
      </c>
      <c r="F35" s="42">
        <f>1566.475105583*Deflactores!$V$5</f>
        <v>2208.5601673884548</v>
      </c>
      <c r="G35" s="42">
        <f>1844.900140579*Deflactores!$W$5</f>
        <v>2299.4247689940235</v>
      </c>
      <c r="H35" s="42">
        <f>1953.456582176*Deflactores!$X$5</f>
        <v>2227.9704062186502</v>
      </c>
      <c r="I35" s="42">
        <f>1520.357911235*Deflactores!$Y$5</f>
        <v>1648.2980825168347</v>
      </c>
      <c r="J35" s="42">
        <f>1145.777446661*Deflactores!$Z$5</f>
        <v>1181.9183311373054</v>
      </c>
      <c r="K35" s="42">
        <f>1626.964606431*Deflactores!$AA$5</f>
        <v>1626.964606431</v>
      </c>
    </row>
    <row r="36" spans="1:11" x14ac:dyDescent="0.2">
      <c r="C36" s="88" t="s">
        <v>143</v>
      </c>
      <c r="D36" s="50">
        <f>1646.80567894*Deflactores!$T$5</f>
        <v>2491.7858092206452</v>
      </c>
      <c r="E36" s="50">
        <f>5350.616438662*Deflactores!$U$5</f>
        <v>7967.7503916154474</v>
      </c>
      <c r="F36" s="50">
        <f>8858.598655641*Deflactores!$V$5</f>
        <v>12489.664253201239</v>
      </c>
      <c r="G36" s="50">
        <f>6111.59828805276*Deflactores!$W$5</f>
        <v>7617.3014314365928</v>
      </c>
      <c r="H36" s="50">
        <f>5605.589759101*Deflactores!$X$5</f>
        <v>6393.3277077330677</v>
      </c>
      <c r="I36" s="50">
        <f>2937.241137996*Deflactores!$Y$5</f>
        <v>3184.4139461316845</v>
      </c>
      <c r="J36" s="50">
        <f>4079.91467449*Deflactores!$Z$5</f>
        <v>4208.6060930142748</v>
      </c>
      <c r="K36" s="50">
        <f>2806.78387864*Deflactores!$AA$5</f>
        <v>2806.7838786399998</v>
      </c>
    </row>
    <row r="37" spans="1:11" x14ac:dyDescent="0.2">
      <c r="C37" s="87" t="s">
        <v>144</v>
      </c>
      <c r="D37" s="42">
        <f>4676.900083947*Deflactores!$T$5</f>
        <v>7076.6292643727129</v>
      </c>
      <c r="E37" s="42">
        <f>4875.879900141*Deflactores!$U$5</f>
        <v>7260.8071292685099</v>
      </c>
      <c r="F37" s="42">
        <f>5437.736589865*Deflactores!$V$5</f>
        <v>7666.6193993915604</v>
      </c>
      <c r="G37" s="42">
        <f>6036.03122774*Deflactores!$W$5</f>
        <v>7523.1170545257137</v>
      </c>
      <c r="H37" s="42">
        <f>7903.13935*Deflactores!$X$5</f>
        <v>9013.7455568161076</v>
      </c>
      <c r="I37" s="42">
        <f>9329.619831189*Deflactores!$Y$5</f>
        <v>10114.719938457243</v>
      </c>
      <c r="J37" s="42">
        <f>10674.585282309*Deflactores!$Z$5</f>
        <v>11011.29024595151</v>
      </c>
      <c r="K37" s="42">
        <f>10909.093609956*Deflactores!$AA$5</f>
        <v>10909.093609956</v>
      </c>
    </row>
    <row r="38" spans="1:11" x14ac:dyDescent="0.2">
      <c r="C38" s="88" t="s">
        <v>145</v>
      </c>
      <c r="D38" s="50">
        <f>1558.548428152*Deflactores!$T$5</f>
        <v>2358.2435413703661</v>
      </c>
      <c r="E38" s="50">
        <f>721.992260303*Deflactores!$U$5</f>
        <v>1075.1385715495401</v>
      </c>
      <c r="F38" s="50">
        <f>1462.382560913*Deflactores!$V$5</f>
        <v>2061.8009580905168</v>
      </c>
      <c r="G38" s="50">
        <f>3356.375904579*Deflactores!$W$5</f>
        <v>4183.2800156986032</v>
      </c>
      <c r="H38" s="50">
        <f>3461.449960849*Deflactores!$X$5</f>
        <v>3947.8779030694886</v>
      </c>
      <c r="I38" s="50">
        <f>1654.364619915*Deflactores!$Y$5</f>
        <v>1793.581636691398</v>
      </c>
      <c r="J38" s="50">
        <f>3167.017816813*Deflactores!$Z$5</f>
        <v>3266.9140273601643</v>
      </c>
      <c r="K38" s="50">
        <f>6959.731874583*Deflactores!$AA$5</f>
        <v>6959.7318745829998</v>
      </c>
    </row>
    <row r="39" spans="1:11" x14ac:dyDescent="0.2">
      <c r="C39" s="87" t="s">
        <v>146</v>
      </c>
      <c r="D39" s="42">
        <f>959.16501762*Deflactores!$T$5</f>
        <v>1451.3149973740556</v>
      </c>
      <c r="E39" s="42">
        <f>1003.22924393699*Deflactores!$U$5</f>
        <v>1493.9363142348336</v>
      </c>
      <c r="F39" s="42">
        <f>1174.83849735899*Deflactores!$V$5</f>
        <v>1656.3949845956179</v>
      </c>
      <c r="G39" s="42">
        <f>1405.86894112*Deflactores!$W$5</f>
        <v>1752.2302665965365</v>
      </c>
      <c r="H39" s="42">
        <f>1516.879293235*Deflactores!$X$5</f>
        <v>1730.0421242886648</v>
      </c>
      <c r="I39" s="42">
        <f>1643.581942235*Deflactores!$Y$5</f>
        <v>1781.8915821239812</v>
      </c>
      <c r="J39" s="42">
        <f>1904.312779417*Deflactores!$Z$5</f>
        <v>1964.3798966117272</v>
      </c>
      <c r="K39" s="42">
        <f>1900.58424424*Deflactores!$AA$5</f>
        <v>1900.5842442400001</v>
      </c>
    </row>
    <row r="40" spans="1:11" x14ac:dyDescent="0.2">
      <c r="C40" s="88" t="s">
        <v>162</v>
      </c>
      <c r="D40" s="50">
        <f>29606.450855766*Deflactores!$T$5</f>
        <v>44797.59515480393</v>
      </c>
      <c r="E40" s="50">
        <f>35388.850228688*Deflactores!$U$5</f>
        <v>52698.51212488702</v>
      </c>
      <c r="F40" s="50">
        <f>43768.7643272268*Deflactores!$V$5</f>
        <v>61709.215246640895</v>
      </c>
      <c r="G40" s="50">
        <f>42478.5528507972*Deflactores!$W$5</f>
        <v>52943.915189626598</v>
      </c>
      <c r="H40" s="50">
        <f>53903.555042168*Deflactores!$X$5</f>
        <v>61478.471812335476</v>
      </c>
      <c r="I40" s="50">
        <f>61487.047139711*Deflactores!$Y$5</f>
        <v>66661.265187011915</v>
      </c>
      <c r="J40" s="50">
        <f>66956.211520204*Deflactores!$Z$5</f>
        <v>69068.189472444763</v>
      </c>
      <c r="K40" s="50">
        <f>78200.488094091*Deflactores!$AA$5</f>
        <v>78200.488094090993</v>
      </c>
    </row>
    <row r="41" spans="1:11" x14ac:dyDescent="0.2">
      <c r="C41" s="87" t="s">
        <v>148</v>
      </c>
      <c r="D41" s="42">
        <f>429.800784122*Deflactores!$T$5</f>
        <v>650.33264602078498</v>
      </c>
      <c r="E41" s="42">
        <f>503.025491789*Deflactores!$U$5</f>
        <v>749.06912224801738</v>
      </c>
      <c r="F41" s="42">
        <f>582.429387376*Deflactores!$V$5</f>
        <v>821.16232852379505</v>
      </c>
      <c r="G41" s="42">
        <f>620.080899014*Deflactores!$W$5</f>
        <v>772.84908088596808</v>
      </c>
      <c r="H41" s="42">
        <f>739.291751364*Deflactores!$X$5</f>
        <v>843.18236639064867</v>
      </c>
      <c r="I41" s="42">
        <f>855.471019958*Deflactores!$Y$5</f>
        <v>927.46006149307243</v>
      </c>
      <c r="J41" s="42">
        <f>967.948137067*Deflactores!$Z$5</f>
        <v>998.47980960317932</v>
      </c>
      <c r="K41" s="42">
        <f>940.950692462*Deflactores!$AA$5</f>
        <v>940.95069246200001</v>
      </c>
    </row>
    <row r="42" spans="1:11" x14ac:dyDescent="0.2">
      <c r="C42" s="88" t="s">
        <v>149</v>
      </c>
      <c r="D42" s="50">
        <f>1645.95750466*Deflactores!$T$5</f>
        <v>2490.5024345871484</v>
      </c>
      <c r="E42" s="50">
        <f>1586.174678535*Deflactores!$U$5</f>
        <v>2362.01642576124</v>
      </c>
      <c r="F42" s="50">
        <f>2461.979634962*Deflactores!$V$5</f>
        <v>3471.1245236642153</v>
      </c>
      <c r="G42" s="50">
        <f>2496.632010958*Deflactores!$W$5</f>
        <v>3111.7226124003096</v>
      </c>
      <c r="H42" s="50">
        <f>2524.151871332*Deflactores!$X$5</f>
        <v>2878.8639181653652</v>
      </c>
      <c r="I42" s="50">
        <f>4053.1163937*Deflactores!$Y$5</f>
        <v>4394.1916114518262</v>
      </c>
      <c r="J42" s="50">
        <f>2718.263578087*Deflactores!$Z$5</f>
        <v>2804.0048799760193</v>
      </c>
      <c r="K42" s="50">
        <f>2282.869134151*Deflactores!$AA$5</f>
        <v>2282.8691341509998</v>
      </c>
    </row>
    <row r="43" spans="1:11" x14ac:dyDescent="0.2">
      <c r="C43" s="87" t="s">
        <v>163</v>
      </c>
      <c r="D43" s="42">
        <f>28041.535374478*Deflactores!$T$5</f>
        <v>42429.717609340834</v>
      </c>
      <c r="E43" s="42">
        <f>32448.046870778*Deflactores!$U$5</f>
        <v>48319.280801680667</v>
      </c>
      <c r="F43" s="42">
        <f>27886.887919046*Deflactores!$V$5</f>
        <v>39317.490352015026</v>
      </c>
      <c r="G43" s="42">
        <f>34591.99877187*Deflactores!$W$5</f>
        <v>43114.36539870689</v>
      </c>
      <c r="H43" s="42">
        <f>34711.54588959*Deflactores!$X$5</f>
        <v>39589.462955946772</v>
      </c>
      <c r="I43" s="42">
        <f>40174.994210283*Deflactores!$Y$5</f>
        <v>43555.774224335786</v>
      </c>
      <c r="J43" s="42">
        <f>51823.195509414*Deflactores!$Z$5</f>
        <v>53457.837670993271</v>
      </c>
      <c r="K43" s="42">
        <f>56790.944892292*Deflactores!$AA$5</f>
        <v>56790.944892291998</v>
      </c>
    </row>
    <row r="44" spans="1:11" x14ac:dyDescent="0.2">
      <c r="C44" s="88" t="s">
        <v>150</v>
      </c>
      <c r="D44" s="50">
        <f>7633.186440715*Deflactores!$T$5</f>
        <v>11549.793576344637</v>
      </c>
      <c r="E44" s="50">
        <f>7933.828892121*Deflactores!$U$5</f>
        <v>11814.483244479175</v>
      </c>
      <c r="F44" s="50">
        <f>11455.697322833*Deflactores!$V$5</f>
        <v>16151.291971825704</v>
      </c>
      <c r="G44" s="50">
        <f>12451.317294153*Deflactores!$W$5</f>
        <v>15518.925259441736</v>
      </c>
      <c r="H44" s="50">
        <f>12924.417737235*Deflactores!$X$5</f>
        <v>14740.650239633858</v>
      </c>
      <c r="I44" s="50">
        <f>14331.46179591*Deflactores!$Y$5</f>
        <v>15537.473658865591</v>
      </c>
      <c r="J44" s="50">
        <f>13656.534542579*Deflactores!$Z$5</f>
        <v>14087.298159622031</v>
      </c>
      <c r="K44" s="50">
        <f>17794.014517034*Deflactores!$AA$5</f>
        <v>17794.014517034</v>
      </c>
    </row>
    <row r="45" spans="1:11" x14ac:dyDescent="0.2">
      <c r="C45" s="87" t="s">
        <v>151</v>
      </c>
      <c r="D45" s="42">
        <f>4150.67212431*Deflactores!$T$5</f>
        <v>6280.3924168761569</v>
      </c>
      <c r="E45" s="42">
        <f>4367.675378358*Deflactores!$U$5</f>
        <v>6504.0257707322189</v>
      </c>
      <c r="F45" s="42">
        <f>5976.574657216*Deflactores!$V$5</f>
        <v>8426.322689908322</v>
      </c>
      <c r="G45" s="42">
        <f>5824.493172477*Deflactores!$W$5</f>
        <v>7259.4627606386139</v>
      </c>
      <c r="H45" s="42">
        <f>7950.394320144*Deflactores!$X$5</f>
        <v>9067.6411365736567</v>
      </c>
      <c r="I45" s="42">
        <f>9141.143100719*Deflactores!$Y$5</f>
        <v>9910.3826366041649</v>
      </c>
      <c r="J45" s="42">
        <f>8343.751804098*Deflactores!$Z$5</f>
        <v>8606.9360471895725</v>
      </c>
      <c r="K45" s="42">
        <f>7276.872469107*Deflactores!$AA$5</f>
        <v>7276.8724691070001</v>
      </c>
    </row>
    <row r="46" spans="1:11" ht="11.25" customHeight="1" x14ac:dyDescent="0.2">
      <c r="C46" s="79" t="s">
        <v>152</v>
      </c>
      <c r="D46" s="44">
        <f t="shared" ref="D46:K46" si="0">SUM(D15:D45)</f>
        <v>300315.1541801776</v>
      </c>
      <c r="E46" s="44">
        <f t="shared" si="0"/>
        <v>380631.02373183926</v>
      </c>
      <c r="F46" s="44">
        <f t="shared" si="0"/>
        <v>385543.91438932176</v>
      </c>
      <c r="G46" s="44">
        <f t="shared" si="0"/>
        <v>350222.0882174336</v>
      </c>
      <c r="H46" s="44">
        <f t="shared" si="0"/>
        <v>393110.84566691762</v>
      </c>
      <c r="I46" s="44">
        <f t="shared" si="0"/>
        <v>412805.00598031341</v>
      </c>
      <c r="J46" s="44">
        <f t="shared" si="0"/>
        <v>410423.73807070387</v>
      </c>
      <c r="K46" s="44">
        <f t="shared" si="0"/>
        <v>446566.89131929295</v>
      </c>
    </row>
    <row r="47" spans="1:11" s="31" customFormat="1" x14ac:dyDescent="0.2">
      <c r="A47" s="5"/>
      <c r="B47" s="5"/>
      <c r="C47" s="72" t="str">
        <f>+'C1 Aprop Resumen 2000-2026'!B20</f>
        <v>* Información con corte a 28 de febrero</v>
      </c>
      <c r="D47" s="123">
        <f>+D46-'C5 Ejecución PGN 2019-2026'!D33</f>
        <v>1.280568540096283E-9</v>
      </c>
      <c r="E47" s="123">
        <f>+E46-'C5 Ejecución PGN 2019-2026'!E33</f>
        <v>6.4028427004814148E-10</v>
      </c>
      <c r="F47" s="123">
        <f>+F46-'C5 Ejecución PGN 2019-2026'!F33</f>
        <v>0</v>
      </c>
      <c r="G47" s="123">
        <f>+G46-'C5 Ejecución PGN 2019-2026'!G33</f>
        <v>0</v>
      </c>
      <c r="H47" s="123">
        <f>+H46-'C5 Ejecución PGN 2019-2026'!H33</f>
        <v>0</v>
      </c>
      <c r="I47" s="123">
        <f>+I46-'C5 Ejecución PGN 2019-2026'!I33</f>
        <v>0</v>
      </c>
      <c r="J47" s="123">
        <f>+J46-'C5 Ejecución PGN 2019-2026'!J33</f>
        <v>8.7311491370201111E-10</v>
      </c>
      <c r="K47" s="123">
        <f>+K46-'C5 Ejecución PGN 2019-2026'!K33</f>
        <v>0</v>
      </c>
    </row>
    <row r="48" spans="1:11" x14ac:dyDescent="0.2">
      <c r="C48" s="1" t="s">
        <v>52</v>
      </c>
      <c r="D48" s="10"/>
    </row>
    <row r="49" spans="3:11" x14ac:dyDescent="0.2">
      <c r="D49" s="10"/>
    </row>
    <row r="50" spans="3:11" x14ac:dyDescent="0.2">
      <c r="D50" s="10"/>
    </row>
    <row r="52" spans="3:11" ht="18" customHeight="1" x14ac:dyDescent="0.2">
      <c r="C52" s="160" t="s">
        <v>153</v>
      </c>
      <c r="D52" s="158"/>
      <c r="E52" s="178"/>
      <c r="F52" s="178"/>
      <c r="G52" s="178"/>
      <c r="H52" s="178"/>
      <c r="I52" s="178"/>
      <c r="J52" s="178"/>
      <c r="K52" s="178"/>
    </row>
    <row r="53" spans="3:11" ht="11.25" hidden="1" customHeight="1" x14ac:dyDescent="0.2">
      <c r="D53" s="28"/>
    </row>
    <row r="54" spans="3:11" x14ac:dyDescent="0.2">
      <c r="C54" s="2"/>
      <c r="D54" s="2"/>
      <c r="E54" s="2"/>
      <c r="F54" s="2"/>
      <c r="G54" s="2"/>
      <c r="H54" s="2"/>
      <c r="I54" s="2"/>
      <c r="J54" s="2"/>
      <c r="K54" s="2"/>
    </row>
    <row r="55" spans="3:11" ht="12" thickBot="1" x14ac:dyDescent="0.25">
      <c r="C55" s="177" t="s">
        <v>120</v>
      </c>
      <c r="D55" s="153">
        <v>2019</v>
      </c>
      <c r="E55" s="153">
        <v>2020</v>
      </c>
      <c r="F55" s="153">
        <v>2021</v>
      </c>
      <c r="G55" s="153">
        <v>2022</v>
      </c>
      <c r="H55" s="153">
        <v>2023</v>
      </c>
      <c r="I55" s="153">
        <v>2024</v>
      </c>
      <c r="J55" s="153">
        <v>2025</v>
      </c>
      <c r="K55" s="153" t="s">
        <v>36</v>
      </c>
    </row>
    <row r="56" spans="3:11" ht="12" customHeight="1" thickBot="1" x14ac:dyDescent="0.25">
      <c r="C56" s="156"/>
      <c r="D56" s="154"/>
      <c r="E56" s="154"/>
      <c r="F56" s="154"/>
      <c r="G56" s="154"/>
      <c r="H56" s="154"/>
      <c r="I56" s="154"/>
      <c r="J56" s="154"/>
      <c r="K56" s="154"/>
    </row>
    <row r="57" spans="3:11" x14ac:dyDescent="0.2">
      <c r="C57" s="87" t="s">
        <v>123</v>
      </c>
      <c r="D57" s="42">
        <f>2170.16848813051*Deflactores!$T$5</f>
        <v>3283.6873903799842</v>
      </c>
      <c r="E57" s="42">
        <f>1689.81106689193*Deflactores!$U$5</f>
        <v>2516.3442276851301</v>
      </c>
      <c r="F57" s="42">
        <f>2238.51324990438*Deflactores!$V$5</f>
        <v>3156.0611338729882</v>
      </c>
      <c r="G57" s="42">
        <f>2320.68845109962*Deflactores!$W$5</f>
        <v>2892.4321637821135</v>
      </c>
      <c r="H57" s="42">
        <f>4885.06407646223*Deflactores!$X$5</f>
        <v>5571.5485535470671</v>
      </c>
      <c r="I57" s="42">
        <f>7648.29609229934*Deflactores!$Y$5</f>
        <v>8291.9105365245814</v>
      </c>
      <c r="J57" s="42">
        <f>4803.21542289899*Deflactores!$Z$5</f>
        <v>4954.7216811341123</v>
      </c>
      <c r="K57" s="42">
        <f>1596.79351512604*Deflactores!$AA$5</f>
        <v>1596.7935151260399</v>
      </c>
    </row>
    <row r="58" spans="3:11" x14ac:dyDescent="0.2">
      <c r="C58" s="88" t="s">
        <v>124</v>
      </c>
      <c r="D58" s="50">
        <f>600.708108260279*Deflactores!$T$5</f>
        <v>908.93294745632102</v>
      </c>
      <c r="E58" s="50">
        <f>700.37412629753*Deflactores!$U$5</f>
        <v>1042.9464124473727</v>
      </c>
      <c r="F58" s="50">
        <f>971.82085565652*Deflactores!$V$5</f>
        <v>1370.1621072628225</v>
      </c>
      <c r="G58" s="50">
        <f>1175.17090904948*Deflactores!$W$5</f>
        <v>1464.6955879257175</v>
      </c>
      <c r="H58" s="50">
        <f>1734.03008800097*Deflactores!$X$5</f>
        <v>1977.708516692697</v>
      </c>
      <c r="I58" s="50">
        <f>1989.99632898314*Deflactores!$Y$5</f>
        <v>2157.4572073058707</v>
      </c>
      <c r="J58" s="50">
        <f>1721.70922185792*Deflactores!$Z$5</f>
        <v>1776.0165345653647</v>
      </c>
      <c r="K58" s="50">
        <f>809.35584094805*Deflactores!$AA$5</f>
        <v>809.35584094804994</v>
      </c>
    </row>
    <row r="59" spans="3:11" x14ac:dyDescent="0.2">
      <c r="C59" s="87" t="s">
        <v>125</v>
      </c>
      <c r="D59" s="42">
        <f>350.05227755947*Deflactores!$T$5</f>
        <v>529.6649804301735</v>
      </c>
      <c r="E59" s="42">
        <f>266.59040046537*Deflactores!$U$5</f>
        <v>396.98711205695008</v>
      </c>
      <c r="F59" s="42">
        <f>407.942990848219*Deflactores!$V$5</f>
        <v>575.15541545575593</v>
      </c>
      <c r="G59" s="42">
        <f>327.21257468423*Deflactores!$W$5</f>
        <v>407.82733027441429</v>
      </c>
      <c r="H59" s="42">
        <f>477.96120264284*Deflactores!$X$5</f>
        <v>545.12776200161295</v>
      </c>
      <c r="I59" s="42">
        <f>368.51494771048*Deflactores!$Y$5</f>
        <v>399.52597819322762</v>
      </c>
      <c r="J59" s="42">
        <f>274.46519305375*Deflactores!$Z$5</f>
        <v>283.12255916252559</v>
      </c>
      <c r="K59" s="42">
        <f>171.83689025773*Deflactores!$AA$5</f>
        <v>171.83689025773</v>
      </c>
    </row>
    <row r="60" spans="3:11" x14ac:dyDescent="0.2">
      <c r="C60" s="88" t="s">
        <v>126</v>
      </c>
      <c r="D60" s="50">
        <f>976.4509432795*Deflactores!$T$5</f>
        <v>1477.4703749079185</v>
      </c>
      <c r="E60" s="50">
        <f>1067.5634805982*Deflactores!$U$5</f>
        <v>1589.7381989761402</v>
      </c>
      <c r="F60" s="50">
        <f>1113.35901372511*Deflactores!$V$5</f>
        <v>1569.7155741271929</v>
      </c>
      <c r="G60" s="50">
        <f>1118.1048842095*Deflactores!$W$5</f>
        <v>1393.5703123084168</v>
      </c>
      <c r="H60" s="50">
        <f>1388.5587161213*Deflactores!$X$5</f>
        <v>1583.6890131282635</v>
      </c>
      <c r="I60" s="50">
        <f>1396.33989793693*Deflactores!$Y$5</f>
        <v>1513.8437859290625</v>
      </c>
      <c r="J60" s="50">
        <f>1395.89331071355*Deflactores!$Z$5</f>
        <v>1439.9235183518331</v>
      </c>
      <c r="K60" s="50">
        <f>1085.4681052546*Deflactores!$AA$5</f>
        <v>1085.4681052546</v>
      </c>
    </row>
    <row r="61" spans="3:11" x14ac:dyDescent="0.2">
      <c r="C61" s="87" t="s">
        <v>127</v>
      </c>
      <c r="D61" s="42">
        <f>636.93320394978*Deflactores!$T$5</f>
        <v>963.74523073364105</v>
      </c>
      <c r="E61" s="42">
        <f>684.61391961214*Deflactores!$U$5</f>
        <v>1019.4774543508626</v>
      </c>
      <c r="F61" s="42">
        <f>745.77291119638*Deflactores!$V$5</f>
        <v>1051.4589984324405</v>
      </c>
      <c r="G61" s="42">
        <f>918.75331715076*Deflactores!$W$5</f>
        <v>1145.1048691388053</v>
      </c>
      <c r="H61" s="42">
        <f>1160.37816599849*Deflactores!$X$5</f>
        <v>1323.4428845032717</v>
      </c>
      <c r="I61" s="42">
        <f>1303.64901856052*Deflactores!$Y$5</f>
        <v>1413.3528438857977</v>
      </c>
      <c r="J61" s="42">
        <f>1355.00451363828*Deflactores!$Z$5</f>
        <v>1397.7449792801756</v>
      </c>
      <c r="K61" s="42">
        <f>502.01442689749*Deflactores!$AA$5</f>
        <v>502.01442689749001</v>
      </c>
    </row>
    <row r="62" spans="3:11" x14ac:dyDescent="0.2">
      <c r="C62" s="88" t="s">
        <v>128</v>
      </c>
      <c r="D62" s="50">
        <f>380.6540770864*Deflactores!$T$5</f>
        <v>575.96864015941435</v>
      </c>
      <c r="E62" s="50">
        <f>378.59275478459*Deflactores!$U$5</f>
        <v>563.77290444538312</v>
      </c>
      <c r="F62" s="50">
        <f>596.05614597509*Deflactores!$V$5</f>
        <v>840.37458165524038</v>
      </c>
      <c r="G62" s="50">
        <f>558.826014670762*Deflactores!$W$5</f>
        <v>696.50294421295484</v>
      </c>
      <c r="H62" s="50">
        <f>792.501052349615*Deflactores!$X$5</f>
        <v>903.8690225534782</v>
      </c>
      <c r="I62" s="50">
        <f>1303.89112966278*Deflactores!$Y$5</f>
        <v>1413.6153289642534</v>
      </c>
      <c r="J62" s="50">
        <f>1070.81864848502*Deflactores!$Z$5</f>
        <v>1104.5951320270467</v>
      </c>
      <c r="K62" s="50">
        <f>401.22306841277*Deflactores!$AA$5</f>
        <v>401.22306841276998</v>
      </c>
    </row>
    <row r="63" spans="3:11" x14ac:dyDescent="0.2">
      <c r="C63" s="87" t="s">
        <v>129</v>
      </c>
      <c r="D63" s="42">
        <f>33397.5855028137*Deflactores!$T$5</f>
        <v>50533.970511754815</v>
      </c>
      <c r="E63" s="42">
        <f>35282.1520852691*Deflactores!$U$5</f>
        <v>52539.624979124208</v>
      </c>
      <c r="F63" s="42">
        <f>37771.9378196742*Deflactores!$V$5</f>
        <v>53254.339642096449</v>
      </c>
      <c r="G63" s="42">
        <f>41583.3821665885*Deflactores!$W$5</f>
        <v>51828.202963001255</v>
      </c>
      <c r="H63" s="42">
        <f>47261.6466191519*Deflactores!$X$5</f>
        <v>53903.194459198472</v>
      </c>
      <c r="I63" s="42">
        <f>55176.933678796*Deflactores!$Y$5</f>
        <v>59820.147157349362</v>
      </c>
      <c r="J63" s="42">
        <f>59824.8169667394*Deflactores!$Z$5</f>
        <v>61711.851665416572</v>
      </c>
      <c r="K63" s="42">
        <f>13456.9891424095*Deflactores!$AA$5</f>
        <v>13456.9891424095</v>
      </c>
    </row>
    <row r="64" spans="3:11" x14ac:dyDescent="0.2">
      <c r="C64" s="88" t="s">
        <v>130</v>
      </c>
      <c r="D64" s="50">
        <f>481.20349976978*Deflactores!$T$5</f>
        <v>728.11022417984657</v>
      </c>
      <c r="E64" s="50">
        <f>442.03751439524*Deflactores!$U$5</f>
        <v>658.25024439840638</v>
      </c>
      <c r="F64" s="50">
        <f>733.24381649454*Deflactores!$V$5</f>
        <v>1033.7943324614973</v>
      </c>
      <c r="G64" s="50">
        <f>878.918898690879*Deflactores!$W$5</f>
        <v>1095.456518829516</v>
      </c>
      <c r="H64" s="50">
        <f>698.67283655832*Deflactores!$X$5</f>
        <v>796.85538838381524</v>
      </c>
      <c r="I64" s="50">
        <f>992.07376549019*Deflactores!$Y$5</f>
        <v>1075.5581125265576</v>
      </c>
      <c r="J64" s="50">
        <f>442.663697727819*Deflactores!$Z$5</f>
        <v>456.62649443677589</v>
      </c>
      <c r="K64" s="50">
        <f>355.43062890353*Deflactores!$AA$5</f>
        <v>355.43062890353002</v>
      </c>
    </row>
    <row r="65" spans="3:11" x14ac:dyDescent="0.2">
      <c r="C65" s="87" t="s">
        <v>131</v>
      </c>
      <c r="D65" s="42">
        <f>41451.2824638468*Deflactores!$T$5</f>
        <v>62720.039612623434</v>
      </c>
      <c r="E65" s="42">
        <f>44600.9108912985*Deflactores!$U$5</f>
        <v>66416.445524436524</v>
      </c>
      <c r="F65" s="42">
        <f>48077.6487466862*Deflactores!$V$5</f>
        <v>67784.275399707927</v>
      </c>
      <c r="G65" s="42">
        <f>49718.5270445629*Deflactores!$W$5</f>
        <v>61967.588407407202</v>
      </c>
      <c r="H65" s="42">
        <f>58534.3213381786*Deflactores!$X$5</f>
        <v>66759.986825141023</v>
      </c>
      <c r="I65" s="42">
        <f>70028.265096824*Deflactores!$Y$5</f>
        <v>75921.238169052478</v>
      </c>
      <c r="J65" s="42">
        <f>79897.7332578814*Deflactores!$Z$5</f>
        <v>82417.921411354531</v>
      </c>
      <c r="K65" s="42">
        <f>31727.2234384522*Deflactores!$AA$5</f>
        <v>31727.223438452202</v>
      </c>
    </row>
    <row r="66" spans="3:11" x14ac:dyDescent="0.2">
      <c r="C66" s="88" t="s">
        <v>132</v>
      </c>
      <c r="D66" s="50">
        <f>380.213350965309*Deflactores!$T$5</f>
        <v>575.30177635858377</v>
      </c>
      <c r="E66" s="50">
        <f>265.16960242325*Deflactores!$U$5</f>
        <v>394.87136253793972</v>
      </c>
      <c r="F66" s="50">
        <f>310.19876461531*Deflactores!$V$5</f>
        <v>437.3466472979843</v>
      </c>
      <c r="G66" s="50">
        <f>368.80679494614*Deflactores!$W$5</f>
        <v>459.6690414941948</v>
      </c>
      <c r="H66" s="50">
        <f>463.261279942059*Deflactores!$X$5</f>
        <v>528.36210002075654</v>
      </c>
      <c r="I66" s="50">
        <f>512.60605140363*Deflactores!$Y$5</f>
        <v>555.74254283899984</v>
      </c>
      <c r="J66" s="50">
        <f>555.002396021919*Deflactores!$Z$5</f>
        <v>572.50865566872415</v>
      </c>
      <c r="K66" s="50">
        <f>224.038889928039*Deflactores!$AA$5</f>
        <v>224.038889928039</v>
      </c>
    </row>
    <row r="67" spans="3:11" x14ac:dyDescent="0.2">
      <c r="C67" s="87" t="s">
        <v>133</v>
      </c>
      <c r="D67" s="42">
        <f>3843.94764242425*Deflactores!$T$5</f>
        <v>5816.2868329098574</v>
      </c>
      <c r="E67" s="42">
        <f>3957.24053004392*Deflactores!$U$5</f>
        <v>5892.835927304588</v>
      </c>
      <c r="F67" s="42">
        <f>4297.76965795354*Deflactores!$V$5</f>
        <v>6059.3895436558951</v>
      </c>
      <c r="G67" s="42">
        <f>4726.82737806561*Deflactores!$W$5</f>
        <v>5891.3670788013706</v>
      </c>
      <c r="H67" s="42">
        <f>5418.69992342898*Deflactores!$X$5</f>
        <v>6180.1747628969424</v>
      </c>
      <c r="I67" s="42">
        <f>5944.0493685825*Deflactores!$Y$5</f>
        <v>6444.2491496369357</v>
      </c>
      <c r="J67" s="42">
        <f>6831.44200224541*Deflactores!$Z$5</f>
        <v>7046.9239502705041</v>
      </c>
      <c r="K67" s="42">
        <f>1253.4264140425*Deflactores!$AA$5</f>
        <v>1253.4264140425</v>
      </c>
    </row>
    <row r="68" spans="3:11" x14ac:dyDescent="0.2">
      <c r="C68" s="88" t="s">
        <v>134</v>
      </c>
      <c r="D68" s="50">
        <f>9610.03349175406*Deflactores!$T$5</f>
        <v>14540.965814680283</v>
      </c>
      <c r="E68" s="50">
        <f>20809.1064035911*Deflactores!$U$5</f>
        <v>30987.413804948734</v>
      </c>
      <c r="F68" s="50">
        <f>21610.7171386871*Deflactores!$V$5</f>
        <v>30468.769590462176</v>
      </c>
      <c r="G68" s="50">
        <f>16943.7736764411*Deflactores!$W$5</f>
        <v>21118.179794604039</v>
      </c>
      <c r="H68" s="50">
        <f>37230.5689376635*Deflactores!$X$5</f>
        <v>42462.477311576207</v>
      </c>
      <c r="I68" s="50">
        <f>27912.2780049014*Deflactores!$Y$5</f>
        <v>30261.133891021291</v>
      </c>
      <c r="J68" s="50">
        <f>22962.5846076501*Deflactores!$Z$5</f>
        <v>23686.885928121112</v>
      </c>
      <c r="K68" s="50">
        <f>6099.82772283367*Deflactores!$AA$5</f>
        <v>6099.8277228336701</v>
      </c>
    </row>
    <row r="69" spans="3:11" x14ac:dyDescent="0.2">
      <c r="C69" s="87" t="s">
        <v>135</v>
      </c>
      <c r="D69" s="42">
        <f>0*Deflactores!$T$5</f>
        <v>0</v>
      </c>
      <c r="E69" s="42">
        <f>0*Deflactores!$U$5</f>
        <v>0</v>
      </c>
      <c r="F69" s="42">
        <f>0*Deflactores!$V$5</f>
        <v>0</v>
      </c>
      <c r="G69" s="42">
        <f>0*Deflactores!$W$5</f>
        <v>0</v>
      </c>
      <c r="H69" s="42">
        <f>471.96114025259*Deflactores!$X$5</f>
        <v>538.28452752027545</v>
      </c>
      <c r="I69" s="42">
        <f>12132.7832693835*Deflactores!$Y$5</f>
        <v>13153.773365294128</v>
      </c>
      <c r="J69" s="42">
        <f>11214.4998242092*Deflactores!$Z$5</f>
        <v>11568.235136234596</v>
      </c>
      <c r="K69" s="42">
        <f>5925.92849835667*Deflactores!$AA$5</f>
        <v>5925.9284983566704</v>
      </c>
    </row>
    <row r="70" spans="3:11" x14ac:dyDescent="0.2">
      <c r="C70" s="88" t="s">
        <v>136</v>
      </c>
      <c r="D70" s="50">
        <f>11336.7466767539*Deflactores!$T$5</f>
        <v>17153.65987203029</v>
      </c>
      <c r="E70" s="50">
        <f>17890.7288947123*Deflactores!$U$5</f>
        <v>26641.57743154846</v>
      </c>
      <c r="F70" s="50">
        <f>23172.8787451468*Deflactores!$V$5</f>
        <v>32671.248191465165</v>
      </c>
      <c r="G70" s="50">
        <f>23019.7706125691*Deflactores!$W$5</f>
        <v>28691.108835023431</v>
      </c>
      <c r="H70" s="50">
        <f>20201.0559916169*Deflactores!$X$5</f>
        <v>23039.854243166068</v>
      </c>
      <c r="I70" s="50">
        <f>12990.9072253736*Deflactores!$Y$5</f>
        <v>14084.109610968855</v>
      </c>
      <c r="J70" s="50">
        <f>10759.3424544948*Deflactores!$Z$5</f>
        <v>11098.720885988705</v>
      </c>
      <c r="K70" s="50">
        <f>2390.43346627294*Deflactores!$AA$5</f>
        <v>2390.4334662729402</v>
      </c>
    </row>
    <row r="71" spans="3:11" x14ac:dyDescent="0.2">
      <c r="C71" s="87" t="s">
        <v>137</v>
      </c>
      <c r="D71" s="42">
        <f>358.38379065105*Deflactores!$T$5</f>
        <v>542.27141381598619</v>
      </c>
      <c r="E71" s="42">
        <f>345.342216813169*Deflactores!$U$5</f>
        <v>514.25861203060776</v>
      </c>
      <c r="F71" s="42">
        <f>426.95631982085*Deflactores!$V$5</f>
        <v>601.96214916556323</v>
      </c>
      <c r="G71" s="42">
        <f>453.083012164349*Deflactores!$W$5</f>
        <v>564.70823415632594</v>
      </c>
      <c r="H71" s="42">
        <f>857.613594531929*Deflactores!$X$5</f>
        <v>978.13164931442918</v>
      </c>
      <c r="I71" s="42">
        <f>1224.66662809728*Deflactores!$Y$5</f>
        <v>1327.7239786093294</v>
      </c>
      <c r="J71" s="42">
        <f>985.245143734579*Deflactores!$Z$5</f>
        <v>1016.3224101132454</v>
      </c>
      <c r="K71" s="42">
        <f>333.72790632989*Deflactores!$AA$5</f>
        <v>333.72790632989</v>
      </c>
    </row>
    <row r="72" spans="3:11" x14ac:dyDescent="0.2">
      <c r="C72" s="88" t="s">
        <v>138</v>
      </c>
      <c r="D72" s="50">
        <f>94.5223990089999*Deflactores!$T$5</f>
        <v>143.02207936015918</v>
      </c>
      <c r="E72" s="50">
        <f>98.9260034643899*Deflactores!$U$5</f>
        <v>147.31343797116747</v>
      </c>
      <c r="F72" s="50">
        <f>113.94134567572*Deflactores!$V$5</f>
        <v>160.64495157385727</v>
      </c>
      <c r="G72" s="50">
        <f>107.24716079672*Deflactores!$W$5</f>
        <v>133.66944503720845</v>
      </c>
      <c r="H72" s="50">
        <f>134.17444472116*Deflactores!$X$5</f>
        <v>153.02960651245814</v>
      </c>
      <c r="I72" s="50">
        <f>163.26377849481*Deflactores!$Y$5</f>
        <v>177.00264592226858</v>
      </c>
      <c r="J72" s="50">
        <f>172.35737484458*Deflactores!$Z$5</f>
        <v>177.79398733075701</v>
      </c>
      <c r="K72" s="50">
        <f>32.96532098546*Deflactores!$AA$5</f>
        <v>32.965320985459996</v>
      </c>
    </row>
    <row r="73" spans="3:11" x14ac:dyDescent="0.2">
      <c r="C73" s="87" t="s">
        <v>160</v>
      </c>
      <c r="D73" s="42">
        <f>1367.89386711711*Deflactores!$T$5</f>
        <v>2069.7636461858174</v>
      </c>
      <c r="E73" s="42">
        <f>1746.07565140095*Deflactores!$U$5</f>
        <v>2600.1293710223581</v>
      </c>
      <c r="F73" s="42">
        <f>2171.37453217763*Deflactores!$V$5</f>
        <v>3061.4028165257419</v>
      </c>
      <c r="G73" s="42">
        <f>2650.92354831416*Deflactores!$W$5</f>
        <v>3304.0266698608812</v>
      </c>
      <c r="H73" s="42">
        <f>3239.91891078508*Deflactores!$X$5</f>
        <v>3695.2157102649967</v>
      </c>
      <c r="I73" s="42">
        <f>3704.19655540427*Deflactores!$Y$5</f>
        <v>4015.9096975913212</v>
      </c>
      <c r="J73" s="42">
        <f>4388.62524446159*Deflactores!$Z$5</f>
        <v>4527.0542198547591</v>
      </c>
      <c r="K73" s="42">
        <f>2470.58996499759*Deflactores!$AA$5</f>
        <v>2470.58996499759</v>
      </c>
    </row>
    <row r="74" spans="3:11" x14ac:dyDescent="0.2">
      <c r="C74" s="88" t="s">
        <v>161</v>
      </c>
      <c r="D74" s="50">
        <f>2641.48284569572*Deflactores!$T$5</f>
        <v>3996.8343286507279</v>
      </c>
      <c r="E74" s="50">
        <f>2836.67331062726*Deflactores!$U$5</f>
        <v>4224.1684001717331</v>
      </c>
      <c r="F74" s="50">
        <f>3021.13678697405*Deflactores!$V$5</f>
        <v>4259.4755219295703</v>
      </c>
      <c r="G74" s="50">
        <f>3420.63927574594*Deflactores!$W$5</f>
        <v>4263.3758345183369</v>
      </c>
      <c r="H74" s="50">
        <f>4019.17551076429*Deflactores!$X$5</f>
        <v>4583.9790743681779</v>
      </c>
      <c r="I74" s="50">
        <f>4624.87924402088*Deflactores!$Y$5</f>
        <v>5014.069077720751</v>
      </c>
      <c r="J74" s="50">
        <f>4994.68371336131*Deflactores!$Z$5</f>
        <v>5152.2293934637764</v>
      </c>
      <c r="K74" s="50">
        <f>1620.71656321078*Deflactores!$AA$5</f>
        <v>1620.7165632107799</v>
      </c>
    </row>
    <row r="75" spans="3:11" x14ac:dyDescent="0.2">
      <c r="C75" s="87" t="s">
        <v>140</v>
      </c>
      <c r="D75" s="42">
        <f>3881.05113185577*Deflactores!$T$5</f>
        <v>5872.42821596456</v>
      </c>
      <c r="E75" s="42">
        <f>4237.85861385832*Deflactores!$U$5</f>
        <v>6310.7120492128288</v>
      </c>
      <c r="F75" s="42">
        <f>5858.3965714822*Deflactores!$V$5</f>
        <v>8259.7043939139203</v>
      </c>
      <c r="G75" s="42">
        <f>5339.8827333078*Deflactores!$W$5</f>
        <v>6655.4597457171594</v>
      </c>
      <c r="H75" s="42">
        <f>8358.5280043405*Deflactores!$X$5</f>
        <v>9533.1287130407472</v>
      </c>
      <c r="I75" s="42">
        <f>11736.8792140492*Deflactores!$Y$5</f>
        <v>12724.553449085002</v>
      </c>
      <c r="J75" s="42">
        <f>10373.6765253631*Deflactores!$Z$5</f>
        <v>10700.890022181591</v>
      </c>
      <c r="K75" s="42">
        <f>4641.52092324247*Deflactores!$AA$5</f>
        <v>4641.5209232424704</v>
      </c>
    </row>
    <row r="76" spans="3:11" x14ac:dyDescent="0.2">
      <c r="C76" s="88" t="s">
        <v>141</v>
      </c>
      <c r="D76" s="50">
        <f>1817.30651028193*Deflactores!$T$5</f>
        <v>2749.7710453850045</v>
      </c>
      <c r="E76" s="50">
        <f>2048.1713256022*Deflactores!$U$5</f>
        <v>3049.9883646571648</v>
      </c>
      <c r="F76" s="50">
        <f>2548.43823871675*Deflactores!$V$5</f>
        <v>3593.0217869531184</v>
      </c>
      <c r="G76" s="50">
        <f>2903.06821430798*Deflactores!$W$5</f>
        <v>3618.2917499068694</v>
      </c>
      <c r="H76" s="50">
        <f>3731.92070145032*Deflactores!$X$5</f>
        <v>4256.3571450992913</v>
      </c>
      <c r="I76" s="50">
        <f>3906.53116922285*Deflactores!$Y$5</f>
        <v>4235.2710423900853</v>
      </c>
      <c r="J76" s="50">
        <f>4140.06778077655*Deflactores!$Z$5</f>
        <v>4270.6565891224936</v>
      </c>
      <c r="K76" s="50">
        <f>930.05428793426*Deflactores!$AA$5</f>
        <v>930.05428793425995</v>
      </c>
    </row>
    <row r="77" spans="3:11" x14ac:dyDescent="0.2">
      <c r="C77" s="87" t="s">
        <v>142</v>
      </c>
      <c r="D77" s="42">
        <f>483.20371860445*Deflactores!$T$5</f>
        <v>731.13676032269893</v>
      </c>
      <c r="E77" s="42">
        <f>575.31848067242*Deflactores!$U$5</f>
        <v>856.72260425147829</v>
      </c>
      <c r="F77" s="42">
        <f>1037.5394048209*Deflactores!$V$5</f>
        <v>1462.8181408159321</v>
      </c>
      <c r="G77" s="42">
        <f>1644.44360009547*Deflactores!$W$5</f>
        <v>2049.5821221448432</v>
      </c>
      <c r="H77" s="42">
        <f>1809.38320760855*Deflactores!$X$5</f>
        <v>2063.6508007617558</v>
      </c>
      <c r="I77" s="42">
        <f>1329.08104398902*Deflactores!$Y$5</f>
        <v>1440.9250085968454</v>
      </c>
      <c r="J77" s="42">
        <f>1070.20453441115*Deflactores!$Z$5</f>
        <v>1103.9616471531458</v>
      </c>
      <c r="K77" s="42">
        <f>593.77616418828*Deflactores!$AA$5</f>
        <v>593.77616418827995</v>
      </c>
    </row>
    <row r="78" spans="3:11" x14ac:dyDescent="0.2">
      <c r="C78" s="88" t="s">
        <v>143</v>
      </c>
      <c r="D78" s="50">
        <f>1596.09471715063*Deflactores!$T$5</f>
        <v>2415.0549255622786</v>
      </c>
      <c r="E78" s="50">
        <f>5298.93366909406*Deflactores!$U$5</f>
        <v>7890.7881551730788</v>
      </c>
      <c r="F78" s="50">
        <f>8718.29247644171*Deflactores!$V$5</f>
        <v>12291.847743054597</v>
      </c>
      <c r="G78" s="50">
        <f>5996.6027025171*Deflactores!$W$5</f>
        <v>7473.9745966179444</v>
      </c>
      <c r="H78" s="50">
        <f>5411.67318417801*Deflactores!$X$5</f>
        <v>6172.1605755092014</v>
      </c>
      <c r="I78" s="50">
        <f>2745.07363752201*Deflactores!$Y$5</f>
        <v>2976.0752909948606</v>
      </c>
      <c r="J78" s="50">
        <f>4034.69912512034*Deflactores!$Z$5</f>
        <v>4161.9643243111277</v>
      </c>
      <c r="K78" s="50">
        <f>1863.15367738038*Deflactores!$AA$5</f>
        <v>1863.15367738038</v>
      </c>
    </row>
    <row r="79" spans="3:11" x14ac:dyDescent="0.2">
      <c r="C79" s="87" t="s">
        <v>144</v>
      </c>
      <c r="D79" s="42">
        <f>4626.32897868672*Deflactores!$T$5</f>
        <v>7000.1099979798009</v>
      </c>
      <c r="E79" s="42">
        <f>4814.99562553242*Deflactores!$U$5</f>
        <v>7170.142678094162</v>
      </c>
      <c r="F79" s="42">
        <f>5248.11138993475*Deflactores!$V$5</f>
        <v>7399.2684138531367</v>
      </c>
      <c r="G79" s="42">
        <f>5888.869694292*Deflactores!$W$5</f>
        <v>7339.6996068218641</v>
      </c>
      <c r="H79" s="42">
        <f>7248.83290953504*Deflactores!$X$5</f>
        <v>8267.4912508563884</v>
      </c>
      <c r="I79" s="42">
        <f>9048.40157833253*Deflactores!$Y$5</f>
        <v>9809.8367898731558</v>
      </c>
      <c r="J79" s="42">
        <f>10484.8778535153*Deflactores!$Z$5</f>
        <v>10815.598937576036</v>
      </c>
      <c r="K79" s="42">
        <f>1458.7889882616*Deflactores!$AA$5</f>
        <v>1458.7889882616</v>
      </c>
    </row>
    <row r="80" spans="3:11" x14ac:dyDescent="0.2">
      <c r="C80" s="88" t="s">
        <v>145</v>
      </c>
      <c r="D80" s="50">
        <f>1491.7950446276*Deflactores!$T$5</f>
        <v>2257.2388290896624</v>
      </c>
      <c r="E80" s="50">
        <f>699.9745808385*Deflactores!$U$5</f>
        <v>1042.3514382936187</v>
      </c>
      <c r="F80" s="50">
        <f>1372.78324973171*Deflactores!$V$5</f>
        <v>1935.4756376336734</v>
      </c>
      <c r="G80" s="50">
        <f>3252.74357131179*Deflactores!$W$5</f>
        <v>4054.115976549861</v>
      </c>
      <c r="H80" s="50">
        <f>3276.00081611992*Deflactores!$X$5</f>
        <v>3736.3681054702479</v>
      </c>
      <c r="I80" s="50">
        <f>1134.68002686796*Deflactores!$Y$5</f>
        <v>1230.1648833710183</v>
      </c>
      <c r="J80" s="50">
        <f>3017.54100176158*Deflactores!$Z$5</f>
        <v>3112.7223138610548</v>
      </c>
      <c r="K80" s="50">
        <f>2521.06782545801*Deflactores!$AA$5</f>
        <v>2521.0678254580098</v>
      </c>
    </row>
    <row r="81" spans="1:11" x14ac:dyDescent="0.2">
      <c r="C81" s="87" t="s">
        <v>146</v>
      </c>
      <c r="D81" s="42">
        <f>928.802007540394*Deflactores!$T$5</f>
        <v>1405.3726505573477</v>
      </c>
      <c r="E81" s="42">
        <f>931.73255162256*Deflactores!$U$5</f>
        <v>1387.4686193966736</v>
      </c>
      <c r="F81" s="42">
        <f>1077.89928467213*Deflactores!$V$5</f>
        <v>1519.7211983125503</v>
      </c>
      <c r="G81" s="42">
        <f>1352.73614021892*Deflactores!$W$5</f>
        <v>1686.0072360103777</v>
      </c>
      <c r="H81" s="42">
        <f>1419.27231348664*Deflactores!$X$5</f>
        <v>1618.718706965773</v>
      </c>
      <c r="I81" s="42">
        <f>1571.73505029183*Deflactores!$Y$5</f>
        <v>1703.9986772036366</v>
      </c>
      <c r="J81" s="42">
        <f>1816.0922193894*Deflactores!$Z$5</f>
        <v>1873.3766242191004</v>
      </c>
      <c r="K81" s="42">
        <f>747.15040680388*Deflactores!$AA$5</f>
        <v>747.15040680387995</v>
      </c>
    </row>
    <row r="82" spans="1:11" x14ac:dyDescent="0.2">
      <c r="C82" s="88" t="s">
        <v>162</v>
      </c>
      <c r="D82" s="50">
        <f>29522.5877151182*Deflactores!$T$5</f>
        <v>44670.701626043832</v>
      </c>
      <c r="E82" s="50">
        <f>34547.2096867806*Deflactores!$U$5</f>
        <v>51445.201999921483</v>
      </c>
      <c r="F82" s="50">
        <f>43558.1064860738*Deflactores!$V$5</f>
        <v>61412.210515917504</v>
      </c>
      <c r="G82" s="50">
        <f>42331.0381272937*Deflactores!$W$5</f>
        <v>52760.057537087858</v>
      </c>
      <c r="H82" s="50">
        <f>53326.1240174841*Deflactores!$X$5</f>
        <v>60819.896010668468</v>
      </c>
      <c r="I82" s="50">
        <f>60650.8259228797*Deflactores!$Y$5</f>
        <v>65754.674825573093</v>
      </c>
      <c r="J82" s="50">
        <f>66314.7511422789*Deflactores!$Z$5</f>
        <v>68406.49571893501</v>
      </c>
      <c r="K82" s="50">
        <f>15763.6083954866*Deflactores!$AA$5</f>
        <v>15763.608395486601</v>
      </c>
    </row>
    <row r="83" spans="1:11" x14ac:dyDescent="0.2">
      <c r="C83" s="87" t="s">
        <v>148</v>
      </c>
      <c r="D83" s="42">
        <f>395.93703267237*Deflactores!$T$5</f>
        <v>599.0933186439953</v>
      </c>
      <c r="E83" s="42">
        <f>487.15641910575*Deflactores!$U$5</f>
        <v>725.43804879395429</v>
      </c>
      <c r="F83" s="42">
        <f>555.2356866964*Deflactores!$V$5</f>
        <v>782.82215707083299</v>
      </c>
      <c r="G83" s="42">
        <f>602.38589612996*Deflactores!$W$5</f>
        <v>750.7945929361689</v>
      </c>
      <c r="H83" s="42">
        <f>684.59175392637*Deflactores!$X$5</f>
        <v>780.79553034665435</v>
      </c>
      <c r="I83" s="42">
        <f>840.28836694924*Deflactores!$Y$5</f>
        <v>910.99976773136916</v>
      </c>
      <c r="J83" s="42">
        <f>962.078059180699*Deflactores!$Z$5</f>
        <v>992.42457376375762</v>
      </c>
      <c r="K83" s="42">
        <f>355.1471890926*Deflactores!$AA$5</f>
        <v>355.1471890926</v>
      </c>
    </row>
    <row r="84" spans="1:11" x14ac:dyDescent="0.2">
      <c r="C84" s="88" t="s">
        <v>149</v>
      </c>
      <c r="D84" s="50">
        <f>1532.92402718177*Deflactores!$T$5</f>
        <v>2319.4711958994071</v>
      </c>
      <c r="E84" s="50">
        <f>1575.28321621238*Deflactores!$U$5</f>
        <v>2345.7976490686574</v>
      </c>
      <c r="F84" s="50">
        <f>2118.93509394522*Deflactores!$V$5</f>
        <v>2987.46889056193</v>
      </c>
      <c r="G84" s="50">
        <f>2169.8884766851*Deflactores!$W$5</f>
        <v>2704.4798791540752</v>
      </c>
      <c r="H84" s="50">
        <f>2450.39779073857*Deflactores!$X$5</f>
        <v>2794.7453816187349</v>
      </c>
      <c r="I84" s="50">
        <f>3834.37421188761*Deflactores!$Y$5</f>
        <v>4157.0419796562237</v>
      </c>
      <c r="J84" s="50">
        <f>2615.45392955878*Deflactores!$Z$5</f>
        <v>2697.952340220244</v>
      </c>
      <c r="K84" s="50">
        <f>1547.47859309519*Deflactores!$AA$5</f>
        <v>1547.47859309519</v>
      </c>
    </row>
    <row r="85" spans="1:11" x14ac:dyDescent="0.2">
      <c r="C85" s="87" t="s">
        <v>163</v>
      </c>
      <c r="D85" s="42">
        <f>27833.5754382902*Deflactores!$T$5</f>
        <v>42115.05290754509</v>
      </c>
      <c r="E85" s="42">
        <f>32084.8373116915*Deflactores!$U$5</f>
        <v>47778.415437880903</v>
      </c>
      <c r="F85" s="42">
        <f>27350.5364825239*Deflactores!$V$5</f>
        <v>38561.292941534361</v>
      </c>
      <c r="G85" s="42">
        <f>29898.9606906844*Deflactores!$W$5</f>
        <v>37265.112223234944</v>
      </c>
      <c r="H85" s="42">
        <f>34022.8457670308*Deflactores!$X$5</f>
        <v>38803.98171934214</v>
      </c>
      <c r="I85" s="42">
        <f>36868.9236451839*Deflactores!$Y$5</f>
        <v>39971.493356752697</v>
      </c>
      <c r="J85" s="42">
        <f>51371.5093054384*Deflactores!$Z$5</f>
        <v>52991.904076335479</v>
      </c>
      <c r="K85" s="42">
        <f>4052.73549868018*Deflactores!$AA$5</f>
        <v>4052.7354986801802</v>
      </c>
    </row>
    <row r="86" spans="1:11" x14ac:dyDescent="0.2">
      <c r="C86" s="88" t="s">
        <v>150</v>
      </c>
      <c r="D86" s="50">
        <f>7500.51571094942*Deflactores!$T$5</f>
        <v>11349.049161896415</v>
      </c>
      <c r="E86" s="50">
        <f>7759.00542948993*Deflactores!$U$5</f>
        <v>11554.148808473406</v>
      </c>
      <c r="F86" s="50">
        <f>10962.4797053835*Deflactores!$V$5</f>
        <v>15455.908572580556</v>
      </c>
      <c r="G86" s="50">
        <f>11906.1371365512*Deflactores!$W$5</f>
        <v>14839.430076813469</v>
      </c>
      <c r="H86" s="50">
        <f>11819.054423578*Deflactores!$X$5</f>
        <v>13479.953291762969</v>
      </c>
      <c r="I86" s="50">
        <f>13723.4205552127*Deflactores!$Y$5</f>
        <v>14878.264926680686</v>
      </c>
      <c r="J86" s="50">
        <f>13336.8906207521*Deflactores!$Z$5</f>
        <v>13757.57181377294</v>
      </c>
      <c r="K86" s="50">
        <f>9624.4004870409*Deflactores!$AA$5</f>
        <v>9624.4004870409008</v>
      </c>
    </row>
    <row r="87" spans="1:11" x14ac:dyDescent="0.2">
      <c r="C87" s="87" t="s">
        <v>151</v>
      </c>
      <c r="D87" s="42">
        <f>4116.00261322804*Deflactores!$T$5</f>
        <v>6227.9338925757966</v>
      </c>
      <c r="E87" s="42">
        <f>4322.03503306087*Deflactores!$U$5</f>
        <v>6436.0614747892259</v>
      </c>
      <c r="F87" s="42">
        <f>5949.62559731739*Deflactores!$V$5</f>
        <v>8388.3274354491168</v>
      </c>
      <c r="G87" s="42">
        <f>5755.35965229809*Deflactores!$W$5</f>
        <v>7173.2969432208511</v>
      </c>
      <c r="H87" s="42">
        <f>7851.71537372369*Deflactores!$X$5</f>
        <v>8955.0951120818372</v>
      </c>
      <c r="I87" s="42">
        <f>9078.12873302914*Deflactores!$Y$5</f>
        <v>9842.0655247802551</v>
      </c>
      <c r="J87" s="42">
        <f>8330.75467886576*Deflactores!$Z$5</f>
        <v>8593.5289578731972</v>
      </c>
      <c r="K87" s="42">
        <f>1908.45500223585*Deflactores!$AA$5</f>
        <v>1908.4550022358501</v>
      </c>
    </row>
    <row r="88" spans="1:11" x14ac:dyDescent="0.2">
      <c r="C88" s="79" t="s">
        <v>154</v>
      </c>
      <c r="D88" s="44">
        <f t="shared" ref="D88:K88" si="1">SUM(D57:D87)</f>
        <v>296272.11020408309</v>
      </c>
      <c r="E88" s="44">
        <f t="shared" si="1"/>
        <v>346139.39273346314</v>
      </c>
      <c r="F88" s="44">
        <f t="shared" si="1"/>
        <v>372405.46442479955</v>
      </c>
      <c r="G88" s="44">
        <f t="shared" si="1"/>
        <v>335687.7883165924</v>
      </c>
      <c r="H88" s="44">
        <f t="shared" si="1"/>
        <v>376807.27375431423</v>
      </c>
      <c r="I88" s="44">
        <f t="shared" si="1"/>
        <v>396675.72860202397</v>
      </c>
      <c r="J88" s="44">
        <f t="shared" si="1"/>
        <v>403868.24648210022</v>
      </c>
      <c r="K88" s="44">
        <f t="shared" si="1"/>
        <v>116465.32724251965</v>
      </c>
    </row>
    <row r="89" spans="1:11" s="31" customFormat="1" x14ac:dyDescent="0.2">
      <c r="A89" s="5"/>
      <c r="B89" s="5"/>
      <c r="C89" s="72" t="str">
        <f>+'C1 Aprop Resumen 2000-2026'!B20</f>
        <v>* Información con corte a 28 de febrero</v>
      </c>
      <c r="D89" s="124">
        <f>+D88-'C5 Ejecución PGN 2019-2026'!D66</f>
        <v>0</v>
      </c>
      <c r="E89" s="124">
        <f>+E88-'C5 Ejecución PGN 2019-2026'!E66</f>
        <v>1.2223608791828156E-9</v>
      </c>
      <c r="F89" s="124">
        <f>+F88-'C5 Ejecución PGN 2019-2026'!F66</f>
        <v>0</v>
      </c>
      <c r="G89" s="124">
        <f>+G88-'C5 Ejecución PGN 2019-2026'!G66</f>
        <v>0</v>
      </c>
      <c r="H89" s="124">
        <f>+H88-'C5 Ejecución PGN 2019-2026'!H66</f>
        <v>0</v>
      </c>
      <c r="I89" s="124">
        <f>+I88-'C5 Ejecución PGN 2019-2026'!I66</f>
        <v>0</v>
      </c>
      <c r="J89" s="124">
        <f>+J88-'C5 Ejecución PGN 2019-2026'!J66</f>
        <v>0</v>
      </c>
      <c r="K89" s="124">
        <f>+K88-'C5 Ejecución PGN 2019-2026'!K66</f>
        <v>-1.1641532182693481E-10</v>
      </c>
    </row>
    <row r="90" spans="1:11" x14ac:dyDescent="0.2">
      <c r="C90" s="1" t="s">
        <v>52</v>
      </c>
      <c r="D90" s="11"/>
      <c r="E90" s="11"/>
      <c r="F90" s="11"/>
      <c r="G90" s="11"/>
      <c r="H90" s="11"/>
    </row>
    <row r="91" spans="1:11" x14ac:dyDescent="0.2">
      <c r="D91" s="11"/>
      <c r="E91" s="11"/>
      <c r="F91" s="11"/>
      <c r="G91" s="11"/>
      <c r="H91" s="11"/>
      <c r="I91" s="11"/>
    </row>
    <row r="92" spans="1:11" x14ac:dyDescent="0.2">
      <c r="D92" s="11"/>
      <c r="E92" s="11"/>
      <c r="F92" s="11"/>
      <c r="G92" s="11"/>
      <c r="H92" s="11"/>
    </row>
    <row r="93" spans="1:11" x14ac:dyDescent="0.2">
      <c r="D93" s="11"/>
      <c r="E93" s="11"/>
      <c r="F93" s="11"/>
      <c r="G93" s="11"/>
      <c r="H93" s="11"/>
    </row>
    <row r="94" spans="1:11" ht="18" customHeight="1" x14ac:dyDescent="0.2">
      <c r="C94" s="160" t="s">
        <v>155</v>
      </c>
      <c r="D94" s="158"/>
      <c r="E94" s="178"/>
      <c r="F94" s="178"/>
      <c r="G94" s="178"/>
      <c r="H94" s="178"/>
      <c r="I94" s="178"/>
      <c r="J94" s="178"/>
      <c r="K94" s="178"/>
    </row>
    <row r="95" spans="1:11" x14ac:dyDescent="0.2">
      <c r="D95" s="29"/>
      <c r="E95" s="29"/>
      <c r="F95" s="29"/>
      <c r="G95" s="29"/>
      <c r="H95" s="29"/>
    </row>
    <row r="96" spans="1:11" x14ac:dyDescent="0.2">
      <c r="C96" s="177" t="s">
        <v>120</v>
      </c>
      <c r="D96" s="153">
        <v>2019</v>
      </c>
      <c r="E96" s="153">
        <v>2020</v>
      </c>
      <c r="F96" s="153">
        <v>2021</v>
      </c>
      <c r="G96" s="153">
        <v>2022</v>
      </c>
      <c r="H96" s="153">
        <v>2023</v>
      </c>
      <c r="I96" s="153">
        <v>2024</v>
      </c>
      <c r="J96" s="153">
        <v>2025</v>
      </c>
      <c r="K96" s="153" t="s">
        <v>36</v>
      </c>
    </row>
    <row r="97" spans="3:11" ht="12" customHeight="1" thickBot="1" x14ac:dyDescent="0.25">
      <c r="C97" s="156"/>
      <c r="D97" s="154"/>
      <c r="E97" s="154"/>
      <c r="F97" s="154"/>
      <c r="G97" s="154"/>
      <c r="H97" s="154"/>
      <c r="I97" s="154"/>
      <c r="J97" s="154"/>
      <c r="K97" s="154"/>
    </row>
    <row r="98" spans="3:11" x14ac:dyDescent="0.2">
      <c r="C98" s="87" t="s">
        <v>123</v>
      </c>
      <c r="D98" s="47">
        <f t="shared" ref="D98:I107" si="2">+IFERROR(IF(D57&gt;0,+((D57/D15)*100)," "),"0")</f>
        <v>95.897509788995379</v>
      </c>
      <c r="E98" s="47">
        <f t="shared" si="2"/>
        <v>91.42092933426791</v>
      </c>
      <c r="F98" s="47">
        <f t="shared" si="2"/>
        <v>93.394137535830026</v>
      </c>
      <c r="G98" s="47">
        <f t="shared" si="2"/>
        <v>89.697292125155997</v>
      </c>
      <c r="H98" s="47">
        <f t="shared" si="2"/>
        <v>90.788390570961923</v>
      </c>
      <c r="I98" s="47">
        <f t="shared" si="2"/>
        <v>97.028850267327584</v>
      </c>
      <c r="J98" s="47">
        <f t="shared" ref="J98:K129" si="3">+IFERROR(IF(J57&gt;0,+((J57/J15)*100)," "),"")</f>
        <v>95.085565133387874</v>
      </c>
      <c r="K98" s="47">
        <f t="shared" si="3"/>
        <v>39.779869666988624</v>
      </c>
    </row>
    <row r="99" spans="3:11" x14ac:dyDescent="0.2">
      <c r="C99" s="88" t="s">
        <v>124</v>
      </c>
      <c r="D99" s="116">
        <f t="shared" si="2"/>
        <v>96.483406037638886</v>
      </c>
      <c r="E99" s="116">
        <f t="shared" si="2"/>
        <v>96.354482397448905</v>
      </c>
      <c r="F99" s="116">
        <f t="shared" si="2"/>
        <v>83.003357939111268</v>
      </c>
      <c r="G99" s="116">
        <f t="shared" si="2"/>
        <v>86.282111000259576</v>
      </c>
      <c r="H99" s="116">
        <f t="shared" si="2"/>
        <v>86.24286234000526</v>
      </c>
      <c r="I99" s="116">
        <f t="shared" si="2"/>
        <v>97.396271718699893</v>
      </c>
      <c r="J99" s="116">
        <f t="shared" si="3"/>
        <v>97.604739341095865</v>
      </c>
      <c r="K99" s="116">
        <f t="shared" si="3"/>
        <v>45.054864600937364</v>
      </c>
    </row>
    <row r="100" spans="3:11" x14ac:dyDescent="0.2">
      <c r="C100" s="87" t="s">
        <v>125</v>
      </c>
      <c r="D100" s="47">
        <f t="shared" si="2"/>
        <v>99.738807028927127</v>
      </c>
      <c r="E100" s="47">
        <f t="shared" si="2"/>
        <v>98.720520014567327</v>
      </c>
      <c r="F100" s="47">
        <f t="shared" si="2"/>
        <v>99.006860988789001</v>
      </c>
      <c r="G100" s="47">
        <f t="shared" si="2"/>
        <v>99.004093527285121</v>
      </c>
      <c r="H100" s="47">
        <f t="shared" si="2"/>
        <v>98.581978187837265</v>
      </c>
      <c r="I100" s="47">
        <f t="shared" si="2"/>
        <v>98.096547308882947</v>
      </c>
      <c r="J100" s="47">
        <f t="shared" si="3"/>
        <v>97.518195657551331</v>
      </c>
      <c r="K100" s="47">
        <f t="shared" si="3"/>
        <v>45.237404825698199</v>
      </c>
    </row>
    <row r="101" spans="3:11" x14ac:dyDescent="0.2">
      <c r="C101" s="88" t="s">
        <v>126</v>
      </c>
      <c r="D101" s="116">
        <f t="shared" si="2"/>
        <v>97.487159755653607</v>
      </c>
      <c r="E101" s="116">
        <f t="shared" si="2"/>
        <v>96.2098500944996</v>
      </c>
      <c r="F101" s="116">
        <f t="shared" si="2"/>
        <v>94.314247866052085</v>
      </c>
      <c r="G101" s="116">
        <f t="shared" si="2"/>
        <v>95.820738628758136</v>
      </c>
      <c r="H101" s="116">
        <f t="shared" si="2"/>
        <v>96.003178854711976</v>
      </c>
      <c r="I101" s="116">
        <f t="shared" si="2"/>
        <v>94.981363589336851</v>
      </c>
      <c r="J101" s="116">
        <f t="shared" si="3"/>
        <v>95.286668038489523</v>
      </c>
      <c r="K101" s="116">
        <f t="shared" si="3"/>
        <v>61.339786542541553</v>
      </c>
    </row>
    <row r="102" spans="3:11" x14ac:dyDescent="0.2">
      <c r="C102" s="87" t="s">
        <v>127</v>
      </c>
      <c r="D102" s="47">
        <f t="shared" si="2"/>
        <v>98.388271868936798</v>
      </c>
      <c r="E102" s="47">
        <f t="shared" si="2"/>
        <v>99.153187306859522</v>
      </c>
      <c r="F102" s="47">
        <f t="shared" si="2"/>
        <v>96.06169009318829</v>
      </c>
      <c r="G102" s="47">
        <f t="shared" si="2"/>
        <v>94.557232037134398</v>
      </c>
      <c r="H102" s="47">
        <f t="shared" si="2"/>
        <v>98.032589861887971</v>
      </c>
      <c r="I102" s="47">
        <f t="shared" si="2"/>
        <v>95.045305842523518</v>
      </c>
      <c r="J102" s="47">
        <f t="shared" si="3"/>
        <v>86.489447796994313</v>
      </c>
      <c r="K102" s="47">
        <f t="shared" si="3"/>
        <v>37.674006650358493</v>
      </c>
    </row>
    <row r="103" spans="3:11" x14ac:dyDescent="0.2">
      <c r="C103" s="88" t="s">
        <v>128</v>
      </c>
      <c r="D103" s="116">
        <f t="shared" si="2"/>
        <v>99.383730434343562</v>
      </c>
      <c r="E103" s="116">
        <f t="shared" si="2"/>
        <v>99.70346486218773</v>
      </c>
      <c r="F103" s="116">
        <f t="shared" si="2"/>
        <v>96.911646625223511</v>
      </c>
      <c r="G103" s="116">
        <f t="shared" si="2"/>
        <v>97.581948102501997</v>
      </c>
      <c r="H103" s="116">
        <f t="shared" si="2"/>
        <v>98.5467938158923</v>
      </c>
      <c r="I103" s="116">
        <f t="shared" si="2"/>
        <v>98.478975101799847</v>
      </c>
      <c r="J103" s="116">
        <f t="shared" si="3"/>
        <v>99.522178081394742</v>
      </c>
      <c r="K103" s="116">
        <f t="shared" si="3"/>
        <v>35.342267404274445</v>
      </c>
    </row>
    <row r="104" spans="3:11" x14ac:dyDescent="0.2">
      <c r="C104" s="87" t="s">
        <v>129</v>
      </c>
      <c r="D104" s="47">
        <f t="shared" si="2"/>
        <v>99.504340872667925</v>
      </c>
      <c r="E104" s="47">
        <f t="shared" si="2"/>
        <v>99.655257203640488</v>
      </c>
      <c r="F104" s="47">
        <f t="shared" si="2"/>
        <v>97.288544695356521</v>
      </c>
      <c r="G104" s="47">
        <f t="shared" si="2"/>
        <v>98.095168892722398</v>
      </c>
      <c r="H104" s="47">
        <f t="shared" si="2"/>
        <v>98.560565212493529</v>
      </c>
      <c r="I104" s="47">
        <f t="shared" si="2"/>
        <v>98.70835984474013</v>
      </c>
      <c r="J104" s="47">
        <f t="shared" si="3"/>
        <v>99.61492221993386</v>
      </c>
      <c r="K104" s="47">
        <f t="shared" si="3"/>
        <v>20.554618456560011</v>
      </c>
    </row>
    <row r="105" spans="3:11" x14ac:dyDescent="0.2">
      <c r="C105" s="88" t="s">
        <v>130</v>
      </c>
      <c r="D105" s="116">
        <f t="shared" si="2"/>
        <v>96.311899283475967</v>
      </c>
      <c r="E105" s="116">
        <f t="shared" si="2"/>
        <v>95.682982630813157</v>
      </c>
      <c r="F105" s="116">
        <f t="shared" si="2"/>
        <v>95.509016984776608</v>
      </c>
      <c r="G105" s="116">
        <f t="shared" si="2"/>
        <v>97.860378773969103</v>
      </c>
      <c r="H105" s="116">
        <f t="shared" si="2"/>
        <v>73.639009620147903</v>
      </c>
      <c r="I105" s="116">
        <f t="shared" si="2"/>
        <v>93.709730331597584</v>
      </c>
      <c r="J105" s="116">
        <f t="shared" si="3"/>
        <v>98.457075599975752</v>
      </c>
      <c r="K105" s="116">
        <f t="shared" si="3"/>
        <v>71.646805557333821</v>
      </c>
    </row>
    <row r="106" spans="3:11" x14ac:dyDescent="0.2">
      <c r="C106" s="87" t="s">
        <v>131</v>
      </c>
      <c r="D106" s="47">
        <f t="shared" si="2"/>
        <v>99.977661999106999</v>
      </c>
      <c r="E106" s="47">
        <f t="shared" si="2"/>
        <v>99.976500458289124</v>
      </c>
      <c r="F106" s="47">
        <f t="shared" si="2"/>
        <v>99.964422108171959</v>
      </c>
      <c r="G106" s="47">
        <f t="shared" si="2"/>
        <v>99.925544338094113</v>
      </c>
      <c r="H106" s="47">
        <f t="shared" si="2"/>
        <v>99.12462781606159</v>
      </c>
      <c r="I106" s="47">
        <f t="shared" si="2"/>
        <v>99.861650095999934</v>
      </c>
      <c r="J106" s="47">
        <f t="shared" si="3"/>
        <v>99.601844427053649</v>
      </c>
      <c r="K106" s="47">
        <f t="shared" si="3"/>
        <v>35.956196032740309</v>
      </c>
    </row>
    <row r="107" spans="3:11" x14ac:dyDescent="0.2">
      <c r="C107" s="88" t="s">
        <v>132</v>
      </c>
      <c r="D107" s="116">
        <f t="shared" si="2"/>
        <v>92.259045085847546</v>
      </c>
      <c r="E107" s="116">
        <f t="shared" si="2"/>
        <v>75.666768920212618</v>
      </c>
      <c r="F107" s="116">
        <f t="shared" si="2"/>
        <v>61.885167192096226</v>
      </c>
      <c r="G107" s="116">
        <f t="shared" si="2"/>
        <v>72.176388247394328</v>
      </c>
      <c r="H107" s="116">
        <f t="shared" si="2"/>
        <v>80.434967401776404</v>
      </c>
      <c r="I107" s="116">
        <f t="shared" si="2"/>
        <v>87.762044508470979</v>
      </c>
      <c r="J107" s="116">
        <f t="shared" si="3"/>
        <v>89.61531504868708</v>
      </c>
      <c r="K107" s="116">
        <f t="shared" si="3"/>
        <v>33.890605024641218</v>
      </c>
    </row>
    <row r="108" spans="3:11" x14ac:dyDescent="0.2">
      <c r="C108" s="87" t="s">
        <v>133</v>
      </c>
      <c r="D108" s="47">
        <f t="shared" ref="D108:I117" si="4">+IFERROR(IF(D67&gt;0,+((D67/D25)*100)," "),"0")</f>
        <v>99.340013184821359</v>
      </c>
      <c r="E108" s="47">
        <f t="shared" si="4"/>
        <v>98.907352550001377</v>
      </c>
      <c r="F108" s="47">
        <f t="shared" si="4"/>
        <v>95.400012597667626</v>
      </c>
      <c r="G108" s="47">
        <f t="shared" si="4"/>
        <v>99.000427541955688</v>
      </c>
      <c r="H108" s="47">
        <f t="shared" si="4"/>
        <v>99.110336064614728</v>
      </c>
      <c r="I108" s="47">
        <f t="shared" si="4"/>
        <v>98.665011848270197</v>
      </c>
      <c r="J108" s="47">
        <f t="shared" si="3"/>
        <v>99.645947107242293</v>
      </c>
      <c r="K108" s="47">
        <f t="shared" si="3"/>
        <v>17.408225371582216</v>
      </c>
    </row>
    <row r="109" spans="3:11" x14ac:dyDescent="0.2">
      <c r="C109" s="88" t="s">
        <v>134</v>
      </c>
      <c r="D109" s="116">
        <f t="shared" si="4"/>
        <v>91.249272539401687</v>
      </c>
      <c r="E109" s="116">
        <f t="shared" si="4"/>
        <v>50.881347940374319</v>
      </c>
      <c r="F109" s="116">
        <f t="shared" si="4"/>
        <v>89.432520666776995</v>
      </c>
      <c r="G109" s="116">
        <f t="shared" si="4"/>
        <v>92.777271105482342</v>
      </c>
      <c r="H109" s="116">
        <f t="shared" si="4"/>
        <v>89.331168475318208</v>
      </c>
      <c r="I109" s="116">
        <f t="shared" si="4"/>
        <v>85.010738239840194</v>
      </c>
      <c r="J109" s="116">
        <f t="shared" si="3"/>
        <v>92.089932942078207</v>
      </c>
      <c r="K109" s="116">
        <f t="shared" si="3"/>
        <v>18.226895742494374</v>
      </c>
    </row>
    <row r="110" spans="3:11" x14ac:dyDescent="0.2">
      <c r="C110" s="87" t="s">
        <v>135</v>
      </c>
      <c r="D110" s="47" t="str">
        <f t="shared" si="4"/>
        <v xml:space="preserve"> </v>
      </c>
      <c r="E110" s="47" t="str">
        <f t="shared" si="4"/>
        <v xml:space="preserve"> </v>
      </c>
      <c r="F110" s="47" t="str">
        <f t="shared" si="4"/>
        <v xml:space="preserve"> </v>
      </c>
      <c r="G110" s="47" t="str">
        <f t="shared" si="4"/>
        <v xml:space="preserve"> </v>
      </c>
      <c r="H110" s="47">
        <f t="shared" si="4"/>
        <v>94.392228050518014</v>
      </c>
      <c r="I110" s="47">
        <f t="shared" si="4"/>
        <v>97.719601862987432</v>
      </c>
      <c r="J110" s="47">
        <f t="shared" si="3"/>
        <v>99.7018054545252</v>
      </c>
      <c r="K110" s="47">
        <f t="shared" si="3"/>
        <v>53.676253922082864</v>
      </c>
    </row>
    <row r="111" spans="3:11" x14ac:dyDescent="0.2">
      <c r="C111" s="88" t="s">
        <v>136</v>
      </c>
      <c r="D111" s="116">
        <f t="shared" si="4"/>
        <v>98.69832231352548</v>
      </c>
      <c r="E111" s="116">
        <f t="shared" si="4"/>
        <v>98.913719503364248</v>
      </c>
      <c r="F111" s="116">
        <f t="shared" si="4"/>
        <v>96.878338146511396</v>
      </c>
      <c r="G111" s="116">
        <f t="shared" si="4"/>
        <v>98.362684887430476</v>
      </c>
      <c r="H111" s="116">
        <f t="shared" si="4"/>
        <v>92.207721026352303</v>
      </c>
      <c r="I111" s="116">
        <f t="shared" si="4"/>
        <v>96.798481410837127</v>
      </c>
      <c r="J111" s="116">
        <f t="shared" si="3"/>
        <v>98.278709067651803</v>
      </c>
      <c r="K111" s="116">
        <f t="shared" si="3"/>
        <v>18.755134318732239</v>
      </c>
    </row>
    <row r="112" spans="3:11" x14ac:dyDescent="0.2">
      <c r="C112" s="87" t="s">
        <v>137</v>
      </c>
      <c r="D112" s="47">
        <f t="shared" si="4"/>
        <v>93.166251236571881</v>
      </c>
      <c r="E112" s="47">
        <f t="shared" si="4"/>
        <v>90.933045093393403</v>
      </c>
      <c r="F112" s="47">
        <f t="shared" si="4"/>
        <v>69.820762734028847</v>
      </c>
      <c r="G112" s="47">
        <f t="shared" si="4"/>
        <v>66.332585784056462</v>
      </c>
      <c r="H112" s="47">
        <f t="shared" si="4"/>
        <v>83.51150585772082</v>
      </c>
      <c r="I112" s="47">
        <f t="shared" si="4"/>
        <v>94.623772681009598</v>
      </c>
      <c r="J112" s="47">
        <f t="shared" si="3"/>
        <v>95.780459803424321</v>
      </c>
      <c r="K112" s="47">
        <f t="shared" si="3"/>
        <v>40.133861260206146</v>
      </c>
    </row>
    <row r="113" spans="3:11" x14ac:dyDescent="0.2">
      <c r="C113" s="88" t="s">
        <v>138</v>
      </c>
      <c r="D113" s="116">
        <f t="shared" si="4"/>
        <v>96.819152664304482</v>
      </c>
      <c r="E113" s="116">
        <f t="shared" si="4"/>
        <v>99.228299196411911</v>
      </c>
      <c r="F113" s="116">
        <f t="shared" si="4"/>
        <v>97.24193810835628</v>
      </c>
      <c r="G113" s="116">
        <f t="shared" si="4"/>
        <v>95.924261025294257</v>
      </c>
      <c r="H113" s="116">
        <f t="shared" si="4"/>
        <v>93.310183123885537</v>
      </c>
      <c r="I113" s="116">
        <f t="shared" si="4"/>
        <v>96.843487571143271</v>
      </c>
      <c r="J113" s="116">
        <f t="shared" si="3"/>
        <v>98.013831136952263</v>
      </c>
      <c r="K113" s="116">
        <f t="shared" si="3"/>
        <v>18.555459694263472</v>
      </c>
    </row>
    <row r="114" spans="3:11" x14ac:dyDescent="0.2">
      <c r="C114" s="87" t="s">
        <v>160</v>
      </c>
      <c r="D114" s="47">
        <f t="shared" si="4"/>
        <v>98.284013827744829</v>
      </c>
      <c r="E114" s="47">
        <f t="shared" si="4"/>
        <v>97.428683229731448</v>
      </c>
      <c r="F114" s="47">
        <f t="shared" si="4"/>
        <v>96.921543328920905</v>
      </c>
      <c r="G114" s="47">
        <f t="shared" si="4"/>
        <v>86.594619438544356</v>
      </c>
      <c r="H114" s="47">
        <f t="shared" si="4"/>
        <v>95.673186708263799</v>
      </c>
      <c r="I114" s="47">
        <f t="shared" si="4"/>
        <v>89.956378220202154</v>
      </c>
      <c r="J114" s="47">
        <f t="shared" si="3"/>
        <v>98.062346165346653</v>
      </c>
      <c r="K114" s="47">
        <f t="shared" si="3"/>
        <v>57.838081330286819</v>
      </c>
    </row>
    <row r="115" spans="3:11" x14ac:dyDescent="0.2">
      <c r="C115" s="88" t="s">
        <v>161</v>
      </c>
      <c r="D115" s="116">
        <f t="shared" si="4"/>
        <v>96.198025193417337</v>
      </c>
      <c r="E115" s="116">
        <f t="shared" si="4"/>
        <v>95.512346391539339</v>
      </c>
      <c r="F115" s="116">
        <f t="shared" si="4"/>
        <v>86.346879238691969</v>
      </c>
      <c r="G115" s="116">
        <f t="shared" si="4"/>
        <v>86.612955067596147</v>
      </c>
      <c r="H115" s="116">
        <f t="shared" si="4"/>
        <v>90.61615382635415</v>
      </c>
      <c r="I115" s="116">
        <f t="shared" si="4"/>
        <v>94.032563548484816</v>
      </c>
      <c r="J115" s="116">
        <f t="shared" si="3"/>
        <v>97.163852963276881</v>
      </c>
      <c r="K115" s="116">
        <f t="shared" si="3"/>
        <v>28.677652977311368</v>
      </c>
    </row>
    <row r="116" spans="3:11" x14ac:dyDescent="0.2">
      <c r="C116" s="87" t="s">
        <v>140</v>
      </c>
      <c r="D116" s="47">
        <f t="shared" si="4"/>
        <v>96.723105254905661</v>
      </c>
      <c r="E116" s="47">
        <f t="shared" si="4"/>
        <v>97.186837623110947</v>
      </c>
      <c r="F116" s="47">
        <f t="shared" si="4"/>
        <v>95.050118617307831</v>
      </c>
      <c r="G116" s="47">
        <f t="shared" si="4"/>
        <v>92.341418502567933</v>
      </c>
      <c r="H116" s="47">
        <f t="shared" si="4"/>
        <v>92.245421400287213</v>
      </c>
      <c r="I116" s="47">
        <f t="shared" si="4"/>
        <v>97.6241831530441</v>
      </c>
      <c r="J116" s="47">
        <f t="shared" si="3"/>
        <v>95.875749211464083</v>
      </c>
      <c r="K116" s="47">
        <f t="shared" si="3"/>
        <v>34.676823143517225</v>
      </c>
    </row>
    <row r="117" spans="3:11" x14ac:dyDescent="0.2">
      <c r="C117" s="88" t="s">
        <v>141</v>
      </c>
      <c r="D117" s="116">
        <f t="shared" si="4"/>
        <v>95.696579019592548</v>
      </c>
      <c r="E117" s="116">
        <f t="shared" si="4"/>
        <v>86.562899245216869</v>
      </c>
      <c r="F117" s="116">
        <f t="shared" si="4"/>
        <v>88.984459067861295</v>
      </c>
      <c r="G117" s="116">
        <f t="shared" si="4"/>
        <v>90.688223742540558</v>
      </c>
      <c r="H117" s="116">
        <f t="shared" si="4"/>
        <v>92.460535934012412</v>
      </c>
      <c r="I117" s="116">
        <f t="shared" si="4"/>
        <v>91.178596411919116</v>
      </c>
      <c r="J117" s="116">
        <f t="shared" si="3"/>
        <v>97.118011410624263</v>
      </c>
      <c r="K117" s="116">
        <f t="shared" si="3"/>
        <v>18.543346773766682</v>
      </c>
    </row>
    <row r="118" spans="3:11" x14ac:dyDescent="0.2">
      <c r="C118" s="87" t="s">
        <v>142</v>
      </c>
      <c r="D118" s="47">
        <f t="shared" ref="D118:I127" si="5">+IFERROR(IF(D77&gt;0,+((D77/D35)*100)," "),"0")</f>
        <v>95.936369476775013</v>
      </c>
      <c r="E118" s="47">
        <f t="shared" si="5"/>
        <v>92.706348354978843</v>
      </c>
      <c r="F118" s="47">
        <f t="shared" si="5"/>
        <v>66.234018090875168</v>
      </c>
      <c r="G118" s="47">
        <f t="shared" si="5"/>
        <v>89.134558772345301</v>
      </c>
      <c r="H118" s="47">
        <f t="shared" si="5"/>
        <v>92.624695328167277</v>
      </c>
      <c r="I118" s="47">
        <f t="shared" si="5"/>
        <v>87.418958007683585</v>
      </c>
      <c r="J118" s="47">
        <f t="shared" si="3"/>
        <v>93.404224138807848</v>
      </c>
      <c r="K118" s="47">
        <f t="shared" si="3"/>
        <v>36.495948457712323</v>
      </c>
    </row>
    <row r="119" spans="3:11" x14ac:dyDescent="0.2">
      <c r="C119" s="88" t="s">
        <v>143</v>
      </c>
      <c r="D119" s="116">
        <f t="shared" si="5"/>
        <v>96.920646896116409</v>
      </c>
      <c r="E119" s="116">
        <f t="shared" si="5"/>
        <v>99.034078219576799</v>
      </c>
      <c r="F119" s="116">
        <f t="shared" si="5"/>
        <v>98.416158303887642</v>
      </c>
      <c r="G119" s="116">
        <f t="shared" si="5"/>
        <v>98.118404055442284</v>
      </c>
      <c r="H119" s="116">
        <f t="shared" si="5"/>
        <v>96.540657035985305</v>
      </c>
      <c r="I119" s="116">
        <f t="shared" si="5"/>
        <v>93.457551101674255</v>
      </c>
      <c r="J119" s="116">
        <f t="shared" si="3"/>
        <v>98.89175257383755</v>
      </c>
      <c r="K119" s="116">
        <f t="shared" si="3"/>
        <v>66.380375473837816</v>
      </c>
    </row>
    <row r="120" spans="3:11" x14ac:dyDescent="0.2">
      <c r="C120" s="87" t="s">
        <v>144</v>
      </c>
      <c r="D120" s="47">
        <f t="shared" si="5"/>
        <v>98.918704604490898</v>
      </c>
      <c r="E120" s="47">
        <f t="shared" si="5"/>
        <v>98.751317180580699</v>
      </c>
      <c r="F120" s="47">
        <f t="shared" si="5"/>
        <v>96.512791732433712</v>
      </c>
      <c r="G120" s="47">
        <f t="shared" si="5"/>
        <v>97.561948772370755</v>
      </c>
      <c r="H120" s="47">
        <f t="shared" si="5"/>
        <v>91.720929981261691</v>
      </c>
      <c r="I120" s="47">
        <f t="shared" si="5"/>
        <v>96.985747994614371</v>
      </c>
      <c r="J120" s="47">
        <f t="shared" si="3"/>
        <v>98.222812186360969</v>
      </c>
      <c r="K120" s="47">
        <f t="shared" si="3"/>
        <v>13.372229081710884</v>
      </c>
    </row>
    <row r="121" spans="3:11" x14ac:dyDescent="0.2">
      <c r="C121" s="88" t="s">
        <v>145</v>
      </c>
      <c r="D121" s="116">
        <f t="shared" si="5"/>
        <v>95.716951599409015</v>
      </c>
      <c r="E121" s="116">
        <f t="shared" si="5"/>
        <v>96.950427217147734</v>
      </c>
      <c r="F121" s="116">
        <f t="shared" si="5"/>
        <v>93.873059377475684</v>
      </c>
      <c r="G121" s="116">
        <f t="shared" si="5"/>
        <v>96.912374054234292</v>
      </c>
      <c r="H121" s="116">
        <f t="shared" si="5"/>
        <v>94.642443287448401</v>
      </c>
      <c r="I121" s="116">
        <f t="shared" si="5"/>
        <v>68.587058330965689</v>
      </c>
      <c r="J121" s="116">
        <f t="shared" si="3"/>
        <v>95.280202900726337</v>
      </c>
      <c r="K121" s="116">
        <f t="shared" si="3"/>
        <v>36.223634342365557</v>
      </c>
    </row>
    <row r="122" spans="3:11" x14ac:dyDescent="0.2">
      <c r="C122" s="87" t="s">
        <v>146</v>
      </c>
      <c r="D122" s="47">
        <f t="shared" si="5"/>
        <v>96.834433124453753</v>
      </c>
      <c r="E122" s="47">
        <f t="shared" si="5"/>
        <v>92.873344477693436</v>
      </c>
      <c r="F122" s="47">
        <f t="shared" si="5"/>
        <v>91.748720108782862</v>
      </c>
      <c r="G122" s="47">
        <f t="shared" si="5"/>
        <v>96.220643379549216</v>
      </c>
      <c r="H122" s="47">
        <f t="shared" si="5"/>
        <v>93.565277066957876</v>
      </c>
      <c r="I122" s="47">
        <f t="shared" si="5"/>
        <v>95.628639491775488</v>
      </c>
      <c r="J122" s="47">
        <f t="shared" si="3"/>
        <v>95.367328257146482</v>
      </c>
      <c r="K122" s="47">
        <f t="shared" si="3"/>
        <v>39.311617418077049</v>
      </c>
    </row>
    <row r="123" spans="3:11" x14ac:dyDescent="0.2">
      <c r="C123" s="88" t="s">
        <v>162</v>
      </c>
      <c r="D123" s="116">
        <f t="shared" si="5"/>
        <v>99.716740310899283</v>
      </c>
      <c r="E123" s="116">
        <f t="shared" si="5"/>
        <v>97.621735274052156</v>
      </c>
      <c r="F123" s="116">
        <f t="shared" si="5"/>
        <v>99.518702790926255</v>
      </c>
      <c r="G123" s="116">
        <f t="shared" si="5"/>
        <v>99.65273128766502</v>
      </c>
      <c r="H123" s="116">
        <f t="shared" si="5"/>
        <v>98.928770051934066</v>
      </c>
      <c r="I123" s="116">
        <f t="shared" si="5"/>
        <v>98.640004268002613</v>
      </c>
      <c r="J123" s="116">
        <f t="shared" si="3"/>
        <v>99.041970321556292</v>
      </c>
      <c r="K123" s="116">
        <f t="shared" si="3"/>
        <v>20.157941183845036</v>
      </c>
    </row>
    <row r="124" spans="3:11" x14ac:dyDescent="0.2">
      <c r="C124" s="87" t="s">
        <v>148</v>
      </c>
      <c r="D124" s="47">
        <f t="shared" si="5"/>
        <v>92.121058708906943</v>
      </c>
      <c r="E124" s="47">
        <f t="shared" si="5"/>
        <v>96.845274654608076</v>
      </c>
      <c r="F124" s="47">
        <f t="shared" si="5"/>
        <v>95.330987537885932</v>
      </c>
      <c r="G124" s="47">
        <f t="shared" si="5"/>
        <v>97.146339628881137</v>
      </c>
      <c r="H124" s="47">
        <f t="shared" si="5"/>
        <v>92.601026950901584</v>
      </c>
      <c r="I124" s="47">
        <f t="shared" si="5"/>
        <v>98.225228832473434</v>
      </c>
      <c r="J124" s="47">
        <f t="shared" si="3"/>
        <v>99.39355450343777</v>
      </c>
      <c r="K124" s="47">
        <f t="shared" si="3"/>
        <v>37.743443087687886</v>
      </c>
    </row>
    <row r="125" spans="3:11" x14ac:dyDescent="0.2">
      <c r="C125" s="88" t="s">
        <v>149</v>
      </c>
      <c r="D125" s="116">
        <f t="shared" si="5"/>
        <v>93.132661252905251</v>
      </c>
      <c r="E125" s="116">
        <f t="shared" si="5"/>
        <v>99.313350385048409</v>
      </c>
      <c r="F125" s="116">
        <f t="shared" si="5"/>
        <v>86.066312810013372</v>
      </c>
      <c r="G125" s="116">
        <f t="shared" si="5"/>
        <v>86.912627378052292</v>
      </c>
      <c r="H125" s="116">
        <f t="shared" si="5"/>
        <v>97.078064856909336</v>
      </c>
      <c r="I125" s="116">
        <f t="shared" si="5"/>
        <v>94.603111271307327</v>
      </c>
      <c r="J125" s="116">
        <f t="shared" si="3"/>
        <v>96.217819001916922</v>
      </c>
      <c r="K125" s="116">
        <f t="shared" si="3"/>
        <v>67.78656603418041</v>
      </c>
    </row>
    <row r="126" spans="3:11" x14ac:dyDescent="0.2">
      <c r="C126" s="87" t="s">
        <v>163</v>
      </c>
      <c r="D126" s="47">
        <f t="shared" si="5"/>
        <v>99.258386056930831</v>
      </c>
      <c r="E126" s="47">
        <f t="shared" si="5"/>
        <v>98.880642768629627</v>
      </c>
      <c r="F126" s="47">
        <f t="shared" si="5"/>
        <v>98.076689524915437</v>
      </c>
      <c r="G126" s="47">
        <f t="shared" si="5"/>
        <v>86.433168802601983</v>
      </c>
      <c r="H126" s="47">
        <f t="shared" si="5"/>
        <v>98.015933589504172</v>
      </c>
      <c r="I126" s="47">
        <f t="shared" si="5"/>
        <v>91.770825036602261</v>
      </c>
      <c r="J126" s="47">
        <f t="shared" si="3"/>
        <v>99.128409200676273</v>
      </c>
      <c r="K126" s="47">
        <f t="shared" si="3"/>
        <v>7.1362353740838032</v>
      </c>
    </row>
    <row r="127" spans="3:11" x14ac:dyDescent="0.2">
      <c r="C127" s="88" t="s">
        <v>150</v>
      </c>
      <c r="D127" s="116">
        <f t="shared" si="5"/>
        <v>98.261922058422144</v>
      </c>
      <c r="E127" s="116">
        <f t="shared" si="5"/>
        <v>97.796480551720947</v>
      </c>
      <c r="F127" s="116">
        <f t="shared" si="5"/>
        <v>95.694564865410314</v>
      </c>
      <c r="G127" s="116">
        <f t="shared" si="5"/>
        <v>95.62150618506999</v>
      </c>
      <c r="H127" s="116">
        <f t="shared" si="5"/>
        <v>91.447480759829745</v>
      </c>
      <c r="I127" s="116">
        <f t="shared" si="5"/>
        <v>95.757297829375474</v>
      </c>
      <c r="J127" s="116">
        <f t="shared" si="3"/>
        <v>97.659406778269414</v>
      </c>
      <c r="K127" s="116">
        <f t="shared" si="3"/>
        <v>54.087853406141576</v>
      </c>
    </row>
    <row r="128" spans="3:11" x14ac:dyDescent="0.2">
      <c r="C128" s="87" t="s">
        <v>151</v>
      </c>
      <c r="D128" s="47">
        <f t="shared" ref="D128:I128" si="6">+IFERROR(IF(D87&gt;0,+((D87/D45)*100)," "),"0")</f>
        <v>99.164725373538801</v>
      </c>
      <c r="E128" s="47">
        <f t="shared" si="6"/>
        <v>98.955042640685264</v>
      </c>
      <c r="F128" s="47">
        <f t="shared" si="6"/>
        <v>99.549088542446768</v>
      </c>
      <c r="G128" s="47">
        <f t="shared" si="6"/>
        <v>98.813055176962123</v>
      </c>
      <c r="H128" s="47">
        <f t="shared" si="6"/>
        <v>98.758816953641087</v>
      </c>
      <c r="I128" s="47">
        <f t="shared" si="6"/>
        <v>99.310651118841974</v>
      </c>
      <c r="J128" s="47">
        <f t="shared" si="3"/>
        <v>99.844229244380728</v>
      </c>
      <c r="K128" s="47">
        <f t="shared" si="3"/>
        <v>26.226308216035715</v>
      </c>
    </row>
    <row r="129" spans="1:11" x14ac:dyDescent="0.2">
      <c r="C129" s="91" t="s">
        <v>154</v>
      </c>
      <c r="D129" s="74">
        <f t="shared" ref="D129:I129" si="7">+IFERROR(IF(D88&gt;0,+((D88/D46)*100)," "),"")</f>
        <v>98.653732946933189</v>
      </c>
      <c r="E129" s="74">
        <f t="shared" si="7"/>
        <v>90.938302753094547</v>
      </c>
      <c r="F129" s="74">
        <f t="shared" si="7"/>
        <v>96.592229970655168</v>
      </c>
      <c r="G129" s="74">
        <f t="shared" si="7"/>
        <v>95.849976232276461</v>
      </c>
      <c r="H129" s="74">
        <f t="shared" si="7"/>
        <v>95.852678171485152</v>
      </c>
      <c r="I129" s="74">
        <f t="shared" si="7"/>
        <v>96.092761196055207</v>
      </c>
      <c r="J129" s="74">
        <f t="shared" si="3"/>
        <v>98.402750381978549</v>
      </c>
      <c r="K129" s="74">
        <f t="shared" si="3"/>
        <v>26.080152717646854</v>
      </c>
    </row>
    <row r="130" spans="1:11" s="31" customFormat="1" x14ac:dyDescent="0.2">
      <c r="A130" s="5"/>
      <c r="B130" s="5"/>
      <c r="C130" s="72" t="str">
        <f>+'C1 Aprop Resumen 2000-2026'!B20</f>
        <v>* Información con corte a 28 de febrero</v>
      </c>
      <c r="D130" s="69"/>
      <c r="E130" s="69"/>
      <c r="F130" s="69"/>
      <c r="G130" s="69"/>
      <c r="H130" s="69"/>
      <c r="I130" s="69"/>
    </row>
    <row r="131" spans="1:11" x14ac:dyDescent="0.2">
      <c r="C131" s="1" t="s">
        <v>52</v>
      </c>
      <c r="D131" s="11"/>
      <c r="E131" s="11"/>
      <c r="F131" s="11"/>
      <c r="G131" s="11"/>
      <c r="H131" s="11"/>
    </row>
    <row r="132" spans="1:11" x14ac:dyDescent="0.2">
      <c r="D132" s="11"/>
      <c r="E132" s="11"/>
      <c r="F132" s="11"/>
      <c r="G132" s="11"/>
      <c r="H132" s="11"/>
    </row>
    <row r="133" spans="1:11" x14ac:dyDescent="0.2">
      <c r="E133" s="3"/>
      <c r="F133" s="3"/>
      <c r="G133" s="3"/>
      <c r="H133" s="3"/>
    </row>
    <row r="134" spans="1:11" x14ac:dyDescent="0.2">
      <c r="E134" s="3"/>
      <c r="F134" s="3"/>
      <c r="G134" s="3"/>
      <c r="H134" s="3"/>
    </row>
    <row r="135" spans="1:11" x14ac:dyDescent="0.2">
      <c r="E135" s="3"/>
      <c r="F135" s="3"/>
      <c r="G135" s="3"/>
      <c r="H135" s="3"/>
    </row>
    <row r="136" spans="1:11" ht="18" customHeight="1" x14ac:dyDescent="0.2">
      <c r="C136" s="160" t="s">
        <v>156</v>
      </c>
      <c r="D136" s="158"/>
      <c r="E136" s="178"/>
      <c r="F136" s="178"/>
      <c r="G136" s="178"/>
      <c r="H136" s="178"/>
      <c r="I136" s="178"/>
      <c r="J136" s="178"/>
      <c r="K136" s="178"/>
    </row>
    <row r="137" spans="1:11" x14ac:dyDescent="0.2">
      <c r="C137" s="2"/>
      <c r="D137" s="2"/>
      <c r="E137" s="2"/>
      <c r="F137" s="2"/>
      <c r="G137" s="2"/>
      <c r="H137" s="2"/>
      <c r="I137" s="2"/>
      <c r="J137" s="2"/>
      <c r="K137" s="2"/>
    </row>
    <row r="138" spans="1:11" x14ac:dyDescent="0.2">
      <c r="C138" s="177" t="s">
        <v>120</v>
      </c>
      <c r="D138" s="153">
        <v>2019</v>
      </c>
      <c r="E138" s="153">
        <v>2020</v>
      </c>
      <c r="F138" s="153">
        <v>2021</v>
      </c>
      <c r="G138" s="153">
        <v>2022</v>
      </c>
      <c r="H138" s="153">
        <v>2023</v>
      </c>
      <c r="I138" s="153">
        <v>2024</v>
      </c>
      <c r="J138" s="153">
        <v>2025</v>
      </c>
      <c r="K138" s="153" t="s">
        <v>36</v>
      </c>
    </row>
    <row r="139" spans="1:11" ht="12" customHeight="1" thickBot="1" x14ac:dyDescent="0.25">
      <c r="C139" s="156"/>
      <c r="D139" s="154"/>
      <c r="E139" s="154"/>
      <c r="F139" s="154"/>
      <c r="G139" s="154"/>
      <c r="H139" s="154"/>
      <c r="I139" s="154"/>
      <c r="J139" s="154"/>
      <c r="K139" s="154"/>
    </row>
    <row r="140" spans="1:11" x14ac:dyDescent="0.2">
      <c r="C140" s="87" t="s">
        <v>123</v>
      </c>
      <c r="D140" s="42">
        <f>1427.39016331352*Deflactores!$T$5</f>
        <v>2159.7876414023194</v>
      </c>
      <c r="E140" s="42">
        <f>1439.68168910376*Deflactores!$U$5</f>
        <v>2143.8696781312487</v>
      </c>
      <c r="F140" s="42">
        <f>1913.3237407324*Deflactores!$V$5</f>
        <v>2697.57916103465</v>
      </c>
      <c r="G140" s="42">
        <f>1926.38510411994*Deflactores!$W$5</f>
        <v>2400.9850319835473</v>
      </c>
      <c r="H140" s="42">
        <f>3995.59216300816*Deflactores!$X$5</f>
        <v>4557.081624299597</v>
      </c>
      <c r="I140" s="42">
        <f>3041.33736576284*Deflactores!$Y$5</f>
        <v>3297.2700120339173</v>
      </c>
      <c r="J140" s="42">
        <f>3004.54220337808*Deflactores!$Z$5</f>
        <v>3099.3134986177552</v>
      </c>
      <c r="K140" s="42">
        <f>123.08800508883*Deflactores!$AA$5</f>
        <v>123.08800508883</v>
      </c>
    </row>
    <row r="141" spans="1:11" x14ac:dyDescent="0.2">
      <c r="C141" s="88" t="s">
        <v>124</v>
      </c>
      <c r="D141" s="50">
        <f>553.92163483501*Deflactores!$T$5</f>
        <v>838.14021699913405</v>
      </c>
      <c r="E141" s="50">
        <f>592.98317804759*Deflactores!$U$5</f>
        <v>883.02759191827772</v>
      </c>
      <c r="F141" s="50">
        <f>792.38339647713*Deflactores!$V$5</f>
        <v>1117.174732315998</v>
      </c>
      <c r="G141" s="50">
        <f>863.964767359409*Deflactores!$W$5</f>
        <v>1076.8181658769383</v>
      </c>
      <c r="H141" s="50">
        <f>999.052547272*Deflactores!$X$5</f>
        <v>1139.4466249666727</v>
      </c>
      <c r="I141" s="50">
        <f>1117.95325194925*Deflactores!$Y$5</f>
        <v>1212.0305277555012</v>
      </c>
      <c r="J141" s="50">
        <f>1423.88177474573*Deflactores!$Z$5</f>
        <v>1468.794813380734</v>
      </c>
      <c r="K141" s="50">
        <f>237.35886201525*Deflactores!$AA$5</f>
        <v>237.35886201525</v>
      </c>
    </row>
    <row r="142" spans="1:11" x14ac:dyDescent="0.2">
      <c r="C142" s="87" t="s">
        <v>125</v>
      </c>
      <c r="D142" s="42">
        <f>156.9631704478*Deflactores!$T$5</f>
        <v>237.50136746180084</v>
      </c>
      <c r="E142" s="42">
        <f>182.164232197009*Deflactores!$U$5</f>
        <v>271.26577826404599</v>
      </c>
      <c r="F142" s="42">
        <f>360.28363559592*Deflactores!$V$5</f>
        <v>507.96088855999085</v>
      </c>
      <c r="G142" s="42">
        <f>289.96073695917*Deflactores!$W$5</f>
        <v>361.39782632919469</v>
      </c>
      <c r="H142" s="42">
        <f>319.52175787501*Deflactores!$X$5</f>
        <v>364.42326242823282</v>
      </c>
      <c r="I142" s="42">
        <f>328.486339277249*Deflactores!$Y$5</f>
        <v>356.12890830675832</v>
      </c>
      <c r="J142" s="42">
        <f>268.60777290051*Deflactores!$Z$5</f>
        <v>277.0803803149123</v>
      </c>
      <c r="K142" s="42">
        <f>3.68756510949*Deflactores!$AA$5</f>
        <v>3.6875651094899999</v>
      </c>
    </row>
    <row r="143" spans="1:11" x14ac:dyDescent="0.2">
      <c r="C143" s="88" t="s">
        <v>126</v>
      </c>
      <c r="D143" s="50">
        <f>862.23771745356*Deflactores!$T$5</f>
        <v>1304.6540560319868</v>
      </c>
      <c r="E143" s="50">
        <f>926.53039038484*Deflactores!$U$5</f>
        <v>1379.7219377359236</v>
      </c>
      <c r="F143" s="50">
        <f>881.750204977329*Deflactores!$V$5</f>
        <v>1243.1722491847484</v>
      </c>
      <c r="G143" s="50">
        <f>951.67379521335*Deflactores!$W$5</f>
        <v>1186.1359043689758</v>
      </c>
      <c r="H143" s="50">
        <f>1080.51842096097*Deflactores!$X$5</f>
        <v>1232.3606714583489</v>
      </c>
      <c r="I143" s="50">
        <f>1041.44880616576*Deflactores!$Y$5</f>
        <v>1129.0881295497354</v>
      </c>
      <c r="J143" s="50">
        <f>1257.57553686961*Deflactores!$Z$5</f>
        <v>1297.2428320591612</v>
      </c>
      <c r="K143" s="50">
        <f>140.50602994847*Deflactores!$AA$5</f>
        <v>140.50602994847</v>
      </c>
    </row>
    <row r="144" spans="1:11" x14ac:dyDescent="0.2">
      <c r="C144" s="87" t="s">
        <v>127</v>
      </c>
      <c r="D144" s="42">
        <f>590.74732759686*Deflactores!$T$5</f>
        <v>893.86126521519429</v>
      </c>
      <c r="E144" s="42">
        <f>641.05703782282*Deflactores!$U$5</f>
        <v>954.61570133363705</v>
      </c>
      <c r="F144" s="42">
        <f>722.891786365659*Deflactores!$V$5</f>
        <v>1019.1990916480514</v>
      </c>
      <c r="G144" s="42">
        <f>860.374365491189*Deflactores!$W$5</f>
        <v>1072.3432033546651</v>
      </c>
      <c r="H144" s="42">
        <f>1029.84790740124*Deflactores!$X$5</f>
        <v>1174.569571462041</v>
      </c>
      <c r="I144" s="42">
        <f>1105.41480856526*Deflactores!$Y$5</f>
        <v>1198.4369574291636</v>
      </c>
      <c r="J144" s="42">
        <f>1241.12687203137*Deflactores!$Z$5</f>
        <v>1280.2753323481975</v>
      </c>
      <c r="K144" s="42">
        <f>165.54193888942*Deflactores!$AA$5</f>
        <v>165.54193888942001</v>
      </c>
    </row>
    <row r="145" spans="3:11" x14ac:dyDescent="0.2">
      <c r="C145" s="88" t="s">
        <v>128</v>
      </c>
      <c r="D145" s="50">
        <f>363.63161473374*Deflactores!$T$5</f>
        <v>550.21190961689342</v>
      </c>
      <c r="E145" s="50">
        <f>361.402256784319*Deflactores!$U$5</f>
        <v>538.17406013577772</v>
      </c>
      <c r="F145" s="50">
        <f>507.491207840489*Deflactores!$V$5</f>
        <v>715.50761511732969</v>
      </c>
      <c r="G145" s="50">
        <f>450.435169529809*Deflactores!$W$5</f>
        <v>561.40804743925582</v>
      </c>
      <c r="H145" s="50">
        <f>605.68737496236*Deflactores!$X$5</f>
        <v>690.8029383142009</v>
      </c>
      <c r="I145" s="50">
        <f>854.5531835272*Deflactores!$Y$5</f>
        <v>926.46498788719828</v>
      </c>
      <c r="J145" s="50">
        <f>714.17228777889*Deflactores!$Z$5</f>
        <v>736.69919143196228</v>
      </c>
      <c r="K145" s="50">
        <f>37.69184217739*Deflactores!$AA$5</f>
        <v>37.691842177390001</v>
      </c>
    </row>
    <row r="146" spans="3:11" x14ac:dyDescent="0.2">
      <c r="C146" s="87" t="s">
        <v>129</v>
      </c>
      <c r="D146" s="42">
        <f>32273.5575669714*Deflactores!$T$5</f>
        <v>48833.201018718915</v>
      </c>
      <c r="E146" s="42">
        <f>34268.7510221385*Deflactores!$U$5</f>
        <v>51030.541528612193</v>
      </c>
      <c r="F146" s="42">
        <f>36526.1412894302*Deflactores!$V$5</f>
        <v>51497.901519612751</v>
      </c>
      <c r="G146" s="42">
        <f>40165.5010109871*Deflactores!$W$5</f>
        <v>50061.001054904205</v>
      </c>
      <c r="H146" s="42">
        <f>45222.3535883825*Deflactores!$X$5</f>
        <v>51577.32524684001</v>
      </c>
      <c r="I146" s="42">
        <f>50164.5798986244*Deflactores!$Y$5</f>
        <v>54385.997038025365</v>
      </c>
      <c r="J146" s="42">
        <f>55459.9014381672*Deflactores!$Z$5</f>
        <v>57209.255029290129</v>
      </c>
      <c r="K146" s="42">
        <f>7838.61766403847*Deflactores!$AA$5</f>
        <v>7838.6176640384701</v>
      </c>
    </row>
    <row r="147" spans="3:11" x14ac:dyDescent="0.2">
      <c r="C147" s="88" t="s">
        <v>130</v>
      </c>
      <c r="D147" s="50">
        <f>265.50080154778*Deflactores!$T$5</f>
        <v>401.72992970202688</v>
      </c>
      <c r="E147" s="50">
        <f>241.73299196914*Deflactores!$U$5</f>
        <v>359.97126004235321</v>
      </c>
      <c r="F147" s="50">
        <f>671.605856234279*Deflactores!$V$5</f>
        <v>946.891487121213</v>
      </c>
      <c r="G147" s="50">
        <f>556.1626767964*Deflactores!$W$5</f>
        <v>693.18344472254557</v>
      </c>
      <c r="H147" s="50">
        <f>560.386603394199*Deflactores!$X$5</f>
        <v>639.13617522683967</v>
      </c>
      <c r="I147" s="50">
        <f>381.37251859876*Deflactores!$Y$5</f>
        <v>413.46553103428261</v>
      </c>
      <c r="J147" s="50">
        <f>303.56938040264*Deflactores!$Z$5</f>
        <v>313.14477040498957</v>
      </c>
      <c r="K147" s="50">
        <f>12.48335021934*Deflactores!$AA$5</f>
        <v>12.48335021934</v>
      </c>
    </row>
    <row r="148" spans="3:11" x14ac:dyDescent="0.2">
      <c r="C148" s="87" t="s">
        <v>131</v>
      </c>
      <c r="D148" s="42">
        <f>41301.5020213789*Deflactores!$T$5</f>
        <v>62493.406448909474</v>
      </c>
      <c r="E148" s="42">
        <f>44559.2266310879*Deflactores!$U$5</f>
        <v>66354.372343818046</v>
      </c>
      <c r="F148" s="42">
        <f>48030.2840783423*Deflactores!$V$5</f>
        <v>67717.496349422945</v>
      </c>
      <c r="G148" s="42">
        <f>49639.3302599511*Deflactores!$W$5</f>
        <v>61868.880057748829</v>
      </c>
      <c r="H148" s="42">
        <f>57885.4014038318*Deflactores!$X$5</f>
        <v>66019.875976032956</v>
      </c>
      <c r="I148" s="42">
        <f>67589.1345819209*Deflactores!$Y$5</f>
        <v>73276.851527582461</v>
      </c>
      <c r="J148" s="42">
        <f>78036.505969929*Deflactores!$Z$5</f>
        <v>80497.986037818788</v>
      </c>
      <c r="K148" s="42">
        <f>12741.8180096109*Deflactores!$AA$5</f>
        <v>12741.818009610901</v>
      </c>
    </row>
    <row r="149" spans="3:11" x14ac:dyDescent="0.2">
      <c r="C149" s="88" t="s">
        <v>132</v>
      </c>
      <c r="D149" s="50">
        <f>352.34872515736*Deflactores!$T$5</f>
        <v>533.13974105871614</v>
      </c>
      <c r="E149" s="50">
        <f>246.13729524877*Deflactores!$U$5</f>
        <v>366.52982943026484</v>
      </c>
      <c r="F149" s="50">
        <f>296.538243579559*Deflactores!$V$5</f>
        <v>418.08679278909102</v>
      </c>
      <c r="G149" s="50">
        <f>346.0662886939*Deflactores!$W$5</f>
        <v>431.32599886238415</v>
      </c>
      <c r="H149" s="50">
        <f>409.48866905198*Deflactores!$X$5</f>
        <v>467.03297357825613</v>
      </c>
      <c r="I149" s="50">
        <f>495.58572267546*Deflactores!$Y$5</f>
        <v>537.28993046454923</v>
      </c>
      <c r="J149" s="50">
        <f>521.25009868281*Deflactores!$Z$5</f>
        <v>537.69172061790448</v>
      </c>
      <c r="K149" s="50">
        <f>31.5429417091999*Deflactores!$AA$5</f>
        <v>31.542941709199901</v>
      </c>
    </row>
    <row r="150" spans="3:11" x14ac:dyDescent="0.2">
      <c r="C150" s="87" t="s">
        <v>133</v>
      </c>
      <c r="D150" s="42">
        <f>3650.65686514901*Deflactores!$T$5</f>
        <v>5523.818072310436</v>
      </c>
      <c r="E150" s="42">
        <f>3771.89104399122*Deflactores!$U$5</f>
        <v>5616.8268997445002</v>
      </c>
      <c r="F150" s="42">
        <f>4148.41512375744*Deflactores!$V$5</f>
        <v>5848.8158333755773</v>
      </c>
      <c r="G150" s="42">
        <f>4515.40158356137*Deflactores!$W$5</f>
        <v>5627.852703148109</v>
      </c>
      <c r="H150" s="42">
        <f>5163.98332446343*Deflactores!$X$5</f>
        <v>5889.663548239816</v>
      </c>
      <c r="I150" s="42">
        <f>5592.34199938575*Deflactores!$Y$5</f>
        <v>6062.9451303858805</v>
      </c>
      <c r="J150" s="42">
        <f>6324.24086103931*Deflactores!$Z$5</f>
        <v>6523.7243288150348</v>
      </c>
      <c r="K150" s="42">
        <f>791.116104787429*Deflactores!$AA$5</f>
        <v>791.11610478742898</v>
      </c>
    </row>
    <row r="151" spans="3:11" x14ac:dyDescent="0.2">
      <c r="C151" s="88" t="s">
        <v>134</v>
      </c>
      <c r="D151" s="50">
        <f>8507.91077187468*Deflactores!$T$5</f>
        <v>12873.341158939003</v>
      </c>
      <c r="E151" s="50">
        <f>16925.5132998668*Deflactores!$U$5</f>
        <v>25204.248289759569</v>
      </c>
      <c r="F151" s="50">
        <f>18737.0321461757*Deflactores!$V$5</f>
        <v>26417.185121955354</v>
      </c>
      <c r="G151" s="50">
        <f>14118.9291838058*Deflactores!$W$5</f>
        <v>17597.383599703528</v>
      </c>
      <c r="H151" s="50">
        <f>34080.3437016472*Deflactores!$X$5</f>
        <v>38869.559678900041</v>
      </c>
      <c r="I151" s="50">
        <f>22906.2762915399*Deflactores!$Y$5</f>
        <v>24833.870373507129</v>
      </c>
      <c r="J151" s="50">
        <f>17232.5089101619*Deflactores!$Z$5</f>
        <v>17776.068320913098</v>
      </c>
      <c r="K151" s="50">
        <f>2404.18196967824*Deflactores!$AA$5</f>
        <v>2404.18196967824</v>
      </c>
    </row>
    <row r="152" spans="3:11" x14ac:dyDescent="0.2">
      <c r="C152" s="87" t="s">
        <v>135</v>
      </c>
      <c r="D152" s="42">
        <f>0*Deflactores!$T$5</f>
        <v>0</v>
      </c>
      <c r="E152" s="42">
        <f>0*Deflactores!$U$5</f>
        <v>0</v>
      </c>
      <c r="F152" s="42">
        <f>0*Deflactores!$V$5</f>
        <v>0</v>
      </c>
      <c r="G152" s="42">
        <f>0*Deflactores!$W$5</f>
        <v>0</v>
      </c>
      <c r="H152" s="42">
        <f>2.91414025259*Deflactores!$X$5</f>
        <v>3.3236562827051861</v>
      </c>
      <c r="I152" s="42">
        <f>9980.51107063877*Deflactores!$Y$5</f>
        <v>10820.384554653154</v>
      </c>
      <c r="J152" s="42">
        <f>10601.4795202732*Deflactores!$Z$5</f>
        <v>10935.87853269631</v>
      </c>
      <c r="K152" s="42">
        <f>1088.35682289207*Deflactores!$AA$5</f>
        <v>1088.3568228920701</v>
      </c>
    </row>
    <row r="153" spans="3:11" x14ac:dyDescent="0.2">
      <c r="C153" s="88" t="s">
        <v>136</v>
      </c>
      <c r="D153" s="50">
        <f>10243.1559765353*Deflactores!$T$5</f>
        <v>15498.945036668309</v>
      </c>
      <c r="E153" s="50">
        <f>17476.4537684412*Deflactores!$U$5</f>
        <v>26024.668924384274</v>
      </c>
      <c r="F153" s="50">
        <f>21997.3889437599*Deflactores!$V$5</f>
        <v>31013.934938760605</v>
      </c>
      <c r="G153" s="50">
        <f>22513.4279871354*Deflactores!$W$5</f>
        <v>28060.019515384531</v>
      </c>
      <c r="H153" s="50">
        <f>19422.4595347473*Deflactores!$X$5</f>
        <v>22151.843790248884</v>
      </c>
      <c r="I153" s="50">
        <f>9671.93411688228*Deflactores!$Y$5</f>
        <v>10485.840433543837</v>
      </c>
      <c r="J153" s="50">
        <f>8005.92522097939*Deflactores!$Z$5</f>
        <v>8258.4535102911996</v>
      </c>
      <c r="K153" s="50">
        <f>1345.42906603555*Deflactores!$AA$5</f>
        <v>1345.42906603555</v>
      </c>
    </row>
    <row r="154" spans="3:11" x14ac:dyDescent="0.2">
      <c r="C154" s="87" t="s">
        <v>137</v>
      </c>
      <c r="D154" s="42">
        <f>324.17422811267*Deflactores!$T$5</f>
        <v>490.50883881220687</v>
      </c>
      <c r="E154" s="42">
        <f>322.22993534808*Deflactores!$U$5</f>
        <v>479.84147677046207</v>
      </c>
      <c r="F154" s="42">
        <f>391.591012666129*Deflactores!$V$5</f>
        <v>552.1008979966175</v>
      </c>
      <c r="G154" s="42">
        <f>401.060447321779*Deflactores!$W$5</f>
        <v>499.8689664287723</v>
      </c>
      <c r="H154" s="42">
        <f>558.93967610878*Deflactores!$X$5</f>
        <v>637.48591527160022</v>
      </c>
      <c r="I154" s="42">
        <f>808.08945224346*Deflactores!$Y$5</f>
        <v>876.09127087252864</v>
      </c>
      <c r="J154" s="42">
        <f>731.104037108*Deflactores!$Z$5</f>
        <v>754.16501341040612</v>
      </c>
      <c r="K154" s="42">
        <f>54.27743650896*Deflactores!$AA$5</f>
        <v>54.277436508960001</v>
      </c>
    </row>
    <row r="155" spans="3:11" x14ac:dyDescent="0.2">
      <c r="C155" s="88" t="s">
        <v>138</v>
      </c>
      <c r="D155" s="50">
        <f>91.27763542242*Deflactores!$T$5</f>
        <v>138.11241942716703</v>
      </c>
      <c r="E155" s="50">
        <f>97.64146220211*Deflactores!$U$5</f>
        <v>145.4005921779945</v>
      </c>
      <c r="F155" s="50">
        <f>110.959760434319*Deflactores!$V$5</f>
        <v>156.4412394456771</v>
      </c>
      <c r="G155" s="50">
        <f>106.51005576041*Deflactores!$W$5</f>
        <v>132.75074079920589</v>
      </c>
      <c r="H155" s="50">
        <f>122.721946485169*Deflactores!$X$5</f>
        <v>139.96772053051501</v>
      </c>
      <c r="I155" s="50">
        <f>137.65301361438*Deflactores!$Y$5</f>
        <v>149.23670059304587</v>
      </c>
      <c r="J155" s="50">
        <f>150.50415071102*Deflactores!$Z$5</f>
        <v>155.25145407250844</v>
      </c>
      <c r="K155" s="50">
        <f>18.34312832941*Deflactores!$AA$5</f>
        <v>18.34312832941</v>
      </c>
    </row>
    <row r="156" spans="3:11" x14ac:dyDescent="0.2">
      <c r="C156" s="87" t="s">
        <v>160</v>
      </c>
      <c r="D156" s="42">
        <f>1185.59405363986*Deflactores!$T$5</f>
        <v>1793.9253405160373</v>
      </c>
      <c r="E156" s="42">
        <f>1495.83948052694*Deflactores!$U$5</f>
        <v>2227.4957929413386</v>
      </c>
      <c r="F156" s="42">
        <f>1845.60406744711*Deflactores!$V$5</f>
        <v>2602.1017592978455</v>
      </c>
      <c r="G156" s="42">
        <f>2141.12075066603*Deflactores!$W$5</f>
        <v>2668.6247017919422</v>
      </c>
      <c r="H156" s="42">
        <f>2341.06202249934*Deflactores!$X$5</f>
        <v>2670.0449617574254</v>
      </c>
      <c r="I156" s="42">
        <f>2892.46377639536*Deflactores!$Y$5</f>
        <v>3135.8685090861773</v>
      </c>
      <c r="J156" s="42">
        <f>3527.72539111888*Deflactores!$Z$5</f>
        <v>3638.9992830916185</v>
      </c>
      <c r="K156" s="42">
        <f>276.30507678421*Deflactores!$AA$5</f>
        <v>276.30507678420997</v>
      </c>
    </row>
    <row r="157" spans="3:11" x14ac:dyDescent="0.2">
      <c r="C157" s="88" t="s">
        <v>161</v>
      </c>
      <c r="D157" s="50">
        <f>2115.23165849542*Deflactores!$T$5</f>
        <v>3200.5623354698009</v>
      </c>
      <c r="E157" s="50">
        <f>2365.53731126699*Deflactores!$U$5</f>
        <v>3522.5867999130455</v>
      </c>
      <c r="F157" s="50">
        <f>2358.04986899707*Deflactores!$V$5</f>
        <v>3324.5948147029471</v>
      </c>
      <c r="G157" s="50">
        <f>2698.95827168608*Deflactores!$W$5</f>
        <v>3363.8956190054701</v>
      </c>
      <c r="H157" s="50">
        <f>3215.44122217844*Deflactores!$X$5</f>
        <v>3667.2982401119207</v>
      </c>
      <c r="I157" s="50">
        <f>3823.99131869355*Deflactores!$Y$5</f>
        <v>4145.7853519790979</v>
      </c>
      <c r="J157" s="50">
        <f>4219.47032730132*Deflactores!$Z$5</f>
        <v>4352.5637042870458</v>
      </c>
      <c r="K157" s="50">
        <f>380.8586846991*Deflactores!$AA$5</f>
        <v>380.85868469910002</v>
      </c>
    </row>
    <row r="158" spans="3:11" x14ac:dyDescent="0.2">
      <c r="C158" s="87" t="s">
        <v>140</v>
      </c>
      <c r="D158" s="42">
        <f>3367.6238464337*Deflactores!$T$5</f>
        <v>5095.5601007751147</v>
      </c>
      <c r="E158" s="42">
        <f>3856.06086932299*Deflactores!$U$5</f>
        <v>5742.1665062062029</v>
      </c>
      <c r="F158" s="42">
        <f>5536.13961854051*Deflactores!$V$5</f>
        <v>7805.3570076105125</v>
      </c>
      <c r="G158" s="42">
        <f>4836.43967082153*Deflactores!$W$5</f>
        <v>6027.9843489751838</v>
      </c>
      <c r="H158" s="42">
        <f>7930.26736926501*Deflactores!$X$5</f>
        <v>9044.6858012286266</v>
      </c>
      <c r="I158" s="42">
        <f>8874.16605969585*Deflactores!$Y$5</f>
        <v>9620.9391170601284</v>
      </c>
      <c r="J158" s="42">
        <f>8403.41574545939*Deflactores!$Z$5</f>
        <v>8668.4819488028643</v>
      </c>
      <c r="K158" s="42">
        <f>1729.92525589309*Deflactores!$AA$5</f>
        <v>1729.92525589309</v>
      </c>
    </row>
    <row r="159" spans="3:11" x14ac:dyDescent="0.2">
      <c r="C159" s="88" t="s">
        <v>141</v>
      </c>
      <c r="D159" s="50">
        <f>1691.23769659666*Deflactores!$T$5</f>
        <v>2559.0160067404704</v>
      </c>
      <c r="E159" s="50">
        <f>1924.58275821286*Deflactores!$U$5</f>
        <v>2865.9492230920391</v>
      </c>
      <c r="F159" s="50">
        <f>2345.81136387222*Deflactores!$V$5</f>
        <v>3307.3398485494549</v>
      </c>
      <c r="G159" s="50">
        <f>2706.71033886246*Deflactores!$W$5</f>
        <v>3373.5575486049115</v>
      </c>
      <c r="H159" s="50">
        <f>3281.31384939018*Deflactores!$X$5</f>
        <v>3742.427764538897</v>
      </c>
      <c r="I159" s="50">
        <f>3740.82190753252*Deflactores!$Y$5</f>
        <v>4055.6171225590779</v>
      </c>
      <c r="J159" s="50">
        <f>3861.998375995*Deflactores!$Z$5</f>
        <v>3983.8161317566128</v>
      </c>
      <c r="K159" s="50">
        <f>458.95062347065*Deflactores!$AA$5</f>
        <v>458.95062347064999</v>
      </c>
    </row>
    <row r="160" spans="3:11" x14ac:dyDescent="0.2">
      <c r="C160" s="87" t="s">
        <v>142</v>
      </c>
      <c r="D160" s="42">
        <f>352.7198803017*Deflactores!$T$5</f>
        <v>533.70133683987785</v>
      </c>
      <c r="E160" s="42">
        <f>503.263805069699*Deflactores!$U$5</f>
        <v>749.42400112176665</v>
      </c>
      <c r="F160" s="42">
        <f>889.783972745809*Deflactores!$V$5</f>
        <v>1254.4989912595358</v>
      </c>
      <c r="G160" s="42">
        <f>853.69938132063*Deflactores!$W$5</f>
        <v>1064.0237157049924</v>
      </c>
      <c r="H160" s="42">
        <f>878.79195915721*Deflactores!$X$5</f>
        <v>1002.2861506572099</v>
      </c>
      <c r="I160" s="42">
        <f>871.38899239761*Deflactores!$Y$5</f>
        <v>944.71755280868763</v>
      </c>
      <c r="J160" s="42">
        <f>707.328206750059*Deflactores!$Z$5</f>
        <v>729.63922978641097</v>
      </c>
      <c r="K160" s="42">
        <f>92.75218756783*Deflactores!$AA$5</f>
        <v>92.752187567830006</v>
      </c>
    </row>
    <row r="161" spans="1:11" x14ac:dyDescent="0.2">
      <c r="C161" s="88" t="s">
        <v>143</v>
      </c>
      <c r="D161" s="50">
        <f>690.001394184459*Deflactores!$T$5</f>
        <v>1044.0428426734481</v>
      </c>
      <c r="E161" s="50">
        <f>1838.44539395216*Deflactores!$U$5</f>
        <v>2737.6797001896389</v>
      </c>
      <c r="F161" s="50">
        <f>3971.14742043244*Deflactores!$V$5</f>
        <v>5598.8875790849861</v>
      </c>
      <c r="G161" s="50">
        <f>1207.73860542414*Deflactores!$W$5</f>
        <v>1505.2869272973257</v>
      </c>
      <c r="H161" s="50">
        <f>889.23332688964*Deflactores!$X$5</f>
        <v>1014.1948147762696</v>
      </c>
      <c r="I161" s="50">
        <f>813.44649034777*Deflactores!$Y$5</f>
        <v>881.89911096731998</v>
      </c>
      <c r="J161" s="50">
        <f>1668.50277964458*Deflactores!$Z$5</f>
        <v>1721.1318188906023</v>
      </c>
      <c r="K161" s="50">
        <f>76.63297560614*Deflactores!$AA$5</f>
        <v>76.632975606139993</v>
      </c>
    </row>
    <row r="162" spans="1:11" x14ac:dyDescent="0.2">
      <c r="C162" s="87" t="s">
        <v>144</v>
      </c>
      <c r="D162" s="42">
        <f>4305.35715077878*Deflactores!$T$5</f>
        <v>6514.4467189611023</v>
      </c>
      <c r="E162" s="42">
        <f>4447.39013902944*Deflactores!$U$5</f>
        <v>6622.7312176351243</v>
      </c>
      <c r="F162" s="42">
        <f>4816.97245128618*Deflactores!$V$5</f>
        <v>6791.4092253376675</v>
      </c>
      <c r="G162" s="42">
        <f>5382.79974625189*Deflactores!$W$5</f>
        <v>6708.9501436006494</v>
      </c>
      <c r="H162" s="42">
        <f>6583.43763757045*Deflactores!$X$5</f>
        <v>7508.5898307267689</v>
      </c>
      <c r="I162" s="42">
        <f>7941.61259140778*Deflactores!$Y$5</f>
        <v>8609.9100151198963</v>
      </c>
      <c r="J162" s="42">
        <f>9210.90295734786*Deflactores!$Z$5</f>
        <v>9501.4394665749078</v>
      </c>
      <c r="K162" s="42">
        <f>1042.17002082581*Deflactores!$AA$5</f>
        <v>1042.1700208258101</v>
      </c>
    </row>
    <row r="163" spans="1:11" x14ac:dyDescent="0.2">
      <c r="C163" s="88" t="s">
        <v>145</v>
      </c>
      <c r="D163" s="50">
        <f>1430.2522375826*Deflactores!$T$5</f>
        <v>2164.1182531677705</v>
      </c>
      <c r="E163" s="50">
        <f>643.09706764181*Deflactores!$U$5</f>
        <v>957.65356595643345</v>
      </c>
      <c r="F163" s="50">
        <f>1225.11235561729*Deflactores!$V$5</f>
        <v>1727.2756774419245</v>
      </c>
      <c r="G163" s="50">
        <f>3074.87142268297*Deflactores!$W$5</f>
        <v>3832.4217963201745</v>
      </c>
      <c r="H163" s="50">
        <f>2676.28921203324*Deflactores!$X$5</f>
        <v>3052.3806965037884</v>
      </c>
      <c r="I163" s="50">
        <f>945.627253734899*Deflactores!$Y$5</f>
        <v>1025.2030640869086</v>
      </c>
      <c r="J163" s="50">
        <f>2307.74267853791*Deflactores!$Z$5</f>
        <v>2380.5350535223638</v>
      </c>
      <c r="K163" s="50">
        <f>193.97468176203*Deflactores!$AA$5</f>
        <v>193.97468176203</v>
      </c>
    </row>
    <row r="164" spans="1:11" x14ac:dyDescent="0.2">
      <c r="C164" s="87" t="s">
        <v>146</v>
      </c>
      <c r="D164" s="42">
        <f>907.201327894527*Deflactores!$T$5</f>
        <v>1372.6886079289923</v>
      </c>
      <c r="E164" s="42">
        <f>854.69532534829*Deflactores!$U$5</f>
        <v>1272.7503627523465</v>
      </c>
      <c r="F164" s="42">
        <f>1067.66150361108*Deflactores!$V$5</f>
        <v>1505.2870363055747</v>
      </c>
      <c r="G164" s="42">
        <f>1310.55870220713*Deflactores!$W$5</f>
        <v>1633.4386207645775</v>
      </c>
      <c r="H164" s="42">
        <f>1386.21631950161*Deflactores!$X$5</f>
        <v>1581.0174460220817</v>
      </c>
      <c r="I164" s="42">
        <f>1500.77748276995*Deflactores!$Y$5</f>
        <v>1627.069934555554</v>
      </c>
      <c r="J164" s="42">
        <f>1733.94119160537*Deflactores!$Z$5</f>
        <v>1788.6343333469335</v>
      </c>
      <c r="K164" s="42">
        <f>304.20594012956*Deflactores!$AA$5</f>
        <v>304.20594012956002</v>
      </c>
    </row>
    <row r="165" spans="1:11" x14ac:dyDescent="0.2">
      <c r="C165" s="88" t="s">
        <v>162</v>
      </c>
      <c r="D165" s="50">
        <f>29389.6999537183*Deflactores!$T$5</f>
        <v>44469.628820484584</v>
      </c>
      <c r="E165" s="50">
        <f>34417.5298233155*Deflactores!$U$5</f>
        <v>51252.092141505411</v>
      </c>
      <c r="F165" s="50">
        <f>43377.4448502122*Deflactores!$V$5</f>
        <v>61157.497184491367</v>
      </c>
      <c r="G165" s="50">
        <f>42232.6069075453*Deflactores!$W$5</f>
        <v>52637.376000156146</v>
      </c>
      <c r="H165" s="50">
        <f>50059.0057808983*Deflactores!$X$5</f>
        <v>57093.658728945964</v>
      </c>
      <c r="I165" s="50">
        <f>57818.1087837775*Deflactores!$Y$5</f>
        <v>62683.580713988573</v>
      </c>
      <c r="J165" s="50">
        <f>64340.272727441*Deflactores!$Z$5</f>
        <v>66369.736975138323</v>
      </c>
      <c r="K165" s="50">
        <f>10362.158544557*Deflactores!$AA$5</f>
        <v>10362.158544557</v>
      </c>
    </row>
    <row r="166" spans="1:11" x14ac:dyDescent="0.2">
      <c r="C166" s="87" t="s">
        <v>148</v>
      </c>
      <c r="D166" s="42">
        <f>354.31167624808*Deflactores!$T$5</f>
        <v>536.10988728458949</v>
      </c>
      <c r="E166" s="42">
        <f>454.57663114662*Deflactores!$U$5</f>
        <v>676.92258870707508</v>
      </c>
      <c r="F166" s="42">
        <f>538.07943145689*Deflactores!$V$5</f>
        <v>758.63369610615689</v>
      </c>
      <c r="G166" s="42">
        <f>579.25962507881*Deflactores!$W$5</f>
        <v>721.9707453468925</v>
      </c>
      <c r="H166" s="42">
        <f>652.34916360862*Deflactores!$X$5</f>
        <v>744.02197842682631</v>
      </c>
      <c r="I166" s="42">
        <f>770.89363698376*Deflactores!$Y$5</f>
        <v>835.76537753047251</v>
      </c>
      <c r="J166" s="42">
        <f>849.50019022322*Deflactores!$Z$5</f>
        <v>876.29569778616508</v>
      </c>
      <c r="K166" s="42">
        <f>114.88092206676*Deflactores!$AA$5</f>
        <v>114.88092206675999</v>
      </c>
    </row>
    <row r="167" spans="1:11" x14ac:dyDescent="0.2">
      <c r="C167" s="88" t="s">
        <v>149</v>
      </c>
      <c r="D167" s="50">
        <f>1476.24704821459*Deflactores!$T$5</f>
        <v>2233.7131166639629</v>
      </c>
      <c r="E167" s="50">
        <f>1500.1906789324*Deflactores!$U$5</f>
        <v>2233.9752823976542</v>
      </c>
      <c r="F167" s="50">
        <f>1962.49209059938*Deflactores!$V$5</f>
        <v>2766.9012068337865</v>
      </c>
      <c r="G167" s="50">
        <f>2017.00784292036*Deflactores!$W$5</f>
        <v>2513.9343269878632</v>
      </c>
      <c r="H167" s="50">
        <f>2305.43851483983*Deflactores!$X$5</f>
        <v>2629.4153815787449</v>
      </c>
      <c r="I167" s="50">
        <f>2884.88172513722*Deflactores!$Y$5</f>
        <v>3127.6484179760619</v>
      </c>
      <c r="J167" s="50">
        <f>1947.63035114213*Deflactores!$Z$5</f>
        <v>2009.0638203802441</v>
      </c>
      <c r="K167" s="50">
        <f>282.70978801562*Deflactores!$AA$5</f>
        <v>282.70978801562001</v>
      </c>
    </row>
    <row r="168" spans="1:11" x14ac:dyDescent="0.2">
      <c r="C168" s="87" t="s">
        <v>163</v>
      </c>
      <c r="D168" s="42">
        <f>22979.7927857002*Deflactores!$T$5</f>
        <v>34770.782184268239</v>
      </c>
      <c r="E168" s="42">
        <f>28051.2846700836*Deflactores!$U$5</f>
        <v>41771.941042229868</v>
      </c>
      <c r="F168" s="42">
        <f>25972.6849662171*Deflactores!$V$5</f>
        <v>36618.671597189132</v>
      </c>
      <c r="G168" s="42">
        <f>22434.5532362104*Deflactores!$W$5</f>
        <v>27961.712538255535</v>
      </c>
      <c r="H168" s="42">
        <f>26874.7833213012*Deflactores!$X$5</f>
        <v>30651.421925487666</v>
      </c>
      <c r="I168" s="42">
        <f>32402.2394887731*Deflactores!$Y$5</f>
        <v>35128.931696886903</v>
      </c>
      <c r="J168" s="42">
        <f>44171.8064314183*Deflactores!$Z$5</f>
        <v>45565.103321665025</v>
      </c>
      <c r="K168" s="42">
        <f>2126.86867311564*Deflactores!$AA$5</f>
        <v>2126.8686731156399</v>
      </c>
    </row>
    <row r="169" spans="1:11" x14ac:dyDescent="0.2">
      <c r="C169" s="88" t="s">
        <v>150</v>
      </c>
      <c r="D169" s="50">
        <f>5937.65318624443*Deflactores!$T$5</f>
        <v>8984.2779501956502</v>
      </c>
      <c r="E169" s="50">
        <f>6327.11714207221*Deflactores!$U$5</f>
        <v>9421.8844995641557</v>
      </c>
      <c r="F169" s="50">
        <f>9071.34825347627*Deflactores!$V$5</f>
        <v>12789.618134199569</v>
      </c>
      <c r="G169" s="50">
        <f>9132.77668489598*Deflactores!$W$5</f>
        <v>11382.801950652083</v>
      </c>
      <c r="H169" s="50">
        <f>10046.9767894067*Deflactores!$X$5</f>
        <v>11458.850512986235</v>
      </c>
      <c r="I169" s="50">
        <f>6085.28874022155*Deflactores!$Y$5</f>
        <v>6597.3740051253517</v>
      </c>
      <c r="J169" s="50">
        <f>5937.1697296294*Deflactores!$Z$5</f>
        <v>6124.4439388923429</v>
      </c>
      <c r="K169" s="50">
        <f>1673.0629051814*Deflactores!$AA$5</f>
        <v>1673.0629051814001</v>
      </c>
    </row>
    <row r="170" spans="1:11" x14ac:dyDescent="0.2">
      <c r="C170" s="87" t="s">
        <v>151</v>
      </c>
      <c r="D170" s="42">
        <f>2870.22447396841*Deflactores!$T$5</f>
        <v>4342.9438609391946</v>
      </c>
      <c r="E170" s="42">
        <f>3325.26543245578*Deflactores!$U$5</f>
        <v>4951.7443934553976</v>
      </c>
      <c r="F170" s="42">
        <f>4634.47821648233*Deflactores!$V$5</f>
        <v>6534.1121279696154</v>
      </c>
      <c r="G170" s="42">
        <f>4681.19939014683*Deflactores!$W$5</f>
        <v>5834.4978080630235</v>
      </c>
      <c r="H170" s="42">
        <f>4982.25223349219*Deflactores!$X$5</f>
        <v>5682.3942921590206</v>
      </c>
      <c r="I170" s="42">
        <f>5369.42881557816*Deflactores!$Y$5</f>
        <v>5821.2735011447703</v>
      </c>
      <c r="J170" s="42">
        <f>5806.97264535231*Deflactores!$Z$5</f>
        <v>5990.1400904301818</v>
      </c>
      <c r="K170" s="42">
        <f>194.986454232259*Deflactores!$AA$5</f>
        <v>194.98645423225901</v>
      </c>
    </row>
    <row r="171" spans="1:11" x14ac:dyDescent="0.2">
      <c r="C171" s="79" t="s">
        <v>152</v>
      </c>
      <c r="D171" s="44">
        <f t="shared" ref="D171:K171" si="8">SUM(D140:D170)</f>
        <v>272385.87648418237</v>
      </c>
      <c r="E171" s="44">
        <f t="shared" si="8"/>
        <v>318760.07300992607</v>
      </c>
      <c r="F171" s="44">
        <f t="shared" si="8"/>
        <v>346411.63380472071</v>
      </c>
      <c r="G171" s="44">
        <f t="shared" si="8"/>
        <v>302861.83105258149</v>
      </c>
      <c r="H171" s="44">
        <f t="shared" si="8"/>
        <v>337096.58789998823</v>
      </c>
      <c r="I171" s="44">
        <f t="shared" si="8"/>
        <v>338202.97550449957</v>
      </c>
      <c r="J171" s="44">
        <f t="shared" si="8"/>
        <v>354821.04958083469</v>
      </c>
      <c r="K171" s="44">
        <f t="shared" si="8"/>
        <v>46344.483470945524</v>
      </c>
    </row>
    <row r="172" spans="1:11" s="31" customFormat="1" x14ac:dyDescent="0.2">
      <c r="A172" s="5"/>
      <c r="B172" s="5"/>
      <c r="C172" s="72" t="str">
        <f>+'C1 Aprop Resumen 2000-2026'!B20</f>
        <v>* Información con corte a 28 de febrero</v>
      </c>
      <c r="D172" s="123">
        <f>+D171-'C5 Ejecución PGN 2019-2026'!D98</f>
        <v>7.5669959187507629E-10</v>
      </c>
      <c r="E172" s="123">
        <f>+E171-'C5 Ejecución PGN 2019-2026'!E98</f>
        <v>8.7311491370201111E-10</v>
      </c>
      <c r="F172" s="123">
        <f>+F171-'C5 Ejecución PGN 2019-2026'!F98</f>
        <v>0</v>
      </c>
      <c r="G172" s="123">
        <f>+G171-'C5 Ejecución PGN 2019-2026'!G98</f>
        <v>0</v>
      </c>
      <c r="H172" s="123">
        <f>+H171-'C5 Ejecución PGN 2019-2026'!H98</f>
        <v>5.8207660913467407E-10</v>
      </c>
      <c r="I172" s="123">
        <f>+I171-'C5 Ejecución PGN 2019-2026'!I98</f>
        <v>7.5669959187507629E-10</v>
      </c>
      <c r="J172" s="123">
        <f>+J171-'C5 Ejecución PGN 2019-2026'!J98</f>
        <v>0</v>
      </c>
      <c r="K172" s="123">
        <f>+K171-'C5 Ejecución PGN 2019-2026'!K98</f>
        <v>-8.0035533756017685E-11</v>
      </c>
    </row>
    <row r="173" spans="1:11" x14ac:dyDescent="0.2">
      <c r="C173" s="1" t="s">
        <v>52</v>
      </c>
      <c r="D173" s="11"/>
      <c r="E173" s="11"/>
      <c r="F173" s="11"/>
      <c r="G173" s="11"/>
      <c r="H173" s="11"/>
    </row>
    <row r="174" spans="1:11" x14ac:dyDescent="0.2">
      <c r="B174" s="9"/>
      <c r="D174" s="11"/>
      <c r="E174" s="11"/>
      <c r="F174" s="11"/>
      <c r="G174" s="11"/>
      <c r="H174" s="11"/>
    </row>
    <row r="175" spans="1:11" x14ac:dyDescent="0.2">
      <c r="D175" s="11"/>
      <c r="E175" s="11"/>
      <c r="F175" s="11"/>
      <c r="G175" s="11"/>
      <c r="H175" s="11"/>
    </row>
    <row r="176" spans="1:11" x14ac:dyDescent="0.2">
      <c r="D176" s="11"/>
      <c r="E176" s="11"/>
      <c r="F176" s="11"/>
      <c r="G176" s="11"/>
      <c r="H176" s="11"/>
    </row>
    <row r="177" spans="3:11" ht="18" customHeight="1" x14ac:dyDescent="0.2">
      <c r="C177" s="160" t="s">
        <v>157</v>
      </c>
      <c r="D177" s="158"/>
      <c r="E177" s="178"/>
      <c r="F177" s="178"/>
      <c r="G177" s="178"/>
      <c r="H177" s="178"/>
      <c r="I177" s="178"/>
      <c r="J177" s="178"/>
      <c r="K177" s="178"/>
    </row>
    <row r="178" spans="3:11" x14ac:dyDescent="0.2">
      <c r="D178" s="28"/>
      <c r="E178" s="28"/>
      <c r="F178" s="28"/>
      <c r="G178" s="28"/>
      <c r="H178" s="28"/>
    </row>
    <row r="179" spans="3:11" ht="0.75" customHeight="1" x14ac:dyDescent="0.2">
      <c r="D179" s="29"/>
      <c r="E179" s="29"/>
      <c r="F179" s="29"/>
      <c r="G179" s="29"/>
      <c r="H179" s="29"/>
    </row>
    <row r="180" spans="3:11" x14ac:dyDescent="0.2">
      <c r="C180" s="177" t="s">
        <v>120</v>
      </c>
      <c r="D180" s="153">
        <v>2019</v>
      </c>
      <c r="E180" s="153">
        <v>2020</v>
      </c>
      <c r="F180" s="153">
        <v>2021</v>
      </c>
      <c r="G180" s="153">
        <v>2022</v>
      </c>
      <c r="H180" s="153">
        <v>2023</v>
      </c>
      <c r="I180" s="153">
        <v>2024</v>
      </c>
      <c r="J180" s="153">
        <v>2025</v>
      </c>
      <c r="K180" s="153" t="s">
        <v>36</v>
      </c>
    </row>
    <row r="181" spans="3:11" ht="12" customHeight="1" thickBot="1" x14ac:dyDescent="0.25">
      <c r="C181" s="156"/>
      <c r="D181" s="154"/>
      <c r="E181" s="154"/>
      <c r="F181" s="154"/>
      <c r="G181" s="154"/>
      <c r="H181" s="154"/>
      <c r="I181" s="154"/>
      <c r="J181" s="154"/>
      <c r="K181" s="154"/>
    </row>
    <row r="182" spans="3:11" x14ac:dyDescent="0.2">
      <c r="C182" s="87" t="s">
        <v>123</v>
      </c>
      <c r="D182" s="47">
        <f t="shared" ref="D182:D212" si="9">+IFERROR(IF(D140&gt;0,+((D140/D15)*100),""),"0")</f>
        <v>63.074900823480249</v>
      </c>
      <c r="E182" s="47">
        <f t="shared" ref="E182:K191" si="10">+IFERROR(IF(E140&gt;0,+((E140/E15)*100)," "),"0")</f>
        <v>77.888611657324233</v>
      </c>
      <c r="F182" s="47">
        <f t="shared" si="10"/>
        <v>79.826742414932582</v>
      </c>
      <c r="G182" s="47">
        <f t="shared" si="10"/>
        <v>74.457011818161504</v>
      </c>
      <c r="H182" s="47">
        <f t="shared" si="10"/>
        <v>74.257650704177848</v>
      </c>
      <c r="I182" s="47">
        <f t="shared" si="10"/>
        <v>38.5834262054981</v>
      </c>
      <c r="J182" s="47">
        <f t="shared" si="10"/>
        <v>59.478613433267839</v>
      </c>
      <c r="K182" s="47">
        <f t="shared" si="10"/>
        <v>3.0664107498061823</v>
      </c>
    </row>
    <row r="183" spans="3:11" x14ac:dyDescent="0.2">
      <c r="C183" s="88" t="s">
        <v>124</v>
      </c>
      <c r="D183" s="116">
        <f t="shared" si="9"/>
        <v>88.968744173605046</v>
      </c>
      <c r="E183" s="116">
        <f t="shared" si="10"/>
        <v>81.580094189397983</v>
      </c>
      <c r="F183" s="116">
        <f t="shared" si="10"/>
        <v>67.677578948815878</v>
      </c>
      <c r="G183" s="116">
        <f t="shared" si="10"/>
        <v>63.433074613727783</v>
      </c>
      <c r="H183" s="116">
        <f t="shared" si="10"/>
        <v>49.688383091517899</v>
      </c>
      <c r="I183" s="116">
        <f t="shared" si="10"/>
        <v>54.715919376239121</v>
      </c>
      <c r="J183" s="116">
        <f t="shared" si="10"/>
        <v>80.720720846590623</v>
      </c>
      <c r="K183" s="116">
        <f t="shared" si="10"/>
        <v>13.213188623440217</v>
      </c>
    </row>
    <row r="184" spans="3:11" x14ac:dyDescent="0.2">
      <c r="C184" s="87" t="s">
        <v>125</v>
      </c>
      <c r="D184" s="47">
        <f t="shared" si="9"/>
        <v>44.722803911144545</v>
      </c>
      <c r="E184" s="47">
        <f t="shared" si="10"/>
        <v>67.456846529922771</v>
      </c>
      <c r="F184" s="47">
        <f t="shared" si="10"/>
        <v>87.440040952321453</v>
      </c>
      <c r="G184" s="47">
        <f t="shared" si="10"/>
        <v>87.732875024285349</v>
      </c>
      <c r="H184" s="47">
        <f t="shared" si="10"/>
        <v>65.903020561506921</v>
      </c>
      <c r="I184" s="47">
        <f t="shared" si="10"/>
        <v>87.441163299971208</v>
      </c>
      <c r="J184" s="47">
        <f t="shared" si="10"/>
        <v>95.43703907009187</v>
      </c>
      <c r="K184" s="47">
        <f t="shared" si="10"/>
        <v>0.97078034541314162</v>
      </c>
    </row>
    <row r="185" spans="3:11" x14ac:dyDescent="0.2">
      <c r="C185" s="88" t="s">
        <v>126</v>
      </c>
      <c r="D185" s="116">
        <f t="shared" si="9"/>
        <v>86.084310417512441</v>
      </c>
      <c r="E185" s="116">
        <f t="shared" si="10"/>
        <v>83.499812036445888</v>
      </c>
      <c r="F185" s="116">
        <f t="shared" si="10"/>
        <v>74.694331624378236</v>
      </c>
      <c r="G185" s="116">
        <f t="shared" si="10"/>
        <v>81.557720817441975</v>
      </c>
      <c r="H185" s="116">
        <f t="shared" si="10"/>
        <v>74.705665679797704</v>
      </c>
      <c r="I185" s="116">
        <f t="shared" si="10"/>
        <v>70.841080931842583</v>
      </c>
      <c r="J185" s="116">
        <f t="shared" si="10"/>
        <v>85.844800455247707</v>
      </c>
      <c r="K185" s="116">
        <f t="shared" si="10"/>
        <v>7.9399936702493692</v>
      </c>
    </row>
    <row r="186" spans="3:11" x14ac:dyDescent="0.2">
      <c r="C186" s="87" t="s">
        <v>127</v>
      </c>
      <c r="D186" s="47">
        <f t="shared" si="9"/>
        <v>91.253852543744131</v>
      </c>
      <c r="E186" s="47">
        <f t="shared" si="10"/>
        <v>92.844808913084037</v>
      </c>
      <c r="F186" s="47">
        <f t="shared" si="10"/>
        <v>93.114412859765821</v>
      </c>
      <c r="G186" s="47">
        <f t="shared" si="10"/>
        <v>88.548924937598883</v>
      </c>
      <c r="H186" s="47">
        <f t="shared" si="10"/>
        <v>87.004961386459527</v>
      </c>
      <c r="I186" s="47">
        <f t="shared" si="10"/>
        <v>80.592618923574378</v>
      </c>
      <c r="J186" s="47">
        <f t="shared" si="10"/>
        <v>79.22067913986281</v>
      </c>
      <c r="K186" s="47">
        <f t="shared" si="10"/>
        <v>12.423204936910611</v>
      </c>
    </row>
    <row r="187" spans="3:11" x14ac:dyDescent="0.2">
      <c r="C187" s="88" t="s">
        <v>128</v>
      </c>
      <c r="D187" s="116">
        <f t="shared" si="9"/>
        <v>94.939391304353023</v>
      </c>
      <c r="E187" s="116">
        <f t="shared" si="10"/>
        <v>95.176298951924281</v>
      </c>
      <c r="F187" s="116">
        <f t="shared" si="10"/>
        <v>82.512040068286964</v>
      </c>
      <c r="G187" s="116">
        <f t="shared" si="10"/>
        <v>78.654787326777637</v>
      </c>
      <c r="H187" s="116">
        <f t="shared" si="10"/>
        <v>75.316680880535785</v>
      </c>
      <c r="I187" s="116">
        <f t="shared" si="10"/>
        <v>64.541831575695824</v>
      </c>
      <c r="J187" s="116">
        <f t="shared" si="10"/>
        <v>66.375367767161251</v>
      </c>
      <c r="K187" s="116">
        <f t="shared" si="10"/>
        <v>3.3201360292239608</v>
      </c>
    </row>
    <row r="188" spans="3:11" x14ac:dyDescent="0.2">
      <c r="C188" s="87" t="s">
        <v>129</v>
      </c>
      <c r="D188" s="47">
        <f t="shared" si="9"/>
        <v>96.155426357005382</v>
      </c>
      <c r="E188" s="47">
        <f t="shared" si="10"/>
        <v>96.792882387255958</v>
      </c>
      <c r="F188" s="47">
        <f t="shared" si="10"/>
        <v>94.079767534052564</v>
      </c>
      <c r="G188" s="47">
        <f t="shared" si="10"/>
        <v>94.750388257243401</v>
      </c>
      <c r="H188" s="47">
        <f t="shared" si="10"/>
        <v>94.307774881970388</v>
      </c>
      <c r="I188" s="47">
        <f t="shared" si="10"/>
        <v>89.741547308862394</v>
      </c>
      <c r="J188" s="47">
        <f t="shared" si="10"/>
        <v>92.346856174415635</v>
      </c>
      <c r="K188" s="47">
        <f t="shared" si="10"/>
        <v>11.972945330199892</v>
      </c>
    </row>
    <row r="189" spans="3:11" x14ac:dyDescent="0.2">
      <c r="C189" s="88" t="s">
        <v>130</v>
      </c>
      <c r="D189" s="116">
        <f t="shared" si="9"/>
        <v>53.139444061786101</v>
      </c>
      <c r="E189" s="116">
        <f t="shared" si="10"/>
        <v>52.325273124209716</v>
      </c>
      <c r="F189" s="116">
        <f t="shared" si="10"/>
        <v>87.480335581708687</v>
      </c>
      <c r="G189" s="116">
        <f t="shared" si="10"/>
        <v>61.924132354312142</v>
      </c>
      <c r="H189" s="116">
        <f t="shared" si="10"/>
        <v>59.063859819749595</v>
      </c>
      <c r="I189" s="116">
        <f t="shared" si="10"/>
        <v>36.023849351679459</v>
      </c>
      <c r="J189" s="116">
        <f t="shared" si="10"/>
        <v>67.519775372495346</v>
      </c>
      <c r="K189" s="116">
        <f t="shared" si="10"/>
        <v>2.5163621059565662</v>
      </c>
    </row>
    <row r="190" spans="3:11" x14ac:dyDescent="0.2">
      <c r="C190" s="87" t="s">
        <v>131</v>
      </c>
      <c r="D190" s="47">
        <f t="shared" si="9"/>
        <v>99.616401802533048</v>
      </c>
      <c r="E190" s="47">
        <f t="shared" si="10"/>
        <v>99.883061863050443</v>
      </c>
      <c r="F190" s="47">
        <f t="shared" si="10"/>
        <v>99.865940135305735</v>
      </c>
      <c r="G190" s="47">
        <f t="shared" si="10"/>
        <v>99.766372651349101</v>
      </c>
      <c r="H190" s="47">
        <f t="shared" si="10"/>
        <v>98.025717885887076</v>
      </c>
      <c r="I190" s="47">
        <f t="shared" si="10"/>
        <v>96.383403166978454</v>
      </c>
      <c r="J190" s="47">
        <f t="shared" si="10"/>
        <v>97.281607503940009</v>
      </c>
      <c r="K190" s="47">
        <f t="shared" si="10"/>
        <v>14.440195406819406</v>
      </c>
    </row>
    <row r="191" spans="3:11" x14ac:dyDescent="0.2">
      <c r="C191" s="88" t="s">
        <v>132</v>
      </c>
      <c r="D191" s="116">
        <f t="shared" si="9"/>
        <v>85.497673444927983</v>
      </c>
      <c r="E191" s="116">
        <f t="shared" si="10"/>
        <v>70.235855362137244</v>
      </c>
      <c r="F191" s="116">
        <f t="shared" si="10"/>
        <v>59.159870625306233</v>
      </c>
      <c r="G191" s="116">
        <f t="shared" si="10"/>
        <v>67.726015774068102</v>
      </c>
      <c r="H191" s="116">
        <f t="shared" si="10"/>
        <v>71.09855533514984</v>
      </c>
      <c r="I191" s="116">
        <f t="shared" si="10"/>
        <v>84.848035118023333</v>
      </c>
      <c r="J191" s="116">
        <f t="shared" si="10"/>
        <v>84.165387658568619</v>
      </c>
      <c r="K191" s="116">
        <f t="shared" si="10"/>
        <v>4.7715348845244669</v>
      </c>
    </row>
    <row r="192" spans="3:11" x14ac:dyDescent="0.2">
      <c r="C192" s="87" t="s">
        <v>133</v>
      </c>
      <c r="D192" s="47">
        <f t="shared" si="9"/>
        <v>94.344755665934628</v>
      </c>
      <c r="E192" s="47">
        <f t="shared" ref="E192:K201" si="11">+IFERROR(IF(E150&gt;0,+((E150/E25)*100)," "),"0")</f>
        <v>94.274723620121165</v>
      </c>
      <c r="F192" s="47">
        <f t="shared" si="11"/>
        <v>92.084705920526773</v>
      </c>
      <c r="G192" s="47">
        <f t="shared" si="11"/>
        <v>94.572247205511232</v>
      </c>
      <c r="H192" s="47">
        <f t="shared" si="11"/>
        <v>94.451460673571461</v>
      </c>
      <c r="I192" s="47">
        <f t="shared" si="11"/>
        <v>92.827036825327767</v>
      </c>
      <c r="J192" s="47">
        <f t="shared" si="11"/>
        <v>92.247723119869818</v>
      </c>
      <c r="K192" s="47">
        <f t="shared" si="11"/>
        <v>10.987423986711079</v>
      </c>
    </row>
    <row r="193" spans="3:11" x14ac:dyDescent="0.2">
      <c r="C193" s="88" t="s">
        <v>134</v>
      </c>
      <c r="D193" s="116">
        <f t="shared" si="9"/>
        <v>80.784387424856249</v>
      </c>
      <c r="E193" s="116">
        <f t="shared" si="11"/>
        <v>41.385387463410574</v>
      </c>
      <c r="F193" s="116">
        <f t="shared" si="11"/>
        <v>77.540231723597756</v>
      </c>
      <c r="G193" s="116">
        <f t="shared" si="11"/>
        <v>77.309561944065948</v>
      </c>
      <c r="H193" s="116">
        <f t="shared" si="11"/>
        <v>81.772506082461646</v>
      </c>
      <c r="I193" s="116">
        <f t="shared" si="11"/>
        <v>69.764261359377883</v>
      </c>
      <c r="J193" s="116">
        <f t="shared" si="11"/>
        <v>69.109841817714084</v>
      </c>
      <c r="K193" s="116">
        <f t="shared" si="11"/>
        <v>7.1839363500832034</v>
      </c>
    </row>
    <row r="194" spans="3:11" x14ac:dyDescent="0.2">
      <c r="C194" s="87" t="s">
        <v>135</v>
      </c>
      <c r="D194" s="47" t="str">
        <f t="shared" si="9"/>
        <v/>
      </c>
      <c r="E194" s="47" t="str">
        <f t="shared" si="11"/>
        <v xml:space="preserve"> </v>
      </c>
      <c r="F194" s="47" t="str">
        <f t="shared" si="11"/>
        <v xml:space="preserve"> </v>
      </c>
      <c r="G194" s="47" t="str">
        <f t="shared" si="11"/>
        <v xml:space="preserve"> </v>
      </c>
      <c r="H194" s="47">
        <f t="shared" si="11"/>
        <v>0.58282805051800002</v>
      </c>
      <c r="I194" s="47">
        <f t="shared" si="11"/>
        <v>80.384817445232088</v>
      </c>
      <c r="J194" s="47">
        <f t="shared" si="11"/>
        <v>94.251786992644227</v>
      </c>
      <c r="K194" s="47">
        <f t="shared" si="11"/>
        <v>9.8581879952797902</v>
      </c>
    </row>
    <row r="195" spans="3:11" x14ac:dyDescent="0.2">
      <c r="C195" s="88" t="s">
        <v>136</v>
      </c>
      <c r="D195" s="116">
        <f t="shared" si="9"/>
        <v>89.177463244620597</v>
      </c>
      <c r="E195" s="116">
        <f t="shared" si="11"/>
        <v>96.623287745197501</v>
      </c>
      <c r="F195" s="116">
        <f t="shared" si="11"/>
        <v>91.963994110150082</v>
      </c>
      <c r="G195" s="116">
        <f t="shared" si="11"/>
        <v>96.199100334445603</v>
      </c>
      <c r="H195" s="116">
        <f t="shared" si="11"/>
        <v>88.653817462254892</v>
      </c>
      <c r="I195" s="116">
        <f t="shared" si="11"/>
        <v>72.067987137283708</v>
      </c>
      <c r="J195" s="116">
        <f t="shared" si="11"/>
        <v>73.128260294504585</v>
      </c>
      <c r="K195" s="116">
        <f t="shared" si="11"/>
        <v>10.556120137142532</v>
      </c>
    </row>
    <row r="196" spans="3:11" x14ac:dyDescent="0.2">
      <c r="C196" s="87" t="s">
        <v>137</v>
      </c>
      <c r="D196" s="47">
        <f t="shared" si="9"/>
        <v>84.273056897748646</v>
      </c>
      <c r="E196" s="47">
        <f t="shared" si="11"/>
        <v>84.847284273096278</v>
      </c>
      <c r="F196" s="47">
        <f t="shared" si="11"/>
        <v>64.037424708017383</v>
      </c>
      <c r="G196" s="47">
        <f t="shared" si="11"/>
        <v>58.716340741802064</v>
      </c>
      <c r="H196" s="47">
        <f t="shared" si="11"/>
        <v>54.427651722273552</v>
      </c>
      <c r="I196" s="47">
        <f t="shared" si="11"/>
        <v>62.43696927857566</v>
      </c>
      <c r="J196" s="47">
        <f t="shared" si="11"/>
        <v>71.074170000891286</v>
      </c>
      <c r="K196" s="47">
        <f t="shared" si="11"/>
        <v>6.527362755984023</v>
      </c>
    </row>
    <row r="197" spans="3:11" x14ac:dyDescent="0.2">
      <c r="C197" s="88" t="s">
        <v>138</v>
      </c>
      <c r="D197" s="116">
        <f t="shared" si="9"/>
        <v>93.495546150479726</v>
      </c>
      <c r="E197" s="116">
        <f t="shared" si="11"/>
        <v>97.939832663448939</v>
      </c>
      <c r="F197" s="116">
        <f t="shared" si="11"/>
        <v>94.697338290005291</v>
      </c>
      <c r="G197" s="116">
        <f t="shared" si="11"/>
        <v>95.264977782914727</v>
      </c>
      <c r="H197" s="116">
        <f t="shared" si="11"/>
        <v>85.345665664192509</v>
      </c>
      <c r="I197" s="116">
        <f t="shared" si="11"/>
        <v>81.65190121162361</v>
      </c>
      <c r="J197" s="116">
        <f t="shared" si="11"/>
        <v>85.586638961646997</v>
      </c>
      <c r="K197" s="116">
        <f t="shared" si="11"/>
        <v>10.324946586541488</v>
      </c>
    </row>
    <row r="198" spans="3:11" x14ac:dyDescent="0.2">
      <c r="C198" s="87" t="s">
        <v>160</v>
      </c>
      <c r="D198" s="47">
        <f t="shared" si="9"/>
        <v>85.185660352153604</v>
      </c>
      <c r="E198" s="47">
        <f t="shared" si="11"/>
        <v>83.465839978842737</v>
      </c>
      <c r="F198" s="47">
        <f t="shared" si="11"/>
        <v>82.380442406549562</v>
      </c>
      <c r="G198" s="47">
        <f t="shared" si="11"/>
        <v>69.941487635056617</v>
      </c>
      <c r="H198" s="47">
        <f t="shared" si="11"/>
        <v>69.13039188376851</v>
      </c>
      <c r="I198" s="47">
        <f t="shared" si="11"/>
        <v>70.243455379828774</v>
      </c>
      <c r="J198" s="47">
        <f t="shared" si="11"/>
        <v>78.825830233910338</v>
      </c>
      <c r="K198" s="47">
        <f t="shared" si="11"/>
        <v>6.4684774606181437</v>
      </c>
    </row>
    <row r="199" spans="3:11" x14ac:dyDescent="0.2">
      <c r="C199" s="88" t="s">
        <v>161</v>
      </c>
      <c r="D199" s="116">
        <f t="shared" si="9"/>
        <v>77.032909263608346</v>
      </c>
      <c r="E199" s="116">
        <f t="shared" si="11"/>
        <v>79.648938857144174</v>
      </c>
      <c r="F199" s="116">
        <f t="shared" si="11"/>
        <v>67.395242795688844</v>
      </c>
      <c r="G199" s="116">
        <f t="shared" si="11"/>
        <v>68.339492320155941</v>
      </c>
      <c r="H199" s="116">
        <f t="shared" si="11"/>
        <v>72.495195999319378</v>
      </c>
      <c r="I199" s="116">
        <f t="shared" si="11"/>
        <v>77.748993586973342</v>
      </c>
      <c r="J199" s="116">
        <f t="shared" si="11"/>
        <v>82.083274536098273</v>
      </c>
      <c r="K199" s="116">
        <f t="shared" si="11"/>
        <v>6.7390766782554161</v>
      </c>
    </row>
    <row r="200" spans="3:11" x14ac:dyDescent="0.2">
      <c r="C200" s="87" t="s">
        <v>140</v>
      </c>
      <c r="D200" s="47">
        <f t="shared" si="9"/>
        <v>83.927530117797446</v>
      </c>
      <c r="E200" s="47">
        <f t="shared" si="11"/>
        <v>88.431067602448906</v>
      </c>
      <c r="F200" s="47">
        <f t="shared" si="11"/>
        <v>89.821629690582611</v>
      </c>
      <c r="G200" s="47">
        <f t="shared" si="11"/>
        <v>83.635488270189668</v>
      </c>
      <c r="H200" s="47">
        <f t="shared" si="11"/>
        <v>87.51910084107169</v>
      </c>
      <c r="I200" s="47">
        <f t="shared" si="11"/>
        <v>73.812910309689727</v>
      </c>
      <c r="J200" s="47">
        <f t="shared" si="11"/>
        <v>77.666175397071413</v>
      </c>
      <c r="K200" s="47">
        <f t="shared" si="11"/>
        <v>12.924279162400474</v>
      </c>
    </row>
    <row r="201" spans="3:11" x14ac:dyDescent="0.2">
      <c r="C201" s="88" t="s">
        <v>141</v>
      </c>
      <c r="D201" s="116">
        <f t="shared" si="9"/>
        <v>89.057988268675615</v>
      </c>
      <c r="E201" s="116">
        <f t="shared" si="11"/>
        <v>81.339613198265354</v>
      </c>
      <c r="F201" s="116">
        <f t="shared" si="11"/>
        <v>81.9092855059817</v>
      </c>
      <c r="G201" s="116">
        <f t="shared" si="11"/>
        <v>84.554249055260243</v>
      </c>
      <c r="H201" s="116">
        <f t="shared" si="11"/>
        <v>81.2964854704462</v>
      </c>
      <c r="I201" s="116">
        <f t="shared" si="11"/>
        <v>87.310935502820215</v>
      </c>
      <c r="J201" s="116">
        <f t="shared" si="11"/>
        <v>90.595039068984335</v>
      </c>
      <c r="K201" s="116">
        <f t="shared" si="11"/>
        <v>9.1505202152825742</v>
      </c>
    </row>
    <row r="202" spans="3:11" x14ac:dyDescent="0.2">
      <c r="C202" s="87" t="s">
        <v>142</v>
      </c>
      <c r="D202" s="47">
        <f t="shared" si="9"/>
        <v>70.029810317184342</v>
      </c>
      <c r="E202" s="47">
        <f t="shared" ref="E202:K211" si="12">+IFERROR(IF(E160&gt;0,+((E160/E35)*100)," "),"0")</f>
        <v>81.095516995583779</v>
      </c>
      <c r="F202" s="47">
        <f t="shared" si="12"/>
        <v>56.801666976677254</v>
      </c>
      <c r="G202" s="47">
        <f t="shared" si="12"/>
        <v>46.273473698836973</v>
      </c>
      <c r="H202" s="47">
        <f t="shared" si="12"/>
        <v>44.986510945551892</v>
      </c>
      <c r="I202" s="47">
        <f t="shared" si="12"/>
        <v>57.314727404534182</v>
      </c>
      <c r="J202" s="47">
        <f t="shared" si="12"/>
        <v>61.733472657481578</v>
      </c>
      <c r="K202" s="47">
        <f t="shared" si="12"/>
        <v>5.7009345625100201</v>
      </c>
    </row>
    <row r="203" spans="3:11" x14ac:dyDescent="0.2">
      <c r="C203" s="88" t="s">
        <v>143</v>
      </c>
      <c r="D203" s="116">
        <f t="shared" si="9"/>
        <v>41.899381512249363</v>
      </c>
      <c r="E203" s="116">
        <f t="shared" si="12"/>
        <v>34.359506330300327</v>
      </c>
      <c r="F203" s="116">
        <f t="shared" si="12"/>
        <v>44.828167239563136</v>
      </c>
      <c r="G203" s="116">
        <f t="shared" si="12"/>
        <v>19.761419983788599</v>
      </c>
      <c r="H203" s="116">
        <f t="shared" si="12"/>
        <v>15.86333222915427</v>
      </c>
      <c r="I203" s="116">
        <f t="shared" si="12"/>
        <v>27.694235921765774</v>
      </c>
      <c r="J203" s="116">
        <f t="shared" si="12"/>
        <v>40.895531224636386</v>
      </c>
      <c r="K203" s="116">
        <f t="shared" si="12"/>
        <v>2.7302770330600508</v>
      </c>
    </row>
    <row r="204" spans="3:11" x14ac:dyDescent="0.2">
      <c r="C204" s="87" t="s">
        <v>144</v>
      </c>
      <c r="D204" s="47">
        <f t="shared" si="9"/>
        <v>92.055786386296674</v>
      </c>
      <c r="E204" s="47">
        <f t="shared" si="12"/>
        <v>91.212052595898257</v>
      </c>
      <c r="F204" s="47">
        <f t="shared" si="12"/>
        <v>88.584144738900804</v>
      </c>
      <c r="G204" s="47">
        <f t="shared" si="12"/>
        <v>89.177798178279275</v>
      </c>
      <c r="H204" s="47">
        <f t="shared" si="12"/>
        <v>83.301550763753767</v>
      </c>
      <c r="I204" s="47">
        <f t="shared" si="12"/>
        <v>85.122574500398187</v>
      </c>
      <c r="J204" s="47">
        <f t="shared" si="12"/>
        <v>86.288157466998712</v>
      </c>
      <c r="K204" s="47">
        <f t="shared" si="12"/>
        <v>9.5532228257230383</v>
      </c>
    </row>
    <row r="205" spans="3:11" x14ac:dyDescent="0.2">
      <c r="C205" s="88" t="s">
        <v>145</v>
      </c>
      <c r="D205" s="116">
        <f t="shared" si="9"/>
        <v>91.768225596844417</v>
      </c>
      <c r="E205" s="116">
        <f t="shared" si="12"/>
        <v>89.072570857188964</v>
      </c>
      <c r="F205" s="116">
        <f t="shared" si="12"/>
        <v>83.775093355354528</v>
      </c>
      <c r="G205" s="116">
        <f t="shared" si="12"/>
        <v>91.612844034782228</v>
      </c>
      <c r="H205" s="116">
        <f t="shared" si="12"/>
        <v>77.316998434286731</v>
      </c>
      <c r="I205" s="116">
        <f t="shared" si="12"/>
        <v>57.159542845124712</v>
      </c>
      <c r="J205" s="116">
        <f t="shared" si="12"/>
        <v>72.868004287396545</v>
      </c>
      <c r="K205" s="116">
        <f t="shared" si="12"/>
        <v>2.7870999236396905</v>
      </c>
    </row>
    <row r="206" spans="3:11" x14ac:dyDescent="0.2">
      <c r="C206" s="87" t="s">
        <v>146</v>
      </c>
      <c r="D206" s="47">
        <f t="shared" si="9"/>
        <v>94.5824035728063</v>
      </c>
      <c r="E206" s="47">
        <f t="shared" si="12"/>
        <v>85.194418973892169</v>
      </c>
      <c r="F206" s="47">
        <f t="shared" si="12"/>
        <v>90.877299817052176</v>
      </c>
      <c r="G206" s="47">
        <f t="shared" si="12"/>
        <v>93.220545946698252</v>
      </c>
      <c r="H206" s="47">
        <f t="shared" si="12"/>
        <v>91.386066490845877</v>
      </c>
      <c r="I206" s="47">
        <f t="shared" si="12"/>
        <v>91.311387902518589</v>
      </c>
      <c r="J206" s="47">
        <f t="shared" si="12"/>
        <v>91.053382109645426</v>
      </c>
      <c r="K206" s="47">
        <f t="shared" si="12"/>
        <v>16.005917183176742</v>
      </c>
    </row>
    <row r="207" spans="3:11" x14ac:dyDescent="0.2">
      <c r="C207" s="88" t="s">
        <v>162</v>
      </c>
      <c r="D207" s="116">
        <f t="shared" si="9"/>
        <v>99.267892990268749</v>
      </c>
      <c r="E207" s="116">
        <f t="shared" si="12"/>
        <v>97.255292559391762</v>
      </c>
      <c r="F207" s="116">
        <f t="shared" si="12"/>
        <v>99.105938942920588</v>
      </c>
      <c r="G207" s="116">
        <f t="shared" si="12"/>
        <v>99.421011482863449</v>
      </c>
      <c r="H207" s="116">
        <f t="shared" si="12"/>
        <v>92.867725963042375</v>
      </c>
      <c r="I207" s="116">
        <f t="shared" si="12"/>
        <v>94.0329898302045</v>
      </c>
      <c r="J207" s="116">
        <f t="shared" si="12"/>
        <v>96.093060324995193</v>
      </c>
      <c r="K207" s="116">
        <f t="shared" si="12"/>
        <v>13.25075942248497</v>
      </c>
    </row>
    <row r="208" spans="3:11" x14ac:dyDescent="0.2">
      <c r="C208" s="87" t="s">
        <v>148</v>
      </c>
      <c r="D208" s="47">
        <f t="shared" si="9"/>
        <v>82.43625636278685</v>
      </c>
      <c r="E208" s="47">
        <f t="shared" si="12"/>
        <v>90.368507872220832</v>
      </c>
      <c r="F208" s="47">
        <f t="shared" si="12"/>
        <v>92.385350588348842</v>
      </c>
      <c r="G208" s="47">
        <f t="shared" si="12"/>
        <v>93.416782552066906</v>
      </c>
      <c r="H208" s="47">
        <f t="shared" si="12"/>
        <v>88.239746000821711</v>
      </c>
      <c r="I208" s="47">
        <f t="shared" si="12"/>
        <v>90.113354982101853</v>
      </c>
      <c r="J208" s="47">
        <f t="shared" si="12"/>
        <v>87.762986227475821</v>
      </c>
      <c r="K208" s="47">
        <f t="shared" si="12"/>
        <v>12.209026783983095</v>
      </c>
    </row>
    <row r="209" spans="1:11" x14ac:dyDescent="0.2">
      <c r="C209" s="88" t="s">
        <v>149</v>
      </c>
      <c r="D209" s="116">
        <f t="shared" si="9"/>
        <v>89.689256498729193</v>
      </c>
      <c r="E209" s="116">
        <f t="shared" si="12"/>
        <v>94.579159485636495</v>
      </c>
      <c r="F209" s="116">
        <f t="shared" si="12"/>
        <v>79.711954669749758</v>
      </c>
      <c r="G209" s="116">
        <f t="shared" si="12"/>
        <v>80.789152508959447</v>
      </c>
      <c r="H209" s="116">
        <f t="shared" si="12"/>
        <v>91.335174441118141</v>
      </c>
      <c r="I209" s="116">
        <f t="shared" si="12"/>
        <v>71.176878355167986</v>
      </c>
      <c r="J209" s="116">
        <f t="shared" si="12"/>
        <v>71.649797570873915</v>
      </c>
      <c r="K209" s="116">
        <f t="shared" si="12"/>
        <v>12.38396821729161</v>
      </c>
    </row>
    <row r="210" spans="1:11" x14ac:dyDescent="0.2">
      <c r="C210" s="87" t="s">
        <v>163</v>
      </c>
      <c r="D210" s="47">
        <f t="shared" si="9"/>
        <v>81.949124678156011</v>
      </c>
      <c r="E210" s="47">
        <f t="shared" si="12"/>
        <v>86.449840207010979</v>
      </c>
      <c r="F210" s="47">
        <f t="shared" si="12"/>
        <v>93.135831583697254</v>
      </c>
      <c r="G210" s="47">
        <f t="shared" si="12"/>
        <v>64.854746856819517</v>
      </c>
      <c r="H210" s="47">
        <f t="shared" si="12"/>
        <v>77.423181919883774</v>
      </c>
      <c r="I210" s="47">
        <f t="shared" si="12"/>
        <v>80.652754594497424</v>
      </c>
      <c r="J210" s="47">
        <f t="shared" si="12"/>
        <v>85.235589965489908</v>
      </c>
      <c r="K210" s="47">
        <f t="shared" si="12"/>
        <v>3.7450841452794896</v>
      </c>
    </row>
    <row r="211" spans="1:11" x14ac:dyDescent="0.2">
      <c r="C211" s="88" t="s">
        <v>150</v>
      </c>
      <c r="D211" s="116">
        <f t="shared" si="9"/>
        <v>77.787346508049552</v>
      </c>
      <c r="E211" s="116">
        <f t="shared" si="12"/>
        <v>79.74859589366244</v>
      </c>
      <c r="F211" s="116">
        <f t="shared" si="12"/>
        <v>79.186347175877728</v>
      </c>
      <c r="G211" s="116">
        <f t="shared" si="12"/>
        <v>73.347875322273168</v>
      </c>
      <c r="H211" s="116">
        <f t="shared" si="12"/>
        <v>77.736397829834544</v>
      </c>
      <c r="I211" s="116">
        <f t="shared" si="12"/>
        <v>42.461047078660236</v>
      </c>
      <c r="J211" s="116">
        <f t="shared" si="12"/>
        <v>43.474936566946809</v>
      </c>
      <c r="K211" s="116">
        <f t="shared" si="12"/>
        <v>9.4023914815838587</v>
      </c>
    </row>
    <row r="212" spans="1:11" x14ac:dyDescent="0.2">
      <c r="C212" s="87" t="s">
        <v>151</v>
      </c>
      <c r="D212" s="47">
        <f t="shared" si="9"/>
        <v>69.150836009374046</v>
      </c>
      <c r="E212" s="47">
        <f t="shared" ref="E212:K212" si="13">+IFERROR(IF(E170&gt;0,+((E170/E45)*100)," "),"0")</f>
        <v>76.133529724589849</v>
      </c>
      <c r="F212" s="47">
        <f t="shared" si="13"/>
        <v>77.544052944887937</v>
      </c>
      <c r="G212" s="47">
        <f t="shared" si="13"/>
        <v>80.37093102396139</v>
      </c>
      <c r="H212" s="47">
        <f t="shared" si="13"/>
        <v>62.666731143996266</v>
      </c>
      <c r="I212" s="47">
        <f t="shared" si="13"/>
        <v>58.739139694201093</v>
      </c>
      <c r="J212" s="47">
        <f t="shared" si="13"/>
        <v>69.596660851060292</v>
      </c>
      <c r="K212" s="47">
        <f t="shared" si="13"/>
        <v>2.6795365050033269</v>
      </c>
    </row>
    <row r="213" spans="1:11" x14ac:dyDescent="0.2">
      <c r="C213" s="91" t="s">
        <v>154</v>
      </c>
      <c r="D213" s="74">
        <f t="shared" ref="D213:K213" si="14">+IFERROR(IF(D171&gt;0,+((D171/D46)*100)," "),"")</f>
        <v>90.700010536518334</v>
      </c>
      <c r="E213" s="74">
        <f t="shared" si="14"/>
        <v>83.74516346163567</v>
      </c>
      <c r="F213" s="74">
        <f t="shared" si="14"/>
        <v>89.850110681533067</v>
      </c>
      <c r="G213" s="74">
        <f t="shared" si="14"/>
        <v>86.477078757108899</v>
      </c>
      <c r="H213" s="74">
        <f t="shared" si="14"/>
        <v>85.751027125211849</v>
      </c>
      <c r="I213" s="74">
        <f t="shared" si="14"/>
        <v>81.928021851708948</v>
      </c>
      <c r="J213" s="74">
        <f t="shared" si="14"/>
        <v>86.452370237831985</v>
      </c>
      <c r="K213" s="74">
        <f t="shared" si="14"/>
        <v>10.377948829576232</v>
      </c>
    </row>
    <row r="214" spans="1:11" s="31" customFormat="1" x14ac:dyDescent="0.2">
      <c r="A214" s="5"/>
      <c r="B214" s="5"/>
      <c r="C214" s="72" t="str">
        <f>+'C1 Aprop Resumen 2000-2026'!B20</f>
        <v>* Información con corte a 28 de febrero</v>
      </c>
      <c r="D214" s="69"/>
      <c r="E214" s="69"/>
      <c r="F214" s="69"/>
      <c r="G214" s="69"/>
      <c r="H214" s="69"/>
      <c r="I214" s="69"/>
    </row>
    <row r="215" spans="1:11" x14ac:dyDescent="0.2">
      <c r="C215" s="1" t="s">
        <v>52</v>
      </c>
      <c r="D215" s="11"/>
      <c r="E215" s="11"/>
      <c r="F215" s="11"/>
      <c r="G215" s="11"/>
      <c r="H215" s="11"/>
    </row>
    <row r="216" spans="1:11" x14ac:dyDescent="0.2">
      <c r="E216" s="3"/>
      <c r="F216" s="3"/>
      <c r="G216" s="3"/>
      <c r="H216" s="3"/>
    </row>
    <row r="217" spans="1:11" x14ac:dyDescent="0.2">
      <c r="E217" s="3"/>
      <c r="F217" s="3"/>
      <c r="G217" s="3"/>
      <c r="H217" s="3"/>
    </row>
    <row r="218" spans="1:11" x14ac:dyDescent="0.2">
      <c r="E218" s="3"/>
      <c r="F218" s="3"/>
      <c r="G218" s="3"/>
      <c r="H218" s="3"/>
    </row>
    <row r="219" spans="1:11" ht="18" customHeight="1" x14ac:dyDescent="0.2">
      <c r="C219" s="160" t="s">
        <v>158</v>
      </c>
      <c r="D219" s="158"/>
      <c r="E219" s="178"/>
      <c r="F219" s="178"/>
      <c r="G219" s="178"/>
      <c r="H219" s="178"/>
      <c r="I219" s="178"/>
      <c r="J219" s="178"/>
      <c r="K219" s="178"/>
    </row>
    <row r="220" spans="1:11" ht="15.75" customHeight="1" x14ac:dyDescent="0.2">
      <c r="C220" s="2"/>
      <c r="D220" s="2"/>
      <c r="E220" s="2"/>
      <c r="F220" s="2"/>
      <c r="G220" s="2"/>
      <c r="H220" s="2"/>
      <c r="I220" s="2"/>
      <c r="J220" s="2"/>
      <c r="K220" s="2"/>
    </row>
    <row r="221" spans="1:11" x14ac:dyDescent="0.2">
      <c r="C221" s="177" t="s">
        <v>120</v>
      </c>
      <c r="D221" s="153">
        <v>2019</v>
      </c>
      <c r="E221" s="153">
        <v>2020</v>
      </c>
      <c r="F221" s="153">
        <v>2021</v>
      </c>
      <c r="G221" s="153">
        <v>2022</v>
      </c>
      <c r="H221" s="153">
        <v>2023</v>
      </c>
      <c r="I221" s="153">
        <v>2024</v>
      </c>
      <c r="J221" s="153">
        <v>2025</v>
      </c>
      <c r="K221" s="153" t="s">
        <v>36</v>
      </c>
    </row>
    <row r="222" spans="1:11" ht="12" customHeight="1" thickBot="1" x14ac:dyDescent="0.25">
      <c r="C222" s="156"/>
      <c r="D222" s="154"/>
      <c r="E222" s="154"/>
      <c r="F222" s="154"/>
      <c r="G222" s="154"/>
      <c r="H222" s="154"/>
      <c r="I222" s="154"/>
      <c r="J222" s="154"/>
      <c r="K222" s="154"/>
    </row>
    <row r="223" spans="1:11" x14ac:dyDescent="0.2">
      <c r="C223" s="87" t="s">
        <v>123</v>
      </c>
      <c r="D223" s="42">
        <f>1421.56649859443*Deflactores!$T$5</f>
        <v>2150.9758396880893</v>
      </c>
      <c r="E223" s="42">
        <f>1437.82785429645*Deflactores!$U$5</f>
        <v>2141.109081631525</v>
      </c>
      <c r="F223" s="42">
        <f>1911.20997494959*Deflactores!$V$5</f>
        <v>2694.5989803126813</v>
      </c>
      <c r="G223" s="42">
        <f>1916.40134499955*Deflactores!$W$5</f>
        <v>2388.5415926319247</v>
      </c>
      <c r="H223" s="42">
        <f>3972.34455457327*Deflactores!$X$5</f>
        <v>4530.5670940659138</v>
      </c>
      <c r="I223" s="42">
        <f>3019.40252890505*Deflactores!$Y$5</f>
        <v>3273.4893290343166</v>
      </c>
      <c r="J223" s="42">
        <f>2996.79727271256*Deflactores!$Z$5</f>
        <v>3091.3242721291017</v>
      </c>
      <c r="K223" s="42">
        <f>106.92966442464*Deflactores!$AA$5</f>
        <v>106.92966442463999</v>
      </c>
    </row>
    <row r="224" spans="1:11" x14ac:dyDescent="0.2">
      <c r="C224" s="88" t="s">
        <v>124</v>
      </c>
      <c r="D224" s="50">
        <f>547.48596320678*Deflactores!$T$5</f>
        <v>828.40238609345636</v>
      </c>
      <c r="E224" s="50">
        <f>585.43512120718*Deflactores!$U$5</f>
        <v>871.78757246714486</v>
      </c>
      <c r="F224" s="50">
        <f>784.020824972759*Deflactores!$V$5</f>
        <v>1105.3844126003089</v>
      </c>
      <c r="G224" s="50">
        <f>855.981259925759*Deflactores!$W$5</f>
        <v>1066.8677765129798</v>
      </c>
      <c r="H224" s="50">
        <f>987.87214404027*Deflactores!$X$5</f>
        <v>1126.6950707436768</v>
      </c>
      <c r="I224" s="50">
        <f>1104.0897398464*Deflactores!$Y$5</f>
        <v>1197.0003823882737</v>
      </c>
      <c r="J224" s="50">
        <f>1417.01865920286*Deflactores!$Z$5</f>
        <v>1461.7152168216726</v>
      </c>
      <c r="K224" s="50">
        <f>237.09447909274*Deflactores!$AA$5</f>
        <v>237.09447909273999</v>
      </c>
    </row>
    <row r="225" spans="3:11" x14ac:dyDescent="0.2">
      <c r="C225" s="87" t="s">
        <v>125</v>
      </c>
      <c r="D225" s="42">
        <f>149.694147083799*Deflactores!$T$5</f>
        <v>226.50258995153035</v>
      </c>
      <c r="E225" s="42">
        <f>181.39481218701*Deflactores!$U$5</f>
        <v>270.12001372340563</v>
      </c>
      <c r="F225" s="42">
        <f>359.09389512792*Deflactores!$V$5</f>
        <v>506.28348341145715</v>
      </c>
      <c r="G225" s="42">
        <f>289.952414959169*Deflactores!$W$5</f>
        <v>361.38745405347692</v>
      </c>
      <c r="H225" s="42">
        <f>319.49584403501*Deflactores!$X$5</f>
        <v>364.39370698832272</v>
      </c>
      <c r="I225" s="42">
        <f>325.936003998869*Deflactores!$Y$5</f>
        <v>353.36395887079686</v>
      </c>
      <c r="J225" s="42">
        <f>258.78871391763*Deflactores!$Z$5</f>
        <v>266.95160195555093</v>
      </c>
      <c r="K225" s="42">
        <f>3.68027559148999*Deflactores!$AA$5</f>
        <v>3.6802755914899898</v>
      </c>
    </row>
    <row r="226" spans="3:11" x14ac:dyDescent="0.2">
      <c r="C226" s="88" t="s">
        <v>126</v>
      </c>
      <c r="D226" s="50">
        <f>852.22044888064*Deflactores!$T$5</f>
        <v>1289.4969017931087</v>
      </c>
      <c r="E226" s="50">
        <f>911.89929680136*Deflactores!$U$5</f>
        <v>1357.9343730756755</v>
      </c>
      <c r="F226" s="50">
        <f>876.009307913909*Deflactores!$V$5</f>
        <v>1235.0782063658373</v>
      </c>
      <c r="G226" s="50">
        <f>943.34504888875*Deflactores!$W$5</f>
        <v>1175.7552202483478</v>
      </c>
      <c r="H226" s="50">
        <f>1070.9953803489*Deflactores!$X$5</f>
        <v>1221.4993844174687</v>
      </c>
      <c r="I226" s="50">
        <f>1010.73565172758*Deflactores!$Y$5</f>
        <v>1095.790421691345</v>
      </c>
      <c r="J226" s="50">
        <f>1240.76035121333*Deflactores!$Z$5</f>
        <v>1279.8972504834799</v>
      </c>
      <c r="K226" s="50">
        <f>140.06305595105*Deflactores!$AA$5</f>
        <v>140.06305595104999</v>
      </c>
    </row>
    <row r="227" spans="3:11" x14ac:dyDescent="0.2">
      <c r="C227" s="87" t="s">
        <v>127</v>
      </c>
      <c r="D227" s="42">
        <f>590.718796580859*Deflactores!$T$5</f>
        <v>893.81809486321947</v>
      </c>
      <c r="E227" s="42">
        <f>638.02575551002*Deflactores!$U$5</f>
        <v>950.10173530527618</v>
      </c>
      <c r="F227" s="42">
        <f>721.634458326659*Deflactores!$V$5</f>
        <v>1017.4263953476895</v>
      </c>
      <c r="G227" s="42">
        <f>857.723168894179*Deflactores!$W$5</f>
        <v>1069.0388363656073</v>
      </c>
      <c r="H227" s="42">
        <f>1029.66146273524*Deflactores!$X$5</f>
        <v>1174.3569262453336</v>
      </c>
      <c r="I227" s="42">
        <f>1105.21615243026*Deflactores!$Y$5</f>
        <v>1198.2215841121435</v>
      </c>
      <c r="J227" s="42">
        <f>1240.68824212831*Deflactores!$Z$5</f>
        <v>1279.8228668850986</v>
      </c>
      <c r="K227" s="42">
        <f>162.50425324851*Deflactores!$AA$5</f>
        <v>162.50425324851</v>
      </c>
    </row>
    <row r="228" spans="3:11" x14ac:dyDescent="0.2">
      <c r="C228" s="88" t="s">
        <v>128</v>
      </c>
      <c r="D228" s="50">
        <f>362.47973613985*Deflactores!$T$5</f>
        <v>548.46899922321086</v>
      </c>
      <c r="E228" s="50">
        <f>357.33438831512*Deflactores!$U$5</f>
        <v>532.11648509558188</v>
      </c>
      <c r="F228" s="50">
        <f>476.27989629366*Deflactores!$V$5</f>
        <v>671.50304765972999</v>
      </c>
      <c r="G228" s="50">
        <f>448.715831200259*Deflactores!$W$5</f>
        <v>559.26511891196583</v>
      </c>
      <c r="H228" s="50">
        <f>603.880507469069*Deflactores!$X$5</f>
        <v>688.74215675409755</v>
      </c>
      <c r="I228" s="50">
        <f>838.710050573079*Deflactores!$Y$5</f>
        <v>909.28863390083723</v>
      </c>
      <c r="J228" s="50">
        <f>712.41718943836*Deflactores!$Z$5</f>
        <v>734.88873259663944</v>
      </c>
      <c r="K228" s="50">
        <f>31.32839435138*Deflactores!$AA$5</f>
        <v>31.328394351379998</v>
      </c>
    </row>
    <row r="229" spans="3:11" x14ac:dyDescent="0.2">
      <c r="C229" s="87" t="s">
        <v>129</v>
      </c>
      <c r="D229" s="42">
        <f>32015.02532018*Deflactores!$T$5</f>
        <v>48442.015226722258</v>
      </c>
      <c r="E229" s="42">
        <f>34089.1240297846*Deflactores!$U$5</f>
        <v>50763.054024120021</v>
      </c>
      <c r="F229" s="42">
        <f>36388.2028832752*Deflactores!$V$5</f>
        <v>51303.423312904444</v>
      </c>
      <c r="G229" s="42">
        <f>40009.9767748677*Deflactores!$W$5</f>
        <v>49867.160600970696</v>
      </c>
      <c r="H229" s="42">
        <f>44951.6688911801*Deflactores!$X$5</f>
        <v>51268.601981482643</v>
      </c>
      <c r="I229" s="42">
        <f>49827.8747408585*Deflactores!$Y$5</f>
        <v>54020.957686555659</v>
      </c>
      <c r="J229" s="42">
        <f>55218.5605693111*Deflactores!$Z$5</f>
        <v>56960.301624084881</v>
      </c>
      <c r="K229" s="42">
        <f>7742.49633177446*Deflactores!$AA$5</f>
        <v>7742.4963317744596</v>
      </c>
    </row>
    <row r="230" spans="3:11" x14ac:dyDescent="0.2">
      <c r="C230" s="88" t="s">
        <v>130</v>
      </c>
      <c r="D230" s="50">
        <f>265.49873125778*Deflactores!$T$5</f>
        <v>401.72679714102776</v>
      </c>
      <c r="E230" s="50">
        <f>241.72499380414*Deflactores!$U$5</f>
        <v>359.95934975443754</v>
      </c>
      <c r="F230" s="50">
        <f>671.405099608279*Deflactores!$V$5</f>
        <v>946.60844203103397</v>
      </c>
      <c r="G230" s="50">
        <f>556.0546970758*Deflactores!$W$5</f>
        <v>693.04886223830408</v>
      </c>
      <c r="H230" s="50">
        <f>560.3728200612*Deflactores!$X$5</f>
        <v>639.12045496036365</v>
      </c>
      <c r="I230" s="50">
        <f>381.16451859876*Deflactores!$Y$5</f>
        <v>413.2400275534049</v>
      </c>
      <c r="J230" s="50">
        <f>303.56938040264*Deflactores!$Z$5</f>
        <v>313.14477040498957</v>
      </c>
      <c r="K230" s="50">
        <f>12.48335021934*Deflactores!$AA$5</f>
        <v>12.48335021934</v>
      </c>
    </row>
    <row r="231" spans="3:11" x14ac:dyDescent="0.2">
      <c r="C231" s="87" t="s">
        <v>131</v>
      </c>
      <c r="D231" s="42">
        <f>40997.4942591129*Deflactores!$T$5</f>
        <v>62033.41154022362</v>
      </c>
      <c r="E231" s="42">
        <f>44558.1762914329*Deflactores!$U$5</f>
        <v>66352.808254092437</v>
      </c>
      <c r="F231" s="42">
        <f>48025.9818056039*Deflactores!$V$5</f>
        <v>67711.430611023781</v>
      </c>
      <c r="G231" s="42">
        <f>49638.1033260862*Deflactores!$W$5</f>
        <v>61867.350846461559</v>
      </c>
      <c r="H231" s="42">
        <f>57864.9863331102*Deflactores!$X$5</f>
        <v>65996.592032164641</v>
      </c>
      <c r="I231" s="42">
        <f>67472.4541619654*Deflactores!$Y$5</f>
        <v>73150.35229272554</v>
      </c>
      <c r="J231" s="42">
        <f>78020.6955584907*Deflactores!$Z$5</f>
        <v>80481.676923726685</v>
      </c>
      <c r="K231" s="42">
        <f>12047.0558359169*Deflactores!$AA$5</f>
        <v>12047.055835916901</v>
      </c>
    </row>
    <row r="232" spans="3:11" x14ac:dyDescent="0.2">
      <c r="C232" s="88" t="s">
        <v>132</v>
      </c>
      <c r="D232" s="50">
        <f>339.183235928269*Deflactores!$T$5</f>
        <v>513.21900623734246</v>
      </c>
      <c r="E232" s="50">
        <f>232.06143709151*Deflactores!$U$5</f>
        <v>345.56908114443229</v>
      </c>
      <c r="F232" s="50">
        <f>289.06237687898*Deflactores!$V$5</f>
        <v>407.54663077007217</v>
      </c>
      <c r="G232" s="50">
        <f>340.71923761243*Deflactores!$W$5</f>
        <v>424.6616047158534</v>
      </c>
      <c r="H232" s="50">
        <f>397.74766763044*Deflactores!$X$5</f>
        <v>453.64204185996647</v>
      </c>
      <c r="I232" s="50">
        <f>479.47095555393*Deflactores!$Y$5</f>
        <v>519.81908392878404</v>
      </c>
      <c r="J232" s="50">
        <f>510.969756297559*Deflactores!$Z$5</f>
        <v>527.08710874418966</v>
      </c>
      <c r="K232" s="50">
        <f>30.1173245801*Deflactores!$AA$5</f>
        <v>30.1173245801</v>
      </c>
    </row>
    <row r="233" spans="3:11" x14ac:dyDescent="0.2">
      <c r="C233" s="87" t="s">
        <v>133</v>
      </c>
      <c r="D233" s="42">
        <f>3631.83437855745*Deflactores!$T$5</f>
        <v>5495.3377205707666</v>
      </c>
      <c r="E233" s="42">
        <f>3761.8152774346*Deflactores!$U$5</f>
        <v>5601.8227980960901</v>
      </c>
      <c r="F233" s="42">
        <f>4143.19160000885*Deflactores!$V$5</f>
        <v>5841.4512308718886</v>
      </c>
      <c r="G233" s="42">
        <f>4508.59984986002*Deflactores!$W$5</f>
        <v>5619.3752389206538</v>
      </c>
      <c r="H233" s="42">
        <f>5157.084024615*Deflactores!$X$5</f>
        <v>5881.7947089596473</v>
      </c>
      <c r="I233" s="42">
        <f>5583.041951737*Deflactores!$Y$5</f>
        <v>6052.862471168949</v>
      </c>
      <c r="J233" s="42">
        <f>6314.49064702734*Deflactores!$Z$5</f>
        <v>6513.6665669810563</v>
      </c>
      <c r="K233" s="42">
        <f>783.419236554559*Deflactores!$AA$5</f>
        <v>783.41923655455901</v>
      </c>
    </row>
    <row r="234" spans="3:11" x14ac:dyDescent="0.2">
      <c r="C234" s="88" t="s">
        <v>134</v>
      </c>
      <c r="D234" s="50">
        <f>8482.08170407271*Deflactores!$T$5</f>
        <v>12834.259131570861</v>
      </c>
      <c r="E234" s="50">
        <f>16921.9012776999*Deflactores!$U$5</f>
        <v>25198.869528010382</v>
      </c>
      <c r="F234" s="50">
        <f>18689.4850964393*Deflactores!$V$5</f>
        <v>26350.148933668424</v>
      </c>
      <c r="G234" s="50">
        <f>14108.9583026856*Deflactores!$W$5</f>
        <v>17584.956211081135</v>
      </c>
      <c r="H234" s="50">
        <f>34061.425356227*Deflactores!$X$5</f>
        <v>38847.982790979717</v>
      </c>
      <c r="I234" s="50">
        <f>22879.588349507*Deflactores!$Y$5</f>
        <v>24804.936605113464</v>
      </c>
      <c r="J234" s="50">
        <f>17216.175341844*Deflactores!$Z$5</f>
        <v>17759.219548174489</v>
      </c>
      <c r="K234" s="50">
        <f>2373.6598959959*Deflactores!$AA$5</f>
        <v>2373.6598959959001</v>
      </c>
    </row>
    <row r="235" spans="3:11" x14ac:dyDescent="0.2">
      <c r="C235" s="87" t="s">
        <v>135</v>
      </c>
      <c r="D235" s="42">
        <f>0*Deflactores!$T$5</f>
        <v>0</v>
      </c>
      <c r="E235" s="42">
        <f>0*Deflactores!$U$5</f>
        <v>0</v>
      </c>
      <c r="F235" s="42">
        <f>0*Deflactores!$V$5</f>
        <v>0</v>
      </c>
      <c r="G235" s="42">
        <f>0*Deflactores!$W$5</f>
        <v>0</v>
      </c>
      <c r="H235" s="42">
        <f>2.127776892*Deflactores!$X$5</f>
        <v>2.4267874646751593</v>
      </c>
      <c r="I235" s="42">
        <f>9745.27890752193*Deflactores!$Y$5</f>
        <v>10565.357287358695</v>
      </c>
      <c r="J235" s="42">
        <f>10577.2918470061*Deflactores!$Z$5</f>
        <v>10910.927915536531</v>
      </c>
      <c r="K235" s="42">
        <f>1085.01483303465*Deflactores!$AA$5</f>
        <v>1085.0148330346501</v>
      </c>
    </row>
    <row r="236" spans="3:11" x14ac:dyDescent="0.2">
      <c r="C236" s="88" t="s">
        <v>136</v>
      </c>
      <c r="D236" s="50">
        <f>10186.4680645921*Deflactores!$T$5</f>
        <v>15413.170414719389</v>
      </c>
      <c r="E236" s="50">
        <f>17439.4294666871*Deflactores!$U$5</f>
        <v>25969.535016322967</v>
      </c>
      <c r="F236" s="50">
        <f>21897.1979667312*Deflactores!$V$5</f>
        <v>30872.676517092321</v>
      </c>
      <c r="G236" s="50">
        <f>22446.6436829476*Deflactores!$W$5</f>
        <v>27976.781685947721</v>
      </c>
      <c r="H236" s="50">
        <f>19337.4832126055*Deflactores!$X$5</f>
        <v>22054.925981740267</v>
      </c>
      <c r="I236" s="50">
        <f>9495.62672887307*Deflactores!$Y$5</f>
        <v>10294.696540752786</v>
      </c>
      <c r="J236" s="50">
        <f>7985.2185249883*Deflactores!$Z$5</f>
        <v>8237.0936697388497</v>
      </c>
      <c r="K236" s="50">
        <f>1326.31028117103*Deflactores!$AA$5</f>
        <v>1326.3102811710301</v>
      </c>
    </row>
    <row r="237" spans="3:11" x14ac:dyDescent="0.2">
      <c r="C237" s="87" t="s">
        <v>137</v>
      </c>
      <c r="D237" s="42">
        <f>323.85979956063*Deflactores!$T$5</f>
        <v>490.03307618033926</v>
      </c>
      <c r="E237" s="42">
        <f>320.765135334989*Deflactores!$U$5</f>
        <v>477.66020270386821</v>
      </c>
      <c r="F237" s="42">
        <f>388.16847966417*Deflactores!$V$5</f>
        <v>547.27549730383987</v>
      </c>
      <c r="G237" s="42">
        <f>400.349302552839*Deflactores!$W$5</f>
        <v>498.98261824109858</v>
      </c>
      <c r="H237" s="42">
        <f>556.09182156191*Deflactores!$X$5</f>
        <v>634.23785964060494</v>
      </c>
      <c r="I237" s="42">
        <f>807.13188014656*Deflactores!$Y$5</f>
        <v>875.05311779059434</v>
      </c>
      <c r="J237" s="42">
        <f>730.83761567576*Deflactores!$Z$5</f>
        <v>753.89018833378236</v>
      </c>
      <c r="K237" s="42">
        <f>54.20481378427*Deflactores!$AA$5</f>
        <v>54.204813784270002</v>
      </c>
    </row>
    <row r="238" spans="3:11" x14ac:dyDescent="0.2">
      <c r="C238" s="88" t="s">
        <v>138</v>
      </c>
      <c r="D238" s="50">
        <f>90.91803301492*Deflactores!$T$5</f>
        <v>137.56830412113598</v>
      </c>
      <c r="E238" s="50">
        <f>97.64146220211*Deflactores!$U$5</f>
        <v>145.4005921779945</v>
      </c>
      <c r="F238" s="50">
        <f>110.959760434319*Deflactores!$V$5</f>
        <v>156.4412394456771</v>
      </c>
      <c r="G238" s="50">
        <f>104.84531844711*Deflactores!$W$5</f>
        <v>130.6758652393454</v>
      </c>
      <c r="H238" s="50">
        <f>120.72652510224*Deflactores!$X$5</f>
        <v>137.69188812673082</v>
      </c>
      <c r="I238" s="50">
        <f>137.50576549373*Deflactores!$Y$5</f>
        <v>149.07706134420314</v>
      </c>
      <c r="J238" s="50">
        <f>150.50415071102*Deflactores!$Z$5</f>
        <v>155.25145407250844</v>
      </c>
      <c r="K238" s="50">
        <f>18.04253326841*Deflactores!$AA$5</f>
        <v>18.042533268410001</v>
      </c>
    </row>
    <row r="239" spans="3:11" x14ac:dyDescent="0.2">
      <c r="C239" s="87" t="s">
        <v>160</v>
      </c>
      <c r="D239" s="42">
        <f>1178.40104583386*Deflactores!$T$5</f>
        <v>1783.0415823375126</v>
      </c>
      <c r="E239" s="42">
        <f>1493.61572602809*Deflactores!$U$5</f>
        <v>2224.1843388346601</v>
      </c>
      <c r="F239" s="42">
        <f>1823.87723941394*Deflactores!$V$5</f>
        <v>2571.4692859270676</v>
      </c>
      <c r="G239" s="42">
        <f>2130.06511726171*Deflactores!$W$5</f>
        <v>2654.8453124756006</v>
      </c>
      <c r="H239" s="42">
        <f>2324.97087171358*Deflactores!$X$5</f>
        <v>2651.6925662755971</v>
      </c>
      <c r="I239" s="42">
        <f>2885.21286591712*Deflactores!$Y$5</f>
        <v>3128.0074246997542</v>
      </c>
      <c r="J239" s="42">
        <f>3474.27721396536*Deflactores!$Z$5</f>
        <v>3583.8652075102636</v>
      </c>
      <c r="K239" s="42">
        <f>269.769948294509*Deflactores!$AA$5</f>
        <v>269.76994829450899</v>
      </c>
    </row>
    <row r="240" spans="3:11" x14ac:dyDescent="0.2">
      <c r="C240" s="88" t="s">
        <v>161</v>
      </c>
      <c r="D240" s="50">
        <f>2107.18319916093*Deflactores!$T$5</f>
        <v>3188.3841914348104</v>
      </c>
      <c r="E240" s="50">
        <f>2362.94328261759*Deflactores!$U$5</f>
        <v>3518.7239603647317</v>
      </c>
      <c r="F240" s="50">
        <f>2349.30553819322*Deflactores!$V$5</f>
        <v>3312.2662557395647</v>
      </c>
      <c r="G240" s="50">
        <f>2673.18188869738*Deflactores!$W$5</f>
        <v>3331.7687563121367</v>
      </c>
      <c r="H240" s="50">
        <f>3197.08654132942*Deflactores!$X$5</f>
        <v>3646.3642269783127</v>
      </c>
      <c r="I240" s="50">
        <f>3789.93563756784*Deflactores!$Y$5</f>
        <v>4108.8638392987614</v>
      </c>
      <c r="J240" s="50">
        <f>4205.65855872965*Deflactores!$Z$5</f>
        <v>4338.3162756019601</v>
      </c>
      <c r="K240" s="50">
        <f>368.85521299443*Deflactores!$AA$5</f>
        <v>368.85521299443002</v>
      </c>
    </row>
    <row r="241" spans="1:11" x14ac:dyDescent="0.2">
      <c r="C241" s="87" t="s">
        <v>140</v>
      </c>
      <c r="D241" s="42">
        <f>3341.58338293983*Deflactores!$T$5</f>
        <v>5056.1582100545784</v>
      </c>
      <c r="E241" s="42">
        <f>3842.96259493843*Deflactores!$U$5</f>
        <v>5722.6615048566455</v>
      </c>
      <c r="F241" s="42">
        <f>5515.12963892518*Deflactores!$V$5</f>
        <v>7775.7352128365756</v>
      </c>
      <c r="G241" s="42">
        <f>4821.79885729707*Deflactores!$W$5</f>
        <v>6009.7365053570456</v>
      </c>
      <c r="H241" s="42">
        <f>7835.96453523296*Deflactores!$X$5</f>
        <v>8937.1308520359926</v>
      </c>
      <c r="I241" s="42">
        <f>8776.83036617072*Deflactores!$Y$5</f>
        <v>9515.4124934852935</v>
      </c>
      <c r="J241" s="42">
        <f>8389.54978961239*Deflactores!$Z$5</f>
        <v>8654.178623630889</v>
      </c>
      <c r="K241" s="42">
        <f>1724.28938422678*Deflactores!$AA$5</f>
        <v>1724.2893842267799</v>
      </c>
    </row>
    <row r="242" spans="1:11" x14ac:dyDescent="0.2">
      <c r="C242" s="88" t="s">
        <v>141</v>
      </c>
      <c r="D242" s="50">
        <f>1688.49862812633*Deflactores!$T$5</f>
        <v>2554.871515358072</v>
      </c>
      <c r="E242" s="50">
        <f>1899.9397073694*Deflactores!$U$5</f>
        <v>2829.2525769654708</v>
      </c>
      <c r="F242" s="50">
        <f>2313.60132674491*Deflactores!$V$5</f>
        <v>3261.9271862377832</v>
      </c>
      <c r="G242" s="50">
        <f>2673.14245156244*Deflactores!$W$5</f>
        <v>3331.7196031233516</v>
      </c>
      <c r="H242" s="50">
        <f>3259.53353270798*Deflactores!$X$5</f>
        <v>3717.5867204897081</v>
      </c>
      <c r="I242" s="50">
        <f>3732.69678676693*Deflactores!$Y$5</f>
        <v>4046.8082619091133</v>
      </c>
      <c r="J242" s="50">
        <f>3846.50141263637*Deflactores!$Z$5</f>
        <v>3967.8303527347753</v>
      </c>
      <c r="K242" s="50">
        <f>457.74215003547*Deflactores!$AA$5</f>
        <v>457.74215003546999</v>
      </c>
    </row>
    <row r="243" spans="1:11" x14ac:dyDescent="0.2">
      <c r="C243" s="87" t="s">
        <v>142</v>
      </c>
      <c r="D243" s="42">
        <f>349.52995005942*Deflactores!$T$5</f>
        <v>528.87464537787525</v>
      </c>
      <c r="E243" s="42">
        <f>487.52311847556*Deflactores!$U$5</f>
        <v>725.98411093107507</v>
      </c>
      <c r="F243" s="42">
        <f>878.48864457393*Deflactores!$V$5</f>
        <v>1238.5738024141579</v>
      </c>
      <c r="G243" s="42">
        <f>836.36038189046*Deflactores!$W$5</f>
        <v>1042.4129391201993</v>
      </c>
      <c r="H243" s="42">
        <f>863.47368330832*Deflactores!$X$5</f>
        <v>984.81524007899566</v>
      </c>
      <c r="I243" s="42">
        <f>862.713850911779*Deflactores!$Y$5</f>
        <v>935.31238645214069</v>
      </c>
      <c r="J243" s="42">
        <f>699.059264244749*Deflactores!$Z$5</f>
        <v>721.10946272333319</v>
      </c>
      <c r="K243" s="42">
        <f>91.34150179025*Deflactores!$AA$5</f>
        <v>91.341501790250007</v>
      </c>
    </row>
    <row r="244" spans="1:11" x14ac:dyDescent="0.2">
      <c r="C244" s="88" t="s">
        <v>143</v>
      </c>
      <c r="D244" s="50">
        <f>680.204957439919*Deflactores!$T$5</f>
        <v>1029.2198296287731</v>
      </c>
      <c r="E244" s="50">
        <f>1835.29954843231*Deflactores!$U$5</f>
        <v>2732.9951349325161</v>
      </c>
      <c r="F244" s="50">
        <f>3963.93189595141*Deflactores!$V$5</f>
        <v>5588.7144713868029</v>
      </c>
      <c r="G244" s="50">
        <f>1199.29003380285*Deflactores!$W$5</f>
        <v>1494.7568967437387</v>
      </c>
      <c r="H244" s="50">
        <f>867.13303300851*Deflactores!$X$5</f>
        <v>988.98882802173182</v>
      </c>
      <c r="I244" s="50">
        <f>811.95420338731*Deflactores!$Y$5</f>
        <v>880.28124604399216</v>
      </c>
      <c r="J244" s="50">
        <f>1666.90010444398*Deflactores!$Z$5</f>
        <v>1719.4785910286221</v>
      </c>
      <c r="K244" s="50">
        <f>75.58058422361*Deflactores!$AA$5</f>
        <v>75.580584223610003</v>
      </c>
    </row>
    <row r="245" spans="1:11" x14ac:dyDescent="0.2">
      <c r="C245" s="87" t="s">
        <v>144</v>
      </c>
      <c r="D245" s="42">
        <f>4232.35534150447*Deflactores!$T$5</f>
        <v>6403.9874979835276</v>
      </c>
      <c r="E245" s="42">
        <f>4421.24411213156*Deflactores!$U$5</f>
        <v>6583.7964484467593</v>
      </c>
      <c r="F245" s="42">
        <f>4785.50039786024*Deflactores!$V$5</f>
        <v>6747.0370400825532</v>
      </c>
      <c r="G245" s="42">
        <f>5346.23046215966*Deflactores!$W$5</f>
        <v>6663.3713527617801</v>
      </c>
      <c r="H245" s="42">
        <f>6570.46967753509*Deflactores!$X$5</f>
        <v>7493.7995193108773</v>
      </c>
      <c r="I245" s="42">
        <f>7916.94243764156*Deflactores!$Y$5</f>
        <v>8583.1638346003219</v>
      </c>
      <c r="J245" s="42">
        <f>9141.72520762009*Deflactores!$Z$5</f>
        <v>9430.0796656394377</v>
      </c>
      <c r="K245" s="42">
        <f>1037.30709363437*Deflactores!$AA$5</f>
        <v>1037.3070936343699</v>
      </c>
    </row>
    <row r="246" spans="1:11" x14ac:dyDescent="0.2">
      <c r="C246" s="88" t="s">
        <v>145</v>
      </c>
      <c r="D246" s="50">
        <f>1417.15483162175*Deflactores!$T$5</f>
        <v>2144.3005353105823</v>
      </c>
      <c r="E246" s="50">
        <f>634.3862652321*Deflactores!$U$5</f>
        <v>944.6820700350014</v>
      </c>
      <c r="F246" s="50">
        <f>1219.68022754878*Deflactores!$V$5</f>
        <v>1719.6169654499463</v>
      </c>
      <c r="G246" s="50">
        <f>3071.41368792497*Deflactores!$W$5</f>
        <v>3828.1121858581892</v>
      </c>
      <c r="H246" s="50">
        <f>2661.19059997313*Deflactores!$X$5</f>
        <v>3035.1603184560563</v>
      </c>
      <c r="I246" s="50">
        <f>922.79444555084*Deflactores!$Y$5</f>
        <v>1000.4488442613364</v>
      </c>
      <c r="J246" s="50">
        <f>2305.79485323159*Deflactores!$Z$5</f>
        <v>2378.5257885973983</v>
      </c>
      <c r="K246" s="50">
        <f>193.34874267003*Deflactores!$AA$5</f>
        <v>193.34874267002999</v>
      </c>
    </row>
    <row r="247" spans="1:11" x14ac:dyDescent="0.2">
      <c r="C247" s="87" t="s">
        <v>146</v>
      </c>
      <c r="D247" s="42">
        <f>886.368163511547*Deflactores!$T$5</f>
        <v>1341.1658945727422</v>
      </c>
      <c r="E247" s="42">
        <f>853.35506364877*Deflactores!$U$5</f>
        <v>1270.7545421205302</v>
      </c>
      <c r="F247" s="42">
        <f>1064.15493706997*Deflactores!$V$5</f>
        <v>1500.3431574278377</v>
      </c>
      <c r="G247" s="42">
        <f>1309.72422646747*Deflactores!$W$5</f>
        <v>1632.3985567835016</v>
      </c>
      <c r="H247" s="42">
        <f>1381.36902504032*Deflactores!$X$5</f>
        <v>1575.4889747427496</v>
      </c>
      <c r="I247" s="42">
        <f>1480.42301063831*Deflactores!$Y$5</f>
        <v>1605.0026061078918</v>
      </c>
      <c r="J247" s="42">
        <f>1722.95674474805*Deflactores!$Z$5</f>
        <v>1777.3034076633253</v>
      </c>
      <c r="K247" s="42">
        <f>302.74343127559*Deflactores!$AA$5</f>
        <v>302.74343127559001</v>
      </c>
    </row>
    <row r="248" spans="1:11" x14ac:dyDescent="0.2">
      <c r="C248" s="88" t="s">
        <v>162</v>
      </c>
      <c r="D248" s="50">
        <f>29378.3862662392*Deflactores!$T$5</f>
        <v>44452.510051542442</v>
      </c>
      <c r="E248" s="50">
        <f>34403.4641096297*Deflactores!$U$5</f>
        <v>51231.146499631592</v>
      </c>
      <c r="F248" s="50">
        <f>43355.7143665292*Deflactores!$V$5</f>
        <v>61126.859557050426</v>
      </c>
      <c r="G248" s="50">
        <f>42218.9132707858*Deflactores!$W$5</f>
        <v>52620.308687487115</v>
      </c>
      <c r="H248" s="50">
        <f>50040.1820819328*Deflactores!$X$5</f>
        <v>57072.189787883566</v>
      </c>
      <c r="I248" s="50">
        <f>57794.0644433699*Deflactores!$Y$5</f>
        <v>62657.513009866831</v>
      </c>
      <c r="J248" s="50">
        <f>64311.8703129*Deflactores!$Z$5</f>
        <v>66340.438672494638</v>
      </c>
      <c r="K248" s="50">
        <f>10353.7472548684*Deflactores!$AA$5</f>
        <v>10353.7472548684</v>
      </c>
    </row>
    <row r="249" spans="1:11" x14ac:dyDescent="0.2">
      <c r="C249" s="87" t="s">
        <v>148</v>
      </c>
      <c r="D249" s="42">
        <f>352.420446609169*Deflactores!$T$5</f>
        <v>533.24826296759704</v>
      </c>
      <c r="E249" s="42">
        <f>450.87958405192*Deflactores!$U$5</f>
        <v>671.41721399477694</v>
      </c>
      <c r="F249" s="42">
        <f>535.1094240807*Deflactores!$V$5</f>
        <v>754.44630751343379</v>
      </c>
      <c r="G249" s="42">
        <f>576.51937841711*Deflactores!$W$5</f>
        <v>718.55538919374669</v>
      </c>
      <c r="H249" s="42">
        <f>644.01339596486*Deflactores!$X$5</f>
        <v>734.51480852457814</v>
      </c>
      <c r="I249" s="42">
        <f>767.60169333726*Deflactores!$Y$5</f>
        <v>832.19641238076531</v>
      </c>
      <c r="J249" s="42">
        <f>847.94544815153*Deflactores!$Z$5</f>
        <v>874.69191499215401</v>
      </c>
      <c r="K249" s="42">
        <f>114.74774427393*Deflactores!$AA$5</f>
        <v>114.74774427393</v>
      </c>
    </row>
    <row r="250" spans="1:11" x14ac:dyDescent="0.2">
      <c r="C250" s="88" t="s">
        <v>149</v>
      </c>
      <c r="D250" s="50">
        <f>1349.98192086623*Deflactores!$T$5</f>
        <v>2042.6610353227106</v>
      </c>
      <c r="E250" s="50">
        <f>1232.02258709042*Deflactores!$U$5</f>
        <v>1834.6387866336233</v>
      </c>
      <c r="F250" s="50">
        <f>1887.56940149529*Deflactores!$V$5</f>
        <v>2661.2683332571983</v>
      </c>
      <c r="G250" s="50">
        <f>1891.12386646138*Deflactores!$W$5</f>
        <v>2357.036548553961</v>
      </c>
      <c r="H250" s="50">
        <f>2180.68413374915*Deflactores!$X$5</f>
        <v>2487.1296140565687</v>
      </c>
      <c r="I250" s="50">
        <f>2591.95806810224*Deflactores!$Y$5</f>
        <v>2810.0748396451718</v>
      </c>
      <c r="J250" s="50">
        <f>1903.93606719056*Deflactores!$Z$5</f>
        <v>1963.9913018743368</v>
      </c>
      <c r="K250" s="50">
        <f>189.71527703768*Deflactores!$AA$5</f>
        <v>189.71527703768001</v>
      </c>
    </row>
    <row r="251" spans="1:11" x14ac:dyDescent="0.2">
      <c r="C251" s="87" t="s">
        <v>163</v>
      </c>
      <c r="D251" s="42">
        <f>22965.6448140195*Deflactores!$T$5</f>
        <v>34749.374852781555</v>
      </c>
      <c r="E251" s="42">
        <f>28047.135842406*Deflactores!$U$5</f>
        <v>41765.762908601355</v>
      </c>
      <c r="F251" s="42">
        <f>25968.4835797855*Deflactores!$V$5</f>
        <v>36612.748097551274</v>
      </c>
      <c r="G251" s="42">
        <f>22416.3770123845*Deflactores!$W$5</f>
        <v>27939.058271852293</v>
      </c>
      <c r="H251" s="42">
        <f>26843.0911175475*Deflactores!$X$5</f>
        <v>30615.276104425982</v>
      </c>
      <c r="I251" s="42">
        <f>32361.0822437553*Deflactores!$Y$5</f>
        <v>35084.311014123195</v>
      </c>
      <c r="J251" s="42">
        <f>44132.529761804*Deflactores!$Z$5</f>
        <v>45524.587760865288</v>
      </c>
      <c r="K251" s="42">
        <f>2118.72126069189*Deflactores!$AA$5</f>
        <v>2118.7212606918902</v>
      </c>
    </row>
    <row r="252" spans="1:11" x14ac:dyDescent="0.2">
      <c r="C252" s="88" t="s">
        <v>150</v>
      </c>
      <c r="D252" s="50">
        <f>5764.57923576688*Deflactores!$T$5</f>
        <v>8722.3993210040699</v>
      </c>
      <c r="E252" s="50">
        <f>6081.74975386687*Deflactores!$U$5</f>
        <v>9056.5011599294339</v>
      </c>
      <c r="F252" s="50">
        <f>8763.51866871498*Deflactores!$V$5</f>
        <v>12355.611773789207</v>
      </c>
      <c r="G252" s="50">
        <f>8897.59412480081*Deflactores!$W$5</f>
        <v>11089.677899098517</v>
      </c>
      <c r="H252" s="50">
        <f>9894.65147044522*Deflactores!$X$5</f>
        <v>11285.119340325129</v>
      </c>
      <c r="I252" s="50">
        <f>5980.4536652114*Deflactores!$Y$5</f>
        <v>6483.7169169865638</v>
      </c>
      <c r="J252" s="50">
        <f>5757.3414413687*Deflactores!$Z$5</f>
        <v>5938.9433855591005</v>
      </c>
      <c r="K252" s="50">
        <f>1596.90958762514*Deflactores!$AA$5</f>
        <v>1596.9095876251399</v>
      </c>
    </row>
    <row r="253" spans="1:11" x14ac:dyDescent="0.2">
      <c r="C253" s="87" t="s">
        <v>151</v>
      </c>
      <c r="D253" s="42">
        <f>2870.07757536141*Deflactores!$T$5</f>
        <v>4342.7215882879646</v>
      </c>
      <c r="E253" s="42">
        <f>3319.86225084878*Deflactores!$U$5</f>
        <v>4943.698366823015</v>
      </c>
      <c r="F253" s="42">
        <f>4630.21356292883*Deflactores!$V$5</f>
        <v>6528.0994285450251</v>
      </c>
      <c r="G253" s="42">
        <f>4675.1983063523*Deflactores!$W$5</f>
        <v>5827.0182483760582</v>
      </c>
      <c r="H253" s="42">
        <f>4971.177049343*Deflactores!$X$5</f>
        <v>5669.7627431637875</v>
      </c>
      <c r="I253" s="42">
        <f>5369.05664420796*Deflactores!$Y$5</f>
        <v>5820.8700110511982</v>
      </c>
      <c r="J253" s="42">
        <f>5806.3741104193*Deflactores!$Z$5</f>
        <v>5989.5226761049025</v>
      </c>
      <c r="K253" s="42">
        <f>194.668118354259*Deflactores!$AA$5</f>
        <v>194.66811835425901</v>
      </c>
    </row>
    <row r="254" spans="1:11" x14ac:dyDescent="0.2">
      <c r="C254" s="79" t="s">
        <v>152</v>
      </c>
      <c r="D254" s="44">
        <f t="shared" ref="D254:K254" si="15">SUM(D223:D253)</f>
        <v>270571.32504306419</v>
      </c>
      <c r="E254" s="44">
        <f t="shared" si="15"/>
        <v>317394.04773082241</v>
      </c>
      <c r="F254" s="44">
        <f t="shared" si="15"/>
        <v>345121.9938160181</v>
      </c>
      <c r="G254" s="44">
        <f t="shared" si="15"/>
        <v>301824.62668563798</v>
      </c>
      <c r="H254" s="44">
        <f t="shared" si="15"/>
        <v>335918.29051136371</v>
      </c>
      <c r="I254" s="44">
        <f t="shared" si="15"/>
        <v>336365.48962520208</v>
      </c>
      <c r="J254" s="44">
        <f t="shared" si="15"/>
        <v>353929.72279769002</v>
      </c>
      <c r="K254" s="44">
        <f t="shared" si="15"/>
        <v>45243.89185095577</v>
      </c>
    </row>
    <row r="255" spans="1:11" s="31" customFormat="1" x14ac:dyDescent="0.2">
      <c r="A255" s="5"/>
      <c r="B255" s="5"/>
      <c r="C255" s="72" t="str">
        <f>+'C1 Aprop Resumen 2000-2026'!B20</f>
        <v>* Información con corte a 28 de febrero</v>
      </c>
      <c r="D255" s="124">
        <f>+D254-'C5 Ejecución PGN 2019-2026'!D131</f>
        <v>4.6566128730773926E-10</v>
      </c>
      <c r="E255" s="124">
        <f>+E254-'C5 Ejecución PGN 2019-2026'!E131</f>
        <v>1.2223608791828156E-9</v>
      </c>
      <c r="F255" s="124">
        <f>+F254-'C5 Ejecución PGN 2019-2026'!F131</f>
        <v>0</v>
      </c>
      <c r="G255" s="124">
        <f>+G254-'C5 Ejecución PGN 2019-2026'!G131</f>
        <v>0</v>
      </c>
      <c r="H255" s="124">
        <f>+H254-'C5 Ejecución PGN 2019-2026'!H131</f>
        <v>7.5669959187507629E-10</v>
      </c>
      <c r="I255" s="124">
        <f>+I254-'C5 Ejecución PGN 2019-2026'!I131</f>
        <v>0</v>
      </c>
      <c r="J255" s="124">
        <f>+J254-'C5 Ejecución PGN 2019-2026'!J131</f>
        <v>0</v>
      </c>
      <c r="K255" s="124">
        <f>+K254-'C5 Ejecución PGN 2019-2026'!K131</f>
        <v>-1.0186340659856796E-10</v>
      </c>
    </row>
    <row r="256" spans="1:11" x14ac:dyDescent="0.2">
      <c r="C256" s="1" t="s">
        <v>52</v>
      </c>
      <c r="E256" s="3"/>
      <c r="F256" s="3"/>
      <c r="G256" s="3"/>
      <c r="H256" s="3"/>
    </row>
    <row r="257" spans="2:11" x14ac:dyDescent="0.2">
      <c r="B257" s="9"/>
      <c r="E257" s="3"/>
      <c r="F257" s="3"/>
      <c r="G257" s="3"/>
      <c r="H257" s="3"/>
    </row>
    <row r="258" spans="2:11" x14ac:dyDescent="0.2">
      <c r="E258" s="3"/>
      <c r="F258" s="3"/>
      <c r="G258" s="3"/>
      <c r="H258" s="3"/>
    </row>
    <row r="259" spans="2:11" x14ac:dyDescent="0.2">
      <c r="E259" s="3"/>
      <c r="F259" s="3"/>
      <c r="G259" s="3"/>
      <c r="H259" s="3"/>
    </row>
    <row r="260" spans="2:11" ht="18" customHeight="1" x14ac:dyDescent="0.2">
      <c r="C260" s="160" t="s">
        <v>159</v>
      </c>
      <c r="D260" s="158"/>
      <c r="E260" s="178"/>
      <c r="F260" s="178"/>
      <c r="G260" s="178"/>
      <c r="H260" s="178"/>
      <c r="I260" s="178"/>
      <c r="J260" s="178"/>
      <c r="K260" s="178"/>
    </row>
    <row r="261" spans="2:11" x14ac:dyDescent="0.2">
      <c r="D261" s="28"/>
      <c r="E261" s="28"/>
      <c r="F261" s="28"/>
      <c r="G261" s="28"/>
      <c r="H261" s="28"/>
    </row>
    <row r="262" spans="2:11" x14ac:dyDescent="0.2">
      <c r="D262" s="29"/>
      <c r="E262" s="29"/>
      <c r="F262" s="29"/>
      <c r="G262" s="29"/>
      <c r="H262" s="29"/>
    </row>
    <row r="263" spans="2:11" ht="13.5" customHeight="1" x14ac:dyDescent="0.2">
      <c r="C263" s="177" t="s">
        <v>120</v>
      </c>
      <c r="D263" s="153">
        <v>2019</v>
      </c>
      <c r="E263" s="153">
        <v>2020</v>
      </c>
      <c r="F263" s="153">
        <v>2021</v>
      </c>
      <c r="G263" s="153">
        <v>2022</v>
      </c>
      <c r="H263" s="153">
        <v>2023</v>
      </c>
      <c r="I263" s="153">
        <v>2024</v>
      </c>
      <c r="J263" s="153">
        <v>2025</v>
      </c>
      <c r="K263" s="153" t="s">
        <v>36</v>
      </c>
    </row>
    <row r="264" spans="2:11" ht="12" customHeight="1" thickBot="1" x14ac:dyDescent="0.25">
      <c r="C264" s="156"/>
      <c r="D264" s="154"/>
      <c r="E264" s="154"/>
      <c r="F264" s="154"/>
      <c r="G264" s="154"/>
      <c r="H264" s="154"/>
      <c r="I264" s="154"/>
      <c r="J264" s="154"/>
      <c r="K264" s="154"/>
    </row>
    <row r="265" spans="2:11" x14ac:dyDescent="0.2">
      <c r="C265" s="87" t="s">
        <v>123</v>
      </c>
      <c r="D265" s="47">
        <f t="shared" ref="D265:K274" si="16">+IFERROR(IF(D223&gt;0,+((D223/D15)*100)," "),"0")</f>
        <v>62.817559079066733</v>
      </c>
      <c r="E265" s="47">
        <f t="shared" si="16"/>
        <v>77.788316834881016</v>
      </c>
      <c r="F265" s="47">
        <f t="shared" si="16"/>
        <v>79.738552929234118</v>
      </c>
      <c r="G265" s="47">
        <f t="shared" si="16"/>
        <v>74.07112798360177</v>
      </c>
      <c r="H265" s="47">
        <f t="shared" si="16"/>
        <v>73.825596401226704</v>
      </c>
      <c r="I265" s="47">
        <f t="shared" si="16"/>
        <v>38.305153505876078</v>
      </c>
      <c r="J265" s="47">
        <f t="shared" si="16"/>
        <v>59.325292991769615</v>
      </c>
      <c r="K265" s="47">
        <f t="shared" si="16"/>
        <v>2.6638686054603968</v>
      </c>
    </row>
    <row r="266" spans="2:11" x14ac:dyDescent="0.2">
      <c r="C266" s="88" t="s">
        <v>124</v>
      </c>
      <c r="D266" s="116">
        <f t="shared" si="16"/>
        <v>87.935071562410016</v>
      </c>
      <c r="E266" s="116">
        <f t="shared" si="16"/>
        <v>80.541664751964333</v>
      </c>
      <c r="F266" s="116">
        <f t="shared" si="16"/>
        <v>66.963330523472308</v>
      </c>
      <c r="G266" s="116">
        <f t="shared" si="16"/>
        <v>62.846918277439009</v>
      </c>
      <c r="H266" s="116">
        <f t="shared" si="16"/>
        <v>49.132320089213586</v>
      </c>
      <c r="I266" s="116">
        <f t="shared" si="16"/>
        <v>54.037398329703009</v>
      </c>
      <c r="J266" s="116">
        <f t="shared" si="16"/>
        <v>80.331646666627307</v>
      </c>
      <c r="K266" s="116">
        <f t="shared" si="16"/>
        <v>13.198471071315632</v>
      </c>
    </row>
    <row r="267" spans="2:11" x14ac:dyDescent="0.2">
      <c r="C267" s="87" t="s">
        <v>125</v>
      </c>
      <c r="D267" s="47">
        <f t="shared" si="16"/>
        <v>42.651674068352172</v>
      </c>
      <c r="E267" s="47">
        <f t="shared" si="16"/>
        <v>67.171924254536549</v>
      </c>
      <c r="F267" s="47">
        <f t="shared" si="16"/>
        <v>87.151293573960842</v>
      </c>
      <c r="G267" s="47">
        <f t="shared" si="16"/>
        <v>87.730357052391312</v>
      </c>
      <c r="H267" s="47">
        <f t="shared" si="16"/>
        <v>65.897675697539896</v>
      </c>
      <c r="I267" s="47">
        <f t="shared" si="16"/>
        <v>86.762278801951709</v>
      </c>
      <c r="J267" s="47">
        <f t="shared" si="16"/>
        <v>91.948301921268751</v>
      </c>
      <c r="K267" s="47">
        <f t="shared" si="16"/>
        <v>0.96886132280829762</v>
      </c>
    </row>
    <row r="268" spans="2:11" x14ac:dyDescent="0.2">
      <c r="C268" s="88" t="s">
        <v>126</v>
      </c>
      <c r="D268" s="116">
        <f t="shared" si="16"/>
        <v>85.084203788085986</v>
      </c>
      <c r="E268" s="116">
        <f t="shared" si="16"/>
        <v>82.181243777070407</v>
      </c>
      <c r="F268" s="116">
        <f t="shared" si="16"/>
        <v>74.208011953959172</v>
      </c>
      <c r="G268" s="116">
        <f t="shared" si="16"/>
        <v>80.8439535886735</v>
      </c>
      <c r="H268" s="116">
        <f t="shared" si="16"/>
        <v>74.047254796263005</v>
      </c>
      <c r="I268" s="116">
        <f t="shared" si="16"/>
        <v>68.751921055383903</v>
      </c>
      <c r="J268" s="116">
        <f t="shared" si="16"/>
        <v>84.696959856444025</v>
      </c>
      <c r="K268" s="116">
        <f t="shared" si="16"/>
        <v>7.9149612162195337</v>
      </c>
    </row>
    <row r="269" spans="2:11" x14ac:dyDescent="0.2">
      <c r="C269" s="87" t="s">
        <v>127</v>
      </c>
      <c r="D269" s="47">
        <f t="shared" si="16"/>
        <v>91.249445303955724</v>
      </c>
      <c r="E269" s="47">
        <f t="shared" si="16"/>
        <v>92.40578584573052</v>
      </c>
      <c r="F269" s="47">
        <f t="shared" si="16"/>
        <v>92.952458658138781</v>
      </c>
      <c r="G269" s="47">
        <f t="shared" si="16"/>
        <v>88.276066263654755</v>
      </c>
      <c r="H269" s="47">
        <f t="shared" si="16"/>
        <v>86.989209923695498</v>
      </c>
      <c r="I269" s="47">
        <f t="shared" si="16"/>
        <v>80.578135475315122</v>
      </c>
      <c r="J269" s="47">
        <f t="shared" si="16"/>
        <v>79.192681551868759</v>
      </c>
      <c r="K269" s="47">
        <f t="shared" si="16"/>
        <v>12.195239797054757</v>
      </c>
    </row>
    <row r="270" spans="2:11" x14ac:dyDescent="0.2">
      <c r="C270" s="88" t="s">
        <v>128</v>
      </c>
      <c r="D270" s="116">
        <f t="shared" si="16"/>
        <v>94.638651082300271</v>
      </c>
      <c r="E270" s="116">
        <f t="shared" si="16"/>
        <v>94.105014370121992</v>
      </c>
      <c r="F270" s="116">
        <f t="shared" si="16"/>
        <v>77.437451683013521</v>
      </c>
      <c r="G270" s="116">
        <f t="shared" si="16"/>
        <v>78.354557238628232</v>
      </c>
      <c r="H270" s="116">
        <f t="shared" si="16"/>
        <v>75.091998531173516</v>
      </c>
      <c r="I270" s="116">
        <f t="shared" si="16"/>
        <v>63.345247397592786</v>
      </c>
      <c r="J270" s="116">
        <f t="shared" si="16"/>
        <v>66.212248447336449</v>
      </c>
      <c r="K270" s="116">
        <f t="shared" si="16"/>
        <v>2.7596032673125159</v>
      </c>
    </row>
    <row r="271" spans="2:11" x14ac:dyDescent="0.2">
      <c r="C271" s="87" t="s">
        <v>129</v>
      </c>
      <c r="D271" s="47">
        <f t="shared" si="16"/>
        <v>95.385158673758013</v>
      </c>
      <c r="E271" s="47">
        <f t="shared" si="16"/>
        <v>96.28552177953334</v>
      </c>
      <c r="F271" s="47">
        <f t="shared" si="16"/>
        <v>93.724481902256699</v>
      </c>
      <c r="G271" s="47">
        <f t="shared" si="16"/>
        <v>94.383506695086524</v>
      </c>
      <c r="H271" s="47">
        <f t="shared" si="16"/>
        <v>93.743282557662951</v>
      </c>
      <c r="I271" s="47">
        <f t="shared" si="16"/>
        <v>89.139201153350882</v>
      </c>
      <c r="J271" s="47">
        <f t="shared" si="16"/>
        <v>91.94499699458801</v>
      </c>
      <c r="K271" s="47">
        <f t="shared" si="16"/>
        <v>11.826126655582962</v>
      </c>
    </row>
    <row r="272" spans="2:11" x14ac:dyDescent="0.2">
      <c r="C272" s="88" t="s">
        <v>130</v>
      </c>
      <c r="D272" s="116">
        <f t="shared" si="16"/>
        <v>53.139029697464011</v>
      </c>
      <c r="E272" s="116">
        <f t="shared" si="16"/>
        <v>52.323541849696007</v>
      </c>
      <c r="F272" s="116">
        <f t="shared" si="16"/>
        <v>87.454185933295548</v>
      </c>
      <c r="G272" s="116">
        <f t="shared" si="16"/>
        <v>61.912109701967822</v>
      </c>
      <c r="H272" s="116">
        <f t="shared" si="16"/>
        <v>59.062407078297205</v>
      </c>
      <c r="I272" s="116">
        <f t="shared" si="16"/>
        <v>36.00420199823963</v>
      </c>
      <c r="J272" s="116">
        <f t="shared" si="16"/>
        <v>67.519775372495346</v>
      </c>
      <c r="K272" s="116">
        <f t="shared" si="16"/>
        <v>2.5163621059565662</v>
      </c>
    </row>
    <row r="273" spans="3:11" x14ac:dyDescent="0.2">
      <c r="C273" s="87" t="s">
        <v>131</v>
      </c>
      <c r="D273" s="47">
        <f t="shared" si="16"/>
        <v>98.883155845005817</v>
      </c>
      <c r="E273" s="47">
        <f t="shared" si="16"/>
        <v>99.880707442907436</v>
      </c>
      <c r="F273" s="47">
        <f t="shared" si="16"/>
        <v>99.856994726799755</v>
      </c>
      <c r="G273" s="47">
        <f t="shared" si="16"/>
        <v>99.763906728852916</v>
      </c>
      <c r="H273" s="47">
        <f t="shared" si="16"/>
        <v>97.991146095510871</v>
      </c>
      <c r="I273" s="47">
        <f t="shared" si="16"/>
        <v>96.217014648648899</v>
      </c>
      <c r="J273" s="47">
        <f t="shared" si="16"/>
        <v>97.261897981827232</v>
      </c>
      <c r="K273" s="47">
        <f t="shared" si="16"/>
        <v>13.652827266586934</v>
      </c>
    </row>
    <row r="274" spans="3:11" x14ac:dyDescent="0.2">
      <c r="C274" s="88" t="s">
        <v>132</v>
      </c>
      <c r="D274" s="116">
        <f t="shared" si="16"/>
        <v>82.30305794476169</v>
      </c>
      <c r="E274" s="116">
        <f t="shared" si="16"/>
        <v>66.219276173550369</v>
      </c>
      <c r="F274" s="116">
        <f t="shared" si="16"/>
        <v>57.668422839416756</v>
      </c>
      <c r="G274" s="116">
        <f t="shared" si="16"/>
        <v>66.679584851093409</v>
      </c>
      <c r="H274" s="116">
        <f t="shared" si="16"/>
        <v>69.05999284893494</v>
      </c>
      <c r="I274" s="116">
        <f t="shared" si="16"/>
        <v>82.089064744008468</v>
      </c>
      <c r="J274" s="116">
        <f t="shared" si="16"/>
        <v>82.50543784886321</v>
      </c>
      <c r="K274" s="116">
        <f t="shared" si="16"/>
        <v>4.5558802405731136</v>
      </c>
    </row>
    <row r="275" spans="3:11" x14ac:dyDescent="0.2">
      <c r="C275" s="87" t="s">
        <v>133</v>
      </c>
      <c r="D275" s="47">
        <f t="shared" ref="D275:K284" si="17">+IFERROR(IF(D233&gt;0,+((D233/D25)*100)," "),"0")</f>
        <v>93.85832186399098</v>
      </c>
      <c r="E275" s="47">
        <f t="shared" si="17"/>
        <v>94.022889700130435</v>
      </c>
      <c r="F275" s="47">
        <f t="shared" si="17"/>
        <v>91.968756423210763</v>
      </c>
      <c r="G275" s="47">
        <f t="shared" si="17"/>
        <v>94.429789169581056</v>
      </c>
      <c r="H275" s="47">
        <f t="shared" si="17"/>
        <v>94.325269532476554</v>
      </c>
      <c r="I275" s="47">
        <f t="shared" si="17"/>
        <v>92.672665746866812</v>
      </c>
      <c r="J275" s="47">
        <f t="shared" si="17"/>
        <v>92.105502881536268</v>
      </c>
      <c r="K275" s="47">
        <f t="shared" si="17"/>
        <v>10.880525954762767</v>
      </c>
    </row>
    <row r="276" spans="3:11" x14ac:dyDescent="0.2">
      <c r="C276" s="88" t="s">
        <v>134</v>
      </c>
      <c r="D276" s="116">
        <f t="shared" si="17"/>
        <v>80.539135038449601</v>
      </c>
      <c r="E276" s="116">
        <f t="shared" si="17"/>
        <v>41.376555534106259</v>
      </c>
      <c r="F276" s="116">
        <f t="shared" si="17"/>
        <v>77.343465809680794</v>
      </c>
      <c r="G276" s="116">
        <f t="shared" si="17"/>
        <v>77.254965420380344</v>
      </c>
      <c r="H276" s="116">
        <f t="shared" si="17"/>
        <v>81.72711333262653</v>
      </c>
      <c r="I276" s="116">
        <f t="shared" si="17"/>
        <v>69.682979507215165</v>
      </c>
      <c r="J276" s="116">
        <f t="shared" si="17"/>
        <v>69.04433711792521</v>
      </c>
      <c r="K276" s="116">
        <f t="shared" si="17"/>
        <v>7.0927333390915583</v>
      </c>
    </row>
    <row r="277" spans="3:11" x14ac:dyDescent="0.2">
      <c r="C277" s="87" t="s">
        <v>135</v>
      </c>
      <c r="D277" s="47" t="str">
        <f t="shared" si="17"/>
        <v xml:space="preserve"> </v>
      </c>
      <c r="E277" s="47" t="str">
        <f t="shared" si="17"/>
        <v xml:space="preserve"> </v>
      </c>
      <c r="F277" s="47" t="str">
        <f t="shared" si="17"/>
        <v xml:space="preserve"> </v>
      </c>
      <c r="G277" s="47" t="str">
        <f t="shared" si="17"/>
        <v xml:space="preserve"> </v>
      </c>
      <c r="H277" s="47">
        <f t="shared" si="17"/>
        <v>0.42555537840000007</v>
      </c>
      <c r="I277" s="47">
        <f t="shared" si="17"/>
        <v>78.490215620179058</v>
      </c>
      <c r="J277" s="47">
        <f t="shared" si="17"/>
        <v>94.036748004523844</v>
      </c>
      <c r="K277" s="47">
        <f t="shared" si="17"/>
        <v>9.8279167059381027</v>
      </c>
    </row>
    <row r="278" spans="3:11" x14ac:dyDescent="0.2">
      <c r="C278" s="88" t="s">
        <v>136</v>
      </c>
      <c r="D278" s="116">
        <f t="shared" si="17"/>
        <v>88.683935254291313</v>
      </c>
      <c r="E278" s="116">
        <f t="shared" si="17"/>
        <v>96.418588908159322</v>
      </c>
      <c r="F278" s="116">
        <f t="shared" si="17"/>
        <v>91.545127923580651</v>
      </c>
      <c r="G278" s="116">
        <f t="shared" si="17"/>
        <v>95.913733308908689</v>
      </c>
      <c r="H278" s="116">
        <f t="shared" si="17"/>
        <v>88.265943035831441</v>
      </c>
      <c r="I278" s="116">
        <f t="shared" si="17"/>
        <v>70.754276930234511</v>
      </c>
      <c r="J278" s="116">
        <f t="shared" si="17"/>
        <v>72.939119800123294</v>
      </c>
      <c r="K278" s="116">
        <f t="shared" si="17"/>
        <v>10.406115803951828</v>
      </c>
    </row>
    <row r="279" spans="3:11" x14ac:dyDescent="0.2">
      <c r="C279" s="87" t="s">
        <v>137</v>
      </c>
      <c r="D279" s="47">
        <f t="shared" si="17"/>
        <v>84.191317348585187</v>
      </c>
      <c r="E279" s="47">
        <f t="shared" si="17"/>
        <v>84.461583599508288</v>
      </c>
      <c r="F279" s="47">
        <f t="shared" si="17"/>
        <v>63.477733110573809</v>
      </c>
      <c r="G279" s="47">
        <f t="shared" si="17"/>
        <v>58.612227212660336</v>
      </c>
      <c r="H279" s="47">
        <f t="shared" si="17"/>
        <v>54.150337296302176</v>
      </c>
      <c r="I279" s="47">
        <f t="shared" si="17"/>
        <v>62.362982544272704</v>
      </c>
      <c r="J279" s="47">
        <f t="shared" si="17"/>
        <v>71.048269881064556</v>
      </c>
      <c r="K279" s="47">
        <f t="shared" si="17"/>
        <v>6.5186292029854158</v>
      </c>
    </row>
    <row r="280" spans="3:11" x14ac:dyDescent="0.2">
      <c r="C280" s="88" t="s">
        <v>138</v>
      </c>
      <c r="D280" s="116">
        <f t="shared" si="17"/>
        <v>93.127205939532701</v>
      </c>
      <c r="E280" s="116">
        <f t="shared" si="17"/>
        <v>97.939832663448939</v>
      </c>
      <c r="F280" s="116">
        <f t="shared" si="17"/>
        <v>94.697338290005291</v>
      </c>
      <c r="G280" s="116">
        <f t="shared" si="17"/>
        <v>93.775999469705923</v>
      </c>
      <c r="H280" s="116">
        <f t="shared" si="17"/>
        <v>83.9579711964616</v>
      </c>
      <c r="I280" s="116">
        <f t="shared" si="17"/>
        <v>81.564557762430439</v>
      </c>
      <c r="J280" s="116">
        <f t="shared" si="17"/>
        <v>85.586638961646997</v>
      </c>
      <c r="K280" s="116">
        <f t="shared" si="17"/>
        <v>10.155748187377096</v>
      </c>
    </row>
    <row r="281" spans="3:11" x14ac:dyDescent="0.2">
      <c r="C281" s="87" t="s">
        <v>160</v>
      </c>
      <c r="D281" s="47">
        <f t="shared" si="17"/>
        <v>84.668838326949327</v>
      </c>
      <c r="E281" s="47">
        <f t="shared" si="17"/>
        <v>83.341757455571013</v>
      </c>
      <c r="F281" s="47">
        <f t="shared" si="17"/>
        <v>81.410643012934571</v>
      </c>
      <c r="G281" s="47">
        <f t="shared" si="17"/>
        <v>69.580346187613529</v>
      </c>
      <c r="H281" s="47">
        <f t="shared" si="17"/>
        <v>68.655228240520501</v>
      </c>
      <c r="I281" s="47">
        <f t="shared" si="17"/>
        <v>70.067367087626849</v>
      </c>
      <c r="J281" s="47">
        <f t="shared" si="17"/>
        <v>77.63154879998072</v>
      </c>
      <c r="K281" s="47">
        <f t="shared" si="17"/>
        <v>6.3154859490981137</v>
      </c>
    </row>
    <row r="282" spans="3:11" x14ac:dyDescent="0.2">
      <c r="C282" s="88" t="s">
        <v>161</v>
      </c>
      <c r="D282" s="116">
        <f t="shared" si="17"/>
        <v>76.739798939197541</v>
      </c>
      <c r="E282" s="116">
        <f t="shared" si="17"/>
        <v>79.561596489595914</v>
      </c>
      <c r="F282" s="116">
        <f t="shared" si="17"/>
        <v>67.145321746367728</v>
      </c>
      <c r="G282" s="116">
        <f t="shared" si="17"/>
        <v>67.686816454145898</v>
      </c>
      <c r="H282" s="116">
        <f t="shared" si="17"/>
        <v>72.081372174310005</v>
      </c>
      <c r="I282" s="116">
        <f t="shared" si="17"/>
        <v>77.056577021982946</v>
      </c>
      <c r="J282" s="116">
        <f t="shared" si="17"/>
        <v>81.81458792295588</v>
      </c>
      <c r="K282" s="116">
        <f t="shared" si="17"/>
        <v>6.5266821091596636</v>
      </c>
    </row>
    <row r="283" spans="3:11" x14ac:dyDescent="0.2">
      <c r="C283" s="87" t="s">
        <v>140</v>
      </c>
      <c r="D283" s="47">
        <f t="shared" si="17"/>
        <v>83.278552713008722</v>
      </c>
      <c r="E283" s="47">
        <f t="shared" si="17"/>
        <v>88.130684795530243</v>
      </c>
      <c r="F283" s="47">
        <f t="shared" si="17"/>
        <v>89.480751255635838</v>
      </c>
      <c r="G283" s="47">
        <f t="shared" si="17"/>
        <v>83.382307899683141</v>
      </c>
      <c r="H283" s="47">
        <f t="shared" si="17"/>
        <v>86.47836679555428</v>
      </c>
      <c r="I283" s="47">
        <f t="shared" si="17"/>
        <v>73.003298367815816</v>
      </c>
      <c r="J283" s="47">
        <f t="shared" si="17"/>
        <v>77.538023251386733</v>
      </c>
      <c r="K283" s="47">
        <f t="shared" si="17"/>
        <v>12.882173540501075</v>
      </c>
    </row>
    <row r="284" spans="3:11" x14ac:dyDescent="0.2">
      <c r="C284" s="88" t="s">
        <v>141</v>
      </c>
      <c r="D284" s="116">
        <f t="shared" si="17"/>
        <v>88.913753115811758</v>
      </c>
      <c r="E284" s="116">
        <f t="shared" si="17"/>
        <v>80.298111493504408</v>
      </c>
      <c r="F284" s="116">
        <f t="shared" si="17"/>
        <v>80.784599536831934</v>
      </c>
      <c r="G284" s="116">
        <f t="shared" si="17"/>
        <v>83.505630197795924</v>
      </c>
      <c r="H284" s="116">
        <f t="shared" si="17"/>
        <v>80.756865281714411</v>
      </c>
      <c r="I284" s="116">
        <f t="shared" si="17"/>
        <v>87.121294853611914</v>
      </c>
      <c r="J284" s="116">
        <f t="shared" si="17"/>
        <v>90.231510174292879</v>
      </c>
      <c r="K284" s="116">
        <f t="shared" si="17"/>
        <v>9.1264257701881917</v>
      </c>
    </row>
    <row r="285" spans="3:11" x14ac:dyDescent="0.2">
      <c r="C285" s="87" t="s">
        <v>142</v>
      </c>
      <c r="D285" s="47">
        <f t="shared" ref="D285:K294" si="18">+IFERROR(IF(D243&gt;0,+((D243/D35)*100)," "),"0")</f>
        <v>69.396474284066954</v>
      </c>
      <c r="E285" s="47">
        <f t="shared" si="18"/>
        <v>78.559075661321003</v>
      </c>
      <c r="F285" s="47">
        <f t="shared" si="18"/>
        <v>56.080600415732754</v>
      </c>
      <c r="G285" s="47">
        <f t="shared" si="18"/>
        <v>45.333639663986268</v>
      </c>
      <c r="H285" s="47">
        <f t="shared" si="18"/>
        <v>44.202348349430778</v>
      </c>
      <c r="I285" s="47">
        <f t="shared" si="18"/>
        <v>56.744128769717719</v>
      </c>
      <c r="J285" s="47">
        <f t="shared" si="18"/>
        <v>61.011784293881199</v>
      </c>
      <c r="K285" s="47">
        <f t="shared" si="18"/>
        <v>5.6142279573384091</v>
      </c>
    </row>
    <row r="286" spans="3:11" x14ac:dyDescent="0.2">
      <c r="C286" s="88" t="s">
        <v>143</v>
      </c>
      <c r="D286" s="116">
        <f t="shared" si="18"/>
        <v>41.304506423474727</v>
      </c>
      <c r="E286" s="116">
        <f t="shared" si="18"/>
        <v>34.300712253843663</v>
      </c>
      <c r="F286" s="116">
        <f t="shared" si="18"/>
        <v>44.746715028423232</v>
      </c>
      <c r="G286" s="116">
        <f t="shared" si="18"/>
        <v>19.6231816503267</v>
      </c>
      <c r="H286" s="116">
        <f t="shared" si="18"/>
        <v>15.469077657719588</v>
      </c>
      <c r="I286" s="116">
        <f t="shared" si="18"/>
        <v>27.643430186371571</v>
      </c>
      <c r="J286" s="116">
        <f t="shared" si="18"/>
        <v>40.85624914820913</v>
      </c>
      <c r="K286" s="116">
        <f t="shared" si="18"/>
        <v>2.6927824688886219</v>
      </c>
    </row>
    <row r="287" spans="3:11" x14ac:dyDescent="0.2">
      <c r="C287" s="87" t="s">
        <v>144</v>
      </c>
      <c r="D287" s="47">
        <f t="shared" si="18"/>
        <v>90.494884764196996</v>
      </c>
      <c r="E287" s="47">
        <f t="shared" si="18"/>
        <v>90.675820624780101</v>
      </c>
      <c r="F287" s="47">
        <f t="shared" si="18"/>
        <v>88.005373536842228</v>
      </c>
      <c r="G287" s="47">
        <f t="shared" si="18"/>
        <v>88.57194836219206</v>
      </c>
      <c r="H287" s="47">
        <f t="shared" si="18"/>
        <v>83.137464576467195</v>
      </c>
      <c r="I287" s="47">
        <f t="shared" si="18"/>
        <v>84.858146214866693</v>
      </c>
      <c r="J287" s="47">
        <f t="shared" si="18"/>
        <v>85.640097163968306</v>
      </c>
      <c r="K287" s="47">
        <f t="shared" si="18"/>
        <v>9.5086460041711351</v>
      </c>
    </row>
    <row r="288" spans="3:11" x14ac:dyDescent="0.2">
      <c r="C288" s="88" t="s">
        <v>145</v>
      </c>
      <c r="D288" s="116">
        <f t="shared" si="18"/>
        <v>90.92786634176629</v>
      </c>
      <c r="E288" s="116">
        <f t="shared" si="18"/>
        <v>87.86607559558405</v>
      </c>
      <c r="F288" s="116">
        <f t="shared" si="18"/>
        <v>83.403635967000653</v>
      </c>
      <c r="G288" s="116">
        <f t="shared" si="18"/>
        <v>91.509824144987306</v>
      </c>
      <c r="H288" s="116">
        <f t="shared" si="18"/>
        <v>76.880805156010751</v>
      </c>
      <c r="I288" s="116">
        <f t="shared" si="18"/>
        <v>55.779387109853239</v>
      </c>
      <c r="J288" s="116">
        <f t="shared" si="18"/>
        <v>72.806500834653747</v>
      </c>
      <c r="K288" s="116">
        <f t="shared" si="18"/>
        <v>2.7781061994089349</v>
      </c>
    </row>
    <row r="289" spans="1:11" x14ac:dyDescent="0.2">
      <c r="C289" s="87" t="s">
        <v>146</v>
      </c>
      <c r="D289" s="47">
        <f t="shared" si="18"/>
        <v>92.410393126191622</v>
      </c>
      <c r="E289" s="47">
        <f t="shared" si="18"/>
        <v>85.060824214008548</v>
      </c>
      <c r="F289" s="47">
        <f t="shared" si="18"/>
        <v>90.578827597339185</v>
      </c>
      <c r="G289" s="47">
        <f t="shared" si="18"/>
        <v>93.16118936549411</v>
      </c>
      <c r="H289" s="47">
        <f t="shared" si="18"/>
        <v>91.066509458001661</v>
      </c>
      <c r="I289" s="47">
        <f t="shared" si="18"/>
        <v>90.072966403194911</v>
      </c>
      <c r="J289" s="47">
        <f t="shared" si="18"/>
        <v>90.476562640908625</v>
      </c>
      <c r="K289" s="47">
        <f t="shared" si="18"/>
        <v>15.928966695009624</v>
      </c>
    </row>
    <row r="290" spans="1:11" x14ac:dyDescent="0.2">
      <c r="C290" s="88" t="s">
        <v>162</v>
      </c>
      <c r="D290" s="116">
        <f t="shared" si="18"/>
        <v>99.229679401162045</v>
      </c>
      <c r="E290" s="116">
        <f t="shared" si="18"/>
        <v>97.215546386247098</v>
      </c>
      <c r="F290" s="116">
        <f t="shared" si="18"/>
        <v>99.056290560068064</v>
      </c>
      <c r="G290" s="116">
        <f t="shared" si="18"/>
        <v>99.388774893242342</v>
      </c>
      <c r="H290" s="116">
        <f t="shared" si="18"/>
        <v>92.832804891601413</v>
      </c>
      <c r="I290" s="116">
        <f t="shared" si="18"/>
        <v>93.993885105671282</v>
      </c>
      <c r="J290" s="116">
        <f t="shared" si="18"/>
        <v>96.050640937911979</v>
      </c>
      <c r="K290" s="116">
        <f t="shared" si="18"/>
        <v>13.24000336469863</v>
      </c>
    </row>
    <row r="291" spans="1:11" x14ac:dyDescent="0.2">
      <c r="C291" s="87" t="s">
        <v>148</v>
      </c>
      <c r="D291" s="47">
        <f t="shared" si="18"/>
        <v>81.996231656276734</v>
      </c>
      <c r="E291" s="47">
        <f t="shared" si="18"/>
        <v>89.633545697331542</v>
      </c>
      <c r="F291" s="47">
        <f t="shared" si="18"/>
        <v>91.875416261447754</v>
      </c>
      <c r="G291" s="47">
        <f t="shared" si="18"/>
        <v>92.974864946467832</v>
      </c>
      <c r="H291" s="47">
        <f t="shared" si="18"/>
        <v>87.112211758977352</v>
      </c>
      <c r="I291" s="47">
        <f t="shared" si="18"/>
        <v>89.728544325785109</v>
      </c>
      <c r="J291" s="47">
        <f t="shared" si="18"/>
        <v>87.602363771359421</v>
      </c>
      <c r="K291" s="47">
        <f t="shared" si="18"/>
        <v>12.194873248213698</v>
      </c>
    </row>
    <row r="292" spans="1:11" x14ac:dyDescent="0.2">
      <c r="C292" s="88" t="s">
        <v>149</v>
      </c>
      <c r="D292" s="116">
        <f t="shared" si="18"/>
        <v>82.018030055101036</v>
      </c>
      <c r="E292" s="116">
        <f t="shared" si="18"/>
        <v>77.672566821475371</v>
      </c>
      <c r="F292" s="116">
        <f t="shared" si="18"/>
        <v>76.668765845596624</v>
      </c>
      <c r="G292" s="116">
        <f t="shared" si="18"/>
        <v>75.747000685764803</v>
      </c>
      <c r="H292" s="116">
        <f t="shared" si="18"/>
        <v>86.392746748570175</v>
      </c>
      <c r="I292" s="116">
        <f t="shared" si="18"/>
        <v>63.949756590535486</v>
      </c>
      <c r="J292" s="116">
        <f t="shared" si="18"/>
        <v>70.04236390241708</v>
      </c>
      <c r="K292" s="116">
        <f t="shared" si="18"/>
        <v>8.3103877572130394</v>
      </c>
    </row>
    <row r="293" spans="1:11" x14ac:dyDescent="0.2">
      <c r="C293" s="87" t="s">
        <v>163</v>
      </c>
      <c r="D293" s="47">
        <f t="shared" si="18"/>
        <v>81.898671051092592</v>
      </c>
      <c r="E293" s="47">
        <f t="shared" si="18"/>
        <v>86.437054144126733</v>
      </c>
      <c r="F293" s="47">
        <f t="shared" si="18"/>
        <v>93.120765770531605</v>
      </c>
      <c r="G293" s="47">
        <f t="shared" si="18"/>
        <v>64.802202267113174</v>
      </c>
      <c r="H293" s="47">
        <f t="shared" si="18"/>
        <v>77.331880299798897</v>
      </c>
      <c r="I293" s="47">
        <f t="shared" si="18"/>
        <v>80.550309663696993</v>
      </c>
      <c r="J293" s="47">
        <f t="shared" si="18"/>
        <v>85.15980021684895</v>
      </c>
      <c r="K293" s="47">
        <f t="shared" si="18"/>
        <v>3.7307378222183019</v>
      </c>
    </row>
    <row r="294" spans="1:11" x14ac:dyDescent="0.2">
      <c r="C294" s="88" t="s">
        <v>150</v>
      </c>
      <c r="D294" s="116">
        <f t="shared" si="18"/>
        <v>75.519958546000254</v>
      </c>
      <c r="E294" s="116">
        <f t="shared" si="18"/>
        <v>76.655922840818903</v>
      </c>
      <c r="F294" s="116">
        <f t="shared" si="18"/>
        <v>76.499216256769571</v>
      </c>
      <c r="G294" s="116">
        <f t="shared" si="18"/>
        <v>71.459058624897636</v>
      </c>
      <c r="H294" s="116">
        <f t="shared" si="18"/>
        <v>76.55781228688484</v>
      </c>
      <c r="I294" s="116">
        <f t="shared" si="18"/>
        <v>41.72954406450107</v>
      </c>
      <c r="J294" s="116">
        <f t="shared" si="18"/>
        <v>42.158143586267684</v>
      </c>
      <c r="K294" s="116">
        <f t="shared" si="18"/>
        <v>8.9744199438324461</v>
      </c>
    </row>
    <row r="295" spans="1:11" x14ac:dyDescent="0.2">
      <c r="C295" s="87" t="s">
        <v>151</v>
      </c>
      <c r="D295" s="47">
        <f t="shared" ref="D295:K295" si="19">+IFERROR(IF(D253&gt;0,+((D253/D45)*100)," "),"0")</f>
        <v>69.14729685709699</v>
      </c>
      <c r="E295" s="47">
        <f t="shared" si="19"/>
        <v>76.009821318196543</v>
      </c>
      <c r="F295" s="47">
        <f t="shared" si="19"/>
        <v>77.472696795285572</v>
      </c>
      <c r="G295" s="47">
        <f t="shared" si="19"/>
        <v>80.267899161500154</v>
      </c>
      <c r="H295" s="47">
        <f t="shared" si="19"/>
        <v>62.527427561013859</v>
      </c>
      <c r="I295" s="47">
        <f t="shared" si="19"/>
        <v>58.735068306562823</v>
      </c>
      <c r="J295" s="47">
        <f t="shared" si="19"/>
        <v>69.589487400230709</v>
      </c>
      <c r="K295" s="47">
        <f t="shared" si="19"/>
        <v>2.6751618800617538</v>
      </c>
    </row>
    <row r="296" spans="1:11" x14ac:dyDescent="0.2">
      <c r="C296" s="91" t="s">
        <v>154</v>
      </c>
      <c r="D296" s="74">
        <f t="shared" ref="D296:K296" si="20">+IFERROR(IF(D254&gt;0,+((D254/D46)*100)," "),"")</f>
        <v>90.095794793203055</v>
      </c>
      <c r="E296" s="74">
        <f t="shared" si="20"/>
        <v>83.386279084395298</v>
      </c>
      <c r="F296" s="74">
        <f t="shared" si="20"/>
        <v>89.515611824056535</v>
      </c>
      <c r="G296" s="74">
        <f t="shared" si="20"/>
        <v>86.180922574549811</v>
      </c>
      <c r="H296" s="74">
        <f t="shared" si="20"/>
        <v>85.451290447475188</v>
      </c>
      <c r="I296" s="74">
        <f t="shared" si="20"/>
        <v>81.482899856413866</v>
      </c>
      <c r="J296" s="74">
        <f t="shared" si="20"/>
        <v>86.235197910681862</v>
      </c>
      <c r="K296" s="74">
        <f t="shared" si="20"/>
        <v>10.131492667826695</v>
      </c>
    </row>
    <row r="297" spans="1:11" s="31" customFormat="1" x14ac:dyDescent="0.2">
      <c r="A297" s="5"/>
      <c r="B297" s="5"/>
      <c r="C297" s="72" t="str">
        <f>+'C1 Aprop Resumen 2000-2026'!B20</f>
        <v>* Información con corte a 28 de febrero</v>
      </c>
      <c r="D297" s="69"/>
      <c r="E297" s="69"/>
      <c r="F297" s="69"/>
      <c r="G297" s="69"/>
      <c r="H297" s="69"/>
      <c r="I297" s="69"/>
    </row>
    <row r="298" spans="1:11" x14ac:dyDescent="0.2">
      <c r="C298" s="1" t="s">
        <v>52</v>
      </c>
      <c r="D298" s="11"/>
    </row>
  </sheetData>
  <mergeCells count="82">
    <mergeCell ref="J180:J181"/>
    <mergeCell ref="G8:G9"/>
    <mergeCell ref="F221:F222"/>
    <mergeCell ref="F55:F56"/>
    <mergeCell ref="C52:K52"/>
    <mergeCell ref="H55:H56"/>
    <mergeCell ref="E221:E222"/>
    <mergeCell ref="D13:D14"/>
    <mergeCell ref="K221:K222"/>
    <mergeCell ref="K55:K56"/>
    <mergeCell ref="H221:H222"/>
    <mergeCell ref="E55:E56"/>
    <mergeCell ref="C177:K177"/>
    <mergeCell ref="C138:C139"/>
    <mergeCell ref="I96:I97"/>
    <mergeCell ref="D263:D264"/>
    <mergeCell ref="F263:F264"/>
    <mergeCell ref="J55:J56"/>
    <mergeCell ref="G221:G222"/>
    <mergeCell ref="J138:J139"/>
    <mergeCell ref="D55:D56"/>
    <mergeCell ref="I138:I139"/>
    <mergeCell ref="G55:G56"/>
    <mergeCell ref="C260:K260"/>
    <mergeCell ref="J263:J264"/>
    <mergeCell ref="G263:G264"/>
    <mergeCell ref="C55:C56"/>
    <mergeCell ref="I263:I264"/>
    <mergeCell ref="H180:H181"/>
    <mergeCell ref="C263:C264"/>
    <mergeCell ref="E263:E264"/>
    <mergeCell ref="D2:K4"/>
    <mergeCell ref="A7:C8"/>
    <mergeCell ref="F13:F14"/>
    <mergeCell ref="H13:H14"/>
    <mergeCell ref="D8:D9"/>
    <mergeCell ref="H8:H9"/>
    <mergeCell ref="J8:J9"/>
    <mergeCell ref="E13:E14"/>
    <mergeCell ref="G13:G14"/>
    <mergeCell ref="D6:K6"/>
    <mergeCell ref="F8:F9"/>
    <mergeCell ref="I8:I9"/>
    <mergeCell ref="K8:K9"/>
    <mergeCell ref="J13:J14"/>
    <mergeCell ref="C11:K11"/>
    <mergeCell ref="E8:E9"/>
    <mergeCell ref="D180:D181"/>
    <mergeCell ref="F180:F181"/>
    <mergeCell ref="F96:F97"/>
    <mergeCell ref="H96:H97"/>
    <mergeCell ref="D221:D222"/>
    <mergeCell ref="G138:G139"/>
    <mergeCell ref="F138:F139"/>
    <mergeCell ref="H138:H139"/>
    <mergeCell ref="G180:G181"/>
    <mergeCell ref="H263:H264"/>
    <mergeCell ref="I180:I181"/>
    <mergeCell ref="K180:K181"/>
    <mergeCell ref="K96:K97"/>
    <mergeCell ref="C219:K219"/>
    <mergeCell ref="I221:I222"/>
    <mergeCell ref="J221:J222"/>
    <mergeCell ref="E96:E97"/>
    <mergeCell ref="D96:D97"/>
    <mergeCell ref="E138:E139"/>
    <mergeCell ref="C180:C181"/>
    <mergeCell ref="E180:E181"/>
    <mergeCell ref="K138:K139"/>
    <mergeCell ref="K263:K264"/>
    <mergeCell ref="D138:D139"/>
    <mergeCell ref="C221:C222"/>
    <mergeCell ref="I55:I56"/>
    <mergeCell ref="I13:I14"/>
    <mergeCell ref="K13:K14"/>
    <mergeCell ref="A9:C9"/>
    <mergeCell ref="C136:K136"/>
    <mergeCell ref="C96:C97"/>
    <mergeCell ref="C13:C14"/>
    <mergeCell ref="J96:J97"/>
    <mergeCell ref="G96:G97"/>
    <mergeCell ref="C94:K94"/>
  </mergeCells>
  <pageMargins left="0.7" right="0.7" top="0.75" bottom="0.75" header="0.3" footer="0.3"/>
  <pageSetup orientation="portrait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2"/>
  <dimension ref="A1:V277"/>
  <sheetViews>
    <sheetView showGridLines="0" zoomScaleNormal="100" workbookViewId="0">
      <pane xSplit="3" ySplit="7" topLeftCell="D8" activePane="bottomRight" state="frozen"/>
      <selection activeCell="O5" sqref="O5:O6"/>
      <selection pane="topRight" activeCell="O5" sqref="O5:O6"/>
      <selection pane="bottomLeft" activeCell="O5" sqref="O5:O6"/>
      <selection pane="bottomRight" activeCell="A5" sqref="A5:C7"/>
    </sheetView>
  </sheetViews>
  <sheetFormatPr baseColWidth="10" defaultColWidth="11.42578125" defaultRowHeight="11.25" x14ac:dyDescent="0.2"/>
  <cols>
    <col min="1" max="2" width="2.7109375" style="3" customWidth="1"/>
    <col min="3" max="3" width="53.5703125" style="3" customWidth="1"/>
    <col min="4" max="22" width="10.7109375" style="3" customWidth="1"/>
    <col min="23" max="33" width="10.7109375" style="9" customWidth="1"/>
    <col min="34" max="34" width="11.42578125" style="9" customWidth="1"/>
    <col min="35" max="16384" width="11.42578125" style="9"/>
  </cols>
  <sheetData>
    <row r="1" spans="1:22" ht="16.5" customHeight="1" x14ac:dyDescent="0.2"/>
    <row r="2" spans="1:22" ht="16.5" customHeight="1" x14ac:dyDescent="0.2">
      <c r="D2" s="159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  <c r="Q2" s="158"/>
      <c r="R2" s="158"/>
      <c r="S2" s="158"/>
      <c r="T2" s="158"/>
      <c r="U2" s="158"/>
      <c r="V2" s="158"/>
    </row>
    <row r="3" spans="1:22" s="102" customFormat="1" ht="16.5" customHeight="1" x14ac:dyDescent="0.25">
      <c r="A3" s="120"/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  <c r="R3" s="98"/>
      <c r="S3" s="98"/>
      <c r="T3" s="98"/>
      <c r="U3" s="98"/>
      <c r="V3" s="98"/>
    </row>
    <row r="4" spans="1:22" s="102" customFormat="1" ht="15" customHeight="1" x14ac:dyDescent="0.25">
      <c r="A4" s="99"/>
      <c r="B4" s="98"/>
      <c r="C4" s="98"/>
      <c r="D4" s="161"/>
      <c r="E4" s="176"/>
      <c r="F4" s="176"/>
      <c r="G4" s="176"/>
      <c r="H4" s="176"/>
      <c r="I4" s="176"/>
      <c r="J4" s="176"/>
      <c r="K4" s="176"/>
      <c r="L4" s="176"/>
      <c r="M4" s="176"/>
      <c r="N4" s="176"/>
      <c r="O4" s="176"/>
      <c r="P4" s="176"/>
      <c r="Q4" s="176"/>
      <c r="R4" s="176"/>
      <c r="S4" s="176"/>
      <c r="T4" s="176"/>
      <c r="U4" s="176"/>
      <c r="V4" s="176"/>
    </row>
    <row r="5" spans="1:22" s="102" customFormat="1" ht="15" customHeight="1" x14ac:dyDescent="0.25">
      <c r="A5" s="165" t="s">
        <v>10</v>
      </c>
      <c r="B5" s="176"/>
      <c r="C5" s="176"/>
      <c r="D5" s="147"/>
      <c r="E5" s="147"/>
      <c r="F5" s="147"/>
      <c r="G5" s="147"/>
      <c r="H5" s="147"/>
      <c r="I5" s="147"/>
      <c r="J5" s="147"/>
      <c r="K5" s="147"/>
      <c r="L5" s="147"/>
      <c r="M5" s="147"/>
      <c r="N5" s="147"/>
      <c r="O5" s="147"/>
      <c r="P5" s="147"/>
      <c r="Q5" s="147"/>
      <c r="R5" s="147"/>
      <c r="S5" s="147"/>
      <c r="T5" s="147"/>
      <c r="U5" s="147"/>
      <c r="V5" s="147"/>
    </row>
    <row r="6" spans="1:22" s="102" customFormat="1" ht="15" customHeight="1" x14ac:dyDescent="0.25">
      <c r="A6" s="176"/>
      <c r="B6" s="176"/>
      <c r="C6" s="176"/>
      <c r="D6" s="151" t="s">
        <v>27</v>
      </c>
      <c r="E6" s="151" t="s">
        <v>28</v>
      </c>
      <c r="F6" s="151" t="s">
        <v>29</v>
      </c>
      <c r="G6" s="151" t="s">
        <v>30</v>
      </c>
      <c r="H6" s="151">
        <v>2004</v>
      </c>
      <c r="I6" s="151" t="s">
        <v>31</v>
      </c>
      <c r="J6" s="151" t="s">
        <v>32</v>
      </c>
      <c r="K6" s="151" t="s">
        <v>33</v>
      </c>
      <c r="L6" s="151" t="s">
        <v>34</v>
      </c>
      <c r="M6" s="151" t="s">
        <v>35</v>
      </c>
      <c r="N6" s="151">
        <v>2010</v>
      </c>
      <c r="O6" s="151">
        <v>2011</v>
      </c>
      <c r="P6" s="151">
        <v>2012</v>
      </c>
      <c r="Q6" s="151">
        <v>2013</v>
      </c>
      <c r="R6" s="151">
        <v>2014</v>
      </c>
      <c r="S6" s="151">
        <v>2015</v>
      </c>
      <c r="T6" s="151">
        <v>2016</v>
      </c>
      <c r="U6" s="151">
        <v>2017</v>
      </c>
      <c r="V6" s="151">
        <v>2018</v>
      </c>
    </row>
    <row r="7" spans="1:22" s="102" customFormat="1" ht="15" customHeight="1" x14ac:dyDescent="0.25">
      <c r="A7" s="162" t="s">
        <v>227</v>
      </c>
      <c r="B7" s="176"/>
      <c r="C7" s="176"/>
      <c r="D7" s="176"/>
      <c r="E7" s="176"/>
      <c r="F7" s="176"/>
      <c r="G7" s="176"/>
      <c r="H7" s="176"/>
      <c r="I7" s="176"/>
      <c r="J7" s="176"/>
      <c r="K7" s="176"/>
      <c r="L7" s="176"/>
      <c r="M7" s="176"/>
      <c r="N7" s="176"/>
      <c r="O7" s="176"/>
      <c r="P7" s="176"/>
      <c r="Q7" s="176"/>
      <c r="R7" s="176"/>
      <c r="S7" s="176"/>
      <c r="T7" s="176"/>
      <c r="U7" s="176"/>
      <c r="V7" s="176"/>
    </row>
    <row r="8" spans="1:22" s="102" customFormat="1" ht="15" customHeight="1" x14ac:dyDescent="0.25">
      <c r="A8" s="99"/>
      <c r="B8" s="98"/>
      <c r="C8" s="98"/>
      <c r="D8" s="98"/>
      <c r="E8" s="98"/>
      <c r="F8" s="98"/>
      <c r="G8" s="98"/>
      <c r="H8" s="98"/>
      <c r="I8" s="98"/>
      <c r="J8" s="98"/>
      <c r="K8" s="98"/>
      <c r="L8" s="98"/>
      <c r="M8" s="98"/>
      <c r="N8" s="98"/>
      <c r="O8" s="98"/>
      <c r="P8" s="98"/>
      <c r="Q8" s="98"/>
      <c r="R8" s="98"/>
      <c r="S8" s="98"/>
      <c r="T8" s="98"/>
      <c r="U8" s="98"/>
      <c r="V8" s="98"/>
    </row>
    <row r="9" spans="1:22" ht="18" customHeight="1" x14ac:dyDescent="0.2">
      <c r="D9" s="160" t="s">
        <v>164</v>
      </c>
      <c r="E9" s="158"/>
      <c r="F9" s="158"/>
      <c r="G9" s="158"/>
      <c r="H9" s="158"/>
      <c r="I9" s="158"/>
      <c r="J9" s="158"/>
      <c r="K9" s="158"/>
      <c r="L9" s="158"/>
      <c r="M9" s="158"/>
      <c r="N9" s="158"/>
      <c r="O9" s="158"/>
      <c r="P9" s="158"/>
      <c r="Q9" s="158"/>
      <c r="R9" s="158"/>
      <c r="S9" s="158"/>
      <c r="T9" s="158"/>
      <c r="U9" s="158"/>
      <c r="V9" s="158"/>
    </row>
    <row r="10" spans="1:22" ht="15.75" customHeight="1" x14ac:dyDescent="0.2"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</row>
    <row r="11" spans="1:22" ht="9.9499999999999993" customHeight="1" x14ac:dyDescent="0.2">
      <c r="C11" s="177" t="s">
        <v>120</v>
      </c>
      <c r="D11" s="180" t="s">
        <v>27</v>
      </c>
      <c r="E11" s="153" t="s">
        <v>28</v>
      </c>
      <c r="F11" s="153" t="s">
        <v>29</v>
      </c>
      <c r="G11" s="153" t="s">
        <v>30</v>
      </c>
      <c r="H11" s="153" t="s">
        <v>121</v>
      </c>
      <c r="I11" s="153" t="s">
        <v>31</v>
      </c>
      <c r="J11" s="153" t="s">
        <v>32</v>
      </c>
      <c r="K11" s="153" t="s">
        <v>33</v>
      </c>
      <c r="L11" s="153" t="s">
        <v>34</v>
      </c>
      <c r="M11" s="153" t="s">
        <v>122</v>
      </c>
      <c r="N11" s="153">
        <v>2010</v>
      </c>
      <c r="O11" s="153">
        <v>2011</v>
      </c>
      <c r="P11" s="153">
        <v>2012</v>
      </c>
      <c r="Q11" s="153">
        <v>2013</v>
      </c>
      <c r="R11" s="153">
        <v>2014</v>
      </c>
      <c r="S11" s="153">
        <v>2015</v>
      </c>
      <c r="T11" s="153">
        <v>2016</v>
      </c>
      <c r="U11" s="153">
        <v>2017</v>
      </c>
      <c r="V11" s="153">
        <v>2018</v>
      </c>
    </row>
    <row r="12" spans="1:22" ht="9.9499999999999993" customHeight="1" thickBot="1" x14ac:dyDescent="0.25">
      <c r="C12" s="156"/>
      <c r="D12" s="181"/>
      <c r="E12" s="154"/>
      <c r="F12" s="154"/>
      <c r="G12" s="154"/>
      <c r="H12" s="154"/>
      <c r="I12" s="154"/>
      <c r="J12" s="154"/>
      <c r="K12" s="154"/>
      <c r="L12" s="154"/>
      <c r="M12" s="154"/>
      <c r="N12" s="154"/>
      <c r="O12" s="154"/>
      <c r="P12" s="154"/>
      <c r="Q12" s="154"/>
      <c r="R12" s="154"/>
      <c r="S12" s="154"/>
      <c r="T12" s="154"/>
      <c r="U12" s="154"/>
      <c r="V12" s="154"/>
    </row>
    <row r="13" spans="1:22" x14ac:dyDescent="0.2">
      <c r="C13" s="87" t="s">
        <v>123</v>
      </c>
      <c r="D13" s="56">
        <f>455.738188655*Deflactores!$A$5</f>
        <v>1654.5844410460111</v>
      </c>
      <c r="E13" s="56">
        <f>688.656358711*Deflactores!$B$5</f>
        <v>2322.5703856134428</v>
      </c>
      <c r="F13" s="56">
        <f>720.871962867*Deflactores!$C$5</f>
        <v>2272.3425402000607</v>
      </c>
      <c r="G13" s="56">
        <f>506.90501138*Deflactores!$D$5</f>
        <v>1500.4719056697552</v>
      </c>
      <c r="H13" s="56">
        <f>593.296833227*Deflactores!$E$5</f>
        <v>1664.6896316412387</v>
      </c>
      <c r="I13" s="56">
        <f>638.740973397*Deflactores!$F$5</f>
        <v>1709.2130120776349</v>
      </c>
      <c r="J13" s="56">
        <f>962.426747364*Deflactores!$G$5</f>
        <v>2464.9860345398133</v>
      </c>
      <c r="K13" s="56">
        <f>1356.724748*Deflactores!$H$5</f>
        <v>3287.6554493443541</v>
      </c>
      <c r="L13" s="56">
        <f>1821.104755*Deflactores!$I$5</f>
        <v>4098.426329858843</v>
      </c>
      <c r="M13" s="56">
        <f>1568.8600562*Deflactores!$J$5</f>
        <v>3461.453809668647</v>
      </c>
      <c r="N13" s="56">
        <f>1611.279520914*Deflactores!$K$5</f>
        <v>3445.7728653316026</v>
      </c>
      <c r="O13" s="56">
        <f>1683.930292593*Deflactores!$L$5</f>
        <v>3471.7573990322662</v>
      </c>
      <c r="P13" s="56">
        <f>2205.756639696*Deflactores!$M$5</f>
        <v>4439.2876382591048</v>
      </c>
      <c r="Q13" s="56">
        <f>3674.477554233*Deflactores!$N$5</f>
        <v>7254.4862164245451</v>
      </c>
      <c r="R13" s="56">
        <f>3358.734289103*Deflactores!$O$5</f>
        <v>6396.9875361979157</v>
      </c>
      <c r="S13" s="56">
        <f>3740.406298941*Deflactores!$P$5</f>
        <v>6672.2051878206839</v>
      </c>
      <c r="T13" s="56">
        <f>2540.32211847*Deflactores!$Q$5</f>
        <v>4285.0809180367669</v>
      </c>
      <c r="U13" s="56">
        <f>2789.005206724*Deflactores!$R$5</f>
        <v>4519.7098377335124</v>
      </c>
      <c r="V13" s="56">
        <f>2363.434131647*Deflactores!$S$5</f>
        <v>3712.0106096248942</v>
      </c>
    </row>
    <row r="14" spans="1:22" x14ac:dyDescent="0.2">
      <c r="C14" s="88" t="s">
        <v>124</v>
      </c>
      <c r="D14" s="57">
        <f>141.754085656*Deflactores!$A$5</f>
        <v>514.64658968633023</v>
      </c>
      <c r="E14" s="57">
        <f>158.782401862*Deflactores!$B$5</f>
        <v>535.51136159045723</v>
      </c>
      <c r="F14" s="57">
        <f>168.623796102*Deflactores!$C$5</f>
        <v>531.53825493320016</v>
      </c>
      <c r="G14" s="57">
        <f>202.204890327*Deflactores!$D$5</f>
        <v>598.53966781411918</v>
      </c>
      <c r="H14" s="57">
        <f>328.913985645*Deflactores!$E$5</f>
        <v>922.87649443012253</v>
      </c>
      <c r="I14" s="57">
        <f>304.415347659*Deflactores!$F$5</f>
        <v>814.5879080337445</v>
      </c>
      <c r="J14" s="57">
        <f>427.603708801*Deflactores!$G$5</f>
        <v>1095.1869047683958</v>
      </c>
      <c r="K14" s="57">
        <f>507.585384708*Deflactores!$H$5</f>
        <v>1229.9958842077572</v>
      </c>
      <c r="L14" s="57">
        <f>1453.038795815*Deflactores!$I$5</f>
        <v>3270.0878094596942</v>
      </c>
      <c r="M14" s="57">
        <f>1696.060434788*Deflactores!$J$5</f>
        <v>3742.1023183196935</v>
      </c>
      <c r="N14" s="57">
        <f>1888.831576732*Deflactores!$K$5</f>
        <v>4039.3268267896115</v>
      </c>
      <c r="O14" s="57">
        <f>1367.054614615*Deflactores!$L$5</f>
        <v>2818.4551308608952</v>
      </c>
      <c r="P14" s="57">
        <f>371.281383759*Deflactores!$M$5</f>
        <v>747.23785370276551</v>
      </c>
      <c r="Q14" s="57">
        <f>501.449179*Deflactores!$N$5</f>
        <v>990.00636242891403</v>
      </c>
      <c r="R14" s="57">
        <f>520.549805143*Deflactores!$O$5</f>
        <v>991.43020222636835</v>
      </c>
      <c r="S14" s="57">
        <f>643.464246784*Deflactores!$P$5</f>
        <v>1147.823295770002</v>
      </c>
      <c r="T14" s="57">
        <f>613.207957371*Deflactores!$Q$5</f>
        <v>1034.3750100878424</v>
      </c>
      <c r="U14" s="57">
        <f>638.954831541*Deflactores!$R$5</f>
        <v>1035.4553770716579</v>
      </c>
      <c r="V14" s="57">
        <f>591.536265093*Deflactores!$S$5</f>
        <v>929.06709884608745</v>
      </c>
    </row>
    <row r="15" spans="1:22" x14ac:dyDescent="0.2">
      <c r="C15" s="87" t="s">
        <v>125</v>
      </c>
      <c r="D15" s="56">
        <f>38.609903136*Deflactores!$A$5</f>
        <v>140.17553628247677</v>
      </c>
      <c r="E15" s="56">
        <f>67.628036761*Deflactores!$B$5</f>
        <v>228.08309751510168</v>
      </c>
      <c r="F15" s="56">
        <f>65.791099104*Deflactores!$C$5</f>
        <v>207.38760967475699</v>
      </c>
      <c r="G15" s="56">
        <f>45.520443106*Deflactores!$D$5</f>
        <v>134.74348148235009</v>
      </c>
      <c r="H15" s="56">
        <f>65.656223646*Deflactores!$E$5</f>
        <v>184.22015530023327</v>
      </c>
      <c r="I15" s="56">
        <f>57.36848938*Deflactores!$F$5</f>
        <v>153.51288333680921</v>
      </c>
      <c r="J15" s="56">
        <f>82.823859789*Deflactores!$G$5</f>
        <v>212.13007459086469</v>
      </c>
      <c r="K15" s="56">
        <f>79.906484652*Deflactores!$H$5</f>
        <v>193.6317518283368</v>
      </c>
      <c r="L15" s="56">
        <f>134.718664815*Deflactores!$I$5</f>
        <v>303.18658028061884</v>
      </c>
      <c r="M15" s="56">
        <f>187.005526702*Deflactores!$J$5</f>
        <v>412.59957526078404</v>
      </c>
      <c r="N15" s="56">
        <f>356.685774659*Deflactores!$K$5</f>
        <v>762.78395388068998</v>
      </c>
      <c r="O15" s="56">
        <f>379.576836664*Deflactores!$L$5</f>
        <v>782.57318428561052</v>
      </c>
      <c r="P15" s="56">
        <f>425.192068809*Deflactores!$M$5</f>
        <v>855.738054226033</v>
      </c>
      <c r="Q15" s="56">
        <f>430.150279571*Deflactores!$N$5</f>
        <v>849.24162090584673</v>
      </c>
      <c r="R15" s="56">
        <f>376.768072066*Deflactores!$O$5</f>
        <v>717.58598733548376</v>
      </c>
      <c r="S15" s="56">
        <f>354.686305279*Deflactores!$P$5</f>
        <v>632.69592044092099</v>
      </c>
      <c r="T15" s="56">
        <f>306.516490806*Deflactores!$Q$5</f>
        <v>517.0399282306189</v>
      </c>
      <c r="U15" s="56">
        <f>380.331423347*Deflactores!$R$5</f>
        <v>616.34437668180954</v>
      </c>
      <c r="V15" s="56">
        <f>334.7780418*Deflactores!$S$5</f>
        <v>525.80252878257693</v>
      </c>
    </row>
    <row r="16" spans="1:22" x14ac:dyDescent="0.2">
      <c r="C16" s="88" t="s">
        <v>126</v>
      </c>
      <c r="D16" s="57">
        <f>214.734864607*Deflactores!$A$5</f>
        <v>779.6076229148938</v>
      </c>
      <c r="E16" s="57">
        <f>256.846264677*Deflactores!$B$5</f>
        <v>866.24267742306063</v>
      </c>
      <c r="F16" s="57">
        <f>246.5010408359*Deflactores!$C$5</f>
        <v>777.02397949738565</v>
      </c>
      <c r="G16" s="57">
        <f>173.066511164*Deflactores!$D$5</f>
        <v>512.28816441744254</v>
      </c>
      <c r="H16" s="57">
        <f>155.500001214*Deflactores!$E$5</f>
        <v>436.30645782008463</v>
      </c>
      <c r="I16" s="57">
        <f>172.880426508*Deflactores!$F$5</f>
        <v>462.61236843710009</v>
      </c>
      <c r="J16" s="57">
        <f>261.330176922*Deflactores!$G$5</f>
        <v>669.32391299481912</v>
      </c>
      <c r="K16" s="57">
        <f>277.600862522*Deflactores!$H$5</f>
        <v>672.6906026874849</v>
      </c>
      <c r="L16" s="57">
        <f>231.294047117*Deflactores!$I$5</f>
        <v>520.53107326268264</v>
      </c>
      <c r="M16" s="57">
        <f>375.116215247*Deflactores!$J$5</f>
        <v>827.63752394858921</v>
      </c>
      <c r="N16" s="57">
        <f>347.961101417*Deflactores!$K$5</f>
        <v>744.12596069828123</v>
      </c>
      <c r="O16" s="57">
        <f>463.304158736*Deflactores!$L$5</f>
        <v>955.19372041066504</v>
      </c>
      <c r="P16" s="57">
        <f>640.802237458*Deflactores!$M$5</f>
        <v>1289.6733030839409</v>
      </c>
      <c r="Q16" s="57">
        <f>873.405035178*Deflactores!$N$5</f>
        <v>1724.3552846731641</v>
      </c>
      <c r="R16" s="57">
        <f>676.451146678*Deflactores!$O$5</f>
        <v>1288.3572148547692</v>
      </c>
      <c r="S16" s="57">
        <f>633.200714703*Deflactores!$P$5</f>
        <v>1129.5150194697505</v>
      </c>
      <c r="T16" s="57">
        <f>585.079948296*Deflactores!$Q$5</f>
        <v>986.92795836424375</v>
      </c>
      <c r="U16" s="57">
        <f>683.510776887*Deflactores!$R$5</f>
        <v>1107.6603138083578</v>
      </c>
      <c r="V16" s="57">
        <f>523.301240706*Deflactores!$S$5</f>
        <v>821.8971417565499</v>
      </c>
    </row>
    <row r="17" spans="3:22" x14ac:dyDescent="0.2">
      <c r="C17" s="87" t="s">
        <v>127</v>
      </c>
      <c r="D17" s="56">
        <f>194.10744778*Deflactores!$A$5</f>
        <v>704.71856645541504</v>
      </c>
      <c r="E17" s="56">
        <f>222.859320268*Deflactores!$B$5</f>
        <v>751.61791634543818</v>
      </c>
      <c r="F17" s="56">
        <f>196.468797251*Deflactores!$C$5</f>
        <v>619.31165146140745</v>
      </c>
      <c r="G17" s="56">
        <f>230.374907985*Deflactores!$D$5</f>
        <v>681.92475797722193</v>
      </c>
      <c r="H17" s="56">
        <f>230.193360479*Deflactores!$E$5</f>
        <v>645.88327292728013</v>
      </c>
      <c r="I17" s="56">
        <f>252.557433626*Deflactores!$F$5</f>
        <v>675.82082538830969</v>
      </c>
      <c r="J17" s="56">
        <f>301.754682913*Deflactores!$G$5</f>
        <v>772.85994105503971</v>
      </c>
      <c r="K17" s="56">
        <f>290.367705615*Deflactores!$H$5</f>
        <v>703.62759364862109</v>
      </c>
      <c r="L17" s="56">
        <f>321.209*Deflactores!$I$5</f>
        <v>722.88615982864155</v>
      </c>
      <c r="M17" s="56">
        <f>349.769350642*Deflactores!$J$5</f>
        <v>771.71347852248277</v>
      </c>
      <c r="N17" s="56">
        <f>379.682733535*Deflactores!$K$5</f>
        <v>811.9636870378007</v>
      </c>
      <c r="O17" s="56">
        <f>403.797018673*Deflactores!$L$5</f>
        <v>832.50790929502489</v>
      </c>
      <c r="P17" s="56">
        <f>427.242213704*Deflactores!$M$5</f>
        <v>859.86415894911249</v>
      </c>
      <c r="Q17" s="56">
        <f>467.87731726*Deflactores!$N$5</f>
        <v>923.72575391846738</v>
      </c>
      <c r="R17" s="56">
        <f>471.858594278*Deflactores!$O$5</f>
        <v>898.69375980032157</v>
      </c>
      <c r="S17" s="56">
        <f>476.201646874*Deflactores!$P$5</f>
        <v>849.4572099349291</v>
      </c>
      <c r="T17" s="56">
        <f>514.24660542*Deflactores!$Q$5</f>
        <v>867.44444731190811</v>
      </c>
      <c r="U17" s="56">
        <f>555.652081499*Deflactores!$R$5</f>
        <v>900.45948033852505</v>
      </c>
      <c r="V17" s="56">
        <f>587.450488892*Deflactores!$S$5</f>
        <v>922.64997708094813</v>
      </c>
    </row>
    <row r="18" spans="3:22" x14ac:dyDescent="0.2">
      <c r="C18" s="88" t="s">
        <v>128</v>
      </c>
      <c r="D18" s="57">
        <f>64.452734219*Deflactores!$A$5</f>
        <v>233.99946257819764</v>
      </c>
      <c r="E18" s="57">
        <f>67.700896713*Deflactores!$B$5</f>
        <v>228.32882583035192</v>
      </c>
      <c r="F18" s="57">
        <f>66.492568195*Deflactores!$C$5</f>
        <v>209.59879021474543</v>
      </c>
      <c r="G18" s="57">
        <f>66.093887351*Deflactores!$D$5</f>
        <v>195.64221872001391</v>
      </c>
      <c r="H18" s="57">
        <f>95.719740217*Deflactores!$E$5</f>
        <v>268.57325062051473</v>
      </c>
      <c r="I18" s="57">
        <f>104.982476796*Deflactores!$F$5</f>
        <v>280.92360260774274</v>
      </c>
      <c r="J18" s="57">
        <f>121.999896268*Deflactores!$G$5</f>
        <v>312.46849834503547</v>
      </c>
      <c r="K18" s="57">
        <f>142.160524984*Deflactores!$H$5</f>
        <v>344.4875796172193</v>
      </c>
      <c r="L18" s="57">
        <f>178.160154088*Deflactores!$I$5</f>
        <v>400.95236940170849</v>
      </c>
      <c r="M18" s="57">
        <f>190.016189859*Deflactores!$J$5</f>
        <v>419.24215081316856</v>
      </c>
      <c r="N18" s="57">
        <f>211.538376109*Deflactores!$K$5</f>
        <v>452.38159295863608</v>
      </c>
      <c r="O18" s="57">
        <f>232.782855763*Deflactores!$L$5</f>
        <v>479.92818076727048</v>
      </c>
      <c r="P18" s="57">
        <f>338.227629390999*Deflactores!$M$5</f>
        <v>680.71414001504752</v>
      </c>
      <c r="Q18" s="57">
        <f>404.618187454*Deflactores!$N$5</f>
        <v>798.8338533782204</v>
      </c>
      <c r="R18" s="57">
        <f>381.624068357*Deflactores!$O$5</f>
        <v>726.83463431840607</v>
      </c>
      <c r="S18" s="57">
        <f>424.032872088*Deflactores!$P$5</f>
        <v>756.39759502947129</v>
      </c>
      <c r="T18" s="57">
        <f>361.474432442*Deflactores!$Q$5</f>
        <v>609.74440270917046</v>
      </c>
      <c r="U18" s="57">
        <f>390.713544183*Deflactores!$R$5</f>
        <v>633.16907588490824</v>
      </c>
      <c r="V18" s="57">
        <f>390.440499395*Deflactores!$S$5</f>
        <v>613.2260073486791</v>
      </c>
    </row>
    <row r="19" spans="3:22" x14ac:dyDescent="0.2">
      <c r="C19" s="87" t="s">
        <v>129</v>
      </c>
      <c r="D19" s="56">
        <f>5980.370545903*Deflactores!$A$5</f>
        <v>21712.088877484028</v>
      </c>
      <c r="E19" s="56">
        <f>7061.971897664*Deflactores!$B$5</f>
        <v>23817.287949318084</v>
      </c>
      <c r="F19" s="56">
        <f>7951.35409901*Deflactores!$C$5</f>
        <v>25064.368018302455</v>
      </c>
      <c r="G19" s="56">
        <f>8936.93231553879*Deflactores!$D$5</f>
        <v>26453.902725940152</v>
      </c>
      <c r="H19" s="56">
        <f>10165.2618684976*Deflactores!$E$5</f>
        <v>28521.989479305899</v>
      </c>
      <c r="I19" s="56">
        <f>10926.169855527*Deflactores!$F$5</f>
        <v>29237.44125872742</v>
      </c>
      <c r="J19" s="56">
        <f>12211.9767889266*Deflactores!$G$5</f>
        <v>31277.551586420526</v>
      </c>
      <c r="K19" s="56">
        <f>13648.2202567938*Deflactores!$H$5</f>
        <v>33072.770115858562</v>
      </c>
      <c r="L19" s="56">
        <f>17387.4611230924*Deflactores!$I$5</f>
        <v>39130.768441862041</v>
      </c>
      <c r="M19" s="56">
        <f>19036.6297614989*Deflactores!$J$5</f>
        <v>42001.46109322043</v>
      </c>
      <c r="N19" s="56">
        <f>19295.46598281*Deflactores!$K$5</f>
        <v>41263.972044887916</v>
      </c>
      <c r="O19" s="56">
        <f>20063.499561601*Deflactores!$L$5</f>
        <v>41364.896967444962</v>
      </c>
      <c r="P19" s="56">
        <f>21903.797645106*Deflactores!$M$5</f>
        <v>44083.402659619467</v>
      </c>
      <c r="Q19" s="56">
        <f>24346.843120402*Deflactores!$N$5</f>
        <v>48067.741664916786</v>
      </c>
      <c r="R19" s="56">
        <f>25061.1486111133*Deflactores!$O$5</f>
        <v>47731.032439279457</v>
      </c>
      <c r="S19" s="56">
        <f>25095.3540820923*Deflactores!$P$5</f>
        <v>44765.551738093251</v>
      </c>
      <c r="T19" s="56">
        <f>26673.2747837519*Deflactores!$Q$5</f>
        <v>44993.16837277553</v>
      </c>
      <c r="U19" s="56">
        <f>27779.9102264464*Deflactores!$R$5</f>
        <v>45018.608512855579</v>
      </c>
      <c r="V19" s="56">
        <f>29378.099361864*Deflactores!$S$5</f>
        <v>46141.254821372517</v>
      </c>
    </row>
    <row r="20" spans="3:22" x14ac:dyDescent="0.2">
      <c r="C20" s="88" t="s">
        <v>130</v>
      </c>
      <c r="D20" s="57">
        <f>30.973297078*Deflactores!$A$5</f>
        <v>112.45038644753571</v>
      </c>
      <c r="E20" s="57">
        <f>65.154537301*Deflactores!$B$5</f>
        <v>219.74094468087841</v>
      </c>
      <c r="F20" s="57">
        <f>22.081202718*Deflactores!$C$5</f>
        <v>69.604671647009297</v>
      </c>
      <c r="G20" s="57">
        <f>25.806357975*Deflactores!$D$5</f>
        <v>76.388503289261237</v>
      </c>
      <c r="H20" s="57">
        <f>74.551895187*Deflactores!$E$5</f>
        <v>209.17989105382506</v>
      </c>
      <c r="I20" s="57">
        <f>59.030885363*Deflactores!$F$5</f>
        <v>157.96130447105696</v>
      </c>
      <c r="J20" s="57">
        <f>79.789790708*Deflactores!$G$5</f>
        <v>204.35915806866893</v>
      </c>
      <c r="K20" s="57">
        <f>67.887271097*Deflactores!$H$5</f>
        <v>164.50643882790698</v>
      </c>
      <c r="L20" s="57">
        <f>137.078682211*Deflactores!$I$5</f>
        <v>308.49783841013334</v>
      </c>
      <c r="M20" s="57">
        <f>127.739831448*Deflactores!$J$5</f>
        <v>281.83873027088066</v>
      </c>
      <c r="N20" s="57">
        <f>139.148157274*Deflactores!$K$5</f>
        <v>297.57279129549289</v>
      </c>
      <c r="O20" s="57">
        <f>169.170921184*Deflactores!$L$5</f>
        <v>348.77951890589901</v>
      </c>
      <c r="P20" s="57">
        <f>331.976815894*Deflactores!$M$5</f>
        <v>668.13380427587219</v>
      </c>
      <c r="Q20" s="57">
        <f>388.716914916*Deflactores!$N$5</f>
        <v>767.44012168495112</v>
      </c>
      <c r="R20" s="57">
        <f>352.960951687*Deflactores!$O$5</f>
        <v>672.24335549011118</v>
      </c>
      <c r="S20" s="57">
        <f>436.371406503*Deflactores!$P$5</f>
        <v>778.40729845585452</v>
      </c>
      <c r="T20" s="57">
        <f>408.787614975999*Deflactores!$Q$5</f>
        <v>689.5535002145441</v>
      </c>
      <c r="U20" s="57">
        <f>590.46427808*Deflactores!$R$5</f>
        <v>956.87422885922547</v>
      </c>
      <c r="V20" s="57">
        <f>569.193689811*Deflactores!$S$5</f>
        <v>893.97584100962229</v>
      </c>
    </row>
    <row r="21" spans="3:22" x14ac:dyDescent="0.2">
      <c r="C21" s="87" t="s">
        <v>131</v>
      </c>
      <c r="D21" s="56">
        <f>5086.576529057*Deflactores!$A$5</f>
        <v>18467.116850588729</v>
      </c>
      <c r="E21" s="56">
        <f>7595.5141733525*Deflactores!$B$5</f>
        <v>25616.71878780824</v>
      </c>
      <c r="F21" s="56">
        <f>8542.71265028*Deflactores!$C$5</f>
        <v>26928.4565968311</v>
      </c>
      <c r="G21" s="56">
        <f>9954.541638656*Deflactores!$D$5</f>
        <v>29466.092714214614</v>
      </c>
      <c r="H21" s="56">
        <f>11352.893065047*Deflactores!$E$5</f>
        <v>31854.279874918095</v>
      </c>
      <c r="I21" s="56">
        <f>12417.362844538*Deflactores!$F$5</f>
        <v>33227.738682081217</v>
      </c>
      <c r="J21" s="56">
        <f>13338.713873*Deflactores!$G$5</f>
        <v>34163.3724392242</v>
      </c>
      <c r="K21" s="56">
        <f>14313.604549264*Deflactores!$H$5</f>
        <v>34685.148970355425</v>
      </c>
      <c r="L21" s="56">
        <f>16223.97909579*Deflactores!$I$5</f>
        <v>36512.332922476613</v>
      </c>
      <c r="M21" s="56">
        <f>18797.361569996*Deflactores!$J$5</f>
        <v>41473.551806641801</v>
      </c>
      <c r="N21" s="56">
        <f>20847.124970238*Deflactores!$K$5</f>
        <v>44582.244489692785</v>
      </c>
      <c r="O21" s="56">
        <f>21759.051058952*Deflactores!$L$5</f>
        <v>44860.613792696786</v>
      </c>
      <c r="P21" s="56">
        <f>23358.473296529*Deflactores!$M$5</f>
        <v>47011.070889569186</v>
      </c>
      <c r="Q21" s="56">
        <f>25250.242525133*Deflactores!$N$5</f>
        <v>49851.314549175469</v>
      </c>
      <c r="R21" s="56">
        <f>26913.596242172*Deflactores!$O$5</f>
        <v>51259.172323934217</v>
      </c>
      <c r="S21" s="56">
        <f>29042.756408198*Deflactores!$P$5</f>
        <v>51807.000226220007</v>
      </c>
      <c r="T21" s="56">
        <f>31586.97004403*Deflactores!$Q$5</f>
        <v>53281.716365872904</v>
      </c>
      <c r="U21" s="56">
        <f>35566.568035739*Deflactores!$R$5</f>
        <v>57637.241787141531</v>
      </c>
      <c r="V21" s="56">
        <f>38219.982019598*Deflactores!$S$5</f>
        <v>60028.319324285054</v>
      </c>
    </row>
    <row r="22" spans="3:22" x14ac:dyDescent="0.2">
      <c r="C22" s="88" t="s">
        <v>132</v>
      </c>
      <c r="D22" s="57">
        <f>7.672202772*Deflactores!$A$5</f>
        <v>27.854385809899817</v>
      </c>
      <c r="E22" s="57">
        <f>7.746850265*Deflactores!$B$5</f>
        <v>26.127116637605006</v>
      </c>
      <c r="F22" s="57">
        <f>7.252446*Deflactores!$C$5</f>
        <v>22.861260272573979</v>
      </c>
      <c r="G22" s="57">
        <f>7.789121*Deflactores!$D$5</f>
        <v>23.056306345334022</v>
      </c>
      <c r="H22" s="57">
        <f>9.3371408*Deflactores!$E$5</f>
        <v>26.198423130614181</v>
      </c>
      <c r="I22" s="57">
        <f>15.84961325*Deflactores!$F$5</f>
        <v>42.412130005100643</v>
      </c>
      <c r="J22" s="57">
        <f>10.4826395*Deflactores!$G$5</f>
        <v>26.848339412207352</v>
      </c>
      <c r="K22" s="57">
        <f>12.935244057*Deflactores!$H$5</f>
        <v>31.3450651469912</v>
      </c>
      <c r="L22" s="57">
        <f>13.375459135*Deflactores!$I$5</f>
        <v>30.101691702427622</v>
      </c>
      <c r="M22" s="57">
        <f>12.74252132*Deflactores!$J$5</f>
        <v>28.114457241478181</v>
      </c>
      <c r="N22" s="57">
        <f>17.406935529*Deflactores!$K$5</f>
        <v>37.225289179112067</v>
      </c>
      <c r="O22" s="57">
        <f>18.3252*Deflactores!$L$5</f>
        <v>37.781046500909383</v>
      </c>
      <c r="P22" s="57">
        <f>26.653168342*Deflactores!$M$5</f>
        <v>53.641946990755365</v>
      </c>
      <c r="Q22" s="57">
        <f>25.337871*Deflactores!$N$5</f>
        <v>50.024318616748737</v>
      </c>
      <c r="R22" s="57">
        <f>29.725475093*Deflactores!$O$5</f>
        <v>56.614628401660767</v>
      </c>
      <c r="S22" s="57">
        <f>29.4370307*Deflactores!$P$5</f>
        <v>52.510313921293836</v>
      </c>
      <c r="T22" s="57">
        <f>37.025740029*Deflactores!$Q$5</f>
        <v>62.455973957356093</v>
      </c>
      <c r="U22" s="57">
        <f>44.390362981*Deflactores!$R$5</f>
        <v>71.936602980190031</v>
      </c>
      <c r="V22" s="57">
        <f>47.022288195*Deflactores!$S$5</f>
        <v>73.853224987930247</v>
      </c>
    </row>
    <row r="23" spans="3:22" x14ac:dyDescent="0.2">
      <c r="C23" s="87" t="s">
        <v>133</v>
      </c>
      <c r="D23" s="56">
        <f>646.73614742*Deflactores!$A$5</f>
        <v>2348.0138237729207</v>
      </c>
      <c r="E23" s="56">
        <f>671.89234715926*Deflactores!$B$5</f>
        <v>2266.031886721149</v>
      </c>
      <c r="F23" s="56">
        <f>704.291536403*Deflactores!$C$5</f>
        <v>2220.0774913015543</v>
      </c>
      <c r="G23" s="56">
        <f>736.324701127*Deflactores!$D$5</f>
        <v>2179.5691553412289</v>
      </c>
      <c r="H23" s="56">
        <f>790.249672665*Deflactores!$E$5</f>
        <v>2217.3056770555527</v>
      </c>
      <c r="I23" s="56">
        <f>872.18742914984*Deflactores!$F$5</f>
        <v>2333.894591018965</v>
      </c>
      <c r="J23" s="56">
        <f>960.335895626839*Deflactores!$G$5</f>
        <v>2459.6309045556236</v>
      </c>
      <c r="K23" s="56">
        <f>1102.68951795731*Deflactores!$H$5</f>
        <v>2672.0697827554104</v>
      </c>
      <c r="L23" s="56">
        <f>1285.310836764*Deflactores!$I$5</f>
        <v>2892.6132672947083</v>
      </c>
      <c r="M23" s="56">
        <f>1476.083018265*Deflactores!$J$5</f>
        <v>3256.7552260437105</v>
      </c>
      <c r="N23" s="56">
        <f>1622.376020744*Deflactores!$K$5</f>
        <v>3469.5030856429003</v>
      </c>
      <c r="O23" s="56">
        <f>1719.263298757*Deflactores!$L$5</f>
        <v>3544.6034224807959</v>
      </c>
      <c r="P23" s="56">
        <f>2042.359144413*Deflactores!$M$5</f>
        <v>4110.4351856003677</v>
      </c>
      <c r="Q23" s="56">
        <f>2281.172278269*Deflactores!$N$5</f>
        <v>4503.696812878361</v>
      </c>
      <c r="R23" s="56">
        <f>2691.94951866*Deflactores!$O$5</f>
        <v>5127.0407351993772</v>
      </c>
      <c r="S23" s="56">
        <f>3010.325122613*Deflactores!$P$5</f>
        <v>5369.8730284493668</v>
      </c>
      <c r="T23" s="56">
        <f>3237.826559844*Deflactores!$Q$5</f>
        <v>5461.6494131289446</v>
      </c>
      <c r="U23" s="56">
        <f>3431.213745381*Deflactores!$R$5</f>
        <v>5560.4379952309055</v>
      </c>
      <c r="V23" s="56">
        <f>3718.060736557*Deflactores!$S$5</f>
        <v>5839.5877069404651</v>
      </c>
    </row>
    <row r="24" spans="3:22" x14ac:dyDescent="0.2">
      <c r="C24" s="88" t="s">
        <v>134</v>
      </c>
      <c r="D24" s="57">
        <f>7234.51836845699*Deflactores!$A$5</f>
        <v>26265.346703196854</v>
      </c>
      <c r="E24" s="57">
        <f>7119.861887615*Deflactores!$B$5</f>
        <v>24012.528397740454</v>
      </c>
      <c r="F24" s="57">
        <f>6354.59280074399*Deflactores!$C$5</f>
        <v>20031.035038941784</v>
      </c>
      <c r="G24" s="57">
        <f>5234.882392391*Deflactores!$D$5</f>
        <v>15495.593420716146</v>
      </c>
      <c r="H24" s="57">
        <f>6320.879682256*Deflactores!$E$5</f>
        <v>17735.309343674544</v>
      </c>
      <c r="I24" s="57">
        <f>7426.990659626*Deflactores!$F$5</f>
        <v>19873.954552343799</v>
      </c>
      <c r="J24" s="57">
        <f>6368.520120154*Deflactores!$G$5</f>
        <v>16311.177136194197</v>
      </c>
      <c r="K24" s="57">
        <f>7614.26300196818*Deflactores!$H$5</f>
        <v>18451.106820350997</v>
      </c>
      <c r="L24" s="57">
        <f>8119.203871584*Deflactores!$I$5</f>
        <v>18272.402415857578</v>
      </c>
      <c r="M24" s="57">
        <f>8548.377456691*Deflactores!$J$5</f>
        <v>18860.709466731747</v>
      </c>
      <c r="N24" s="57">
        <f>9324.200849585*Deflactores!$K$5</f>
        <v>19940.102174312138</v>
      </c>
      <c r="O24" s="57">
        <f>8391.939204828*Deflactores!$L$5</f>
        <v>17301.652660293541</v>
      </c>
      <c r="P24" s="57">
        <f>10022.891743639*Deflactores!$M$5</f>
        <v>20171.989337535502</v>
      </c>
      <c r="Q24" s="57">
        <f>14136.966373534*Deflactores!$N$5</f>
        <v>27910.478751112423</v>
      </c>
      <c r="R24" s="57">
        <f>17244.513129212*Deflactores!$O$5</f>
        <v>32843.602994517081</v>
      </c>
      <c r="S24" s="57">
        <f>17969.9765381118*Deflactores!$P$5</f>
        <v>32055.172914384184</v>
      </c>
      <c r="T24" s="57">
        <f>18457.1193863881*Deflactores!$Q$5</f>
        <v>31133.945380191813</v>
      </c>
      <c r="U24" s="57">
        <f>20972.0340867374*Deflactores!$R$5</f>
        <v>33986.135468871413</v>
      </c>
      <c r="V24" s="57">
        <f>12719.880092147*Deflactores!$S$5</f>
        <v>19977.848852636576</v>
      </c>
    </row>
    <row r="25" spans="3:22" ht="15" customHeight="1" x14ac:dyDescent="0.2">
      <c r="C25" s="87" t="s">
        <v>135</v>
      </c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</row>
    <row r="26" spans="3:22" x14ac:dyDescent="0.2">
      <c r="C26" s="88" t="s">
        <v>136</v>
      </c>
      <c r="D26" s="57">
        <f>91.182823985*Deflactores!$A$5</f>
        <v>331.04463398486109</v>
      </c>
      <c r="E26" s="57">
        <f>162.685666155*Deflactores!$B$5</f>
        <v>548.67555580644159</v>
      </c>
      <c r="F26" s="57">
        <f>128.090876663*Deflactores!$C$5</f>
        <v>403.76982743959968</v>
      </c>
      <c r="G26" s="57">
        <f>104.693809457*Deflactores!$D$5</f>
        <v>309.90050652706771</v>
      </c>
      <c r="H26" s="57">
        <f>231.810342181*Deflactores!$E$5</f>
        <v>650.42024754626163</v>
      </c>
      <c r="I26" s="57">
        <f>454.46985359612*Deflactores!$F$5</f>
        <v>1216.1201797222211</v>
      </c>
      <c r="J26" s="57">
        <f>1249.823854169*Deflactores!$G$5</f>
        <v>3201.0730734565909</v>
      </c>
      <c r="K26" s="57">
        <f>1549.896292854*Deflactores!$H$5</f>
        <v>3755.7544377601826</v>
      </c>
      <c r="L26" s="57">
        <f>2180.114027916*Deflactores!$I$5</f>
        <v>4906.3826282225873</v>
      </c>
      <c r="M26" s="57">
        <f>2263.124104898*Deflactores!$J$5</f>
        <v>4993.2430389147985</v>
      </c>
      <c r="N26" s="57">
        <f>3291.944583281*Deflactores!$K$5</f>
        <v>7039.9289335040557</v>
      </c>
      <c r="O26" s="57">
        <f>3468.980784916*Deflactores!$L$5</f>
        <v>7151.9942126510241</v>
      </c>
      <c r="P26" s="57">
        <f>5554.646999644*Deflactores!$M$5</f>
        <v>11179.236782808062</v>
      </c>
      <c r="Q26" s="57">
        <f>5829.552039526*Deflactores!$N$5</f>
        <v>11509.229351517577</v>
      </c>
      <c r="R26" s="57">
        <f>8344.296453324*Deflactores!$O$5</f>
        <v>15892.403451929384</v>
      </c>
      <c r="S26" s="57">
        <f>9309.648493139*Deflactores!$P$5</f>
        <v>16606.721304660292</v>
      </c>
      <c r="T26" s="57">
        <f>8186.705893235*Deflactores!$Q$5</f>
        <v>13809.546808894082</v>
      </c>
      <c r="U26" s="57">
        <f>8555.195645408*Deflactores!$R$5</f>
        <v>13864.083806320383</v>
      </c>
      <c r="V26" s="57">
        <f>8277.382626071*Deflactores!$S$5</f>
        <v>13000.460523301557</v>
      </c>
    </row>
    <row r="27" spans="3:22" x14ac:dyDescent="0.2">
      <c r="C27" s="87" t="s">
        <v>137</v>
      </c>
      <c r="D27" s="56">
        <f>76.071230251*Deflactores!$A$5</f>
        <v>276.18109940708905</v>
      </c>
      <c r="E27" s="56">
        <f>58.400400412*Deflactores!$B$5</f>
        <v>196.96186463559582</v>
      </c>
      <c r="F27" s="56">
        <f>72.857063007*Deflactores!$C$5</f>
        <v>229.66103851009001</v>
      </c>
      <c r="G27" s="56">
        <f>56.391566805*Deflactores!$D$5</f>
        <v>166.92271689571248</v>
      </c>
      <c r="H27" s="56">
        <f>89.082159091*Deflactores!$E$5</f>
        <v>249.94933109016699</v>
      </c>
      <c r="I27" s="56">
        <f>180.703583026*Deflactores!$F$5</f>
        <v>483.54642695689807</v>
      </c>
      <c r="J27" s="56">
        <f>82.515872902*Deflactores!$G$5</f>
        <v>211.341252607939</v>
      </c>
      <c r="K27" s="56">
        <f>126.938769178*Deflactores!$H$5</f>
        <v>307.60177171996042</v>
      </c>
      <c r="L27" s="56">
        <f>135.3266*Deflactores!$I$5</f>
        <v>304.55474845557461</v>
      </c>
      <c r="M27" s="56">
        <f>136.3426667*Deflactores!$J$5</f>
        <v>300.81959267432177</v>
      </c>
      <c r="N27" s="56">
        <f>174.264923866*Deflactores!$K$5</f>
        <v>372.6711214550279</v>
      </c>
      <c r="O27" s="56">
        <f>190.670379922*Deflactores!$L$5</f>
        <v>393.10493147027813</v>
      </c>
      <c r="P27" s="56">
        <f>276.486746913*Deflactores!$M$5</f>
        <v>556.45494866673812</v>
      </c>
      <c r="Q27" s="56">
        <f>370.18965182*Deflactores!$N$5</f>
        <v>730.86192171658615</v>
      </c>
      <c r="R27" s="56">
        <f>530.582507676*Deflactores!$O$5</f>
        <v>1010.5383148467097</v>
      </c>
      <c r="S27" s="56">
        <f>338.694615593*Deflactores!$P$5</f>
        <v>604.16965180663999</v>
      </c>
      <c r="T27" s="56">
        <f>296.777691877*Deflactores!$Q$5</f>
        <v>500.61227082771086</v>
      </c>
      <c r="U27" s="56">
        <f>329.132528071*Deflactores!$R$5</f>
        <v>533.37423732813113</v>
      </c>
      <c r="V27" s="56">
        <f>565.309800139*Deflactores!$S$5</f>
        <v>887.87580230914466</v>
      </c>
    </row>
    <row r="28" spans="3:22" x14ac:dyDescent="0.2">
      <c r="C28" s="88" t="s">
        <v>138</v>
      </c>
      <c r="D28" s="57">
        <f>149.781385021*Deflactores!$A$5</f>
        <v>543.79017467345989</v>
      </c>
      <c r="E28" s="57">
        <f>173.959276*Deflactores!$B$5</f>
        <v>586.69706251839136</v>
      </c>
      <c r="F28" s="57">
        <f>174.930272999*Deflactores!$C$5</f>
        <v>551.41761835697355</v>
      </c>
      <c r="G28" s="57">
        <f>209.766890443*Deflactores!$D$5</f>
        <v>620.92368152477377</v>
      </c>
      <c r="H28" s="57">
        <f>193.76040943*Deflactores!$E$5</f>
        <v>543.6586317953122</v>
      </c>
      <c r="I28" s="57">
        <f>230.00198296728*Deflactores!$F$5</f>
        <v>615.46448163580408</v>
      </c>
      <c r="J28" s="57">
        <f>245.736133*Deflactores!$G$5</f>
        <v>629.38414553198436</v>
      </c>
      <c r="K28" s="57">
        <f>239.609713421*Deflactores!$H$5</f>
        <v>580.629328981909</v>
      </c>
      <c r="L28" s="57">
        <f>314.187564*Deflactores!$I$5</f>
        <v>707.08430213934093</v>
      </c>
      <c r="M28" s="57">
        <f>286.990575452*Deflactores!$J$5</f>
        <v>633.2015509040931</v>
      </c>
      <c r="N28" s="57">
        <f>297.409150286*Deflactores!$K$5</f>
        <v>636.01899400763568</v>
      </c>
      <c r="O28" s="57">
        <f>285.181654793*Deflactores!$L$5</f>
        <v>587.95873228890389</v>
      </c>
      <c r="P28" s="57">
        <f>190.63747*Deflactores!$M$5</f>
        <v>383.67540132470288</v>
      </c>
      <c r="Q28" s="57">
        <f>201.063256*Deflactores!$N$5</f>
        <v>396.95728107009921</v>
      </c>
      <c r="R28" s="57">
        <f>111.635045*Deflactores!$O$5</f>
        <v>212.61818589960924</v>
      </c>
      <c r="S28" s="57">
        <f>81.952073188*Deflactores!$P$5</f>
        <v>146.18760748864278</v>
      </c>
      <c r="T28" s="57">
        <f>94.3245*Deflactores!$Q$5</f>
        <v>159.10900122256771</v>
      </c>
      <c r="U28" s="57">
        <f>93.594885526*Deflactores!$R$5</f>
        <v>151.67477057896591</v>
      </c>
      <c r="V28" s="57">
        <f>95.960207596*Deflactores!$S$5</f>
        <v>150.71514112810564</v>
      </c>
    </row>
    <row r="29" spans="3:22" x14ac:dyDescent="0.2">
      <c r="C29" s="87" t="s">
        <v>139</v>
      </c>
      <c r="D29" s="56">
        <f>432.17962913*Deflactores!$A$5</f>
        <v>1569.0536977072531</v>
      </c>
      <c r="E29" s="56">
        <f>571.668439857*Deflactores!$B$5</f>
        <v>1928.0155799140803</v>
      </c>
      <c r="F29" s="56">
        <f>581.434288091*Deflactores!$C$5</f>
        <v>1832.8051793073828</v>
      </c>
      <c r="G29" s="56">
        <f>571.368085070099*Deflactores!$D$5</f>
        <v>1691.2868095543868</v>
      </c>
      <c r="H29" s="56">
        <f>714.218444231199*Deflactores!$E$5</f>
        <v>2003.9750294499061</v>
      </c>
      <c r="I29" s="56">
        <f>804.7403826326*Deflactores!$F$5</f>
        <v>2153.4124013132159</v>
      </c>
      <c r="J29" s="56">
        <f>1044.15154066725*Deflactores!$G$5</f>
        <v>2674.3011587504807</v>
      </c>
      <c r="K29" s="56">
        <f>1180.40220830616*Deflactores!$H$5</f>
        <v>2860.3854674845629</v>
      </c>
      <c r="L29" s="56">
        <f>1331.166112654*Deflactores!$I$5</f>
        <v>2995.8113230652657</v>
      </c>
      <c r="M29" s="56">
        <f>1435.549252105*Deflactores!$J$5</f>
        <v>3167.3235659410307</v>
      </c>
      <c r="N29" s="56">
        <f>2246.12635298361*Deflactores!$K$5</f>
        <v>4803.4131500826361</v>
      </c>
      <c r="O29" s="56">
        <f>5722.87623010599*Deflactores!$L$5</f>
        <v>11798.848196395313</v>
      </c>
      <c r="P29" s="56">
        <f>1822.3850881899*Deflactores!$M$5</f>
        <v>3667.7172125679908</v>
      </c>
      <c r="Q29" s="56">
        <f>2325.748264452*Deflactores!$N$5</f>
        <v>4591.7027600028923</v>
      </c>
      <c r="R29" s="56">
        <f>2585.22459470939*Deflactores!$O$5</f>
        <v>4923.7742813662417</v>
      </c>
      <c r="S29" s="56">
        <f>2621.572769596*Deflactores!$P$5</f>
        <v>4676.4094688056184</v>
      </c>
      <c r="T29" s="56">
        <f>2700.396804022*Deflactores!$Q$5</f>
        <v>4555.0990293354789</v>
      </c>
      <c r="U29" s="56">
        <f>3141.835354383*Deflactores!$R$5</f>
        <v>5091.4871458499401</v>
      </c>
      <c r="V29" s="56">
        <f>3360.823951666*Deflactores!$S$5</f>
        <v>5278.5114671133006</v>
      </c>
    </row>
    <row r="30" spans="3:22" x14ac:dyDescent="0.2">
      <c r="C30" s="88" t="s">
        <v>140</v>
      </c>
      <c r="D30" s="57">
        <f>352.653071828*Deflactores!$A$5</f>
        <v>1280.3278291330626</v>
      </c>
      <c r="E30" s="57">
        <f>590.909632494*Deflactores!$B$5</f>
        <v>1992.908648332452</v>
      </c>
      <c r="F30" s="57">
        <f>405.551549983*Deflactores!$C$5</f>
        <v>1278.3851873019335</v>
      </c>
      <c r="G30" s="57">
        <f>414.015057010999*Deflactores!$D$5</f>
        <v>1225.5115803216465</v>
      </c>
      <c r="H30" s="57">
        <f>732.529757511*Deflactores!$E$5</f>
        <v>2055.3534485674008</v>
      </c>
      <c r="I30" s="57">
        <f>747.133756925*Deflactores!$F$5</f>
        <v>1999.2622867250316</v>
      </c>
      <c r="J30" s="57">
        <f>809.970841096*Deflactores!$G$5</f>
        <v>2074.5130132288223</v>
      </c>
      <c r="K30" s="57">
        <f>3882.696086*Deflactores!$H$5</f>
        <v>9408.6637426664638</v>
      </c>
      <c r="L30" s="57">
        <f>1531.26240347199*Deflactores!$I$5</f>
        <v>3446.1313304914956</v>
      </c>
      <c r="M30" s="57">
        <f>6918.246079655*Deflactores!$J$5</f>
        <v>15264.069700805851</v>
      </c>
      <c r="N30" s="57">
        <f>1159.51773373*Deflactores!$K$5</f>
        <v>2479.6658133476517</v>
      </c>
      <c r="O30" s="57">
        <f>1728.4385*Deflactores!$L$5</f>
        <v>3563.5199257013328</v>
      </c>
      <c r="P30" s="57">
        <f>2116.767573931*Deflactores!$M$5</f>
        <v>4260.1889777444803</v>
      </c>
      <c r="Q30" s="57">
        <f>2762.641484229*Deflactores!$N$5</f>
        <v>5454.2569038621723</v>
      </c>
      <c r="R30" s="57">
        <f>2387.48223166063*Deflactores!$O$5</f>
        <v>4547.1575790848992</v>
      </c>
      <c r="S30" s="57">
        <f>2592.038946229*Deflactores!$P$5</f>
        <v>4623.7264943540813</v>
      </c>
      <c r="T30" s="57">
        <f>2600.625824584*Deflactores!$Q$5</f>
        <v>4386.8027660170665</v>
      </c>
      <c r="U30" s="57">
        <f>3195.784764311*Deflactores!$R$5</f>
        <v>5178.9146193460947</v>
      </c>
      <c r="V30" s="57">
        <f>3480.9694466609*Deflactores!$S$5</f>
        <v>5467.2120304790806</v>
      </c>
    </row>
    <row r="31" spans="3:22" x14ac:dyDescent="0.2">
      <c r="C31" s="87" t="s">
        <v>141</v>
      </c>
      <c r="D31" s="56">
        <f>372.13503704*Deflactores!$A$5</f>
        <v>1351.0582557754012</v>
      </c>
      <c r="E31" s="56">
        <f>378.040739369*Deflactores!$B$5</f>
        <v>1274.9845619044372</v>
      </c>
      <c r="F31" s="56">
        <f>404.132300597*Deflactores!$C$5</f>
        <v>1273.9114098198208</v>
      </c>
      <c r="G31" s="56">
        <f>412.286651629*Deflactores!$D$5</f>
        <v>1220.395387624641</v>
      </c>
      <c r="H31" s="56">
        <f>473.038298237*Deflactores!$E$5</f>
        <v>1327.2647119339349</v>
      </c>
      <c r="I31" s="56">
        <f>495.70422640755*Deflactores!$F$5</f>
        <v>1326.459627932868</v>
      </c>
      <c r="J31" s="56">
        <f>547.903139651*Deflactores!$G$5</f>
        <v>1403.300138134493</v>
      </c>
      <c r="K31" s="56">
        <f>625.505921961*Deflactores!$H$5</f>
        <v>1515.7444101788035</v>
      </c>
      <c r="L31" s="56">
        <f>715.440243308*Deflactores!$I$5</f>
        <v>1610.1100843120496</v>
      </c>
      <c r="M31" s="56">
        <f>821.265362801*Deflactores!$J$5</f>
        <v>1811.9985320437181</v>
      </c>
      <c r="N31" s="56">
        <f>959.262245955*Deflactores!$K$5</f>
        <v>2051.4130384862074</v>
      </c>
      <c r="O31" s="56">
        <f>973.929877006*Deflactores!$L$5</f>
        <v>2007.9502527551483</v>
      </c>
      <c r="P31" s="56">
        <f>1159.416188065*Deflactores!$M$5</f>
        <v>2333.4314668474985</v>
      </c>
      <c r="Q31" s="56">
        <f>1292.092646431*Deflactores!$N$5</f>
        <v>2550.9662681376194</v>
      </c>
      <c r="R31" s="56">
        <f>1375.546842327*Deflactores!$O$5</f>
        <v>2619.8428480545922</v>
      </c>
      <c r="S31" s="56">
        <f>1522.982163375*Deflactores!$P$5</f>
        <v>2716.7234464090316</v>
      </c>
      <c r="T31" s="56">
        <f>1543.757187823*Deflactores!$Q$5</f>
        <v>2604.0494705477095</v>
      </c>
      <c r="U31" s="56">
        <f>1756.437004832*Deflactores!$R$5</f>
        <v>2846.386084529091</v>
      </c>
      <c r="V31" s="56">
        <f>1865.28031351*Deflactores!$S$5</f>
        <v>2929.6100199959888</v>
      </c>
    </row>
    <row r="32" spans="3:22" x14ac:dyDescent="0.2">
      <c r="C32" s="88" t="s">
        <v>142</v>
      </c>
      <c r="D32" s="57">
        <f>488.244205807*Deflactores!$A$5</f>
        <v>1772.5994583497052</v>
      </c>
      <c r="E32" s="57">
        <f>1075.06053548*Deflactores!$B$5</f>
        <v>3625.7615730452044</v>
      </c>
      <c r="F32" s="57">
        <f>874.109345131*Deflactores!$C$5</f>
        <v>2755.379529296597</v>
      </c>
      <c r="G32" s="57">
        <f>408.708437145*Deflactores!$D$5</f>
        <v>1209.8036392986853</v>
      </c>
      <c r="H32" s="57">
        <f>309.515081722*Deflactores!$E$5</f>
        <v>868.4464816316771</v>
      </c>
      <c r="I32" s="57">
        <f>274.885335628*Deflactores!$F$5</f>
        <v>735.56826953808854</v>
      </c>
      <c r="J32" s="57">
        <f>358.6412965*Deflactores!$G$5</f>
        <v>918.55903808063738</v>
      </c>
      <c r="K32" s="57">
        <f>395.210738985*Deflactores!$H$5</f>
        <v>957.68632626390649</v>
      </c>
      <c r="L32" s="57">
        <f>604.983143195*Deflactores!$I$5</f>
        <v>1361.5245561154723</v>
      </c>
      <c r="M32" s="57">
        <f>1127.769599412*Deflactores!$J$5</f>
        <v>2488.2540420899722</v>
      </c>
      <c r="N32" s="57">
        <f>996.24535197*Deflactores!$K$5</f>
        <v>2130.5025952813444</v>
      </c>
      <c r="O32" s="57">
        <f>872.898191137*Deflactores!$L$5</f>
        <v>1799.6533271072997</v>
      </c>
      <c r="P32" s="57">
        <f>977.990004923*Deflactores!$M$5</f>
        <v>1968.2946255548827</v>
      </c>
      <c r="Q32" s="57">
        <f>591.418491013*Deflactores!$N$5</f>
        <v>1167.6319225980376</v>
      </c>
      <c r="R32" s="57">
        <f>383.991211443*Deflactores!$O$5</f>
        <v>731.34305431062376</v>
      </c>
      <c r="S32" s="57">
        <f>312.460718305*Deflactores!$P$5</f>
        <v>557.37314586788511</v>
      </c>
      <c r="T32" s="57">
        <f>454.156637791*Deflactores!$Q$5</f>
        <v>766.08313892493948</v>
      </c>
      <c r="U32" s="57">
        <f>425.945606049*Deflactores!$R$5</f>
        <v>690.26423520389687</v>
      </c>
      <c r="V32" s="57">
        <f>382.145721141*Deflactores!$S$5</f>
        <v>600.19822524506822</v>
      </c>
    </row>
    <row r="33" spans="3:22" x14ac:dyDescent="0.2">
      <c r="C33" s="87" t="s">
        <v>143</v>
      </c>
      <c r="D33" s="56">
        <f>788.649173448*Deflactores!$A$5</f>
        <v>2863.2374558777096</v>
      </c>
      <c r="E33" s="56">
        <f>823.168221627*Deflactores!$B$5</f>
        <v>2776.2266473622772</v>
      </c>
      <c r="F33" s="56">
        <f>1165.51511752217*Deflactores!$C$5</f>
        <v>3673.9528227158085</v>
      </c>
      <c r="G33" s="56">
        <f>806.840237526*Deflactores!$D$5</f>
        <v>2388.2997437248086</v>
      </c>
      <c r="H33" s="56">
        <f>770.955549054*Deflactores!$E$5</f>
        <v>2163.1696599254101</v>
      </c>
      <c r="I33" s="56">
        <f>675.71378415688*Deflactores!$F$5</f>
        <v>1808.1489060876681</v>
      </c>
      <c r="J33" s="56">
        <f>217.030193064*Deflactores!$G$5</f>
        <v>555.86193592550455</v>
      </c>
      <c r="K33" s="56">
        <f>362.348109058*Deflactores!$H$5</f>
        <v>878.05263157487263</v>
      </c>
      <c r="L33" s="56">
        <f>355.455206463*Deflactores!$I$5</f>
        <v>799.95781310964207</v>
      </c>
      <c r="M33" s="56">
        <f>325.413780969*Deflactores!$J$5</f>
        <v>717.97657630606955</v>
      </c>
      <c r="N33" s="56">
        <f>335.653365453*Deflactores!$K$5</f>
        <v>717.80547311810005</v>
      </c>
      <c r="O33" s="56">
        <f>335.138720933*Deflactores!$L$5</f>
        <v>690.95516555480799</v>
      </c>
      <c r="P33" s="56">
        <f>882.40733118*Deflactores!$M$5</f>
        <v>1775.925723953148</v>
      </c>
      <c r="Q33" s="56">
        <f>642.579534371*Deflactores!$N$5</f>
        <v>1268.6386857039784</v>
      </c>
      <c r="R33" s="56">
        <f>694.38194128*Deflactores!$O$5</f>
        <v>1322.5078977341084</v>
      </c>
      <c r="S33" s="56">
        <f>684.3734029588*Deflactores!$P$5</f>
        <v>1220.7977969989586</v>
      </c>
      <c r="T33" s="56">
        <f>802.332245019*Deflactores!$Q$5</f>
        <v>1353.3947400053385</v>
      </c>
      <c r="U33" s="56">
        <f>1839.40135902*Deflactores!$R$5</f>
        <v>2980.833595383745</v>
      </c>
      <c r="V33" s="56">
        <f>1480.84361935*Deflactores!$S$5</f>
        <v>2325.8135915943271</v>
      </c>
    </row>
    <row r="34" spans="3:22" x14ac:dyDescent="0.2">
      <c r="C34" s="88" t="s">
        <v>144</v>
      </c>
      <c r="D34" s="57">
        <f>707.148125699*Deflactores!$A$5</f>
        <v>2567.3430829869467</v>
      </c>
      <c r="E34" s="57">
        <f>807.420378193*Deflactores!$B$5</f>
        <v>2723.1152887950725</v>
      </c>
      <c r="F34" s="57">
        <f>831.691492484*Deflactores!$C$5</f>
        <v>2621.6693893566708</v>
      </c>
      <c r="G34" s="57">
        <f>817.380614751999*Deflactores!$D$5</f>
        <v>2419.499947999208</v>
      </c>
      <c r="H34" s="57">
        <f>1038.009006604*Deflactores!$E$5</f>
        <v>2912.4760728037945</v>
      </c>
      <c r="I34" s="57">
        <f>1075.526495704*Deflactores!$F$5</f>
        <v>2878.0115224406727</v>
      </c>
      <c r="J34" s="57">
        <f>1221.275173988*Deflactores!$G$5</f>
        <v>3127.9536405818799</v>
      </c>
      <c r="K34" s="57">
        <f>1319.399935559*Deflactores!$H$5</f>
        <v>3197.2088622983792</v>
      </c>
      <c r="L34" s="57">
        <f>1470.099221611*Deflactores!$I$5</f>
        <v>3308.4825794963745</v>
      </c>
      <c r="M34" s="57">
        <f>1687.143017745*Deflactores!$J$5</f>
        <v>3722.4273784970419</v>
      </c>
      <c r="N34" s="57">
        <f>1861.532493312*Deflactores!$K$5</f>
        <v>3980.9468624965752</v>
      </c>
      <c r="O34" s="57">
        <f>2138.20537953*Deflactores!$L$5</f>
        <v>4408.3358911508485</v>
      </c>
      <c r="P34" s="57">
        <f>2448.660531162*Deflactores!$M$5</f>
        <v>4928.1540087661706</v>
      </c>
      <c r="Q34" s="57">
        <f>2832.355980476*Deflactores!$N$5</f>
        <v>5591.8935731966258</v>
      </c>
      <c r="R34" s="57">
        <f>3025.9262864*Deflactores!$O$5</f>
        <v>5763.127140588419</v>
      </c>
      <c r="S34" s="57">
        <f>3237.784205559*Deflactores!$P$5</f>
        <v>5775.6187020353946</v>
      </c>
      <c r="T34" s="57">
        <f>3498.414218222*Deflactores!$Q$5</f>
        <v>5901.2154013446388</v>
      </c>
      <c r="U34" s="57">
        <f>3814.417756771*Deflactores!$R$5</f>
        <v>6181.4375315396683</v>
      </c>
      <c r="V34" s="57">
        <f>4194.441477588*Deflactores!$S$5</f>
        <v>6587.7914928000482</v>
      </c>
    </row>
    <row r="35" spans="3:22" x14ac:dyDescent="0.2">
      <c r="C35" s="87" t="s">
        <v>145</v>
      </c>
      <c r="D35" s="56">
        <f>207.256947981*Deflactores!$A$5</f>
        <v>752.45860444590323</v>
      </c>
      <c r="E35" s="56">
        <f>181.520900897*Deflactores!$B$5</f>
        <v>612.19948594153686</v>
      </c>
      <c r="F35" s="56">
        <f>236.859709303*Deflactores!$C$5</f>
        <v>746.6324413118133</v>
      </c>
      <c r="G35" s="56">
        <f>323.871211005*Deflactores!$D$5</f>
        <v>958.6799148922704</v>
      </c>
      <c r="H35" s="56">
        <f>145.806088325*Deflactores!$E$5</f>
        <v>409.10699311271543</v>
      </c>
      <c r="I35" s="56">
        <f>197.870351064*Deflactores!$F$5</f>
        <v>529.48314391717236</v>
      </c>
      <c r="J35" s="56">
        <f>530.988684307*Deflactores!$G$5</f>
        <v>1359.9785073516796</v>
      </c>
      <c r="K35" s="56">
        <f>437.743565461*Deflactores!$H$5</f>
        <v>1060.7531266196697</v>
      </c>
      <c r="L35" s="56">
        <f>360.00672041*Deflactores!$I$5</f>
        <v>810.201070423582</v>
      </c>
      <c r="M35" s="56">
        <f>409.941617357*Deflactores!$J$5</f>
        <v>904.47453712290792</v>
      </c>
      <c r="N35" s="56">
        <f>733.202881918*Deflactores!$K$5</f>
        <v>1567.9778477311274</v>
      </c>
      <c r="O35" s="56">
        <f>610.517509384*Deflactores!$L$5</f>
        <v>1258.7033381167075</v>
      </c>
      <c r="P35" s="56">
        <f>444.024590496*Deflactores!$M$5</f>
        <v>893.64023219878891</v>
      </c>
      <c r="Q35" s="56">
        <f>602.117920232*Deflactores!$N$5</f>
        <v>1188.755704318633</v>
      </c>
      <c r="R35" s="56">
        <f>1135.385*Deflactores!$O$5</f>
        <v>2162.4347354151005</v>
      </c>
      <c r="S35" s="56">
        <f>884.417460096*Deflactores!$P$5</f>
        <v>1577.6400459817546</v>
      </c>
      <c r="T35" s="56">
        <f>722.56124523431*Deflactores!$Q$5</f>
        <v>1218.83495858834</v>
      </c>
      <c r="U35" s="56">
        <f>761.182060726*Deflactores!$R$5</f>
        <v>1233.5301633268068</v>
      </c>
      <c r="V35" s="56">
        <f>1811.113463059*Deflactores!$S$5</f>
        <v>2844.5355426193082</v>
      </c>
    </row>
    <row r="36" spans="3:22" x14ac:dyDescent="0.2">
      <c r="C36" s="88" t="s">
        <v>146</v>
      </c>
      <c r="D36" s="57">
        <f>154.975282934*Deflactores!$A$5</f>
        <v>562.64692815421051</v>
      </c>
      <c r="E36" s="57">
        <f>162.722035704*Deflactores!$B$5</f>
        <v>548.79821616726895</v>
      </c>
      <c r="F36" s="57">
        <f>181.496882144*Deflactores!$C$5</f>
        <v>572.11697423940404</v>
      </c>
      <c r="G36" s="57">
        <f>184.734801701*Deflactores!$D$5</f>
        <v>546.82706568081164</v>
      </c>
      <c r="H36" s="57">
        <f>194.250093345*Deflactores!$E$5</f>
        <v>545.0326012662905</v>
      </c>
      <c r="I36" s="57">
        <f>254.780148707*Deflactores!$F$5</f>
        <v>681.76860969652728</v>
      </c>
      <c r="J36" s="57">
        <f>244.662060406*Deflactores!$G$5</f>
        <v>626.63320999165012</v>
      </c>
      <c r="K36" s="57">
        <f>247.475417019*Deflactores!$H$5</f>
        <v>599.68973407514034</v>
      </c>
      <c r="L36" s="57">
        <f>235.291210031*Deflactores!$I$5</f>
        <v>529.52675442077884</v>
      </c>
      <c r="M36" s="57">
        <f>228.353248499*Deflactores!$J$5</f>
        <v>503.82710608466749</v>
      </c>
      <c r="N36" s="57">
        <f>263.931311646*Deflactores!$K$5</f>
        <v>564.42556376889877</v>
      </c>
      <c r="O36" s="57">
        <f>261.334771092*Deflactores!$L$5</f>
        <v>538.79363602751187</v>
      </c>
      <c r="P36" s="57">
        <f>407.210364966*Deflactores!$M$5</f>
        <v>819.54822523562018</v>
      </c>
      <c r="Q36" s="57">
        <f>415.7333*Deflactores!$N$5</f>
        <v>820.7783147523478</v>
      </c>
      <c r="R36" s="57">
        <f>484.695097154*Deflactores!$O$5</f>
        <v>923.14194231138015</v>
      </c>
      <c r="S36" s="57">
        <f>603.315352475*Deflactores!$P$5</f>
        <v>1076.2049635664609</v>
      </c>
      <c r="T36" s="57">
        <f>710.980993914309*Deflactores!$Q$5</f>
        <v>1199.3010917623119</v>
      </c>
      <c r="U36" s="57">
        <f>657.704694332*Deflactores!$R$5</f>
        <v>1065.8403828465944</v>
      </c>
      <c r="V36" s="57">
        <f>656.025509491*Deflactores!$S$5</f>
        <v>1030.3539323595094</v>
      </c>
    </row>
    <row r="37" spans="3:22" x14ac:dyDescent="0.2">
      <c r="C37" s="90" t="s">
        <v>147</v>
      </c>
      <c r="D37" s="58">
        <f>5029.956092225*Deflactores!$A$5</f>
        <v>18261.553006786351</v>
      </c>
      <c r="E37" s="58">
        <f>6312.8725988095*Deflactores!$B$5</f>
        <v>21290.867005990396</v>
      </c>
      <c r="F37" s="58">
        <f>7426.29344861317*Deflactores!$C$5</f>
        <v>23409.264596972753</v>
      </c>
      <c r="G37" s="58">
        <f>8384.41182718299*Deflactores!$D$5</f>
        <v>24818.406032333147</v>
      </c>
      <c r="H37" s="58">
        <f>10992.547554606*Deflactores!$E$5</f>
        <v>30843.211887622623</v>
      </c>
      <c r="I37" s="58">
        <f>14076.834299443*Deflactores!$F$5</f>
        <v>37668.334043938667</v>
      </c>
      <c r="J37" s="58">
        <f>15978.101197695*Deflactores!$G$5</f>
        <v>40923.422399321491</v>
      </c>
      <c r="K37" s="58">
        <f>17613.186326123*Deflactores!$H$5</f>
        <v>42680.792910100092</v>
      </c>
      <c r="L37" s="58">
        <f>18738.88953473*Deflactores!$I$5</f>
        <v>42172.180403457212</v>
      </c>
      <c r="M37" s="58">
        <f>21984.662599293*Deflactores!$J$5</f>
        <v>48505.852263792607</v>
      </c>
      <c r="N37" s="58">
        <f>25066.00579285*Deflactores!$K$5</f>
        <v>53604.456261104111</v>
      </c>
      <c r="O37" s="58">
        <f>24186.415984357*Deflactores!$L$5</f>
        <v>49865.109630199397</v>
      </c>
      <c r="P37" s="58">
        <f>27193.25184246*Deflactores!$M$5</f>
        <v>54728.914593650217</v>
      </c>
      <c r="Q37" s="58">
        <f>28294.169204235*Deflactores!$N$5</f>
        <v>55860.910147851479</v>
      </c>
      <c r="R37" s="58">
        <f>35412.613546934*Deflactores!$O$5</f>
        <v>67446.254447364932</v>
      </c>
      <c r="S37" s="58">
        <f>34680.660184811*Deflactores!$P$5</f>
        <v>61863.996129954161</v>
      </c>
      <c r="T37" s="58">
        <f>35857.385222711*Deflactores!$Q$5</f>
        <v>60485.162913542132</v>
      </c>
      <c r="U37" s="58">
        <f>38230.2462819985*Deflactores!$R$5</f>
        <v>61953.853583043136</v>
      </c>
      <c r="V37" s="58">
        <f>48583.812756184*Deflactores!$S$5</f>
        <v>76305.756099624705</v>
      </c>
    </row>
    <row r="38" spans="3:22" ht="22.5" customHeight="1" x14ac:dyDescent="0.2">
      <c r="C38" s="89" t="s">
        <v>148</v>
      </c>
      <c r="D38" s="59">
        <f>0*Deflactores!$A$5</f>
        <v>0</v>
      </c>
      <c r="E38" s="59">
        <f>0*Deflactores!$B$5</f>
        <v>0</v>
      </c>
      <c r="F38" s="59">
        <f>0*Deflactores!$C$5</f>
        <v>0</v>
      </c>
      <c r="G38" s="59">
        <f>0*Deflactores!$D$5</f>
        <v>0</v>
      </c>
      <c r="H38" s="59">
        <f>0*Deflactores!$E$5</f>
        <v>0</v>
      </c>
      <c r="I38" s="59">
        <f>0*Deflactores!$F$5</f>
        <v>0</v>
      </c>
      <c r="J38" s="59">
        <f>0*Deflactores!$G$5</f>
        <v>0</v>
      </c>
      <c r="K38" s="59">
        <f>0*Deflactores!$H$5</f>
        <v>0</v>
      </c>
      <c r="L38" s="59">
        <f>0*Deflactores!$I$5</f>
        <v>0</v>
      </c>
      <c r="M38" s="59">
        <f>0*Deflactores!$J$5</f>
        <v>0</v>
      </c>
      <c r="N38" s="59">
        <f>0*Deflactores!$K$5</f>
        <v>0</v>
      </c>
      <c r="O38" s="59">
        <f>0*Deflactores!$L$5</f>
        <v>0</v>
      </c>
      <c r="P38" s="59">
        <f>0*Deflactores!$M$5</f>
        <v>0</v>
      </c>
      <c r="Q38" s="59">
        <f>0*Deflactores!$N$5</f>
        <v>0</v>
      </c>
      <c r="R38" s="59">
        <f>0*Deflactores!$O$5</f>
        <v>0</v>
      </c>
      <c r="S38" s="59">
        <f>0*Deflactores!$P$5</f>
        <v>0</v>
      </c>
      <c r="T38" s="59">
        <f>0*Deflactores!$Q$5</f>
        <v>0</v>
      </c>
      <c r="U38" s="59">
        <f>0.25044*Deflactores!$R$5</f>
        <v>0.40584941506493044</v>
      </c>
      <c r="V38" s="59">
        <f>160.90533445*Deflactores!$S$5</f>
        <v>252.71798381257003</v>
      </c>
    </row>
    <row r="39" spans="3:22" x14ac:dyDescent="0.2">
      <c r="C39" s="87" t="s">
        <v>149</v>
      </c>
      <c r="D39" s="56">
        <f>40.798965517*Deflactores!$A$5</f>
        <v>148.12305669276134</v>
      </c>
      <c r="E39" s="56">
        <f>28.159935484*Deflactores!$B$5</f>
        <v>94.972523506997206</v>
      </c>
      <c r="F39" s="56">
        <f>19.687412517*Deflactores!$C$5</f>
        <v>62.058933171604139</v>
      </c>
      <c r="G39" s="56">
        <f>20.044454475*Deflactores!$D$5</f>
        <v>59.332893005603765</v>
      </c>
      <c r="H39" s="56">
        <f>22.162*Deflactores!$E$5</f>
        <v>62.182788699156326</v>
      </c>
      <c r="I39" s="56">
        <f>46.019775166*Deflactores!$F$5</f>
        <v>123.1447516327185</v>
      </c>
      <c r="J39" s="56">
        <f>46.882230249*Deflactores!$G$5</f>
        <v>120.07567656279763</v>
      </c>
      <c r="K39" s="56">
        <f>38.492296*Deflactores!$H$5</f>
        <v>93.275667661201894</v>
      </c>
      <c r="L39" s="56">
        <f>40.112*Deflactores!$I$5</f>
        <v>90.272718519862366</v>
      </c>
      <c r="M39" s="56">
        <f>136.7834*Deflactores!$J$5</f>
        <v>301.79200442915226</v>
      </c>
      <c r="N39" s="56">
        <f>138.13016639*Deflactores!$K$5</f>
        <v>295.39578518344825</v>
      </c>
      <c r="O39" s="56">
        <f>141.4046*Deflactores!$L$5</f>
        <v>291.53372230821441</v>
      </c>
      <c r="P39" s="56">
        <f>188.1296*Deflactores!$M$5</f>
        <v>378.62808282682215</v>
      </c>
      <c r="Q39" s="56">
        <f>82.9914*Deflactores!$N$5</f>
        <v>163.84913460369424</v>
      </c>
      <c r="R39" s="56">
        <f>121.826400085*Deflactores!$O$5</f>
        <v>232.02846544069294</v>
      </c>
      <c r="S39" s="56">
        <f>79.35029*Deflactores!$P$5</f>
        <v>141.54649903754398</v>
      </c>
      <c r="T39" s="56">
        <f>78.10710018*Deflactores!$Q$5</f>
        <v>131.75307261666734</v>
      </c>
      <c r="U39" s="56">
        <f>81.005120832*Deflactores!$R$5</f>
        <v>131.27248405578666</v>
      </c>
      <c r="V39" s="56">
        <f>81.101511236*Deflactores!$S$5</f>
        <v>127.37806657419003</v>
      </c>
    </row>
    <row r="40" spans="3:22" x14ac:dyDescent="0.2">
      <c r="C40" s="88" t="s">
        <v>150</v>
      </c>
      <c r="D40" s="57">
        <f>755.4305269*Deflactores!$A$5</f>
        <v>2742.6351954151014</v>
      </c>
      <c r="E40" s="57">
        <f>1103.577093162*Deflactores!$B$5</f>
        <v>3721.9368446942171</v>
      </c>
      <c r="F40" s="57">
        <f>1024.6277267603*Deflactores!$C$5</f>
        <v>3229.8456471048571</v>
      </c>
      <c r="G40" s="57">
        <f>463.337413956*Deflactores!$D$5</f>
        <v>1371.5089748155638</v>
      </c>
      <c r="H40" s="57">
        <f>778.31883264*Deflactores!$E$5</f>
        <v>2183.8297766730052</v>
      </c>
      <c r="I40" s="57">
        <f>1204.990084524*Deflactores!$F$5</f>
        <v>3224.4443642616388</v>
      </c>
      <c r="J40" s="57">
        <f>2103.068013912*Deflactores!$G$5</f>
        <v>5386.4185489223582</v>
      </c>
      <c r="K40" s="57">
        <f>2402.465895128*Deflactores!$H$5</f>
        <v>5821.7262592320085</v>
      </c>
      <c r="L40" s="57">
        <f>1836.708768756*Deflactores!$I$5</f>
        <v>4133.5434205443098</v>
      </c>
      <c r="M40" s="57">
        <f>2949.415764808*Deflactores!$J$5</f>
        <v>6507.4423910821588</v>
      </c>
      <c r="N40" s="57">
        <f>3062.035879225*Deflactores!$K$5</f>
        <v>6548.2618058226117</v>
      </c>
      <c r="O40" s="57">
        <f>4520.3639*Deflactores!$L$5</f>
        <v>9319.6297288396363</v>
      </c>
      <c r="P40" s="57">
        <f>7125.9928*Deflactores!$M$5</f>
        <v>14341.714393172251</v>
      </c>
      <c r="Q40" s="57">
        <f>7395.17038583815*Deflactores!$N$5</f>
        <v>14600.214817034639</v>
      </c>
      <c r="R40" s="57">
        <f>6203.34130566*Deflactores!$O$5</f>
        <v>11814.777115246763</v>
      </c>
      <c r="S40" s="57">
        <f>5665.762970535*Deflactores!$P$5</f>
        <v>10106.691643543896</v>
      </c>
      <c r="T40" s="57">
        <f>4251.187426047*Deflactores!$Q$5</f>
        <v>7171.0126782360539</v>
      </c>
      <c r="U40" s="57">
        <f>4141.523138378*Deflactores!$R$5</f>
        <v>6711.5266857873594</v>
      </c>
      <c r="V40" s="57">
        <f>3342.387506921*Deflactores!$S$5</f>
        <v>5249.5551794889388</v>
      </c>
    </row>
    <row r="41" spans="3:22" x14ac:dyDescent="0.2">
      <c r="C41" s="87" t="s">
        <v>151</v>
      </c>
      <c r="D41" s="56">
        <f>163.813340699*Deflactores!$A$5</f>
        <v>594.73401945150124</v>
      </c>
      <c r="E41" s="56">
        <f>171.472019614*Deflactores!$B$5</f>
        <v>578.30851291672309</v>
      </c>
      <c r="F41" s="56">
        <f>168.675695*Deflactores!$C$5</f>
        <v>531.70185135501936</v>
      </c>
      <c r="G41" s="56">
        <f>213.440121445*Deflactores!$D$5</f>
        <v>631.79668494316854</v>
      </c>
      <c r="H41" s="56">
        <f>233.407374258*Deflactores!$E$5</f>
        <v>654.90124692311679</v>
      </c>
      <c r="I41" s="56">
        <f>187.918046283*Deflactores!$F$5</f>
        <v>502.8516774224201</v>
      </c>
      <c r="J41" s="56">
        <f>214.679664155*Deflactores!$G$5</f>
        <v>549.84171573696926</v>
      </c>
      <c r="K41" s="56">
        <f>384.558452865*Deflactores!$H$5</f>
        <v>931.87339216506359</v>
      </c>
      <c r="L41" s="56">
        <f>443.669079992*Deflactores!$I$5</f>
        <v>998.48459249312214</v>
      </c>
      <c r="M41" s="56">
        <f>721.815874974*Deflactores!$J$5</f>
        <v>1592.5781910464707</v>
      </c>
      <c r="N41" s="56">
        <f>635.328425819*Deflactores!$K$5</f>
        <v>1358.6701884097229</v>
      </c>
      <c r="O41" s="56">
        <f>1145.79693681*Deflactores!$L$5</f>
        <v>2362.2883979557191</v>
      </c>
      <c r="P41" s="56">
        <f>3079.534603837*Deflactores!$M$5</f>
        <v>6197.8459692130346</v>
      </c>
      <c r="Q41" s="56">
        <f>3596.473839854*Deflactores!$N$5</f>
        <v>7100.4842222796951</v>
      </c>
      <c r="R41" s="56">
        <f>3718.86679761*Deflactores!$O$5</f>
        <v>7082.8897154126416</v>
      </c>
      <c r="S41" s="56">
        <f>3889.412206489*Deflactores!$P$5</f>
        <v>6938.0046518091749</v>
      </c>
      <c r="T41" s="56">
        <f>3243.988700619*Deflactores!$Q$5</f>
        <v>5472.0438712400737</v>
      </c>
      <c r="U41" s="56">
        <f>3847.385042274*Deflactores!$R$5</f>
        <v>6234.8625177146851</v>
      </c>
      <c r="V41" s="56">
        <f>3805.344905369*Deflactores!$S$5</f>
        <v>5976.6762580212817</v>
      </c>
    </row>
    <row r="42" spans="3:22" ht="21.75" customHeight="1" x14ac:dyDescent="0.2">
      <c r="C42" s="79" t="s">
        <v>152</v>
      </c>
      <c r="D42" s="44">
        <f t="shared" ref="D42:V42" si="0">+SUM(D13:D41)</f>
        <v>108577.38974510458</v>
      </c>
      <c r="E42" s="44">
        <f t="shared" si="0"/>
        <v>123391.21871875535</v>
      </c>
      <c r="F42" s="44">
        <f t="shared" si="0"/>
        <v>122126.17834953834</v>
      </c>
      <c r="G42" s="44">
        <f t="shared" si="0"/>
        <v>116957.30860106913</v>
      </c>
      <c r="H42" s="44">
        <f t="shared" si="0"/>
        <v>132159.79086091876</v>
      </c>
      <c r="I42" s="44">
        <f t="shared" si="0"/>
        <v>144916.0938117505</v>
      </c>
      <c r="J42" s="44">
        <f t="shared" si="0"/>
        <v>153732.55238435464</v>
      </c>
      <c r="K42" s="44">
        <f t="shared" si="0"/>
        <v>170158.87412341128</v>
      </c>
      <c r="L42" s="44">
        <f t="shared" si="0"/>
        <v>174637.03522496237</v>
      </c>
      <c r="M42" s="44">
        <f t="shared" si="0"/>
        <v>206952.46010841825</v>
      </c>
      <c r="N42" s="44">
        <f t="shared" si="0"/>
        <v>207998.52819550608</v>
      </c>
      <c r="O42" s="44">
        <f t="shared" si="0"/>
        <v>212837.12202149676</v>
      </c>
      <c r="P42" s="44">
        <f t="shared" si="0"/>
        <v>233384.55961635755</v>
      </c>
      <c r="Q42" s="44">
        <f t="shared" si="0"/>
        <v>256688.47631875996</v>
      </c>
      <c r="R42" s="44">
        <f t="shared" si="0"/>
        <v>275394.43498656125</v>
      </c>
      <c r="S42" s="44">
        <f t="shared" si="0"/>
        <v>264648.4213003093</v>
      </c>
      <c r="T42" s="44">
        <f t="shared" si="0"/>
        <v>253637.12288398677</v>
      </c>
      <c r="U42" s="44">
        <f t="shared" si="0"/>
        <v>266893.78074972698</v>
      </c>
      <c r="V42" s="44">
        <f t="shared" si="0"/>
        <v>269494.65449113899</v>
      </c>
    </row>
    <row r="43" spans="3:22" x14ac:dyDescent="0.2">
      <c r="C43" s="1" t="s">
        <v>52</v>
      </c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</row>
    <row r="44" spans="3:22" x14ac:dyDescent="0.2"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</row>
    <row r="45" spans="3:22" x14ac:dyDescent="0.2"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</row>
    <row r="47" spans="3:22" ht="18" customHeight="1" x14ac:dyDescent="0.2">
      <c r="D47" s="160" t="s">
        <v>165</v>
      </c>
      <c r="E47" s="158"/>
      <c r="F47" s="158"/>
      <c r="G47" s="158"/>
      <c r="H47" s="158"/>
      <c r="I47" s="158"/>
      <c r="J47" s="158"/>
      <c r="K47" s="158"/>
      <c r="L47" s="158"/>
      <c r="M47" s="158"/>
      <c r="N47" s="158"/>
      <c r="O47" s="158"/>
      <c r="P47" s="158"/>
      <c r="Q47" s="158"/>
      <c r="R47" s="158"/>
      <c r="S47" s="158"/>
      <c r="T47" s="158"/>
      <c r="U47" s="158"/>
      <c r="V47" s="158"/>
    </row>
    <row r="48" spans="3:22" ht="11.25" hidden="1" customHeight="1" x14ac:dyDescent="0.2">
      <c r="H48" s="27"/>
      <c r="I48" s="27"/>
      <c r="J48" s="27"/>
      <c r="L48" s="175"/>
      <c r="M48" s="158"/>
      <c r="N48" s="158"/>
      <c r="O48" s="158"/>
      <c r="P48" s="158"/>
      <c r="Q48" s="158"/>
      <c r="R48" s="28"/>
      <c r="S48" s="28"/>
      <c r="T48" s="28"/>
      <c r="U48" s="28"/>
      <c r="V48" s="28"/>
    </row>
    <row r="49" spans="3:22" ht="15.75" customHeight="1" x14ac:dyDescent="0.2"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</row>
    <row r="50" spans="3:22" ht="12" thickBot="1" x14ac:dyDescent="0.25">
      <c r="C50" s="177" t="s">
        <v>120</v>
      </c>
      <c r="D50" s="180">
        <v>2000</v>
      </c>
      <c r="E50" s="153">
        <v>2001</v>
      </c>
      <c r="F50" s="153">
        <v>2002</v>
      </c>
      <c r="G50" s="153">
        <v>2003</v>
      </c>
      <c r="H50" s="153">
        <v>2004</v>
      </c>
      <c r="I50" s="153">
        <v>2005</v>
      </c>
      <c r="J50" s="153">
        <v>2006</v>
      </c>
      <c r="K50" s="153">
        <v>2007</v>
      </c>
      <c r="L50" s="153">
        <v>2008</v>
      </c>
      <c r="M50" s="153">
        <v>2009</v>
      </c>
      <c r="N50" s="153">
        <v>2010</v>
      </c>
      <c r="O50" s="153">
        <v>2011</v>
      </c>
      <c r="P50" s="153">
        <v>2012</v>
      </c>
      <c r="Q50" s="153">
        <v>2013</v>
      </c>
      <c r="R50" s="153">
        <v>2014</v>
      </c>
      <c r="S50" s="153">
        <v>2015</v>
      </c>
      <c r="T50" s="153">
        <v>2016</v>
      </c>
      <c r="U50" s="153">
        <v>2017</v>
      </c>
      <c r="V50" s="153">
        <v>2018</v>
      </c>
    </row>
    <row r="51" spans="3:22" ht="12" customHeight="1" thickBot="1" x14ac:dyDescent="0.25">
      <c r="C51" s="156"/>
      <c r="D51" s="181"/>
      <c r="E51" s="154"/>
      <c r="F51" s="154"/>
      <c r="G51" s="154"/>
      <c r="H51" s="154"/>
      <c r="I51" s="154"/>
      <c r="J51" s="154"/>
      <c r="K51" s="154"/>
      <c r="L51" s="154"/>
      <c r="M51" s="154"/>
      <c r="N51" s="154"/>
      <c r="O51" s="154"/>
      <c r="P51" s="154"/>
      <c r="Q51" s="154"/>
      <c r="R51" s="154"/>
      <c r="S51" s="154"/>
      <c r="T51" s="154"/>
      <c r="U51" s="154"/>
      <c r="V51" s="154"/>
    </row>
    <row r="52" spans="3:22" x14ac:dyDescent="0.2">
      <c r="C52" s="87" t="s">
        <v>123</v>
      </c>
      <c r="D52" s="56">
        <f>401.562902397599*Deflactores!$A$5</f>
        <v>1457.8978609828987</v>
      </c>
      <c r="E52" s="56">
        <f>655.357267947299*Deflactores!$B$5</f>
        <v>2210.2654876809133</v>
      </c>
      <c r="F52" s="56">
        <f>642.00975351002*Deflactores!$C$5</f>
        <v>2023.7519965710371</v>
      </c>
      <c r="G52" s="56">
        <f>495.732007228729*Deflactores!$D$5</f>
        <v>1467.3990844220955</v>
      </c>
      <c r="H52" s="56">
        <f>564.83055554719*Deflactores!$E$5</f>
        <v>1584.8181159831242</v>
      </c>
      <c r="I52" s="56">
        <f>604.20264785228*Deflactores!$F$5</f>
        <v>1616.7915800807912</v>
      </c>
      <c r="J52" s="56">
        <f>939.17885066853*Deflactores!$G$5</f>
        <v>2405.4430710428896</v>
      </c>
      <c r="K52" s="56">
        <f>1327.2030640308*Deflactores!$H$5</f>
        <v>3216.117633499071</v>
      </c>
      <c r="L52" s="56">
        <f>1812.44610594656*Deflactores!$I$5</f>
        <v>4078.9398971513378</v>
      </c>
      <c r="M52" s="56">
        <f>1460.67791351741*Deflactores!$J$5</f>
        <v>3222.7661788331848</v>
      </c>
      <c r="N52" s="56">
        <f>1485.68058675064*Deflactores!$K$5</f>
        <v>3177.1755216446563</v>
      </c>
      <c r="O52" s="56">
        <f>1623.77477761456*Deflactores!$L$5</f>
        <v>3347.7348340023295</v>
      </c>
      <c r="P52" s="56">
        <f>2063.32092329037*Deflactores!$M$5</f>
        <v>4152.6226890500029</v>
      </c>
      <c r="Q52" s="56">
        <f>3490.06262437414*Deflactores!$N$5</f>
        <v>6890.3975678974066</v>
      </c>
      <c r="R52" s="56">
        <f>3176.98374440098*Deflactores!$O$5</f>
        <v>6050.8285759824275</v>
      </c>
      <c r="S52" s="56">
        <f>3602.31536883316*Deflactores!$P$5</f>
        <v>6425.8760602824868</v>
      </c>
      <c r="T52" s="56">
        <f>2390.59160018062*Deflactores!$Q$5</f>
        <v>4032.5116150713584</v>
      </c>
      <c r="U52" s="56">
        <f>2699.23496411302*Deflactores!$R$5</f>
        <v>4374.2330750202746</v>
      </c>
      <c r="V52" s="56">
        <f>2170.62983904853*Deflactores!$S$5</f>
        <v>3409.1921091541403</v>
      </c>
    </row>
    <row r="53" spans="3:22" x14ac:dyDescent="0.2">
      <c r="C53" s="88" t="s">
        <v>124</v>
      </c>
      <c r="D53" s="57">
        <f>111.71647603154*Deflactores!$A$5</f>
        <v>405.59327186470517</v>
      </c>
      <c r="E53" s="57">
        <f>145.529671246229*Deflactores!$B$5</f>
        <v>490.81504931895523</v>
      </c>
      <c r="F53" s="57">
        <f>145.93318715294*Deflactores!$C$5</f>
        <v>460.01260456260007</v>
      </c>
      <c r="G53" s="57">
        <f>188.698885050549*Deflactores!$D$5</f>
        <v>558.56101102402033</v>
      </c>
      <c r="H53" s="57">
        <f>320.46235781308*Deflactores!$E$5</f>
        <v>899.16266952099022</v>
      </c>
      <c r="I53" s="57">
        <f>295.811797347989*Deflactores!$F$5</f>
        <v>791.56558638207753</v>
      </c>
      <c r="J53" s="57">
        <f>417.54211007788*Deflactores!$G$5</f>
        <v>1069.4169431525493</v>
      </c>
      <c r="K53" s="57">
        <f>492.173980797919*Deflactores!$H$5</f>
        <v>1192.6505154277481</v>
      </c>
      <c r="L53" s="57">
        <f>1431.79979438725*Deflactores!$I$5</f>
        <v>3222.2890859472732</v>
      </c>
      <c r="M53" s="57">
        <f>1669.79983861474*Deflactores!$J$5</f>
        <v>3684.1622615830379</v>
      </c>
      <c r="N53" s="57">
        <f>1798.6087716106*Deflactores!$K$5</f>
        <v>3846.3824681689107</v>
      </c>
      <c r="O53" s="57">
        <f>1345.39371754306*Deflactores!$L$5</f>
        <v>2773.7968810449925</v>
      </c>
      <c r="P53" s="57">
        <f>328.030049500889*Deflactores!$M$5</f>
        <v>660.19057475330396</v>
      </c>
      <c r="Q53" s="57">
        <f>446.095253882899*Deflactores!$N$5</f>
        <v>880.72163259721219</v>
      </c>
      <c r="R53" s="57">
        <f>492.379107002891*Deflactores!$O$5</f>
        <v>937.77677525748527</v>
      </c>
      <c r="S53" s="57">
        <f>489.098494941389*Deflactores!$P$5</f>
        <v>872.46284346894674</v>
      </c>
      <c r="T53" s="57">
        <f>585.47431989696*Deflactores!$Q$5</f>
        <v>987.59319455992238</v>
      </c>
      <c r="U53" s="57">
        <f>616.44551041553*Deflactores!$R$5</f>
        <v>998.97799800968426</v>
      </c>
      <c r="V53" s="57">
        <f>580.91628927783*Deflactores!$S$5</f>
        <v>912.38736050601381</v>
      </c>
    </row>
    <row r="54" spans="3:22" x14ac:dyDescent="0.2">
      <c r="C54" s="87" t="s">
        <v>125</v>
      </c>
      <c r="D54" s="56">
        <f>30.6376890675*Deflactores!$A$5</f>
        <v>111.23194172140354</v>
      </c>
      <c r="E54" s="56">
        <f>67.4455294714*Deflactores!$B$5</f>
        <v>227.46757132323296</v>
      </c>
      <c r="F54" s="56">
        <f>58.918551371*Deflactores!$C$5</f>
        <v>185.72386995717739</v>
      </c>
      <c r="G54" s="56">
        <f>45.38866796965*Deflactores!$D$5</f>
        <v>134.35341848135374</v>
      </c>
      <c r="H54" s="56">
        <f>65.31782981817*Deflactores!$E$5</f>
        <v>183.27067998694693</v>
      </c>
      <c r="I54" s="56">
        <f>57.117453983*Deflactores!$F$5</f>
        <v>152.84113534362419</v>
      </c>
      <c r="J54" s="56">
        <f>82.4744618108*Deflactores!$G$5</f>
        <v>211.23518971872417</v>
      </c>
      <c r="K54" s="56">
        <f>79.03975975004*Deflactores!$H$5</f>
        <v>191.53147846691121</v>
      </c>
      <c r="L54" s="56">
        <f>134.279198797*Deflactores!$I$5</f>
        <v>302.19755474855958</v>
      </c>
      <c r="M54" s="56">
        <f>142.27880729255*Deflactores!$J$5</f>
        <v>313.91679429380866</v>
      </c>
      <c r="N54" s="56">
        <f>351.17318956412*Deflactores!$K$5</f>
        <v>750.99511408522483</v>
      </c>
      <c r="O54" s="56">
        <f>366.99315033341*Deflactores!$L$5</f>
        <v>756.62941077105791</v>
      </c>
      <c r="P54" s="56">
        <f>407.80303115372*Deflactores!$M$5</f>
        <v>820.74102032162841</v>
      </c>
      <c r="Q54" s="56">
        <f>424.28876876883*Deflactores!$N$5</f>
        <v>837.66929567207842</v>
      </c>
      <c r="R54" s="56">
        <f>373.12421581008*Deflactores!$O$5</f>
        <v>710.64596140713252</v>
      </c>
      <c r="S54" s="56">
        <f>351.76707124661*Deflactores!$P$5</f>
        <v>627.48853736574813</v>
      </c>
      <c r="T54" s="56">
        <f>304.86812616273*Deflactores!$Q$5</f>
        <v>514.25942420418585</v>
      </c>
      <c r="U54" s="56">
        <f>378.87878355873*Deflactores!$R$5</f>
        <v>613.99030780954706</v>
      </c>
      <c r="V54" s="56">
        <f>330.47588643464*Deflactores!$S$5</f>
        <v>519.04556181377791</v>
      </c>
    </row>
    <row r="55" spans="3:22" x14ac:dyDescent="0.2">
      <c r="C55" s="88" t="s">
        <v>126</v>
      </c>
      <c r="D55" s="57">
        <f>163.960278908499*Deflactores!$A$5</f>
        <v>595.26748730932923</v>
      </c>
      <c r="E55" s="57">
        <f>233.795782397589*Deflactores!$B$5</f>
        <v>788.50235478017566</v>
      </c>
      <c r="F55" s="57">
        <f>213.844156069889*Deflactores!$C$5</f>
        <v>674.08249708893572</v>
      </c>
      <c r="G55" s="57">
        <f>162.8509699379*Deflactores!$D$5</f>
        <v>482.04949589600727</v>
      </c>
      <c r="H55" s="57">
        <f>150.92430422829*Deflactores!$E$5</f>
        <v>423.4678332007465</v>
      </c>
      <c r="I55" s="57">
        <f>166.20342096814*Deflactores!$F$5</f>
        <v>444.74530616027641</v>
      </c>
      <c r="J55" s="57">
        <f>255.05094186147*Deflactores!$G$5</f>
        <v>653.24141448343346</v>
      </c>
      <c r="K55" s="57">
        <f>253.300905111349*Deflactores!$H$5</f>
        <v>613.80622874374194</v>
      </c>
      <c r="L55" s="57">
        <f>219.588431773639*Deflactores!$I$5</f>
        <v>494.18739259373046</v>
      </c>
      <c r="M55" s="57">
        <f>348.358090318799*Deflactores!$J$5</f>
        <v>768.59974482592179</v>
      </c>
      <c r="N55" s="57">
        <f>325.799093404139*Deflactores!$K$5</f>
        <v>696.7317967057669</v>
      </c>
      <c r="O55" s="57">
        <f>436.87325290573*Deflactores!$L$5</f>
        <v>900.70114831133799</v>
      </c>
      <c r="P55" s="57">
        <f>618.51211542444*Deflactores!$M$5</f>
        <v>1244.8123871433197</v>
      </c>
      <c r="Q55" s="57">
        <f>842.970307449705*Deflactores!$N$5</f>
        <v>1664.2682901149306</v>
      </c>
      <c r="R55" s="57">
        <f>627.170602974148*Deflactores!$O$5</f>
        <v>1194.498339243984</v>
      </c>
      <c r="S55" s="57">
        <f>608.947990546139*Deflactores!$P$5</f>
        <v>1086.2525664084328</v>
      </c>
      <c r="T55" s="57">
        <f>579.441556189679*Deflactores!$Q$5</f>
        <v>977.41697302599187</v>
      </c>
      <c r="U55" s="57">
        <f>677.30919084806*Deflactores!$R$5</f>
        <v>1097.6103614589781</v>
      </c>
      <c r="V55" s="57">
        <f>517.57039609358*Deflactores!$S$5</f>
        <v>812.89627487451401</v>
      </c>
    </row>
    <row r="56" spans="3:22" x14ac:dyDescent="0.2">
      <c r="C56" s="87" t="s">
        <v>127</v>
      </c>
      <c r="D56" s="56">
        <f>168.793936681919*Deflactores!$A$5</f>
        <v>612.8163676628609</v>
      </c>
      <c r="E56" s="56">
        <f>203.409355607469*Deflactores!$B$5</f>
        <v>686.02074099032768</v>
      </c>
      <c r="F56" s="56">
        <f>189.84707649563*Deflactores!$C$5</f>
        <v>598.43857200093032</v>
      </c>
      <c r="G56" s="56">
        <f>223.61736213158*Deflactores!$D$5</f>
        <v>661.92198136878392</v>
      </c>
      <c r="H56" s="56">
        <f>224.132323363319*Deflactores!$E$5</f>
        <v>628.87703746738759</v>
      </c>
      <c r="I56" s="56">
        <f>249.61787514109*Deflactores!$F$5</f>
        <v>667.95483303549304</v>
      </c>
      <c r="J56" s="56">
        <f>297.62011859314*Deflactores!$G$5</f>
        <v>762.27041480249579</v>
      </c>
      <c r="K56" s="56">
        <f>286.39307326238*Deflactores!$H$5</f>
        <v>693.99614723143566</v>
      </c>
      <c r="L56" s="56">
        <f>312.0485894547*Deflactores!$I$5</f>
        <v>702.27050459623615</v>
      </c>
      <c r="M56" s="56">
        <f>335.88749799144*Deflactores!$J$5</f>
        <v>741.08525801763608</v>
      </c>
      <c r="N56" s="56">
        <f>368.035832550679*Deflactores!$K$5</f>
        <v>787.05641622844291</v>
      </c>
      <c r="O56" s="56">
        <f>375.311224208419*Deflactores!$L$5</f>
        <v>773.77877535478501</v>
      </c>
      <c r="P56" s="56">
        <f>382.08341104164*Deflactores!$M$5</f>
        <v>768.97792480624423</v>
      </c>
      <c r="Q56" s="56">
        <f>428.707244751663*Deflactores!$N$5</f>
        <v>846.39265093605025</v>
      </c>
      <c r="R56" s="56">
        <f>454.902859662509*Deflactores!$O$5</f>
        <v>866.4001593942761</v>
      </c>
      <c r="S56" s="56">
        <f>468.02706454525*Deflactores!$P$5</f>
        <v>834.87524042065593</v>
      </c>
      <c r="T56" s="56">
        <f>507.71892556345*Deflactores!$Q$5</f>
        <v>856.43338844304219</v>
      </c>
      <c r="U56" s="56">
        <f>551.0496349074*Deflactores!$R$5</f>
        <v>893.00100622469154</v>
      </c>
      <c r="V56" s="56">
        <f>579.751784429928*Deflactores!$S$5</f>
        <v>910.55838871767821</v>
      </c>
    </row>
    <row r="57" spans="3:22" x14ac:dyDescent="0.2">
      <c r="C57" s="88" t="s">
        <v>128</v>
      </c>
      <c r="D57" s="57">
        <f>49.5501893557*Deflactores!$A$5</f>
        <v>179.89489228625655</v>
      </c>
      <c r="E57" s="57">
        <f>66.92937225184*Deflactores!$B$5</f>
        <v>225.72677352574436</v>
      </c>
      <c r="F57" s="57">
        <f>60.51507642412*Deflactores!$C$5</f>
        <v>190.75645824133164</v>
      </c>
      <c r="G57" s="57">
        <f>65.70814833924*Deflactores!$D$5</f>
        <v>194.50040607844818</v>
      </c>
      <c r="H57" s="57">
        <f>95.14983942536*Deflactores!$E$5</f>
        <v>266.97420628760108</v>
      </c>
      <c r="I57" s="57">
        <f>101.110335255209*Deflactores!$F$5</f>
        <v>270.56210243510105</v>
      </c>
      <c r="J57" s="57">
        <f>121.14806983556*Deflactores!$G$5</f>
        <v>310.2867839802098</v>
      </c>
      <c r="K57" s="57">
        <f>132.78610442671*Deflactores!$H$5</f>
        <v>321.77120706261456</v>
      </c>
      <c r="L57" s="57">
        <f>175.63195114676*Deflactores!$I$5</f>
        <v>395.26260692475279</v>
      </c>
      <c r="M57" s="57">
        <f>176.85385177531*Deflactores!$J$5</f>
        <v>390.20143100907706</v>
      </c>
      <c r="N57" s="57">
        <f>201.84512557791*Deflactores!$K$5</f>
        <v>431.65226621963274</v>
      </c>
      <c r="O57" s="57">
        <f>226.43918947459*Deflactores!$L$5</f>
        <v>466.8494503289304</v>
      </c>
      <c r="P57" s="57">
        <f>333.901338332869*Deflactores!$M$5</f>
        <v>672.00708227883479</v>
      </c>
      <c r="Q57" s="57">
        <f>392.665975381419*Deflactores!$N$5</f>
        <v>775.23671434101618</v>
      </c>
      <c r="R57" s="57">
        <f>379.755159107159*Deflactores!$O$5</f>
        <v>723.27514191785929</v>
      </c>
      <c r="S57" s="57">
        <f>420.96978830496*Deflactores!$P$5</f>
        <v>750.93361013731794</v>
      </c>
      <c r="T57" s="57">
        <f>359.560593072379*Deflactores!$Q$5</f>
        <v>606.51608906212402</v>
      </c>
      <c r="U57" s="57">
        <f>390.03882353523*Deflactores!$R$5</f>
        <v>632.07566037528636</v>
      </c>
      <c r="V57" s="57">
        <f>387.771585459175*Deflactores!$S$5</f>
        <v>609.03421003421181</v>
      </c>
    </row>
    <row r="58" spans="3:22" x14ac:dyDescent="0.2">
      <c r="C58" s="87" t="s">
        <v>129</v>
      </c>
      <c r="D58" s="56">
        <f>5881.91373975177*Deflactores!$A$5</f>
        <v>21354.63562114472</v>
      </c>
      <c r="E58" s="56">
        <f>6947.40810941065*Deflactores!$B$5</f>
        <v>23430.90879446796</v>
      </c>
      <c r="F58" s="56">
        <f>7730.99037241553*Deflactores!$C$5</f>
        <v>24369.734441118908</v>
      </c>
      <c r="G58" s="56">
        <f>8808.48702220741*Deflactores!$D$5</f>
        <v>26073.696277527732</v>
      </c>
      <c r="H58" s="56">
        <f>10078.3201526931*Deflactores!$E$5</f>
        <v>28278.045866680084</v>
      </c>
      <c r="I58" s="56">
        <f>10852.1433011549*Deflactores!$F$5</f>
        <v>29039.352901722297</v>
      </c>
      <c r="J58" s="56">
        <f>12144.4291571101*Deflactores!$G$5</f>
        <v>31104.547282924235</v>
      </c>
      <c r="K58" s="56">
        <f>13431.0951703976*Deflactores!$H$5</f>
        <v>32546.626198654929</v>
      </c>
      <c r="L58" s="56">
        <f>17327.3184244465*Deflactores!$I$5</f>
        <v>38995.416305197548</v>
      </c>
      <c r="M58" s="56">
        <f>18623.6404871569*Deflactores!$J$5</f>
        <v>41090.262359226297</v>
      </c>
      <c r="N58" s="56">
        <f>18833.9624423044*Deflactores!$K$5</f>
        <v>40277.031941393892</v>
      </c>
      <c r="O58" s="56">
        <f>19775.5839186463*Deflactores!$L$5</f>
        <v>40771.30157449915</v>
      </c>
      <c r="P58" s="56">
        <f>21824.7604315287*Deflactores!$M$5</f>
        <v>43924.333014817443</v>
      </c>
      <c r="Q58" s="56">
        <f>24283.2640073708*Deflactores!$N$5</f>
        <v>47942.218024527137</v>
      </c>
      <c r="R58" s="56">
        <f>24948.0287152259*Deflactores!$O$5</f>
        <v>47515.586231928246</v>
      </c>
      <c r="S58" s="56">
        <f>24916.987124885*Deflactores!$P$5</f>
        <v>44447.377496553956</v>
      </c>
      <c r="T58" s="56">
        <f>26624.7216499076*Deflactores!$Q$5</f>
        <v>44911.267693395384</v>
      </c>
      <c r="U58" s="56">
        <f>27747.0714475556*Deflactores!$R$5</f>
        <v>44965.39177749271</v>
      </c>
      <c r="V58" s="56">
        <f>29320.7494564517*Deflactores!$S$5</f>
        <v>46051.181036577385</v>
      </c>
    </row>
    <row r="59" spans="3:22" x14ac:dyDescent="0.2">
      <c r="C59" s="88" t="s">
        <v>130</v>
      </c>
      <c r="D59" s="57">
        <f>26.603475762*Deflactores!$A$5</f>
        <v>96.58549177864019</v>
      </c>
      <c r="E59" s="57">
        <f>64.91539123375*Deflactores!$B$5</f>
        <v>218.93439789363839</v>
      </c>
      <c r="F59" s="57">
        <f>18.90077657762*Deflactores!$C$5</f>
        <v>59.579288517934621</v>
      </c>
      <c r="G59" s="57">
        <f>25.20614692689*Deflactores!$D$5</f>
        <v>74.611839427308368</v>
      </c>
      <c r="H59" s="57">
        <f>74.30795957286*Deflactores!$E$5</f>
        <v>208.49544936308115</v>
      </c>
      <c r="I59" s="57">
        <f>58.92850796696*Deflactores!$F$5</f>
        <v>157.68735182868366</v>
      </c>
      <c r="J59" s="57">
        <f>78.58331069448*Deflactores!$G$5</f>
        <v>201.26909807976733</v>
      </c>
      <c r="K59" s="57">
        <f>65.84680082625*Deflactores!$H$5</f>
        <v>159.56191104897064</v>
      </c>
      <c r="L59" s="57">
        <f>135.390795605289*Deflactores!$I$5</f>
        <v>304.69922172558017</v>
      </c>
      <c r="M59" s="57">
        <f>124.95618072685*Deflactores!$J$5</f>
        <v>275.6970235230844</v>
      </c>
      <c r="N59" s="57">
        <f>136.58452152435*Deflactores!$K$5</f>
        <v>292.09037413070013</v>
      </c>
      <c r="O59" s="57">
        <f>167.797271041419*Deflactores!$L$5</f>
        <v>345.94746578163114</v>
      </c>
      <c r="P59" s="57">
        <f>310.366959062489*Deflactores!$M$5</f>
        <v>624.6419844757072</v>
      </c>
      <c r="Q59" s="57">
        <f>369.69504137496*Deflactores!$N$5</f>
        <v>729.88541700181145</v>
      </c>
      <c r="R59" s="57">
        <f>337.52356759051*Deflactores!$O$5</f>
        <v>642.84157935761471</v>
      </c>
      <c r="S59" s="57">
        <f>428.83673213947*Deflactores!$P$5</f>
        <v>764.96680847723428</v>
      </c>
      <c r="T59" s="57">
        <f>401.467906677349*Deflactores!$Q$5</f>
        <v>677.20642732638942</v>
      </c>
      <c r="U59" s="57">
        <f>583.23011535326*Deflactores!$R$5</f>
        <v>945.15093900484135</v>
      </c>
      <c r="V59" s="57">
        <f>564.946889308079*Deflactores!$S$5</f>
        <v>887.30581441031211</v>
      </c>
    </row>
    <row r="60" spans="3:22" x14ac:dyDescent="0.2">
      <c r="C60" s="87" t="s">
        <v>131</v>
      </c>
      <c r="D60" s="56">
        <f>4824.89185791948*Deflactores!$A$5</f>
        <v>17517.055178991235</v>
      </c>
      <c r="E60" s="56">
        <f>7355.61319561733*Deflactores!$B$5</f>
        <v>24807.625980750836</v>
      </c>
      <c r="F60" s="56">
        <f>8511.17258616029*Deflactores!$C$5</f>
        <v>26829.035571861819</v>
      </c>
      <c r="G60" s="56">
        <f>9920.95650570156*Deflactores!$D$5</f>
        <v>29366.678529475888</v>
      </c>
      <c r="H60" s="56">
        <f>11347.2944263595*Deflactores!$E$5</f>
        <v>31838.571050511106</v>
      </c>
      <c r="I60" s="56">
        <f>12394.2352991389*Deflactores!$F$5</f>
        <v>33165.851464601918</v>
      </c>
      <c r="J60" s="56">
        <f>13268.6244936411*Deflactores!$G$5</f>
        <v>33983.858162670214</v>
      </c>
      <c r="K60" s="56">
        <f>14282.8304844543*Deflactores!$H$5</f>
        <v>34610.576348296876</v>
      </c>
      <c r="L60" s="56">
        <f>16167.5134576142*Deflactores!$I$5</f>
        <v>36385.256071133168</v>
      </c>
      <c r="M60" s="56">
        <f>18681.8026112268*Deflactores!$J$5</f>
        <v>41218.588340338865</v>
      </c>
      <c r="N60" s="56">
        <f>20347.653712593*Deflactores!$K$5</f>
        <v>43514.109206976653</v>
      </c>
      <c r="O60" s="56">
        <f>21735.8963187225*Deflactores!$L$5</f>
        <v>44812.875687937922</v>
      </c>
      <c r="P60" s="56">
        <f>23217.9549224761*Deflactores!$M$5</f>
        <v>46728.264767780849</v>
      </c>
      <c r="Q60" s="56">
        <f>25135.9094865312*Deflactores!$N$5</f>
        <v>49625.587914469761</v>
      </c>
      <c r="R60" s="56">
        <f>26899.5731738877*Deflactores!$O$5</f>
        <v>51232.464229362711</v>
      </c>
      <c r="S60" s="56">
        <f>29024.3217353681*Deflactores!$P$5</f>
        <v>51774.116119558581</v>
      </c>
      <c r="T60" s="56">
        <f>31329.8772504467*Deflactores!$Q$5</f>
        <v>52848.045605799343</v>
      </c>
      <c r="U60" s="56">
        <f>35535.1420296253*Deflactores!$R$5</f>
        <v>57586.314514345358</v>
      </c>
      <c r="V60" s="56">
        <f>38208.6798079095*Deflactores!$S$5</f>
        <v>60010.568066004504</v>
      </c>
    </row>
    <row r="61" spans="3:22" x14ac:dyDescent="0.2">
      <c r="C61" s="88" t="s">
        <v>132</v>
      </c>
      <c r="D61" s="57">
        <f>7.42959174125*Deflactores!$A$5</f>
        <v>26.973572117525737</v>
      </c>
      <c r="E61" s="57">
        <f>7.34176456840999*Deflactores!$B$5</f>
        <v>24.760919940755251</v>
      </c>
      <c r="F61" s="57">
        <f>7.08431658021*Deflactores!$C$5</f>
        <v>22.331280397467562</v>
      </c>
      <c r="G61" s="57">
        <f>7.32479480762*Deflactores!$D$5</f>
        <v>21.681870521872586</v>
      </c>
      <c r="H61" s="57">
        <f>8.91585595388999*Deflactores!$E$5</f>
        <v>25.016369770456464</v>
      </c>
      <c r="I61" s="57">
        <f>15.05970762703*Deflactores!$F$5</f>
        <v>40.298414077479279</v>
      </c>
      <c r="J61" s="57">
        <f>10.14335852377*Deflactores!$G$5</f>
        <v>25.979366401552159</v>
      </c>
      <c r="K61" s="57">
        <f>11.96833879616*Deflactores!$H$5</f>
        <v>29.002031783380474</v>
      </c>
      <c r="L61" s="57">
        <f>12.5750975601899*Deflactores!$I$5</f>
        <v>28.300464758945722</v>
      </c>
      <c r="M61" s="57">
        <f>11.03232457438*Deflactores!$J$5</f>
        <v>24.341165278938337</v>
      </c>
      <c r="N61" s="57">
        <f>13.01217580674*Deflactores!$K$5</f>
        <v>27.826954747339688</v>
      </c>
      <c r="O61" s="57">
        <f>15.8675247722536*Deflactores!$L$5</f>
        <v>32.714059943402795</v>
      </c>
      <c r="P61" s="57">
        <f>24.18997858279*Deflactores!$M$5</f>
        <v>48.6845515773364</v>
      </c>
      <c r="Q61" s="57">
        <f>23.16104684216*Deflactores!$N$5</f>
        <v>45.726635309243385</v>
      </c>
      <c r="R61" s="57">
        <f>27.61587641765*Deflactores!$O$5</f>
        <v>52.596723062623774</v>
      </c>
      <c r="S61" s="57">
        <f>27.58369218661*Deflactores!$P$5</f>
        <v>49.204294773767081</v>
      </c>
      <c r="T61" s="57">
        <f>36.02331163942*Deflactores!$Q$5</f>
        <v>60.765051875996313</v>
      </c>
      <c r="U61" s="57">
        <f>43.6476806825499*Deflactores!$R$5</f>
        <v>70.733052523373814</v>
      </c>
      <c r="V61" s="57">
        <f>44.53824278432*Deflactores!$S$5</f>
        <v>69.951782254339633</v>
      </c>
    </row>
    <row r="62" spans="3:22" x14ac:dyDescent="0.2">
      <c r="C62" s="87" t="s">
        <v>133</v>
      </c>
      <c r="D62" s="56">
        <f>621.54403203644*Deflactores!$A$5</f>
        <v>2256.5523592998866</v>
      </c>
      <c r="E62" s="56">
        <f>661.88006743621*Deflactores!$B$5</f>
        <v>2232.2643565399708</v>
      </c>
      <c r="F62" s="56">
        <f>691.7716481624*Deflactores!$C$5</f>
        <v>2180.6121269745545</v>
      </c>
      <c r="G62" s="56">
        <f>724.631717967719*Deflactores!$D$5</f>
        <v>2144.9571623048882</v>
      </c>
      <c r="H62" s="56">
        <f>787.042144125849*Deflactores!$E$5</f>
        <v>2208.3058995356291</v>
      </c>
      <c r="I62" s="56">
        <f>869.795175450029*Deflactores!$F$5</f>
        <v>2327.4931367171343</v>
      </c>
      <c r="J62" s="56">
        <f>957.45615143064*Deflactores!$G$5</f>
        <v>2452.2552479187734</v>
      </c>
      <c r="K62" s="56">
        <f>1092.26572364482*Deflactores!$H$5</f>
        <v>2646.8105367478315</v>
      </c>
      <c r="L62" s="56">
        <f>1260.01080119122*Deflactores!$I$5</f>
        <v>2835.6751193638129</v>
      </c>
      <c r="M62" s="56">
        <f>1456.19661795323*Deflactores!$J$5</f>
        <v>3212.8788740085251</v>
      </c>
      <c r="N62" s="56">
        <f>1536.28448403538*Deflactores!$K$5</f>
        <v>3285.3935768489287</v>
      </c>
      <c r="O62" s="56">
        <f>1679.74086024359*Deflactores!$L$5</f>
        <v>3463.1200505500956</v>
      </c>
      <c r="P62" s="56">
        <f>1962.82257856516*Deflactores!$M$5</f>
        <v>3950.3605485331709</v>
      </c>
      <c r="Q62" s="56">
        <f>2245.90387120121*Deflactores!$N$5</f>
        <v>4434.0667310035142</v>
      </c>
      <c r="R62" s="56">
        <f>2520.68938212396*Deflactores!$O$5</f>
        <v>4800.8616258774591</v>
      </c>
      <c r="S62" s="56">
        <f>2773.00677977144*Deflactores!$P$5</f>
        <v>4946.5402266837473</v>
      </c>
      <c r="T62" s="56">
        <f>3150.99100117048*Deflactores!$Q$5</f>
        <v>5315.1729514339731</v>
      </c>
      <c r="U62" s="56">
        <f>3410.07057018236*Deflactores!$R$5</f>
        <v>5526.1745178032443</v>
      </c>
      <c r="V62" s="56">
        <f>3602.7946200902*Deflactores!$S$5</f>
        <v>5658.5506974779455</v>
      </c>
    </row>
    <row r="63" spans="3:22" x14ac:dyDescent="0.2">
      <c r="C63" s="88" t="s">
        <v>134</v>
      </c>
      <c r="D63" s="57">
        <f>6806.96581948345*Deflactores!$A$5</f>
        <v>24713.091893590125</v>
      </c>
      <c r="E63" s="57">
        <f>6718.53843976681*Deflactores!$B$5</f>
        <v>22659.020304430815</v>
      </c>
      <c r="F63" s="57">
        <f>6077.78524182914*Deflactores!$C$5</f>
        <v>19158.478435312027</v>
      </c>
      <c r="G63" s="57">
        <f>5156.32402788919*Deflactores!$D$5</f>
        <v>15263.055536410311</v>
      </c>
      <c r="H63" s="57">
        <f>6087.24669545592*Deflactores!$E$5</f>
        <v>17079.775066472932</v>
      </c>
      <c r="I63" s="57">
        <f>6814.3126595591*Deflactores!$F$5</f>
        <v>18234.483697110001</v>
      </c>
      <c r="J63" s="57">
        <f>6107.26892976481*Deflactores!$G$5</f>
        <v>15642.055525037753</v>
      </c>
      <c r="K63" s="57">
        <f>6361.61671797591*Deflactores!$H$5</f>
        <v>15415.657376579118</v>
      </c>
      <c r="L63" s="57">
        <f>7157.64035577201*Deflactores!$I$5</f>
        <v>16108.387841618822</v>
      </c>
      <c r="M63" s="57">
        <f>6509.19753798562*Deflactores!$J$5</f>
        <v>14361.565600898817</v>
      </c>
      <c r="N63" s="57">
        <f>7320.81183237073*Deflactores!$K$5</f>
        <v>15655.790591735567</v>
      </c>
      <c r="O63" s="57">
        <f>8177.26581419854*Deflactores!$L$5</f>
        <v>16859.060745668899</v>
      </c>
      <c r="P63" s="57">
        <f>9290.26038949927*Deflactores!$M$5</f>
        <v>18697.50151086312</v>
      </c>
      <c r="Q63" s="57">
        <f>11990.3701812185*Deflactores!$N$5</f>
        <v>23672.474229505609</v>
      </c>
      <c r="R63" s="57">
        <f>13066.1136840597*Deflactores!$O$5</f>
        <v>24885.495305375058</v>
      </c>
      <c r="S63" s="57">
        <f>16781.4199862878*Deflactores!$P$5</f>
        <v>29935.003992269063</v>
      </c>
      <c r="T63" s="57">
        <f>17624.9703852634*Deflactores!$Q$5</f>
        <v>29730.254966383007</v>
      </c>
      <c r="U63" s="57">
        <f>20425.6630397675*Deflactores!$R$5</f>
        <v>33100.71632727603</v>
      </c>
      <c r="V63" s="57">
        <f>11445.7082551185*Deflactores!$S$5</f>
        <v>17976.634046519244</v>
      </c>
    </row>
    <row r="64" spans="3:22" x14ac:dyDescent="0.2">
      <c r="C64" s="87" t="s">
        <v>135</v>
      </c>
      <c r="D64" s="56"/>
      <c r="E64" s="56"/>
      <c r="F64" s="56"/>
      <c r="G64" s="56"/>
      <c r="H64" s="56"/>
      <c r="I64" s="56"/>
      <c r="J64" s="56"/>
      <c r="K64" s="56"/>
      <c r="L64" s="56"/>
      <c r="M64" s="56"/>
      <c r="N64" s="56"/>
      <c r="O64" s="56"/>
      <c r="P64" s="56"/>
      <c r="Q64" s="56"/>
      <c r="R64" s="56"/>
      <c r="S64" s="56"/>
      <c r="T64" s="56"/>
      <c r="U64" s="56"/>
      <c r="V64" s="56"/>
    </row>
    <row r="65" spans="3:22" x14ac:dyDescent="0.2">
      <c r="C65" s="88" t="s">
        <v>136</v>
      </c>
      <c r="D65" s="57">
        <f>54.06818210638*Deflactores!$A$5</f>
        <v>196.29773210991851</v>
      </c>
      <c r="E65" s="57">
        <f>156.03351264116*Deflactores!$B$5</f>
        <v>526.24042606957539</v>
      </c>
      <c r="F65" s="57">
        <f>116.737053168769*Deflactores!$C$5</f>
        <v>367.98014848294423</v>
      </c>
      <c r="G65" s="57">
        <f>102.91874749474*Deflactores!$D$5</f>
        <v>304.64620730847599</v>
      </c>
      <c r="H65" s="57">
        <f>230.08568841876*Deflactores!$E$5</f>
        <v>645.58116350706939</v>
      </c>
      <c r="I65" s="57">
        <f>452.764051823859*Deflactores!$F$5</f>
        <v>1211.5556086259476</v>
      </c>
      <c r="J65" s="57">
        <f>1245.57530626533*Deflactores!$G$5</f>
        <v>3190.1916102405035</v>
      </c>
      <c r="K65" s="57">
        <f>1476.65727996834*Deflactores!$H$5</f>
        <v>3578.2795002880894</v>
      </c>
      <c r="L65" s="57">
        <f>2174.34734881444*Deflactores!$I$5</f>
        <v>4893.4046216577317</v>
      </c>
      <c r="M65" s="57">
        <f>2234.54215901973*Deflactores!$J$5</f>
        <v>4930.1812731077734</v>
      </c>
      <c r="N65" s="57">
        <f>3283.93712709223*Deflactores!$K$5</f>
        <v>7022.8047319626967</v>
      </c>
      <c r="O65" s="57">
        <f>3428.9067537989*Deflactores!$L$5</f>
        <v>7069.3736228013058</v>
      </c>
      <c r="P65" s="57">
        <f>5324.01164781371*Deflactores!$M$5</f>
        <v>10715.061974082628</v>
      </c>
      <c r="Q65" s="57">
        <f>5703.66861035763*Deflactores!$N$5</f>
        <v>11260.698890166368</v>
      </c>
      <c r="R65" s="57">
        <f>8200.45284064014*Deflactores!$O$5</f>
        <v>15618.441382203984</v>
      </c>
      <c r="S65" s="57">
        <f>9198.92187971639*Deflactores!$P$5</f>
        <v>16409.205145862961</v>
      </c>
      <c r="T65" s="57">
        <f>8072.71119149081*Deflactores!$Q$5</f>
        <v>13617.257603659147</v>
      </c>
      <c r="U65" s="57">
        <f>8425.60075274613*Deflactores!$R$5</f>
        <v>13654.069386170957</v>
      </c>
      <c r="V65" s="57">
        <f>8160.46466088949*Deflactores!$S$5</f>
        <v>12816.829119575033</v>
      </c>
    </row>
    <row r="66" spans="3:22" x14ac:dyDescent="0.2">
      <c r="C66" s="87" t="s">
        <v>137</v>
      </c>
      <c r="D66" s="56">
        <f>52.36382960982*Deflactores!$A$5</f>
        <v>190.10997959528149</v>
      </c>
      <c r="E66" s="56">
        <f>56.64597756318*Deflactores!$B$5</f>
        <v>191.04487788165093</v>
      </c>
      <c r="F66" s="56">
        <f>66.7935527438599*Deflactores!$C$5</f>
        <v>210.54755785941447</v>
      </c>
      <c r="G66" s="56">
        <f>55.5134419879299*Deflactores!$D$5</f>
        <v>164.32341014571995</v>
      </c>
      <c r="H66" s="56">
        <f>87.6846844124899*Deflactores!$E$5</f>
        <v>246.0282557067984</v>
      </c>
      <c r="I66" s="56">
        <f>179.8454649801*Deflactores!$F$5</f>
        <v>481.25018076158898</v>
      </c>
      <c r="J66" s="56">
        <f>82.0608690253499*Deflactores!$G$5</f>
        <v>210.1758878623354</v>
      </c>
      <c r="K66" s="56">
        <f>122.86258941415*Deflactores!$H$5</f>
        <v>297.72425261899048</v>
      </c>
      <c r="L66" s="56">
        <f>133.09034554109*Deflactores!$I$5</f>
        <v>299.5220208601425</v>
      </c>
      <c r="M66" s="56">
        <f>123.828854965*Deflactores!$J$5</f>
        <v>273.20974874183656</v>
      </c>
      <c r="N66" s="56">
        <f>152.95341866069*Deflactores!$K$5</f>
        <v>327.09578495836928</v>
      </c>
      <c r="O66" s="56">
        <f>179.75661791419*Deflactores!$L$5</f>
        <v>370.60403926081096</v>
      </c>
      <c r="P66" s="56">
        <f>252.452546651291*Deflactores!$M$5</f>
        <v>508.08391525484126</v>
      </c>
      <c r="Q66" s="56">
        <f>314.463332573849*Deflactores!$N$5</f>
        <v>620.84197768466197</v>
      </c>
      <c r="R66" s="56">
        <f>514.93637249642*Deflactores!$O$5</f>
        <v>980.7389549931587</v>
      </c>
      <c r="S66" s="56">
        <f>330.83620690153*Deflactores!$P$5</f>
        <v>590.15167861103112</v>
      </c>
      <c r="T66" s="56">
        <f>293.586107415039*Deflactores!$Q$5</f>
        <v>495.22862377885212</v>
      </c>
      <c r="U66" s="56">
        <f>321.564264145469*Deflactores!$R$5</f>
        <v>521.10952127944165</v>
      </c>
      <c r="V66" s="56">
        <f>553.610203594419*Deflactores!$S$5</f>
        <v>869.5004112118047</v>
      </c>
    </row>
    <row r="67" spans="3:22" x14ac:dyDescent="0.2">
      <c r="C67" s="88" t="s">
        <v>138</v>
      </c>
      <c r="D67" s="57">
        <f>144.637709481219*Deflactores!$A$5</f>
        <v>525.11575648825647</v>
      </c>
      <c r="E67" s="57">
        <f>169.40609887143*Deflactores!$B$5</f>
        <v>571.34096477021524</v>
      </c>
      <c r="F67" s="57">
        <f>165.34751289257*Deflactores!$C$5</f>
        <v>521.21070982945946</v>
      </c>
      <c r="G67" s="57">
        <f>206.74813731476*Deflactores!$D$5</f>
        <v>611.98797531278444</v>
      </c>
      <c r="H67" s="57">
        <f>191.91146700714*Deflactores!$E$5</f>
        <v>538.47081499188243</v>
      </c>
      <c r="I67" s="57">
        <f>222.00826227328*Deflactores!$F$5</f>
        <v>594.07400882421098</v>
      </c>
      <c r="J67" s="57">
        <f>236.00417173566*Deflactores!$G$5</f>
        <v>604.45845776303509</v>
      </c>
      <c r="K67" s="57">
        <f>224.50955914967*Deflactores!$H$5</f>
        <v>544.0381895121966</v>
      </c>
      <c r="L67" s="57">
        <f>291.45233544477*Deflactores!$I$5</f>
        <v>655.9182947637172</v>
      </c>
      <c r="M67" s="57">
        <f>243.07101533208*Deflactores!$J$5</f>
        <v>536.29964553957291</v>
      </c>
      <c r="N67" s="57">
        <f>248.66384747855*Deflactores!$K$5</f>
        <v>531.77560262449128</v>
      </c>
      <c r="O67" s="57">
        <f>255.05853423416*Deflactores!$L$5</f>
        <v>525.85392477869743</v>
      </c>
      <c r="P67" s="57">
        <f>156.5973138412*Deflactores!$M$5</f>
        <v>315.16646352048662</v>
      </c>
      <c r="Q67" s="57">
        <f>156.48146447372*Deflactores!$N$5</f>
        <v>308.93987251134149</v>
      </c>
      <c r="R67" s="57">
        <f>97.06348776836*Deflactores!$O$5</f>
        <v>184.86544871637409</v>
      </c>
      <c r="S67" s="57">
        <f>78.46766439643*Deflactores!$P$5</f>
        <v>139.97205533801582</v>
      </c>
      <c r="T67" s="57">
        <f>91.8446310290399*Deflactores!$Q$5</f>
        <v>154.92589423411511</v>
      </c>
      <c r="U67" s="57">
        <f>91.9497718633*Deflactores!$R$5</f>
        <v>149.00878903559376</v>
      </c>
      <c r="V67" s="57">
        <f>93.36722012821*Deflactores!$S$5</f>
        <v>146.64259395525363</v>
      </c>
    </row>
    <row r="68" spans="3:22" x14ac:dyDescent="0.2">
      <c r="C68" s="87" t="s">
        <v>139</v>
      </c>
      <c r="D68" s="56">
        <f>413.40173080963*Deflactores!$A$5</f>
        <v>1500.879427545425</v>
      </c>
      <c r="E68" s="56">
        <f>533.22403580734*Deflactores!$B$5</f>
        <v>1798.357538993022</v>
      </c>
      <c r="F68" s="56">
        <f>512.80101290003*Deflactores!$C$5</f>
        <v>1616.4584229854522</v>
      </c>
      <c r="G68" s="56">
        <f>557.405157613669*Deflactores!$D$5</f>
        <v>1649.9556333005928</v>
      </c>
      <c r="H68" s="56">
        <f>697.622031276819*Deflactores!$E$5</f>
        <v>1957.4083278929097</v>
      </c>
      <c r="I68" s="56">
        <f>792.303419785259*Deflactores!$F$5</f>
        <v>2120.1322147982528</v>
      </c>
      <c r="J68" s="56">
        <f>970.124627974879*Deflactores!$G$5</f>
        <v>2484.7019955242131</v>
      </c>
      <c r="K68" s="56">
        <f>982.30386412967*Deflactores!$H$5</f>
        <v>2380.3477135495768</v>
      </c>
      <c r="L68" s="56">
        <f>1297.2355110867*Deflactores!$I$5</f>
        <v>2919.449943814805</v>
      </c>
      <c r="M68" s="56">
        <f>1367.38956487006*Deflactores!$J$5</f>
        <v>3016.9394650055615</v>
      </c>
      <c r="N68" s="56">
        <f>2095.37806691872*Deflactores!$K$5</f>
        <v>4481.0331118115673</v>
      </c>
      <c r="O68" s="56">
        <f>5649.93438843847*Deflactores!$L$5</f>
        <v>11648.46407442652</v>
      </c>
      <c r="P68" s="56">
        <f>1643.26308366034*Deflactores!$M$5</f>
        <v>3307.2177421650099</v>
      </c>
      <c r="Q68" s="56">
        <f>2148.34818906695*Deflactores!$N$5</f>
        <v>4241.4634721914981</v>
      </c>
      <c r="R68" s="56">
        <f>2486.82270968169*Deflactores!$O$5</f>
        <v>4736.3597442583687</v>
      </c>
      <c r="S68" s="56">
        <f>2490.18155755272*Deflactores!$P$5</f>
        <v>4442.0314209241815</v>
      </c>
      <c r="T68" s="56">
        <f>2636.15104992493*Deflactores!$Q$5</f>
        <v>4446.7276330685963</v>
      </c>
      <c r="U68" s="56">
        <f>2949.40497780709*Deflactores!$R$5</f>
        <v>4779.6449649920205</v>
      </c>
      <c r="V68" s="56">
        <f>3070.80131481369*Deflactores!$S$5</f>
        <v>4823.0017955672874</v>
      </c>
    </row>
    <row r="69" spans="3:22" x14ac:dyDescent="0.2">
      <c r="C69" s="88" t="s">
        <v>140</v>
      </c>
      <c r="D69" s="57">
        <f>309.757081501569*Deflactores!$A$5</f>
        <v>1124.591399875645</v>
      </c>
      <c r="E69" s="57">
        <f>441.925348982909*Deflactores!$B$5</f>
        <v>1490.4425338070944</v>
      </c>
      <c r="F69" s="57">
        <f>332.931425775439*Deflactores!$C$5</f>
        <v>1049.4710305421722</v>
      </c>
      <c r="G69" s="57">
        <f>406.223466201749*Deflactores!$D$5</f>
        <v>1202.4479631797947</v>
      </c>
      <c r="H69" s="57">
        <f>709.127706727039*Deflactores!$E$5</f>
        <v>1989.6912890589642</v>
      </c>
      <c r="I69" s="57">
        <f>681.70120858793*Deflactores!$F$5</f>
        <v>1824.1707117532042</v>
      </c>
      <c r="J69" s="57">
        <f>624.019105144749*Deflactores!$G$5</f>
        <v>1598.2498238757644</v>
      </c>
      <c r="K69" s="57">
        <f>2377.9116898085*Deflactores!$H$5</f>
        <v>5762.2257842521167</v>
      </c>
      <c r="L69" s="57">
        <f>1504.33899665569*Deflactores!$I$5</f>
        <v>3385.5397587642419</v>
      </c>
      <c r="M69" s="57">
        <f>6162.70369877785*Deflactores!$J$5</f>
        <v>13597.079045828059</v>
      </c>
      <c r="N69" s="57">
        <f>1133.38981735684*Deflactores!$K$5</f>
        <v>2423.7904272971809</v>
      </c>
      <c r="O69" s="57">
        <f>1701.3820327694*Deflactores!$L$5</f>
        <v>3507.7376342889811</v>
      </c>
      <c r="P69" s="57">
        <f>2081.58133547163*Deflactores!$M$5</f>
        <v>4189.3734441455226</v>
      </c>
      <c r="Q69" s="57">
        <f>2711.56927480003*Deflactores!$N$5</f>
        <v>5353.4255247405363</v>
      </c>
      <c r="R69" s="57">
        <f>2343.60665189978*Deflactores!$O$5</f>
        <v>4463.5929048014286</v>
      </c>
      <c r="S69" s="57">
        <f>2577.39333589426*Deflactores!$P$5</f>
        <v>4597.6013866934727</v>
      </c>
      <c r="T69" s="57">
        <f>2531.02105345927*Deflactores!$Q$5</f>
        <v>4269.3916415056074</v>
      </c>
      <c r="U69" s="57">
        <f>3120.89471841559*Deflactores!$R$5</f>
        <v>5057.5518924620592</v>
      </c>
      <c r="V69" s="57">
        <f>3447.35700163345*Deflactores!$S$5</f>
        <v>5414.4203106309888</v>
      </c>
    </row>
    <row r="70" spans="3:22" x14ac:dyDescent="0.2">
      <c r="C70" s="87" t="s">
        <v>141</v>
      </c>
      <c r="D70" s="56">
        <f>352.64739156511*Deflactores!$A$5</f>
        <v>1280.3072066027746</v>
      </c>
      <c r="E70" s="56">
        <f>367.45480569193*Deflactores!$B$5</f>
        <v>1239.2823197753571</v>
      </c>
      <c r="F70" s="56">
        <f>390.875434072709*Deflactores!$C$5</f>
        <v>1232.1229323860573</v>
      </c>
      <c r="G70" s="56">
        <f>396.75453811597*Deflactores!$D$5</f>
        <v>1174.4193182649631</v>
      </c>
      <c r="H70" s="56">
        <f>451.44203439654*Deflactores!$E$5</f>
        <v>1266.6692823209689</v>
      </c>
      <c r="I70" s="56">
        <f>471.625958027559*Deflactores!$F$5</f>
        <v>1262.0283618368398</v>
      </c>
      <c r="J70" s="56">
        <f>528.43712089638*Deflactores!$G$5</f>
        <v>1353.4433937020976</v>
      </c>
      <c r="K70" s="56">
        <f>590.76663871212*Deflactores!$H$5</f>
        <v>1431.5631537759407</v>
      </c>
      <c r="L70" s="56">
        <f>671.67641867565*Deflactores!$I$5</f>
        <v>1511.6188741408102</v>
      </c>
      <c r="M70" s="56">
        <f>758.944049642529*Deflactores!$J$5</f>
        <v>1674.4959256108332</v>
      </c>
      <c r="N70" s="56">
        <f>858.19037791544*Deflactores!$K$5</f>
        <v>1835.2676113156717</v>
      </c>
      <c r="O70" s="56">
        <f>906.069902489629*Deflactores!$L$5</f>
        <v>1868.0434112061591</v>
      </c>
      <c r="P70" s="56">
        <f>1026.3630100729*Deflactores!$M$5</f>
        <v>2065.6497371400801</v>
      </c>
      <c r="Q70" s="56">
        <f>1162.62648058361*Deflactores!$N$5</f>
        <v>2295.3624437105918</v>
      </c>
      <c r="R70" s="56">
        <f>1298.27226840443*Deflactores!$O$5</f>
        <v>2472.6670241582333</v>
      </c>
      <c r="S70" s="56">
        <f>1456.69575508222*Deflactores!$P$5</f>
        <v>2598.4805385681625</v>
      </c>
      <c r="T70" s="56">
        <f>1494.51239856958*Deflactores!$Q$5</f>
        <v>2520.9820889710509</v>
      </c>
      <c r="U70" s="56">
        <f>1697.94734207123*Deflactores!$R$5</f>
        <v>2751.6009247351144</v>
      </c>
      <c r="V70" s="56">
        <f>1803.85482749127*Deflactores!$S$5</f>
        <v>2833.1351266407009</v>
      </c>
    </row>
    <row r="71" spans="3:22" x14ac:dyDescent="0.2">
      <c r="C71" s="88" t="s">
        <v>142</v>
      </c>
      <c r="D71" s="57">
        <f>336.83319619929*Deflactores!$A$5</f>
        <v>1222.892835256871</v>
      </c>
      <c r="E71" s="57">
        <f>1043.56592753335*Deflactores!$B$5</f>
        <v>3519.5424946933958</v>
      </c>
      <c r="F71" s="57">
        <f>836.097785681349*Deflactores!$C$5</f>
        <v>2635.5589675240735</v>
      </c>
      <c r="G71" s="57">
        <f>387.801293198419*Deflactores!$D$5</f>
        <v>1147.9171291727844</v>
      </c>
      <c r="H71" s="57">
        <f>255.34552804986*Deflactores!$E$5</f>
        <v>716.45596137527934</v>
      </c>
      <c r="I71" s="57">
        <f>147.23123168022*Deflactores!$F$5</f>
        <v>393.97744540123608</v>
      </c>
      <c r="J71" s="57">
        <f>246.22332915672*Deflactores!$G$5</f>
        <v>630.63196176910117</v>
      </c>
      <c r="K71" s="57">
        <f>370.03487913985*Deflactores!$H$5</f>
        <v>896.67943969103976</v>
      </c>
      <c r="L71" s="57">
        <f>571.82257794053*Deflactores!$I$5</f>
        <v>1286.8961563055325</v>
      </c>
      <c r="M71" s="57">
        <f>1046.57592461201*Deflactores!$J$5</f>
        <v>2309.1124074701452</v>
      </c>
      <c r="N71" s="57">
        <f>931.634053139369*Deflactores!$K$5</f>
        <v>1992.3292632091232</v>
      </c>
      <c r="O71" s="57">
        <f>804.37928149938*Deflactores!$L$5</f>
        <v>1658.3879596782658</v>
      </c>
      <c r="P71" s="57">
        <f>899.834267707099*Deflactores!$M$5</f>
        <v>1810.9990328146998</v>
      </c>
      <c r="Q71" s="57">
        <f>482.379970939109*Deflactores!$N$5</f>
        <v>952.35820565176857</v>
      </c>
      <c r="R71" s="57">
        <f>327.581717551169*Deflactores!$O$5</f>
        <v>623.90650283347611</v>
      </c>
      <c r="S71" s="57">
        <f>290.39337988307*Deflactores!$P$5</f>
        <v>518.00902386277494</v>
      </c>
      <c r="T71" s="57">
        <f>436.670964527079*Deflactores!$Q$5</f>
        <v>736.58785393825383</v>
      </c>
      <c r="U71" s="57">
        <f>415.70359143943*Deflactores!$R$5</f>
        <v>673.66658451558658</v>
      </c>
      <c r="V71" s="57">
        <f>364.110666396392*Deflactores!$S$5</f>
        <v>571.87236091878049</v>
      </c>
    </row>
    <row r="72" spans="3:22" x14ac:dyDescent="0.2">
      <c r="C72" s="87" t="s">
        <v>143</v>
      </c>
      <c r="D72" s="56">
        <f>762.28565926158*Deflactores!$A$5</f>
        <v>2767.5231587877902</v>
      </c>
      <c r="E72" s="56">
        <f>772.33627741254*Deflactores!$B$5</f>
        <v>2604.7902454728924</v>
      </c>
      <c r="F72" s="56">
        <f>979.07513374427*Deflactores!$C$5</f>
        <v>3086.2541353541874</v>
      </c>
      <c r="G72" s="56">
        <f>803.92326195932*Deflactores!$D$5</f>
        <v>2379.6653057353064</v>
      </c>
      <c r="H72" s="56">
        <f>707.358496502559*Deflactores!$E$5</f>
        <v>1984.7271871930122</v>
      </c>
      <c r="I72" s="56">
        <f>642.02551454637*Deflactores!$F$5</f>
        <v>1718.0021468052084</v>
      </c>
      <c r="J72" s="56">
        <f>214.75170458604*Deflactores!$G$5</f>
        <v>550.02622708489491</v>
      </c>
      <c r="K72" s="56">
        <f>356.116927279849*Deflactores!$H$5</f>
        <v>862.95304799390487</v>
      </c>
      <c r="L72" s="56">
        <f>317.12580321259*Deflactores!$I$5</f>
        <v>713.69685801743617</v>
      </c>
      <c r="M72" s="56">
        <f>293.70969434575*Deflactores!$J$5</f>
        <v>648.02627641130084</v>
      </c>
      <c r="N72" s="56">
        <f>282.71764181632*Deflactores!$K$5</f>
        <v>604.60073257097542</v>
      </c>
      <c r="O72" s="56">
        <f>307.59308730923*Deflactores!$L$5</f>
        <v>634.16436027919474</v>
      </c>
      <c r="P72" s="56">
        <f>851.40714584752*Deflactores!$M$5</f>
        <v>1713.535006385508</v>
      </c>
      <c r="Q72" s="56">
        <f>598.2181961041*Deflactores!$N$5</f>
        <v>1181.0565159262267</v>
      </c>
      <c r="R72" s="56">
        <f>653.539564976409*Deflactores!$O$5</f>
        <v>1244.7202105656327</v>
      </c>
      <c r="S72" s="56">
        <f>662.58467391706*Deflactores!$P$5</f>
        <v>1181.930663503467</v>
      </c>
      <c r="T72" s="56">
        <f>788.16224678059*Deflactores!$Q$5</f>
        <v>1329.4924212330263</v>
      </c>
      <c r="U72" s="56">
        <f>1810.42298979981*Deflactores!$R$5</f>
        <v>2933.8728295414289</v>
      </c>
      <c r="V72" s="56">
        <f>1458.5010537872*Deflactores!$S$5</f>
        <v>2290.7223490228412</v>
      </c>
    </row>
    <row r="73" spans="3:22" x14ac:dyDescent="0.2">
      <c r="C73" s="88" t="s">
        <v>144</v>
      </c>
      <c r="D73" s="57">
        <f>693.862779051269*Deflactores!$A$5</f>
        <v>2519.1098464391989</v>
      </c>
      <c r="E73" s="57">
        <f>784.09983190526*Deflactores!$B$5</f>
        <v>2644.4641451599309</v>
      </c>
      <c r="F73" s="57">
        <f>812.050661123999*Deflactores!$C$5</f>
        <v>2559.7572899503853</v>
      </c>
      <c r="G73" s="57">
        <f>812.517173549489*Deflactores!$D$5</f>
        <v>2405.1038447344636</v>
      </c>
      <c r="H73" s="57">
        <f>1029.04818081038*Deflactores!$E$5</f>
        <v>2887.3335253399096</v>
      </c>
      <c r="I73" s="57">
        <f>1073.3435872458*Deflactores!$F$5</f>
        <v>2872.1702570509069</v>
      </c>
      <c r="J73" s="57">
        <f>1206.12366606426*Deflactores!$G$5</f>
        <v>3089.1473048929229</v>
      </c>
      <c r="K73" s="57">
        <f>1307.56467704721*Deflactores!$H$5</f>
        <v>3168.5293145875821</v>
      </c>
      <c r="L73" s="57">
        <f>1451.32637262575*Deflactores!$I$5</f>
        <v>3266.2339727886224</v>
      </c>
      <c r="M73" s="57">
        <f>1672.32797060951*Deflactores!$J$5</f>
        <v>3689.7402046825887</v>
      </c>
      <c r="N73" s="57">
        <f>1821.33226706957*Deflactores!$K$5</f>
        <v>3894.9773910495724</v>
      </c>
      <c r="O73" s="57">
        <f>2040.10172878113*Deflactores!$L$5</f>
        <v>4206.0756925799178</v>
      </c>
      <c r="P73" s="57">
        <f>2328.11987771129*Deflactores!$M$5</f>
        <v>4685.554882851191</v>
      </c>
      <c r="Q73" s="57">
        <f>2773.10784260678*Deflactores!$N$5</f>
        <v>5474.9205360294982</v>
      </c>
      <c r="R73" s="57">
        <f>3002.92687640084*Deflactores!$O$5</f>
        <v>5719.3228600349166</v>
      </c>
      <c r="S73" s="57">
        <f>3180.34400385011*Deflactores!$P$5</f>
        <v>5673.155819342669</v>
      </c>
      <c r="T73" s="57">
        <f>3463.96809289669*Deflactores!$Q$5</f>
        <v>5843.1107880522559</v>
      </c>
      <c r="U73" s="57">
        <f>3755.62860572644*Deflactores!$R$5</f>
        <v>6086.1670373550387</v>
      </c>
      <c r="V73" s="57">
        <f>4164.08767681703*Deflactores!$S$5</f>
        <v>6540.1178009481991</v>
      </c>
    </row>
    <row r="74" spans="3:22" x14ac:dyDescent="0.2">
      <c r="C74" s="87" t="s">
        <v>145</v>
      </c>
      <c r="D74" s="56">
        <f>198.42565235831*Deflactores!$A$5</f>
        <v>720.39606350610461</v>
      </c>
      <c r="E74" s="56">
        <f>176.0110872857*Deflactores!$B$5</f>
        <v>593.61702494777205</v>
      </c>
      <c r="F74" s="56">
        <f>192.58197455976*Deflactores!$C$5</f>
        <v>607.05955538543742</v>
      </c>
      <c r="G74" s="56">
        <f>295.891924976569*Deflactores!$D$5</f>
        <v>875.85940279658848</v>
      </c>
      <c r="H74" s="56">
        <f>142.20019158814*Deflactores!$E$5</f>
        <v>398.9894624359199</v>
      </c>
      <c r="I74" s="56">
        <f>191.68116008835*Deflactores!$F$5</f>
        <v>512.92142924658481</v>
      </c>
      <c r="J74" s="56">
        <f>475.68494288053*Deflactores!$G$5</f>
        <v>1218.3334931753532</v>
      </c>
      <c r="K74" s="56">
        <f>419.03946525936*Deflactores!$H$5</f>
        <v>1015.4287990111012</v>
      </c>
      <c r="L74" s="56">
        <f>348.54694123238*Deflactores!$I$5</f>
        <v>784.41064810604428</v>
      </c>
      <c r="M74" s="56">
        <f>402.955098376899*Deflactores!$J$5</f>
        <v>889.05983353323995</v>
      </c>
      <c r="N74" s="56">
        <f>716.36426021535*Deflactores!$K$5</f>
        <v>1531.9679158729591</v>
      </c>
      <c r="O74" s="56">
        <f>564.839845555461*Deflactores!$L$5</f>
        <v>1164.5297443136963</v>
      </c>
      <c r="P74" s="56">
        <f>410.429861251859*Deflactores!$M$5</f>
        <v>826.02775693282717</v>
      </c>
      <c r="Q74" s="56">
        <f>537.560049782133*Deflactores!$N$5</f>
        <v>1061.2997124319061</v>
      </c>
      <c r="R74" s="56">
        <f>1073.65827488547*Deflactores!$O$5</f>
        <v>2044.8710768401861</v>
      </c>
      <c r="S74" s="56">
        <f>819.10191569458*Deflactores!$P$5</f>
        <v>1461.1289829125176</v>
      </c>
      <c r="T74" s="56">
        <f>684.70982323829*Deflactores!$Q$5</f>
        <v>1154.9862029772244</v>
      </c>
      <c r="U74" s="56">
        <f>732.16183776984*Deflactores!$R$5</f>
        <v>1186.5015716009984</v>
      </c>
      <c r="V74" s="56">
        <f>1770.72394119793*Deflactores!$S$5</f>
        <v>2781.0997431365063</v>
      </c>
    </row>
    <row r="75" spans="3:22" x14ac:dyDescent="0.2">
      <c r="C75" s="88" t="s">
        <v>146</v>
      </c>
      <c r="D75" s="57">
        <f>143.2508931459*Deflactores!$A$5</f>
        <v>520.08083778245475</v>
      </c>
      <c r="E75" s="57">
        <f>153.719172539669*Deflactores!$B$5</f>
        <v>518.43505592528197</v>
      </c>
      <c r="F75" s="57">
        <f>171.52468133569*Deflactores!$C$5</f>
        <v>540.68246536210279</v>
      </c>
      <c r="G75" s="57">
        <f>182.30649268251*Deflactores!$D$5</f>
        <v>539.63911255600544</v>
      </c>
      <c r="H75" s="57">
        <f>181.273906226719*Deflactores!$E$5</f>
        <v>508.62363539241704</v>
      </c>
      <c r="I75" s="57">
        <f>229.0185196803*Deflactores!$F$5</f>
        <v>612.83282292434376</v>
      </c>
      <c r="J75" s="57">
        <f>233.03605428581*Deflactores!$G$5</f>
        <v>596.8564578365025</v>
      </c>
      <c r="K75" s="57">
        <f>212.8868617293*Deflactores!$H$5</f>
        <v>515.87372611128274</v>
      </c>
      <c r="L75" s="57">
        <f>216.20465437638*Deflactores!$I$5</f>
        <v>486.57214567219489</v>
      </c>
      <c r="M75" s="57">
        <f>214.900023112499*Deflactores!$J$5</f>
        <v>474.14458718669238</v>
      </c>
      <c r="N75" s="57">
        <f>224.71179654166*Deflactores!$K$5</f>
        <v>480.55337450322844</v>
      </c>
      <c r="O75" s="57">
        <f>255.712782508129*Deflactores!$L$5</f>
        <v>527.20278779039518</v>
      </c>
      <c r="P75" s="57">
        <f>392.528971326293*Deflactores!$M$5</f>
        <v>790.00057336675866</v>
      </c>
      <c r="Q75" s="57">
        <f>410.622261718789*Deflactores!$N$5</f>
        <v>810.6876403053235</v>
      </c>
      <c r="R75" s="57">
        <f>475.539221088322*Deflactores!$O$5</f>
        <v>905.70381829390783</v>
      </c>
      <c r="S75" s="57">
        <f>595.572082704371*Deflactores!$P$5</f>
        <v>1062.3923772843468</v>
      </c>
      <c r="T75" s="57">
        <f>693.598866892939*Deflactores!$Q$5</f>
        <v>1169.9804712502075</v>
      </c>
      <c r="U75" s="57">
        <f>633.48167668526*Deflactores!$R$5</f>
        <v>1026.5858805984035</v>
      </c>
      <c r="V75" s="57">
        <f>623.73979111704*Deflactores!$S$5</f>
        <v>979.6459699336707</v>
      </c>
    </row>
    <row r="76" spans="3:22" x14ac:dyDescent="0.2">
      <c r="C76" s="90" t="s">
        <v>147</v>
      </c>
      <c r="D76" s="58">
        <f>4618.66673075931*Deflactores!$A$5</f>
        <v>16768.342661045415</v>
      </c>
      <c r="E76" s="58">
        <f>6179.43822516236*Deflactores!$B$5</f>
        <v>20840.844696988843</v>
      </c>
      <c r="F76" s="58">
        <f>7174.48003727636*Deflactores!$C$5</f>
        <v>22615.494889939357</v>
      </c>
      <c r="G76" s="58">
        <f>8335.44949941893*Deflactores!$D$5</f>
        <v>24673.474347704185</v>
      </c>
      <c r="H76" s="58">
        <f>10914.3628109887*Deflactores!$E$5</f>
        <v>30623.838844041162</v>
      </c>
      <c r="I76" s="58">
        <f>13936.8118548657*Deflactores!$F$5</f>
        <v>37293.646660128565</v>
      </c>
      <c r="J76" s="58">
        <f>15738.9955851166*Deflactores!$G$5</f>
        <v>40311.020471174612</v>
      </c>
      <c r="K76" s="58">
        <f>17048.3915029718*Deflactores!$H$5</f>
        <v>41312.165426277919</v>
      </c>
      <c r="L76" s="58">
        <f>18672.0854487718*Deflactores!$I$5</f>
        <v>42021.836704621921</v>
      </c>
      <c r="M76" s="58">
        <f>21054.915548604*Deflactores!$J$5</f>
        <v>46454.505199459323</v>
      </c>
      <c r="N76" s="58">
        <f>21943.0843924487*Deflactores!$K$5</f>
        <v>46925.988818061058</v>
      </c>
      <c r="O76" s="58">
        <f>23981.3250425867*Deflactores!$L$5</f>
        <v>49442.273840797963</v>
      </c>
      <c r="P76" s="58">
        <f>26819.6956422381*Deflactores!$M$5</f>
        <v>53977.098463078051</v>
      </c>
      <c r="Q76" s="58">
        <f>27898.0382791028*Deflactores!$N$5</f>
        <v>55078.832616050931</v>
      </c>
      <c r="R76" s="58">
        <f>34641.9495015201*Deflactores!$O$5</f>
        <v>65978.460966617393</v>
      </c>
      <c r="S76" s="58">
        <f>34274.8472402257*Deflactores!$P$5</f>
        <v>61140.099574942637</v>
      </c>
      <c r="T76" s="58">
        <f>35760.7535055644*Deflactores!$Q$5</f>
        <v>60322.162038884788</v>
      </c>
      <c r="U76" s="58">
        <f>38141.8044969005*Deflactores!$R$5</f>
        <v>61810.529646174735</v>
      </c>
      <c r="V76" s="58">
        <f>46553.4148375807*Deflactores!$S$5</f>
        <v>73116.812301828424</v>
      </c>
    </row>
    <row r="77" spans="3:22" ht="22.5" customHeight="1" x14ac:dyDescent="0.2">
      <c r="C77" s="89" t="s">
        <v>148</v>
      </c>
      <c r="D77" s="59">
        <f>0*Deflactores!$A$5</f>
        <v>0</v>
      </c>
      <c r="E77" s="59">
        <f>0*Deflactores!$B$5</f>
        <v>0</v>
      </c>
      <c r="F77" s="59">
        <f>0*Deflactores!$C$5</f>
        <v>0</v>
      </c>
      <c r="G77" s="59">
        <f>0*Deflactores!$D$5</f>
        <v>0</v>
      </c>
      <c r="H77" s="59">
        <f>0*Deflactores!$E$5</f>
        <v>0</v>
      </c>
      <c r="I77" s="59">
        <f>0*Deflactores!$F$5</f>
        <v>0</v>
      </c>
      <c r="J77" s="59">
        <f>0*Deflactores!$G$5</f>
        <v>0</v>
      </c>
      <c r="K77" s="59">
        <f>0*Deflactores!$H$5</f>
        <v>0</v>
      </c>
      <c r="L77" s="59">
        <f>0*Deflactores!$I$5</f>
        <v>0</v>
      </c>
      <c r="M77" s="59">
        <f>0*Deflactores!$J$5</f>
        <v>0</v>
      </c>
      <c r="N77" s="59">
        <f>0*Deflactores!$K$5</f>
        <v>0</v>
      </c>
      <c r="O77" s="59">
        <f>0*Deflactores!$L$5</f>
        <v>0</v>
      </c>
      <c r="P77" s="59">
        <f>0*Deflactores!$M$5</f>
        <v>0</v>
      </c>
      <c r="Q77" s="59">
        <f>0*Deflactores!$N$5</f>
        <v>0</v>
      </c>
      <c r="R77" s="59">
        <f>0*Deflactores!$O$5</f>
        <v>0</v>
      </c>
      <c r="S77" s="59">
        <f>0*Deflactores!$P$5</f>
        <v>0</v>
      </c>
      <c r="T77" s="59">
        <f>0*Deflactores!$Q$5</f>
        <v>0</v>
      </c>
      <c r="U77" s="59">
        <f>0.150079299*Deflactores!$R$5</f>
        <v>0.24321033266452963</v>
      </c>
      <c r="V77" s="59">
        <f>134.3385293323*Deflactores!$S$5</f>
        <v>210.99214887592345</v>
      </c>
    </row>
    <row r="78" spans="3:22" x14ac:dyDescent="0.2">
      <c r="C78" s="87" t="s">
        <v>149</v>
      </c>
      <c r="D78" s="56">
        <f>31.97698756911*Deflactores!$A$5</f>
        <v>116.09434412226462</v>
      </c>
      <c r="E78" s="56">
        <f>25.194439005*Deflactores!$B$5</f>
        <v>84.971055846612529</v>
      </c>
      <c r="F78" s="56">
        <f>18.40647352277*Deflactores!$C$5</f>
        <v>58.02113961335067</v>
      </c>
      <c r="G78" s="56">
        <f>18.58136757409*Deflactores!$D$5</f>
        <v>55.002060322785475</v>
      </c>
      <c r="H78" s="56">
        <f>20.34691229709*Deflactores!$E$5</f>
        <v>57.089962460527616</v>
      </c>
      <c r="I78" s="56">
        <f>43.90940696811*Deflactores!$F$5</f>
        <v>117.49759741161844</v>
      </c>
      <c r="J78" s="56">
        <f>35.07592224111*Deflactores!$G$5</f>
        <v>89.837131719116556</v>
      </c>
      <c r="K78" s="56">
        <f>36.93826685253*Deflactores!$H$5</f>
        <v>89.509898368166404</v>
      </c>
      <c r="L78" s="56">
        <f>37.47967777791*Deflactores!$I$5</f>
        <v>84.348633881641646</v>
      </c>
      <c r="M78" s="56">
        <f>41.92273279157*Deflactores!$J$5</f>
        <v>92.496206120886441</v>
      </c>
      <c r="N78" s="56">
        <f>109.66908352528*Deflactores!$K$5</f>
        <v>234.53084785862217</v>
      </c>
      <c r="O78" s="56">
        <f>120.72715453567*Deflactores!$L$5</f>
        <v>248.90305368752436</v>
      </c>
      <c r="P78" s="56">
        <f>142.633829439109*Deflactores!$M$5</f>
        <v>287.06366986788782</v>
      </c>
      <c r="Q78" s="56">
        <f>49.83694406615*Deflactores!$N$5</f>
        <v>98.392606421043524</v>
      </c>
      <c r="R78" s="56">
        <f>65.1505238825199*Deflactores!$O$5</f>
        <v>124.08456679809238</v>
      </c>
      <c r="S78" s="56">
        <f>66.8349346890599*Deflactores!$P$5</f>
        <v>119.22137926199557</v>
      </c>
      <c r="T78" s="56">
        <f>73.85757080003*Deflactores!$Q$5</f>
        <v>124.58485677335003</v>
      </c>
      <c r="U78" s="56">
        <f>77.42554996118*Deflactores!$R$5</f>
        <v>125.47162658850603</v>
      </c>
      <c r="V78" s="56">
        <f>74.70577058422*Deflactores!$S$5</f>
        <v>117.33291370197007</v>
      </c>
    </row>
    <row r="79" spans="3:22" x14ac:dyDescent="0.2">
      <c r="C79" s="88" t="s">
        <v>150</v>
      </c>
      <c r="D79" s="57">
        <f>540.76940650167*Deflactores!$A$5</f>
        <v>1963.2953052101714</v>
      </c>
      <c r="E79" s="57">
        <f>937.81543040784*Deflactores!$B$5</f>
        <v>3162.8871472464662</v>
      </c>
      <c r="F79" s="57">
        <f>866.420986196669*Deflactores!$C$5</f>
        <v>2731.1441782623788</v>
      </c>
      <c r="G79" s="57">
        <f>448.847284720979*Deflactores!$D$5</f>
        <v>1328.6172469009348</v>
      </c>
      <c r="H79" s="57">
        <f>751.77634544792*Deflactores!$E$5</f>
        <v>2109.3560887109452</v>
      </c>
      <c r="I79" s="57">
        <f>1163.1195614873*Deflactores!$F$5</f>
        <v>3112.4026356463314</v>
      </c>
      <c r="J79" s="57">
        <f>1678.84852985793*Deflactores!$G$5</f>
        <v>4299.8993861527952</v>
      </c>
      <c r="K79" s="57">
        <f>2330.46813377025*Deflactores!$H$5</f>
        <v>5647.2591590944648</v>
      </c>
      <c r="L79" s="57">
        <f>1801.31871208463*Deflactores!$I$5</f>
        <v>4053.8975134766856</v>
      </c>
      <c r="M79" s="57">
        <f>2879.78989731811*Deflactores!$J$5</f>
        <v>6353.8233838788547</v>
      </c>
      <c r="N79" s="57">
        <f>2948.79071172323*Deflactores!$K$5</f>
        <v>6306.0833878370213</v>
      </c>
      <c r="O79" s="57">
        <f>4351.94906129453*Deflactores!$L$5</f>
        <v>8972.4090244230665</v>
      </c>
      <c r="P79" s="57">
        <f>6816.53588490856*Deflactores!$M$5</f>
        <v>13718.903955694179</v>
      </c>
      <c r="Q79" s="57">
        <f>7319.63066334455*Deflactores!$N$5</f>
        <v>14451.077458720651</v>
      </c>
      <c r="R79" s="57">
        <f>6086.32505653574*Deflactores!$O$5</f>
        <v>11591.909980561801</v>
      </c>
      <c r="S79" s="57">
        <f>5516.92195970397*Deflactores!$P$5</f>
        <v>9841.1863253359661</v>
      </c>
      <c r="T79" s="57">
        <f>4236.3281000596*Deflactores!$Q$5</f>
        <v>7145.947583624411</v>
      </c>
      <c r="U79" s="57">
        <f>4080.65132792842*Deflactores!$R$5</f>
        <v>6612.8811472755187</v>
      </c>
      <c r="V79" s="57">
        <f>3322.07399703353*Deflactores!$S$5</f>
        <v>5217.650772587418</v>
      </c>
    </row>
    <row r="80" spans="3:22" x14ac:dyDescent="0.2">
      <c r="C80" s="87" t="s">
        <v>151</v>
      </c>
      <c r="D80" s="56">
        <f>158.69702701501*Deflactores!$A$5</f>
        <v>576.15894010161367</v>
      </c>
      <c r="E80" s="56">
        <f>167.73073958185*Deflactores!$B$5</f>
        <v>565.69062868891604</v>
      </c>
      <c r="F80" s="56">
        <f>151.27687048185*Deflactores!$C$5</f>
        <v>476.8570368267529</v>
      </c>
      <c r="G80" s="56">
        <f>197.80711719422*Deflactores!$D$5</f>
        <v>585.52197241734018</v>
      </c>
      <c r="H80" s="56">
        <f>232.43541347651*Deflactores!$E$5</f>
        <v>652.17409089481339</v>
      </c>
      <c r="I80" s="56">
        <f>183.9221173644*Deflactores!$F$5</f>
        <v>492.15893343468878</v>
      </c>
      <c r="J80" s="56">
        <f>210.84903539402*Deflactores!$G$5</f>
        <v>540.03063512726646</v>
      </c>
      <c r="K80" s="56">
        <f>380.06764234456*Deflactores!$H$5</f>
        <v>920.99112757804107</v>
      </c>
      <c r="L80" s="56">
        <f>437.96980219007*Deflactores!$I$5</f>
        <v>985.65827366633403</v>
      </c>
      <c r="M80" s="56">
        <f>699.936934699939*Deflactores!$J$5</f>
        <v>1544.3055991961835</v>
      </c>
      <c r="N80" s="56">
        <f>631.28187687535*Deflactores!$K$5</f>
        <v>1350.0165138813231</v>
      </c>
      <c r="O80" s="56">
        <f>1129.74048121473*Deflactores!$L$5</f>
        <v>2329.1848195235771</v>
      </c>
      <c r="P80" s="56">
        <f>3068.20442008798*Deflactores!$M$5</f>
        <v>6175.0429347571753</v>
      </c>
      <c r="Q80" s="56">
        <f>3553.8750003447*Deflactores!$N$5</f>
        <v>7016.3817370978513</v>
      </c>
      <c r="R80" s="56">
        <f>3703.31563520317*Deflactores!$O$5</f>
        <v>7053.2712390679562</v>
      </c>
      <c r="S80" s="56">
        <f>3872.94695041037*Deflactores!$P$5</f>
        <v>6908.6336267796923</v>
      </c>
      <c r="T80" s="56">
        <f>3234.86632313391*Deflactores!$Q$5</f>
        <v>5456.6560094392908</v>
      </c>
      <c r="U80" s="56">
        <f>3844.84661822783*Deflactores!$R$5</f>
        <v>6230.7488860491167</v>
      </c>
      <c r="V80" s="56">
        <f>3791.48388269373*Deflactores!$S$5</f>
        <v>5954.9061301628844</v>
      </c>
    </row>
    <row r="81" spans="3:22" x14ac:dyDescent="0.2">
      <c r="C81" s="79" t="s">
        <v>154</v>
      </c>
      <c r="D81" s="44">
        <f t="shared" ref="D81:V81" si="1">+SUM(D52:D80)</f>
        <v>101318.79143321878</v>
      </c>
      <c r="E81" s="44">
        <f t="shared" si="1"/>
        <v>118354.26388791036</v>
      </c>
      <c r="F81" s="44">
        <f t="shared" si="1"/>
        <v>117061.15760290828</v>
      </c>
      <c r="G81" s="44">
        <f t="shared" si="1"/>
        <v>115542.04754279142</v>
      </c>
      <c r="H81" s="44">
        <f t="shared" si="1"/>
        <v>130207.21813610267</v>
      </c>
      <c r="I81" s="44">
        <f t="shared" si="1"/>
        <v>141528.44852414448</v>
      </c>
      <c r="J81" s="44">
        <f t="shared" si="1"/>
        <v>149588.86273811309</v>
      </c>
      <c r="K81" s="44">
        <f t="shared" si="1"/>
        <v>160061.67614625304</v>
      </c>
      <c r="L81" s="44">
        <f t="shared" si="1"/>
        <v>171201.88648629762</v>
      </c>
      <c r="M81" s="44">
        <f t="shared" si="1"/>
        <v>195787.48383361008</v>
      </c>
      <c r="N81" s="44">
        <f t="shared" si="1"/>
        <v>192685.05174369959</v>
      </c>
      <c r="O81" s="44">
        <f t="shared" si="1"/>
        <v>209477.71807403065</v>
      </c>
      <c r="P81" s="44">
        <f t="shared" si="1"/>
        <v>227377.91760845776</v>
      </c>
      <c r="Q81" s="44">
        <f t="shared" si="1"/>
        <v>248550.38431301602</v>
      </c>
      <c r="R81" s="44">
        <f t="shared" si="1"/>
        <v>263356.18732891179</v>
      </c>
      <c r="S81" s="44">
        <f t="shared" si="1"/>
        <v>259198.29779562383</v>
      </c>
      <c r="T81" s="44">
        <f t="shared" si="1"/>
        <v>250305.46509197089</v>
      </c>
      <c r="U81" s="44">
        <f t="shared" si="1"/>
        <v>264404.02343605121</v>
      </c>
      <c r="V81" s="44">
        <f t="shared" si="1"/>
        <v>262511.9871970418</v>
      </c>
    </row>
    <row r="82" spans="3:22" x14ac:dyDescent="0.2">
      <c r="C82" s="1" t="s">
        <v>52</v>
      </c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</row>
    <row r="83" spans="3:22" x14ac:dyDescent="0.2"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</row>
    <row r="84" spans="3:22" x14ac:dyDescent="0.2"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</row>
    <row r="85" spans="3:22" x14ac:dyDescent="0.2"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</row>
    <row r="86" spans="3:22" ht="18" customHeight="1" x14ac:dyDescent="0.2">
      <c r="D86" s="160" t="s">
        <v>166</v>
      </c>
      <c r="E86" s="158"/>
      <c r="F86" s="158"/>
      <c r="G86" s="158"/>
      <c r="H86" s="158"/>
      <c r="I86" s="158"/>
      <c r="J86" s="158"/>
      <c r="K86" s="158"/>
      <c r="L86" s="158"/>
      <c r="M86" s="158"/>
      <c r="N86" s="158"/>
      <c r="O86" s="158"/>
      <c r="P86" s="158"/>
      <c r="Q86" s="158"/>
      <c r="R86" s="158"/>
      <c r="S86" s="158"/>
      <c r="T86" s="158"/>
      <c r="U86" s="158"/>
      <c r="V86" s="158"/>
    </row>
    <row r="87" spans="3:22" ht="0.75" customHeight="1" x14ac:dyDescent="0.2">
      <c r="H87" s="27"/>
      <c r="I87" s="27"/>
      <c r="J87" s="27"/>
      <c r="L87" s="175"/>
      <c r="M87" s="158"/>
      <c r="N87" s="158"/>
      <c r="O87" s="158"/>
      <c r="P87" s="158"/>
      <c r="Q87" s="158"/>
      <c r="R87" s="28"/>
      <c r="S87" s="28"/>
      <c r="T87" s="28"/>
      <c r="U87" s="28"/>
      <c r="V87" s="28"/>
    </row>
    <row r="88" spans="3:22" x14ac:dyDescent="0.2"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</row>
    <row r="89" spans="3:22" x14ac:dyDescent="0.2">
      <c r="C89" s="177" t="s">
        <v>120</v>
      </c>
      <c r="D89" s="180">
        <v>2000</v>
      </c>
      <c r="E89" s="153">
        <v>2001</v>
      </c>
      <c r="F89" s="153">
        <v>2002</v>
      </c>
      <c r="G89" s="153">
        <v>2003</v>
      </c>
      <c r="H89" s="153">
        <v>2004</v>
      </c>
      <c r="I89" s="153">
        <v>2005</v>
      </c>
      <c r="J89" s="153">
        <v>2006</v>
      </c>
      <c r="K89" s="153">
        <v>2007</v>
      </c>
      <c r="L89" s="153">
        <v>2008</v>
      </c>
      <c r="M89" s="153">
        <v>2009</v>
      </c>
      <c r="N89" s="153">
        <v>2010</v>
      </c>
      <c r="O89" s="153">
        <v>2011</v>
      </c>
      <c r="P89" s="153">
        <v>2012</v>
      </c>
      <c r="Q89" s="153">
        <v>2013</v>
      </c>
      <c r="R89" s="153">
        <v>2014</v>
      </c>
      <c r="S89" s="153">
        <v>2015</v>
      </c>
      <c r="T89" s="153">
        <v>2016</v>
      </c>
      <c r="U89" s="153">
        <v>2017</v>
      </c>
      <c r="V89" s="153">
        <v>2018</v>
      </c>
    </row>
    <row r="90" spans="3:22" ht="12" customHeight="1" thickBot="1" x14ac:dyDescent="0.25">
      <c r="C90" s="156"/>
      <c r="D90" s="181"/>
      <c r="E90" s="154"/>
      <c r="F90" s="154"/>
      <c r="G90" s="154"/>
      <c r="H90" s="154"/>
      <c r="I90" s="154"/>
      <c r="J90" s="154"/>
      <c r="K90" s="154"/>
      <c r="L90" s="154"/>
      <c r="M90" s="154"/>
      <c r="N90" s="154"/>
      <c r="O90" s="154"/>
      <c r="P90" s="154"/>
      <c r="Q90" s="154"/>
      <c r="R90" s="154"/>
      <c r="S90" s="154"/>
      <c r="T90" s="154"/>
      <c r="U90" s="154"/>
      <c r="V90" s="154"/>
    </row>
    <row r="91" spans="3:22" x14ac:dyDescent="0.2">
      <c r="C91" s="87" t="s">
        <v>123</v>
      </c>
      <c r="D91" s="60">
        <f t="shared" ref="D91:V91" si="2">+IFERROR(IF(D52&gt;0,+((D52/D13)*100)," "),"")</f>
        <v>88.112629661936793</v>
      </c>
      <c r="E91" s="60">
        <f t="shared" si="2"/>
        <v>95.164628868594349</v>
      </c>
      <c r="F91" s="60">
        <f t="shared" si="2"/>
        <v>89.060164159619291</v>
      </c>
      <c r="G91" s="60">
        <f t="shared" si="2"/>
        <v>97.795838687636262</v>
      </c>
      <c r="H91" s="60">
        <f t="shared" si="2"/>
        <v>95.202017592951066</v>
      </c>
      <c r="I91" s="60">
        <f t="shared" si="2"/>
        <v>94.592749332951726</v>
      </c>
      <c r="J91" s="60">
        <f t="shared" si="2"/>
        <v>97.584450270200435</v>
      </c>
      <c r="K91" s="60">
        <f t="shared" si="2"/>
        <v>97.824047655007476</v>
      </c>
      <c r="L91" s="60">
        <f t="shared" si="2"/>
        <v>99.524538660960232</v>
      </c>
      <c r="M91" s="60">
        <f t="shared" si="2"/>
        <v>93.10441092211741</v>
      </c>
      <c r="N91" s="60">
        <f t="shared" si="2"/>
        <v>92.205018897521043</v>
      </c>
      <c r="O91" s="60">
        <f t="shared" si="2"/>
        <v>96.427671902866621</v>
      </c>
      <c r="P91" s="60">
        <f t="shared" si="2"/>
        <v>93.542546179289261</v>
      </c>
      <c r="Q91" s="60">
        <f t="shared" si="2"/>
        <v>94.98119318632348</v>
      </c>
      <c r="R91" s="60">
        <f t="shared" si="2"/>
        <v>94.588719170442076</v>
      </c>
      <c r="S91" s="60">
        <f t="shared" si="2"/>
        <v>96.308130211765047</v>
      </c>
      <c r="T91" s="60">
        <f t="shared" si="2"/>
        <v>94.105845191807376</v>
      </c>
      <c r="U91" s="60">
        <f t="shared" si="2"/>
        <v>96.781280924303985</v>
      </c>
      <c r="V91" s="60">
        <f t="shared" si="2"/>
        <v>91.842197334092361</v>
      </c>
    </row>
    <row r="92" spans="3:22" x14ac:dyDescent="0.2">
      <c r="C92" s="88" t="s">
        <v>124</v>
      </c>
      <c r="D92" s="62">
        <f t="shared" ref="D92:V92" si="3">+IFERROR(IF(D53&gt;0,+((D53/D14)*100)," "),"")</f>
        <v>78.810057230129232</v>
      </c>
      <c r="E92" s="62">
        <f t="shared" si="3"/>
        <v>91.653526801232573</v>
      </c>
      <c r="F92" s="62">
        <f t="shared" si="3"/>
        <v>86.543649547935374</v>
      </c>
      <c r="G92" s="62">
        <f t="shared" si="3"/>
        <v>93.32063371236498</v>
      </c>
      <c r="H92" s="62">
        <f t="shared" si="3"/>
        <v>97.430444371239986</v>
      </c>
      <c r="I92" s="62">
        <f t="shared" si="3"/>
        <v>97.173746206564942</v>
      </c>
      <c r="J92" s="62">
        <f t="shared" si="3"/>
        <v>97.646980483089663</v>
      </c>
      <c r="K92" s="62">
        <f t="shared" si="3"/>
        <v>96.963780996384131</v>
      </c>
      <c r="L92" s="62">
        <f t="shared" si="3"/>
        <v>98.538304586985419</v>
      </c>
      <c r="M92" s="62">
        <f t="shared" si="3"/>
        <v>98.451670964393287</v>
      </c>
      <c r="N92" s="62">
        <f t="shared" si="3"/>
        <v>95.223353620681152</v>
      </c>
      <c r="O92" s="62">
        <f t="shared" si="3"/>
        <v>98.415506093146078</v>
      </c>
      <c r="P92" s="62">
        <f t="shared" si="3"/>
        <v>88.350793724097514</v>
      </c>
      <c r="Q92" s="62">
        <f t="shared" si="3"/>
        <v>88.961209343788553</v>
      </c>
      <c r="R92" s="62">
        <f t="shared" si="3"/>
        <v>94.588279956733388</v>
      </c>
      <c r="S92" s="62">
        <f t="shared" si="3"/>
        <v>76.010205288930521</v>
      </c>
      <c r="T92" s="62">
        <f t="shared" si="3"/>
        <v>95.477286760442212</v>
      </c>
      <c r="U92" s="62">
        <f t="shared" si="3"/>
        <v>96.477165518698229</v>
      </c>
      <c r="V92" s="62">
        <f t="shared" si="3"/>
        <v>98.204678826664932</v>
      </c>
    </row>
    <row r="93" spans="3:22" x14ac:dyDescent="0.2">
      <c r="C93" s="87" t="s">
        <v>125</v>
      </c>
      <c r="D93" s="60">
        <f t="shared" ref="D93:V93" si="4">+IFERROR(IF(D54&gt;0,+((D54/D15)*100)," "),"")</f>
        <v>79.351893112970075</v>
      </c>
      <c r="E93" s="60">
        <f t="shared" si="4"/>
        <v>99.730130729293535</v>
      </c>
      <c r="F93" s="60">
        <f t="shared" si="4"/>
        <v>89.55398552905136</v>
      </c>
      <c r="G93" s="60">
        <f t="shared" si="4"/>
        <v>99.710514381322824</v>
      </c>
      <c r="H93" s="60">
        <f t="shared" si="4"/>
        <v>99.484597485145471</v>
      </c>
      <c r="I93" s="60">
        <f t="shared" si="4"/>
        <v>99.562415884202238</v>
      </c>
      <c r="J93" s="60">
        <f t="shared" si="4"/>
        <v>99.578143328395811</v>
      </c>
      <c r="K93" s="60">
        <f t="shared" si="4"/>
        <v>98.915325951661288</v>
      </c>
      <c r="L93" s="60">
        <f t="shared" si="4"/>
        <v>99.673789805886585</v>
      </c>
      <c r="M93" s="60">
        <f t="shared" si="4"/>
        <v>76.082675096162461</v>
      </c>
      <c r="N93" s="60">
        <f t="shared" si="4"/>
        <v>98.454498192379504</v>
      </c>
      <c r="O93" s="60">
        <f t="shared" si="4"/>
        <v>96.684811844372618</v>
      </c>
      <c r="P93" s="60">
        <f t="shared" si="4"/>
        <v>95.910309967919162</v>
      </c>
      <c r="Q93" s="60">
        <f t="shared" si="4"/>
        <v>98.637334187480747</v>
      </c>
      <c r="R93" s="60">
        <f t="shared" si="4"/>
        <v>99.032864903881318</v>
      </c>
      <c r="S93" s="60">
        <f t="shared" si="4"/>
        <v>99.176953271400279</v>
      </c>
      <c r="T93" s="60">
        <f t="shared" si="4"/>
        <v>99.462226440432104</v>
      </c>
      <c r="U93" s="60">
        <f t="shared" si="4"/>
        <v>99.618059487305459</v>
      </c>
      <c r="V93" s="60">
        <f t="shared" si="4"/>
        <v>98.714923074933878</v>
      </c>
    </row>
    <row r="94" spans="3:22" x14ac:dyDescent="0.2">
      <c r="C94" s="88" t="s">
        <v>126</v>
      </c>
      <c r="D94" s="62">
        <f t="shared" ref="D94:V94" si="5">+IFERROR(IF(D55&gt;0,+((D55/D16)*100)," "),"")</f>
        <v>76.354754598687634</v>
      </c>
      <c r="E94" s="62">
        <f t="shared" si="5"/>
        <v>91.025572317199774</v>
      </c>
      <c r="F94" s="62">
        <f t="shared" si="5"/>
        <v>86.751826825854579</v>
      </c>
      <c r="G94" s="62">
        <f t="shared" si="5"/>
        <v>94.097332200555186</v>
      </c>
      <c r="H94" s="62">
        <f t="shared" si="5"/>
        <v>97.057429614156149</v>
      </c>
      <c r="I94" s="62">
        <f t="shared" si="5"/>
        <v>96.137789757505587</v>
      </c>
      <c r="J94" s="62">
        <f t="shared" si="5"/>
        <v>97.597202460700046</v>
      </c>
      <c r="K94" s="62">
        <f t="shared" si="5"/>
        <v>91.24644023441202</v>
      </c>
      <c r="L94" s="62">
        <f t="shared" si="5"/>
        <v>94.939076258439243</v>
      </c>
      <c r="M94" s="62">
        <f t="shared" si="5"/>
        <v>92.866710677761063</v>
      </c>
      <c r="N94" s="62">
        <f t="shared" si="5"/>
        <v>93.630894969980616</v>
      </c>
      <c r="O94" s="62">
        <f t="shared" si="5"/>
        <v>94.295128733059599</v>
      </c>
      <c r="P94" s="62">
        <f t="shared" si="5"/>
        <v>96.521528682237019</v>
      </c>
      <c r="Q94" s="62">
        <f t="shared" si="5"/>
        <v>96.515393602912724</v>
      </c>
      <c r="R94" s="62">
        <f t="shared" si="5"/>
        <v>92.714840687924777</v>
      </c>
      <c r="S94" s="62">
        <f t="shared" si="5"/>
        <v>96.169820470237994</v>
      </c>
      <c r="T94" s="62">
        <f t="shared" si="5"/>
        <v>99.036303991831815</v>
      </c>
      <c r="U94" s="62">
        <f t="shared" si="5"/>
        <v>99.092686428854165</v>
      </c>
      <c r="V94" s="62">
        <f t="shared" si="5"/>
        <v>98.904866993113117</v>
      </c>
    </row>
    <row r="95" spans="3:22" x14ac:dyDescent="0.2">
      <c r="C95" s="87" t="s">
        <v>127</v>
      </c>
      <c r="D95" s="60">
        <f t="shared" ref="D95:V95" si="6">+IFERROR(IF(D56&gt;0,+((D56/D17)*100)," "),"")</f>
        <v>86.959021208309764</v>
      </c>
      <c r="E95" s="60">
        <f t="shared" si="6"/>
        <v>91.272537025985088</v>
      </c>
      <c r="F95" s="60">
        <f t="shared" si="6"/>
        <v>96.629632365026183</v>
      </c>
      <c r="G95" s="60">
        <f t="shared" si="6"/>
        <v>97.066717937068049</v>
      </c>
      <c r="H95" s="60">
        <f t="shared" si="6"/>
        <v>97.366980045354538</v>
      </c>
      <c r="I95" s="60">
        <f t="shared" si="6"/>
        <v>98.836083166230182</v>
      </c>
      <c r="J95" s="60">
        <f t="shared" si="6"/>
        <v>98.629825963280226</v>
      </c>
      <c r="K95" s="60">
        <f t="shared" si="6"/>
        <v>98.631172724872528</v>
      </c>
      <c r="L95" s="60">
        <f t="shared" si="6"/>
        <v>97.148146364111838</v>
      </c>
      <c r="M95" s="60">
        <f t="shared" si="6"/>
        <v>96.03114091469709</v>
      </c>
      <c r="N95" s="60">
        <f t="shared" si="6"/>
        <v>96.932464935688898</v>
      </c>
      <c r="O95" s="60">
        <f t="shared" si="6"/>
        <v>92.945516398760432</v>
      </c>
      <c r="P95" s="60">
        <f t="shared" si="6"/>
        <v>89.430163683767745</v>
      </c>
      <c r="Q95" s="60">
        <f t="shared" si="6"/>
        <v>91.628131763743923</v>
      </c>
      <c r="R95" s="60">
        <f t="shared" si="6"/>
        <v>96.406606805279168</v>
      </c>
      <c r="S95" s="60">
        <f t="shared" si="6"/>
        <v>98.283377980229261</v>
      </c>
      <c r="T95" s="60">
        <f t="shared" si="6"/>
        <v>98.730632387700709</v>
      </c>
      <c r="U95" s="60">
        <f t="shared" si="6"/>
        <v>99.171703527289253</v>
      </c>
      <c r="V95" s="60">
        <f t="shared" si="6"/>
        <v>98.689471775469499</v>
      </c>
    </row>
    <row r="96" spans="3:22" x14ac:dyDescent="0.2">
      <c r="C96" s="88" t="s">
        <v>128</v>
      </c>
      <c r="D96" s="62">
        <f t="shared" ref="D96:V96" si="7">+IFERROR(IF(D57&gt;0,+((D57/D18)*100)," "),"")</f>
        <v>76.878335661193887</v>
      </c>
      <c r="E96" s="62">
        <f t="shared" si="7"/>
        <v>98.860392552212886</v>
      </c>
      <c r="F96" s="62">
        <f t="shared" si="7"/>
        <v>91.010285911426877</v>
      </c>
      <c r="G96" s="62">
        <f t="shared" si="7"/>
        <v>99.416377176135072</v>
      </c>
      <c r="H96" s="62">
        <f t="shared" si="7"/>
        <v>99.404615191863215</v>
      </c>
      <c r="I96" s="62">
        <f t="shared" si="7"/>
        <v>96.311630608301158</v>
      </c>
      <c r="J96" s="62">
        <f t="shared" si="7"/>
        <v>99.301781019084828</v>
      </c>
      <c r="K96" s="62">
        <f t="shared" si="7"/>
        <v>93.405749902552003</v>
      </c>
      <c r="L96" s="62">
        <f t="shared" si="7"/>
        <v>98.580938058691146</v>
      </c>
      <c r="M96" s="62">
        <f t="shared" si="7"/>
        <v>93.073043884598988</v>
      </c>
      <c r="N96" s="62">
        <f t="shared" si="7"/>
        <v>95.417734262035111</v>
      </c>
      <c r="O96" s="62">
        <f t="shared" si="7"/>
        <v>97.27485674680932</v>
      </c>
      <c r="P96" s="62">
        <f t="shared" si="7"/>
        <v>98.720893657942781</v>
      </c>
      <c r="Q96" s="62">
        <f t="shared" si="7"/>
        <v>97.046051699309771</v>
      </c>
      <c r="R96" s="62">
        <f t="shared" si="7"/>
        <v>99.510274795327447</v>
      </c>
      <c r="S96" s="62">
        <f t="shared" si="7"/>
        <v>99.27763058369581</v>
      </c>
      <c r="T96" s="62">
        <f t="shared" si="7"/>
        <v>99.470546407199052</v>
      </c>
      <c r="U96" s="62">
        <f t="shared" si="7"/>
        <v>99.827310658200773</v>
      </c>
      <c r="V96" s="62">
        <f t="shared" si="7"/>
        <v>99.316435170029592</v>
      </c>
    </row>
    <row r="97" spans="3:22" x14ac:dyDescent="0.2">
      <c r="C97" s="87" t="s">
        <v>129</v>
      </c>
      <c r="D97" s="60">
        <f t="shared" ref="D97:V97" si="8">+IFERROR(IF(D58&gt;0,+((D58/D19)*100)," "),"")</f>
        <v>98.353667128223691</v>
      </c>
      <c r="E97" s="60">
        <f t="shared" si="8"/>
        <v>98.377736559795053</v>
      </c>
      <c r="F97" s="60">
        <f t="shared" si="8"/>
        <v>97.228601269035337</v>
      </c>
      <c r="G97" s="60">
        <f t="shared" si="8"/>
        <v>98.562758575355318</v>
      </c>
      <c r="H97" s="60">
        <f t="shared" si="8"/>
        <v>99.14471740197925</v>
      </c>
      <c r="I97" s="60">
        <f t="shared" si="8"/>
        <v>99.32248395045174</v>
      </c>
      <c r="J97" s="60">
        <f t="shared" si="8"/>
        <v>99.446873892867615</v>
      </c>
      <c r="K97" s="60">
        <f t="shared" si="8"/>
        <v>98.409132602559509</v>
      </c>
      <c r="L97" s="60">
        <f t="shared" si="8"/>
        <v>99.654103044601356</v>
      </c>
      <c r="M97" s="60">
        <f t="shared" si="8"/>
        <v>97.830554675296256</v>
      </c>
      <c r="N97" s="60">
        <f t="shared" si="8"/>
        <v>97.608228062920347</v>
      </c>
      <c r="O97" s="60">
        <f t="shared" si="8"/>
        <v>98.564977948783522</v>
      </c>
      <c r="P97" s="60">
        <f t="shared" si="8"/>
        <v>99.639162053731994</v>
      </c>
      <c r="Q97" s="60">
        <f t="shared" si="8"/>
        <v>99.738860957386606</v>
      </c>
      <c r="R97" s="60">
        <f t="shared" si="8"/>
        <v>99.548624455954752</v>
      </c>
      <c r="S97" s="60">
        <f t="shared" si="8"/>
        <v>99.289243113989045</v>
      </c>
      <c r="T97" s="60">
        <f t="shared" si="8"/>
        <v>99.817970855705056</v>
      </c>
      <c r="U97" s="60">
        <f t="shared" si="8"/>
        <v>99.881789470797017</v>
      </c>
      <c r="V97" s="60">
        <f t="shared" si="8"/>
        <v>99.804786876421474</v>
      </c>
    </row>
    <row r="98" spans="3:22" x14ac:dyDescent="0.2">
      <c r="C98" s="88" t="s">
        <v>130</v>
      </c>
      <c r="D98" s="62">
        <f t="shared" ref="D98:V98" si="9">+IFERROR(IF(D59&gt;0,+((D59/D20)*100)," "),"")</f>
        <v>85.891649490864694</v>
      </c>
      <c r="E98" s="62">
        <f t="shared" si="9"/>
        <v>99.632955620350444</v>
      </c>
      <c r="F98" s="62">
        <f t="shared" si="9"/>
        <v>85.596680665463012</v>
      </c>
      <c r="G98" s="62">
        <f t="shared" si="9"/>
        <v>97.674173749385886</v>
      </c>
      <c r="H98" s="62">
        <f t="shared" si="9"/>
        <v>99.672797568018723</v>
      </c>
      <c r="I98" s="62">
        <f t="shared" si="9"/>
        <v>99.826569777142154</v>
      </c>
      <c r="J98" s="62">
        <f t="shared" si="9"/>
        <v>98.487926835232273</v>
      </c>
      <c r="K98" s="62">
        <f t="shared" si="9"/>
        <v>96.994325684656701</v>
      </c>
      <c r="L98" s="62">
        <f t="shared" si="9"/>
        <v>98.768673160197935</v>
      </c>
      <c r="M98" s="62">
        <f t="shared" si="9"/>
        <v>97.820843593109657</v>
      </c>
      <c r="N98" s="62">
        <f t="shared" si="9"/>
        <v>98.157621487863565</v>
      </c>
      <c r="O98" s="62">
        <f t="shared" si="9"/>
        <v>99.188010484918422</v>
      </c>
      <c r="P98" s="62">
        <f t="shared" si="9"/>
        <v>93.490552413030244</v>
      </c>
      <c r="Q98" s="62">
        <f t="shared" si="9"/>
        <v>95.106497090523945</v>
      </c>
      <c r="R98" s="62">
        <f t="shared" si="9"/>
        <v>95.626319562346495</v>
      </c>
      <c r="S98" s="62">
        <f t="shared" si="9"/>
        <v>98.273334537679375</v>
      </c>
      <c r="T98" s="62">
        <f t="shared" si="9"/>
        <v>98.209410454110795</v>
      </c>
      <c r="U98" s="62">
        <f t="shared" si="9"/>
        <v>98.774834821462321</v>
      </c>
      <c r="V98" s="62">
        <f t="shared" si="9"/>
        <v>99.253891851061965</v>
      </c>
    </row>
    <row r="99" spans="3:22" x14ac:dyDescent="0.2">
      <c r="C99" s="87" t="s">
        <v>131</v>
      </c>
      <c r="D99" s="60">
        <f t="shared" ref="D99:V99" si="10">+IFERROR(IF(D60&gt;0,+((D60/D21)*100)," "),"")</f>
        <v>94.855387122504681</v>
      </c>
      <c r="E99" s="60">
        <f t="shared" si="10"/>
        <v>96.841543939489711</v>
      </c>
      <c r="F99" s="60">
        <f t="shared" si="10"/>
        <v>99.630795680354808</v>
      </c>
      <c r="G99" s="60">
        <f t="shared" si="10"/>
        <v>99.662614973410541</v>
      </c>
      <c r="H99" s="60">
        <f t="shared" si="10"/>
        <v>99.950685356979747</v>
      </c>
      <c r="I99" s="60">
        <f t="shared" si="10"/>
        <v>99.813748332164792</v>
      </c>
      <c r="J99" s="60">
        <f t="shared" si="10"/>
        <v>99.474541698500815</v>
      </c>
      <c r="K99" s="60">
        <f t="shared" si="10"/>
        <v>99.785001292275595</v>
      </c>
      <c r="L99" s="60">
        <f t="shared" si="10"/>
        <v>99.651961840912065</v>
      </c>
      <c r="M99" s="60">
        <f t="shared" si="10"/>
        <v>99.385238410513693</v>
      </c>
      <c r="N99" s="60">
        <f t="shared" si="10"/>
        <v>97.604124029773601</v>
      </c>
      <c r="O99" s="60">
        <f t="shared" si="10"/>
        <v>99.893585707544119</v>
      </c>
      <c r="P99" s="60">
        <f t="shared" si="10"/>
        <v>99.398426548391853</v>
      </c>
      <c r="Q99" s="60">
        <f t="shared" si="10"/>
        <v>99.547200235847257</v>
      </c>
      <c r="R99" s="60">
        <f t="shared" si="10"/>
        <v>99.947895969910078</v>
      </c>
      <c r="S99" s="60">
        <f t="shared" si="10"/>
        <v>99.936525746486311</v>
      </c>
      <c r="T99" s="60">
        <f t="shared" si="10"/>
        <v>99.186079597932533</v>
      </c>
      <c r="U99" s="60">
        <f t="shared" si="10"/>
        <v>99.911641724660853</v>
      </c>
      <c r="V99" s="60">
        <f t="shared" si="10"/>
        <v>99.970428526934668</v>
      </c>
    </row>
    <row r="100" spans="3:22" x14ac:dyDescent="0.2">
      <c r="C100" s="88" t="s">
        <v>132</v>
      </c>
      <c r="D100" s="62">
        <f t="shared" ref="D100:V100" si="11">+IFERROR(IF(D61&gt;0,+((D61/D22)*100)," "),"")</f>
        <v>96.837791727358692</v>
      </c>
      <c r="E100" s="62">
        <f t="shared" si="11"/>
        <v>94.77096261405525</v>
      </c>
      <c r="F100" s="62">
        <f t="shared" si="11"/>
        <v>97.68175564781869</v>
      </c>
      <c r="G100" s="62">
        <f t="shared" si="11"/>
        <v>94.038785732305357</v>
      </c>
      <c r="H100" s="62">
        <f t="shared" si="11"/>
        <v>95.488074399499155</v>
      </c>
      <c r="I100" s="62">
        <f t="shared" si="11"/>
        <v>95.016246702612762</v>
      </c>
      <c r="J100" s="62">
        <f t="shared" si="11"/>
        <v>96.763401276653667</v>
      </c>
      <c r="K100" s="62">
        <f t="shared" si="11"/>
        <v>92.525032720068751</v>
      </c>
      <c r="L100" s="62">
        <f t="shared" si="11"/>
        <v>94.016193636928932</v>
      </c>
      <c r="M100" s="62">
        <f t="shared" si="11"/>
        <v>86.578819821664624</v>
      </c>
      <c r="N100" s="62">
        <f t="shared" si="11"/>
        <v>74.75282358035787</v>
      </c>
      <c r="O100" s="62">
        <f t="shared" si="11"/>
        <v>86.588548950372186</v>
      </c>
      <c r="P100" s="62">
        <f t="shared" si="11"/>
        <v>90.758360403522786</v>
      </c>
      <c r="Q100" s="62">
        <f t="shared" si="11"/>
        <v>91.408811901205112</v>
      </c>
      <c r="R100" s="62">
        <f t="shared" si="11"/>
        <v>92.903061536443587</v>
      </c>
      <c r="S100" s="62">
        <f t="shared" si="11"/>
        <v>93.704057544805295</v>
      </c>
      <c r="T100" s="62">
        <f t="shared" si="11"/>
        <v>97.2926175444573</v>
      </c>
      <c r="U100" s="62">
        <f t="shared" si="11"/>
        <v>98.326928980580789</v>
      </c>
      <c r="V100" s="62">
        <f t="shared" si="11"/>
        <v>94.717302143233113</v>
      </c>
    </row>
    <row r="101" spans="3:22" x14ac:dyDescent="0.2">
      <c r="C101" s="87" t="s">
        <v>133</v>
      </c>
      <c r="D101" s="60">
        <f t="shared" ref="D101:V101" si="12">+IFERROR(IF(D62&gt;0,+((D62/D23)*100)," "),"")</f>
        <v>96.1047305792234</v>
      </c>
      <c r="E101" s="60">
        <f t="shared" si="12"/>
        <v>98.509838701782854</v>
      </c>
      <c r="F101" s="60">
        <f t="shared" si="12"/>
        <v>98.222342937053838</v>
      </c>
      <c r="G101" s="60">
        <f t="shared" si="12"/>
        <v>98.411980048831168</v>
      </c>
      <c r="H101" s="60">
        <f t="shared" si="12"/>
        <v>99.59411200660999</v>
      </c>
      <c r="I101" s="60">
        <f t="shared" si="12"/>
        <v>99.725717934029063</v>
      </c>
      <c r="J101" s="60">
        <f t="shared" si="12"/>
        <v>99.700131567578325</v>
      </c>
      <c r="K101" s="60">
        <f t="shared" si="12"/>
        <v>99.054693624747642</v>
      </c>
      <c r="L101" s="60">
        <f t="shared" si="12"/>
        <v>98.031601784633096</v>
      </c>
      <c r="M101" s="60">
        <f t="shared" si="12"/>
        <v>98.652758681883313</v>
      </c>
      <c r="N101" s="60">
        <f t="shared" si="12"/>
        <v>94.693490559041948</v>
      </c>
      <c r="O101" s="60">
        <f t="shared" si="12"/>
        <v>97.701199197238495</v>
      </c>
      <c r="P101" s="60">
        <f t="shared" si="12"/>
        <v>96.105652325379836</v>
      </c>
      <c r="Q101" s="60">
        <f t="shared" si="12"/>
        <v>98.453934961258071</v>
      </c>
      <c r="R101" s="60">
        <f t="shared" si="12"/>
        <v>93.638062848173689</v>
      </c>
      <c r="S101" s="60">
        <f t="shared" si="12"/>
        <v>92.116521200355777</v>
      </c>
      <c r="T101" s="60">
        <f t="shared" si="12"/>
        <v>97.318091100046345</v>
      </c>
      <c r="U101" s="60">
        <f t="shared" si="12"/>
        <v>99.38379894790576</v>
      </c>
      <c r="V101" s="60">
        <f t="shared" si="12"/>
        <v>96.899832341804654</v>
      </c>
    </row>
    <row r="102" spans="3:22" x14ac:dyDescent="0.2">
      <c r="C102" s="88" t="s">
        <v>134</v>
      </c>
      <c r="D102" s="62">
        <f t="shared" ref="D102:V102" si="13">+IFERROR(IF(D63&gt;0,+((D63/D24)*100)," "),"")</f>
        <v>94.090103484460002</v>
      </c>
      <c r="E102" s="62">
        <f t="shared" si="13"/>
        <v>94.363325382107604</v>
      </c>
      <c r="F102" s="62">
        <f t="shared" si="13"/>
        <v>95.643976449876689</v>
      </c>
      <c r="G102" s="62">
        <f t="shared" si="13"/>
        <v>98.499328951191018</v>
      </c>
      <c r="H102" s="62">
        <f t="shared" si="13"/>
        <v>96.303790001636401</v>
      </c>
      <c r="I102" s="62">
        <f t="shared" si="13"/>
        <v>91.750656111667269</v>
      </c>
      <c r="J102" s="62">
        <f t="shared" si="13"/>
        <v>95.897772395153041</v>
      </c>
      <c r="K102" s="62">
        <f t="shared" si="13"/>
        <v>83.548686410379077</v>
      </c>
      <c r="L102" s="62">
        <f t="shared" si="13"/>
        <v>88.156923621818166</v>
      </c>
      <c r="M102" s="62">
        <f t="shared" si="13"/>
        <v>76.145415559425629</v>
      </c>
      <c r="N102" s="62">
        <f t="shared" si="13"/>
        <v>78.514094134904482</v>
      </c>
      <c r="O102" s="62">
        <f t="shared" si="13"/>
        <v>97.441909606471484</v>
      </c>
      <c r="P102" s="62">
        <f t="shared" si="13"/>
        <v>92.690419363207297</v>
      </c>
      <c r="Q102" s="62">
        <f t="shared" si="13"/>
        <v>84.815722584343348</v>
      </c>
      <c r="R102" s="62">
        <f t="shared" si="13"/>
        <v>75.769687355950097</v>
      </c>
      <c r="S102" s="62">
        <f t="shared" si="13"/>
        <v>93.385875884126861</v>
      </c>
      <c r="T102" s="62">
        <f t="shared" si="13"/>
        <v>95.49144704704895</v>
      </c>
      <c r="U102" s="62">
        <f t="shared" si="13"/>
        <v>97.394763690016021</v>
      </c>
      <c r="V102" s="62">
        <f t="shared" si="13"/>
        <v>89.982831380500599</v>
      </c>
    </row>
    <row r="103" spans="3:22" x14ac:dyDescent="0.2">
      <c r="C103" s="87" t="s">
        <v>135</v>
      </c>
      <c r="D103" s="60" t="str">
        <f t="shared" ref="D103:V103" si="14">+IFERROR(IF(D64&gt;0,+((D64/D25)*100)," "),"")</f>
        <v xml:space="preserve"> </v>
      </c>
      <c r="E103" s="60" t="str">
        <f t="shared" si="14"/>
        <v xml:space="preserve"> </v>
      </c>
      <c r="F103" s="60" t="str">
        <f t="shared" si="14"/>
        <v xml:space="preserve"> </v>
      </c>
      <c r="G103" s="60" t="str">
        <f t="shared" si="14"/>
        <v xml:space="preserve"> </v>
      </c>
      <c r="H103" s="60" t="str">
        <f t="shared" si="14"/>
        <v xml:space="preserve"> </v>
      </c>
      <c r="I103" s="60" t="str">
        <f t="shared" si="14"/>
        <v xml:space="preserve"> </v>
      </c>
      <c r="J103" s="60" t="str">
        <f t="shared" si="14"/>
        <v xml:space="preserve"> </v>
      </c>
      <c r="K103" s="60" t="str">
        <f t="shared" si="14"/>
        <v xml:space="preserve"> </v>
      </c>
      <c r="L103" s="60" t="str">
        <f t="shared" si="14"/>
        <v xml:space="preserve"> </v>
      </c>
      <c r="M103" s="60" t="str">
        <f t="shared" si="14"/>
        <v xml:space="preserve"> </v>
      </c>
      <c r="N103" s="60" t="str">
        <f t="shared" si="14"/>
        <v xml:space="preserve"> </v>
      </c>
      <c r="O103" s="60" t="str">
        <f t="shared" si="14"/>
        <v xml:space="preserve"> </v>
      </c>
      <c r="P103" s="60" t="str">
        <f t="shared" si="14"/>
        <v xml:space="preserve"> </v>
      </c>
      <c r="Q103" s="60" t="str">
        <f t="shared" si="14"/>
        <v xml:space="preserve"> </v>
      </c>
      <c r="R103" s="60" t="str">
        <f t="shared" si="14"/>
        <v xml:space="preserve"> </v>
      </c>
      <c r="S103" s="60" t="str">
        <f t="shared" si="14"/>
        <v xml:space="preserve"> </v>
      </c>
      <c r="T103" s="60" t="str">
        <f t="shared" si="14"/>
        <v xml:space="preserve"> </v>
      </c>
      <c r="U103" s="60" t="str">
        <f t="shared" si="14"/>
        <v xml:space="preserve"> </v>
      </c>
      <c r="V103" s="60" t="str">
        <f t="shared" si="14"/>
        <v xml:space="preserve"> </v>
      </c>
    </row>
    <row r="104" spans="3:22" x14ac:dyDescent="0.2">
      <c r="C104" s="88" t="s">
        <v>136</v>
      </c>
      <c r="D104" s="62">
        <f t="shared" ref="D104:V104" si="15">+IFERROR(IF(D65&gt;0,+((D65/D26)*100)," "),"")</f>
        <v>59.296454906106511</v>
      </c>
      <c r="E104" s="62">
        <f t="shared" si="15"/>
        <v>95.911038955637252</v>
      </c>
      <c r="F104" s="62">
        <f t="shared" si="15"/>
        <v>91.136118519898744</v>
      </c>
      <c r="G104" s="62">
        <f t="shared" si="15"/>
        <v>98.304520609703232</v>
      </c>
      <c r="H104" s="62">
        <f t="shared" si="15"/>
        <v>99.256006550003946</v>
      </c>
      <c r="I104" s="62">
        <f t="shared" si="15"/>
        <v>99.624661182966619</v>
      </c>
      <c r="J104" s="62">
        <f t="shared" si="15"/>
        <v>99.660068265660129</v>
      </c>
      <c r="K104" s="62">
        <f t="shared" si="15"/>
        <v>95.2745862272632</v>
      </c>
      <c r="L104" s="62">
        <f t="shared" si="15"/>
        <v>99.735487271412481</v>
      </c>
      <c r="M104" s="62">
        <f t="shared" si="15"/>
        <v>98.737057953807707</v>
      </c>
      <c r="N104" s="62">
        <f t="shared" si="15"/>
        <v>99.756756045364853</v>
      </c>
      <c r="O104" s="62">
        <f t="shared" si="15"/>
        <v>98.844789475590289</v>
      </c>
      <c r="P104" s="62">
        <f t="shared" si="15"/>
        <v>95.847884629841062</v>
      </c>
      <c r="Q104" s="62">
        <f t="shared" si="15"/>
        <v>97.840598586051826</v>
      </c>
      <c r="R104" s="62">
        <f t="shared" si="15"/>
        <v>98.276144507946412</v>
      </c>
      <c r="S104" s="62">
        <f t="shared" si="15"/>
        <v>98.810625197028486</v>
      </c>
      <c r="T104" s="62">
        <f t="shared" si="15"/>
        <v>98.607563246673024</v>
      </c>
      <c r="U104" s="62">
        <f t="shared" si="15"/>
        <v>98.485190777239211</v>
      </c>
      <c r="V104" s="62">
        <f t="shared" si="15"/>
        <v>98.587500778165591</v>
      </c>
    </row>
    <row r="105" spans="3:22" x14ac:dyDescent="0.2">
      <c r="C105" s="87" t="s">
        <v>137</v>
      </c>
      <c r="D105" s="60">
        <f t="shared" ref="D105:V105" si="16">+IFERROR(IF(D66&gt;0,+((D66/D27)*100)," "),"")</f>
        <v>68.835260632756288</v>
      </c>
      <c r="E105" s="60">
        <f t="shared" si="16"/>
        <v>96.995871883680607</v>
      </c>
      <c r="F105" s="60">
        <f t="shared" si="16"/>
        <v>91.677525811660118</v>
      </c>
      <c r="G105" s="60">
        <f t="shared" si="16"/>
        <v>98.442808265805724</v>
      </c>
      <c r="H105" s="60">
        <f t="shared" si="16"/>
        <v>98.431251899628364</v>
      </c>
      <c r="I105" s="60">
        <f t="shared" si="16"/>
        <v>99.525123945231059</v>
      </c>
      <c r="J105" s="60">
        <f t="shared" si="16"/>
        <v>99.448586240867286</v>
      </c>
      <c r="K105" s="60">
        <f t="shared" si="16"/>
        <v>96.788861440641369</v>
      </c>
      <c r="L105" s="60">
        <f t="shared" si="16"/>
        <v>98.347513010073385</v>
      </c>
      <c r="M105" s="60">
        <f t="shared" si="16"/>
        <v>90.821793325683871</v>
      </c>
      <c r="N105" s="60">
        <f t="shared" si="16"/>
        <v>87.770628344177069</v>
      </c>
      <c r="O105" s="60">
        <f t="shared" si="16"/>
        <v>94.276110420362812</v>
      </c>
      <c r="P105" s="60">
        <f t="shared" si="16"/>
        <v>91.307286685509141</v>
      </c>
      <c r="Q105" s="60">
        <f t="shared" si="16"/>
        <v>84.946548621178849</v>
      </c>
      <c r="R105" s="60">
        <f t="shared" si="16"/>
        <v>97.051140029453393</v>
      </c>
      <c r="S105" s="60">
        <f t="shared" si="16"/>
        <v>97.679795210883043</v>
      </c>
      <c r="T105" s="60">
        <f t="shared" si="16"/>
        <v>98.924587477658619</v>
      </c>
      <c r="U105" s="60">
        <f t="shared" si="16"/>
        <v>97.7005420977721</v>
      </c>
      <c r="V105" s="60">
        <f t="shared" si="16"/>
        <v>97.930409743170145</v>
      </c>
    </row>
    <row r="106" spans="3:22" x14ac:dyDescent="0.2">
      <c r="C106" s="88" t="s">
        <v>138</v>
      </c>
      <c r="D106" s="62">
        <f t="shared" ref="D106:V106" si="17">+IFERROR(IF(D67&gt;0,+((D67/D28)*100)," "),"")</f>
        <v>96.565877970042919</v>
      </c>
      <c r="E106" s="62">
        <f t="shared" si="17"/>
        <v>97.382618947799017</v>
      </c>
      <c r="F106" s="62">
        <f t="shared" si="17"/>
        <v>94.521954409523616</v>
      </c>
      <c r="G106" s="62">
        <f t="shared" si="17"/>
        <v>98.560901045029183</v>
      </c>
      <c r="H106" s="62">
        <f t="shared" si="17"/>
        <v>99.045758404258549</v>
      </c>
      <c r="I106" s="62">
        <f t="shared" si="17"/>
        <v>96.524499227844842</v>
      </c>
      <c r="J106" s="62">
        <f t="shared" si="17"/>
        <v>96.039670216369856</v>
      </c>
      <c r="K106" s="62">
        <f t="shared" si="17"/>
        <v>93.698020812370558</v>
      </c>
      <c r="L106" s="62">
        <f t="shared" si="17"/>
        <v>92.763803803759075</v>
      </c>
      <c r="M106" s="62">
        <f t="shared" si="17"/>
        <v>84.696514841733659</v>
      </c>
      <c r="N106" s="62">
        <f t="shared" si="17"/>
        <v>83.610019140105592</v>
      </c>
      <c r="O106" s="62">
        <f t="shared" si="17"/>
        <v>89.437216576674601</v>
      </c>
      <c r="P106" s="62">
        <f t="shared" si="17"/>
        <v>82.144036973004319</v>
      </c>
      <c r="Q106" s="62">
        <f t="shared" si="17"/>
        <v>77.826982207887852</v>
      </c>
      <c r="R106" s="62">
        <f t="shared" si="17"/>
        <v>86.947147975225874</v>
      </c>
      <c r="S106" s="62">
        <f t="shared" si="17"/>
        <v>95.748235943248588</v>
      </c>
      <c r="T106" s="62">
        <f t="shared" si="17"/>
        <v>97.370917448849355</v>
      </c>
      <c r="U106" s="62">
        <f t="shared" si="17"/>
        <v>98.242303889304935</v>
      </c>
      <c r="V106" s="62">
        <f t="shared" si="17"/>
        <v>97.297851335725852</v>
      </c>
    </row>
    <row r="107" spans="3:22" x14ac:dyDescent="0.2">
      <c r="C107" s="87" t="s">
        <v>139</v>
      </c>
      <c r="D107" s="60">
        <f t="shared" ref="D107:V107" si="18">+IFERROR(IF(D68&gt;0,+((D68/D29)*100)," "),"")</f>
        <v>95.655070934701186</v>
      </c>
      <c r="E107" s="60">
        <f t="shared" si="18"/>
        <v>93.275052220955786</v>
      </c>
      <c r="F107" s="60">
        <f t="shared" si="18"/>
        <v>88.19586725504081</v>
      </c>
      <c r="G107" s="60">
        <f t="shared" si="18"/>
        <v>97.5562290192115</v>
      </c>
      <c r="H107" s="60">
        <f t="shared" si="18"/>
        <v>97.676283343222153</v>
      </c>
      <c r="I107" s="60">
        <f t="shared" si="18"/>
        <v>98.454537250056333</v>
      </c>
      <c r="J107" s="60">
        <f t="shared" si="18"/>
        <v>92.910328643956674</v>
      </c>
      <c r="K107" s="60">
        <f t="shared" si="18"/>
        <v>83.217725044690098</v>
      </c>
      <c r="L107" s="60">
        <f t="shared" si="18"/>
        <v>97.451061798767455</v>
      </c>
      <c r="M107" s="60">
        <f t="shared" si="18"/>
        <v>95.252013322775596</v>
      </c>
      <c r="N107" s="60">
        <f t="shared" si="18"/>
        <v>93.288521553355807</v>
      </c>
      <c r="O107" s="60">
        <f t="shared" si="18"/>
        <v>98.725433877395446</v>
      </c>
      <c r="P107" s="60">
        <f t="shared" si="18"/>
        <v>90.171012389731828</v>
      </c>
      <c r="Q107" s="60">
        <f t="shared" si="18"/>
        <v>92.372344071087625</v>
      </c>
      <c r="R107" s="60">
        <f t="shared" si="18"/>
        <v>96.193681383463641</v>
      </c>
      <c r="S107" s="60">
        <f t="shared" si="18"/>
        <v>94.988076868698613</v>
      </c>
      <c r="T107" s="60">
        <f t="shared" si="18"/>
        <v>97.620877272503719</v>
      </c>
      <c r="U107" s="60">
        <f t="shared" si="18"/>
        <v>93.875224037202926</v>
      </c>
      <c r="V107" s="60">
        <f t="shared" si="18"/>
        <v>91.370490063648163</v>
      </c>
    </row>
    <row r="108" spans="3:22" x14ac:dyDescent="0.2">
      <c r="C108" s="88" t="s">
        <v>140</v>
      </c>
      <c r="D108" s="62">
        <f t="shared" ref="D108:V108" si="19">+IFERROR(IF(D69&gt;0,+((D69/D30)*100)," "),"")</f>
        <v>87.836206812526285</v>
      </c>
      <c r="E108" s="62">
        <f t="shared" si="19"/>
        <v>74.787298206277967</v>
      </c>
      <c r="F108" s="62">
        <f t="shared" si="19"/>
        <v>82.093491145427706</v>
      </c>
      <c r="G108" s="62">
        <f t="shared" si="19"/>
        <v>98.118041680536493</v>
      </c>
      <c r="H108" s="62">
        <f t="shared" si="19"/>
        <v>96.805310563290035</v>
      </c>
      <c r="I108" s="62">
        <f t="shared" si="19"/>
        <v>91.242190875383201</v>
      </c>
      <c r="J108" s="62">
        <f t="shared" si="19"/>
        <v>77.042169110725879</v>
      </c>
      <c r="K108" s="62">
        <f t="shared" si="19"/>
        <v>61.243827411128969</v>
      </c>
      <c r="L108" s="62">
        <f t="shared" si="19"/>
        <v>98.241750939926831</v>
      </c>
      <c r="M108" s="62">
        <f t="shared" si="19"/>
        <v>89.078989498522901</v>
      </c>
      <c r="N108" s="62">
        <f t="shared" si="19"/>
        <v>97.746656595832292</v>
      </c>
      <c r="O108" s="62">
        <f t="shared" si="19"/>
        <v>98.434629451345828</v>
      </c>
      <c r="P108" s="62">
        <f t="shared" si="19"/>
        <v>98.337737270132791</v>
      </c>
      <c r="Q108" s="62">
        <f t="shared" si="19"/>
        <v>98.151326919525246</v>
      </c>
      <c r="R108" s="62">
        <f t="shared" si="19"/>
        <v>98.162265704891468</v>
      </c>
      <c r="S108" s="62">
        <f t="shared" si="19"/>
        <v>99.434977226864319</v>
      </c>
      <c r="T108" s="62">
        <f t="shared" si="19"/>
        <v>97.323537647486688</v>
      </c>
      <c r="U108" s="62">
        <f t="shared" si="19"/>
        <v>97.65659919492245</v>
      </c>
      <c r="V108" s="62">
        <f t="shared" si="19"/>
        <v>99.0343941381131</v>
      </c>
    </row>
    <row r="109" spans="3:22" x14ac:dyDescent="0.2">
      <c r="C109" s="87" t="s">
        <v>141</v>
      </c>
      <c r="D109" s="60">
        <f t="shared" ref="D109:V109" si="20">+IFERROR(IF(D70&gt;0,+((D70/D31)*100)," "),"")</f>
        <v>94.763286566646158</v>
      </c>
      <c r="E109" s="60">
        <f t="shared" si="20"/>
        <v>97.199790240930312</v>
      </c>
      <c r="F109" s="60">
        <f t="shared" si="20"/>
        <v>96.719671626171092</v>
      </c>
      <c r="G109" s="60">
        <f t="shared" si="20"/>
        <v>96.232690665181465</v>
      </c>
      <c r="H109" s="60">
        <f t="shared" si="20"/>
        <v>95.434563349109652</v>
      </c>
      <c r="I109" s="60">
        <f t="shared" si="20"/>
        <v>95.142613861800172</v>
      </c>
      <c r="J109" s="60">
        <f t="shared" si="20"/>
        <v>96.447178826713895</v>
      </c>
      <c r="K109" s="60">
        <f t="shared" si="20"/>
        <v>94.446210334832614</v>
      </c>
      <c r="L109" s="60">
        <f t="shared" si="20"/>
        <v>93.882951785043844</v>
      </c>
      <c r="M109" s="60">
        <f t="shared" si="20"/>
        <v>92.411549788740814</v>
      </c>
      <c r="N109" s="60">
        <f t="shared" si="20"/>
        <v>89.463583241625727</v>
      </c>
      <c r="O109" s="60">
        <f t="shared" si="20"/>
        <v>93.032355191219494</v>
      </c>
      <c r="P109" s="60">
        <f t="shared" si="20"/>
        <v>88.524122798892577</v>
      </c>
      <c r="Q109" s="60">
        <f t="shared" si="20"/>
        <v>89.980117431594422</v>
      </c>
      <c r="R109" s="60">
        <f t="shared" si="20"/>
        <v>94.382265180308551</v>
      </c>
      <c r="S109" s="60">
        <f t="shared" si="20"/>
        <v>95.647591292475397</v>
      </c>
      <c r="T109" s="60">
        <f t="shared" si="20"/>
        <v>96.810068990003202</v>
      </c>
      <c r="U109" s="60">
        <f t="shared" si="20"/>
        <v>96.669982322174747</v>
      </c>
      <c r="V109" s="60">
        <f t="shared" si="20"/>
        <v>96.706903215895608</v>
      </c>
    </row>
    <row r="110" spans="3:22" x14ac:dyDescent="0.2">
      <c r="C110" s="88" t="s">
        <v>142</v>
      </c>
      <c r="D110" s="62">
        <f t="shared" ref="D110:V110" si="21">+IFERROR(IF(D71&gt;0,+((D71/D32)*100)," "),"")</f>
        <v>68.988672511238804</v>
      </c>
      <c r="E110" s="62">
        <f t="shared" si="21"/>
        <v>97.070433998157327</v>
      </c>
      <c r="F110" s="62">
        <f t="shared" si="21"/>
        <v>95.651395370455134</v>
      </c>
      <c r="G110" s="62">
        <f t="shared" si="21"/>
        <v>94.884582248258397</v>
      </c>
      <c r="H110" s="62">
        <f t="shared" si="21"/>
        <v>82.498573778451956</v>
      </c>
      <c r="I110" s="62">
        <f t="shared" si="21"/>
        <v>53.560962553297777</v>
      </c>
      <c r="J110" s="62">
        <f t="shared" si="21"/>
        <v>68.654483340214</v>
      </c>
      <c r="K110" s="62">
        <f t="shared" si="21"/>
        <v>93.629763222070352</v>
      </c>
      <c r="L110" s="62">
        <f t="shared" si="21"/>
        <v>94.51876211304922</v>
      </c>
      <c r="M110" s="62">
        <f t="shared" si="21"/>
        <v>92.800508646240971</v>
      </c>
      <c r="N110" s="62">
        <f t="shared" si="21"/>
        <v>93.514519420053816</v>
      </c>
      <c r="O110" s="62">
        <f t="shared" si="21"/>
        <v>92.150412232110341</v>
      </c>
      <c r="P110" s="62">
        <f t="shared" si="21"/>
        <v>92.008534154492267</v>
      </c>
      <c r="Q110" s="62">
        <f t="shared" si="21"/>
        <v>81.563221013410242</v>
      </c>
      <c r="R110" s="62">
        <f t="shared" si="21"/>
        <v>85.309691417194202</v>
      </c>
      <c r="S110" s="62">
        <f t="shared" si="21"/>
        <v>92.937563946713581</v>
      </c>
      <c r="T110" s="62">
        <f t="shared" si="21"/>
        <v>96.149858482973926</v>
      </c>
      <c r="U110" s="62">
        <f t="shared" si="21"/>
        <v>97.595464194460618</v>
      </c>
      <c r="V110" s="62">
        <f t="shared" si="21"/>
        <v>95.280581792003488</v>
      </c>
    </row>
    <row r="111" spans="3:22" x14ac:dyDescent="0.2">
      <c r="C111" s="87" t="s">
        <v>143</v>
      </c>
      <c r="D111" s="60">
        <f t="shared" ref="D111:V111" si="22">+IFERROR(IF(D72&gt;0,+((D72/D33)*100)," "),"")</f>
        <v>96.657130309138864</v>
      </c>
      <c r="E111" s="60">
        <f t="shared" si="22"/>
        <v>93.824841280438392</v>
      </c>
      <c r="F111" s="60">
        <f t="shared" si="22"/>
        <v>84.00364088161615</v>
      </c>
      <c r="G111" s="60">
        <f t="shared" si="22"/>
        <v>99.638469249423608</v>
      </c>
      <c r="H111" s="60">
        <f t="shared" si="22"/>
        <v>91.750879459979544</v>
      </c>
      <c r="I111" s="60">
        <f t="shared" si="22"/>
        <v>95.014417287262461</v>
      </c>
      <c r="J111" s="60">
        <f t="shared" si="22"/>
        <v>98.950151384103464</v>
      </c>
      <c r="K111" s="60">
        <f t="shared" si="22"/>
        <v>98.280332745670933</v>
      </c>
      <c r="L111" s="60">
        <f t="shared" si="22"/>
        <v>89.216811977010721</v>
      </c>
      <c r="M111" s="60">
        <f t="shared" si="22"/>
        <v>90.257300557818027</v>
      </c>
      <c r="N111" s="60">
        <f t="shared" si="22"/>
        <v>84.229050239005474</v>
      </c>
      <c r="O111" s="60">
        <f t="shared" si="22"/>
        <v>91.780826295724609</v>
      </c>
      <c r="P111" s="60">
        <f t="shared" si="22"/>
        <v>96.486862219172068</v>
      </c>
      <c r="Q111" s="60">
        <f t="shared" si="22"/>
        <v>93.096366147060095</v>
      </c>
      <c r="R111" s="60">
        <f t="shared" si="22"/>
        <v>94.118168420638426</v>
      </c>
      <c r="S111" s="60">
        <f t="shared" si="22"/>
        <v>96.816251340636654</v>
      </c>
      <c r="T111" s="60">
        <f t="shared" si="22"/>
        <v>98.233898945682483</v>
      </c>
      <c r="U111" s="60">
        <f t="shared" si="22"/>
        <v>98.424576067746898</v>
      </c>
      <c r="V111" s="60">
        <f t="shared" si="22"/>
        <v>98.491227211918073</v>
      </c>
    </row>
    <row r="112" spans="3:22" x14ac:dyDescent="0.2">
      <c r="C112" s="88" t="s">
        <v>144</v>
      </c>
      <c r="D112" s="62">
        <f t="shared" ref="D112:V112" si="23">+IFERROR(IF(D73&gt;0,+((D73/D34)*100)," "),"")</f>
        <v>98.121278107808195</v>
      </c>
      <c r="E112" s="62">
        <f t="shared" si="23"/>
        <v>97.111721859196663</v>
      </c>
      <c r="F112" s="62">
        <f t="shared" si="23"/>
        <v>97.638447484734982</v>
      </c>
      <c r="G112" s="62">
        <f t="shared" si="23"/>
        <v>99.404996752463276</v>
      </c>
      <c r="H112" s="62">
        <f t="shared" si="23"/>
        <v>99.136729475697265</v>
      </c>
      <c r="I112" s="62">
        <f t="shared" si="23"/>
        <v>99.797038151368753</v>
      </c>
      <c r="J112" s="62">
        <f t="shared" si="23"/>
        <v>98.759369858124302</v>
      </c>
      <c r="K112" s="62">
        <f t="shared" si="23"/>
        <v>99.10298172731261</v>
      </c>
      <c r="L112" s="62">
        <f t="shared" si="23"/>
        <v>98.723021636275831</v>
      </c>
      <c r="M112" s="62">
        <f t="shared" si="23"/>
        <v>99.121885520097081</v>
      </c>
      <c r="N112" s="62">
        <f t="shared" si="23"/>
        <v>97.840476790662592</v>
      </c>
      <c r="O112" s="62">
        <f t="shared" si="23"/>
        <v>95.411869613271946</v>
      </c>
      <c r="P112" s="62">
        <f t="shared" si="23"/>
        <v>95.077281970420444</v>
      </c>
      <c r="Q112" s="62">
        <f t="shared" si="23"/>
        <v>97.908167678158094</v>
      </c>
      <c r="R112" s="62">
        <f t="shared" si="23"/>
        <v>99.239921669522118</v>
      </c>
      <c r="S112" s="62">
        <f t="shared" si="23"/>
        <v>98.225941012057874</v>
      </c>
      <c r="T112" s="62">
        <f t="shared" si="23"/>
        <v>99.015378878067324</v>
      </c>
      <c r="U112" s="62">
        <f t="shared" si="23"/>
        <v>98.458764750132488</v>
      </c>
      <c r="V112" s="62">
        <f t="shared" si="23"/>
        <v>99.276332714780779</v>
      </c>
    </row>
    <row r="113" spans="3:22" x14ac:dyDescent="0.2">
      <c r="C113" s="87" t="s">
        <v>145</v>
      </c>
      <c r="D113" s="60">
        <f t="shared" ref="D113:V113" si="24">+IFERROR(IF(D74&gt;0,+((D74/D35)*100)," "),"")</f>
        <v>95.738962814650932</v>
      </c>
      <c r="E113" s="60">
        <f t="shared" si="24"/>
        <v>96.964639562676908</v>
      </c>
      <c r="F113" s="60">
        <f t="shared" si="24"/>
        <v>81.306345906809241</v>
      </c>
      <c r="G113" s="60">
        <f t="shared" si="24"/>
        <v>91.360983910360872</v>
      </c>
      <c r="H113" s="60">
        <f t="shared" si="24"/>
        <v>97.526923067284756</v>
      </c>
      <c r="I113" s="60">
        <f t="shared" si="24"/>
        <v>96.87209784469016</v>
      </c>
      <c r="J113" s="60">
        <f t="shared" si="24"/>
        <v>89.584760831834373</v>
      </c>
      <c r="K113" s="60">
        <f t="shared" si="24"/>
        <v>95.727155879049377</v>
      </c>
      <c r="L113" s="60">
        <f t="shared" si="24"/>
        <v>96.816787429809963</v>
      </c>
      <c r="M113" s="60">
        <f t="shared" si="24"/>
        <v>98.295728297813511</v>
      </c>
      <c r="N113" s="60">
        <f t="shared" si="24"/>
        <v>97.703415777826521</v>
      </c>
      <c r="O113" s="60">
        <f t="shared" si="24"/>
        <v>92.518205763725447</v>
      </c>
      <c r="P113" s="60">
        <f t="shared" si="24"/>
        <v>92.434038572815567</v>
      </c>
      <c r="Q113" s="60">
        <f t="shared" si="24"/>
        <v>89.278201448481653</v>
      </c>
      <c r="R113" s="60">
        <f t="shared" si="24"/>
        <v>94.56336616085909</v>
      </c>
      <c r="S113" s="60">
        <f t="shared" si="24"/>
        <v>92.614851317574605</v>
      </c>
      <c r="T113" s="60">
        <f t="shared" si="24"/>
        <v>94.761492919019531</v>
      </c>
      <c r="U113" s="60">
        <f t="shared" si="24"/>
        <v>96.187479388507754</v>
      </c>
      <c r="V113" s="60">
        <f t="shared" si="24"/>
        <v>97.769906596969818</v>
      </c>
    </row>
    <row r="114" spans="3:22" x14ac:dyDescent="0.2">
      <c r="C114" s="88" t="s">
        <v>146</v>
      </c>
      <c r="D114" s="62">
        <f t="shared" ref="D114:V114" si="25">+IFERROR(IF(D75&gt;0,+((D75/D36)*100)," "),"")</f>
        <v>92.434671151338947</v>
      </c>
      <c r="E114" s="62">
        <f t="shared" si="25"/>
        <v>94.467336199807804</v>
      </c>
      <c r="F114" s="62">
        <f t="shared" si="25"/>
        <v>94.505580101151239</v>
      </c>
      <c r="G114" s="62">
        <f t="shared" si="25"/>
        <v>98.68551621235919</v>
      </c>
      <c r="H114" s="62">
        <f t="shared" si="25"/>
        <v>93.319855401441416</v>
      </c>
      <c r="I114" s="62">
        <f t="shared" si="25"/>
        <v>89.888682788890989</v>
      </c>
      <c r="J114" s="62">
        <f t="shared" si="25"/>
        <v>95.248136919595368</v>
      </c>
      <c r="K114" s="62">
        <f t="shared" si="25"/>
        <v>86.023437921090789</v>
      </c>
      <c r="L114" s="62">
        <f t="shared" si="25"/>
        <v>91.888113605219118</v>
      </c>
      <c r="M114" s="62">
        <f t="shared" si="25"/>
        <v>94.108590320071627</v>
      </c>
      <c r="N114" s="62">
        <f t="shared" si="25"/>
        <v>85.140256811611863</v>
      </c>
      <c r="O114" s="62">
        <f t="shared" si="25"/>
        <v>97.84874069364011</v>
      </c>
      <c r="P114" s="62">
        <f t="shared" si="25"/>
        <v>96.394641467209979</v>
      </c>
      <c r="Q114" s="62">
        <f t="shared" si="25"/>
        <v>98.770596851103591</v>
      </c>
      <c r="R114" s="62">
        <f t="shared" si="25"/>
        <v>98.111002954344116</v>
      </c>
      <c r="S114" s="62">
        <f t="shared" si="25"/>
        <v>98.716546870742889</v>
      </c>
      <c r="T114" s="62">
        <f t="shared" si="25"/>
        <v>97.555191043058315</v>
      </c>
      <c r="U114" s="62">
        <f t="shared" si="25"/>
        <v>96.317037440132282</v>
      </c>
      <c r="V114" s="62">
        <f t="shared" si="25"/>
        <v>95.078587965426848</v>
      </c>
    </row>
    <row r="115" spans="3:22" x14ac:dyDescent="0.2">
      <c r="C115" s="90" t="s">
        <v>147</v>
      </c>
      <c r="D115" s="61">
        <f t="shared" ref="D115:V115" si="26">+IFERROR(IF(D76&gt;0,+((D76/D37)*100)," "),"")</f>
        <v>91.823201755151771</v>
      </c>
      <c r="E115" s="61">
        <f t="shared" si="26"/>
        <v>97.886312901795236</v>
      </c>
      <c r="F115" s="61">
        <f t="shared" si="26"/>
        <v>96.609164274489657</v>
      </c>
      <c r="G115" s="61">
        <f t="shared" si="26"/>
        <v>99.416031454880113</v>
      </c>
      <c r="H115" s="61">
        <f t="shared" si="26"/>
        <v>99.288747733599379</v>
      </c>
      <c r="I115" s="61">
        <f t="shared" si="26"/>
        <v>99.005298765342147</v>
      </c>
      <c r="J115" s="61">
        <f t="shared" si="26"/>
        <v>98.503541756182557</v>
      </c>
      <c r="K115" s="61">
        <f t="shared" si="26"/>
        <v>96.793341007733957</v>
      </c>
      <c r="L115" s="61">
        <f t="shared" si="26"/>
        <v>99.643500294751263</v>
      </c>
      <c r="M115" s="61">
        <f t="shared" si="26"/>
        <v>95.770928725925046</v>
      </c>
      <c r="N115" s="61">
        <f t="shared" si="26"/>
        <v>87.541208494844838</v>
      </c>
      <c r="O115" s="61">
        <f t="shared" si="26"/>
        <v>99.15204079057041</v>
      </c>
      <c r="P115" s="61">
        <f t="shared" si="26"/>
        <v>98.626290807785551</v>
      </c>
      <c r="Q115" s="61">
        <f t="shared" si="26"/>
        <v>98.59995562240114</v>
      </c>
      <c r="R115" s="61">
        <f t="shared" si="26"/>
        <v>97.823758349853208</v>
      </c>
      <c r="S115" s="61">
        <f t="shared" si="26"/>
        <v>98.829858075299768</v>
      </c>
      <c r="T115" s="61">
        <f t="shared" si="26"/>
        <v>99.730510976898017</v>
      </c>
      <c r="U115" s="61">
        <f t="shared" si="26"/>
        <v>99.768660174340425</v>
      </c>
      <c r="V115" s="61">
        <f t="shared" si="26"/>
        <v>95.820834546698151</v>
      </c>
    </row>
    <row r="116" spans="3:22" ht="22.5" customHeight="1" x14ac:dyDescent="0.2">
      <c r="C116" s="89" t="s">
        <v>148</v>
      </c>
      <c r="D116" s="63" t="str">
        <f t="shared" ref="D116:V116" si="27">+IFERROR(IF(D77&gt;0,+((D77/D38)*100)," "),"")</f>
        <v xml:space="preserve"> </v>
      </c>
      <c r="E116" s="63" t="str">
        <f t="shared" si="27"/>
        <v xml:space="preserve"> </v>
      </c>
      <c r="F116" s="63" t="str">
        <f t="shared" si="27"/>
        <v xml:space="preserve"> </v>
      </c>
      <c r="G116" s="63" t="str">
        <f t="shared" si="27"/>
        <v xml:space="preserve"> </v>
      </c>
      <c r="H116" s="63" t="str">
        <f t="shared" si="27"/>
        <v xml:space="preserve"> </v>
      </c>
      <c r="I116" s="63" t="str">
        <f t="shared" si="27"/>
        <v xml:space="preserve"> </v>
      </c>
      <c r="J116" s="63" t="str">
        <f t="shared" si="27"/>
        <v xml:space="preserve"> </v>
      </c>
      <c r="K116" s="63" t="str">
        <f t="shared" si="27"/>
        <v xml:space="preserve"> </v>
      </c>
      <c r="L116" s="63" t="str">
        <f t="shared" si="27"/>
        <v xml:space="preserve"> </v>
      </c>
      <c r="M116" s="63" t="str">
        <f t="shared" si="27"/>
        <v xml:space="preserve"> </v>
      </c>
      <c r="N116" s="63" t="str">
        <f t="shared" si="27"/>
        <v xml:space="preserve"> </v>
      </c>
      <c r="O116" s="63" t="str">
        <f t="shared" si="27"/>
        <v xml:space="preserve"> </v>
      </c>
      <c r="P116" s="63" t="str">
        <f t="shared" si="27"/>
        <v xml:space="preserve"> </v>
      </c>
      <c r="Q116" s="63" t="str">
        <f t="shared" si="27"/>
        <v xml:space="preserve"> </v>
      </c>
      <c r="R116" s="63" t="str">
        <f t="shared" si="27"/>
        <v xml:space="preserve"> </v>
      </c>
      <c r="S116" s="63" t="str">
        <f t="shared" si="27"/>
        <v xml:space="preserve"> </v>
      </c>
      <c r="T116" s="63" t="str">
        <f t="shared" si="27"/>
        <v xml:space="preserve"> </v>
      </c>
      <c r="U116" s="63">
        <f t="shared" si="27"/>
        <v>59.926249401054143</v>
      </c>
      <c r="V116" s="63">
        <f t="shared" si="27"/>
        <v>83.48917069250092</v>
      </c>
    </row>
    <row r="117" spans="3:22" x14ac:dyDescent="0.2">
      <c r="C117" s="87" t="s">
        <v>149</v>
      </c>
      <c r="D117" s="60">
        <f t="shared" ref="D117:V117" si="28">+IFERROR(IF(D78&gt;0,+((D78/D39)*100)," "),"")</f>
        <v>78.376956777950468</v>
      </c>
      <c r="E117" s="60">
        <f t="shared" si="28"/>
        <v>89.469093490342175</v>
      </c>
      <c r="F117" s="60">
        <f t="shared" si="28"/>
        <v>93.493614292259522</v>
      </c>
      <c r="G117" s="60">
        <f t="shared" si="28"/>
        <v>92.700789623709639</v>
      </c>
      <c r="H117" s="60">
        <f t="shared" si="28"/>
        <v>91.809910193529475</v>
      </c>
      <c r="I117" s="60">
        <f t="shared" si="28"/>
        <v>95.414214453943771</v>
      </c>
      <c r="J117" s="60">
        <f t="shared" si="28"/>
        <v>74.817093928372074</v>
      </c>
      <c r="K117" s="60">
        <f t="shared" si="28"/>
        <v>95.962752787025224</v>
      </c>
      <c r="L117" s="60">
        <f t="shared" si="28"/>
        <v>93.437569250872542</v>
      </c>
      <c r="M117" s="60">
        <f t="shared" si="28"/>
        <v>30.648991611240834</v>
      </c>
      <c r="N117" s="60">
        <f t="shared" si="28"/>
        <v>79.395461825216145</v>
      </c>
      <c r="O117" s="60">
        <f t="shared" si="28"/>
        <v>85.377105508356877</v>
      </c>
      <c r="P117" s="60">
        <f t="shared" si="28"/>
        <v>75.81679301880672</v>
      </c>
      <c r="Q117" s="60">
        <f t="shared" si="28"/>
        <v>60.050733047219339</v>
      </c>
      <c r="R117" s="60">
        <f t="shared" si="28"/>
        <v>53.478165518363397</v>
      </c>
      <c r="S117" s="60">
        <f t="shared" si="28"/>
        <v>84.227713205660521</v>
      </c>
      <c r="T117" s="60">
        <f t="shared" si="28"/>
        <v>94.559355845785035</v>
      </c>
      <c r="U117" s="60">
        <f t="shared" si="28"/>
        <v>95.581056068981326</v>
      </c>
      <c r="V117" s="60">
        <f t="shared" si="28"/>
        <v>92.113906936741529</v>
      </c>
    </row>
    <row r="118" spans="3:22" x14ac:dyDescent="0.2">
      <c r="C118" s="88" t="s">
        <v>150</v>
      </c>
      <c r="D118" s="62">
        <f t="shared" ref="D118:V118" si="29">+IFERROR(IF(D79&gt;0,+((D79/D40)*100)," "),"")</f>
        <v>71.584267149062967</v>
      </c>
      <c r="E118" s="62">
        <f t="shared" si="29"/>
        <v>84.979602804257652</v>
      </c>
      <c r="F118" s="62">
        <f t="shared" si="29"/>
        <v>84.559588186837971</v>
      </c>
      <c r="G118" s="62">
        <f t="shared" si="29"/>
        <v>96.872661520833518</v>
      </c>
      <c r="H118" s="62">
        <f t="shared" si="29"/>
        <v>96.589766805198607</v>
      </c>
      <c r="I118" s="62">
        <f t="shared" si="29"/>
        <v>96.525239205330067</v>
      </c>
      <c r="J118" s="62">
        <f t="shared" si="29"/>
        <v>79.828541861327523</v>
      </c>
      <c r="K118" s="62">
        <f t="shared" si="29"/>
        <v>97.003172386182257</v>
      </c>
      <c r="L118" s="62">
        <f t="shared" si="29"/>
        <v>98.073180829024992</v>
      </c>
      <c r="M118" s="62">
        <f t="shared" si="29"/>
        <v>97.639333581902704</v>
      </c>
      <c r="N118" s="62">
        <f t="shared" si="29"/>
        <v>96.301638126773597</v>
      </c>
      <c r="O118" s="62">
        <f t="shared" si="29"/>
        <v>96.274307944423015</v>
      </c>
      <c r="P118" s="62">
        <f t="shared" si="29"/>
        <v>95.657350157700975</v>
      </c>
      <c r="Q118" s="62">
        <f t="shared" si="29"/>
        <v>98.97852627387384</v>
      </c>
      <c r="R118" s="62">
        <f t="shared" si="29"/>
        <v>98.113657731237637</v>
      </c>
      <c r="S118" s="62">
        <f t="shared" si="29"/>
        <v>97.372974979626164</v>
      </c>
      <c r="T118" s="62">
        <f t="shared" si="29"/>
        <v>99.650466457998107</v>
      </c>
      <c r="U118" s="62">
        <f t="shared" si="29"/>
        <v>98.530207162541174</v>
      </c>
      <c r="V118" s="62">
        <f t="shared" si="29"/>
        <v>99.392245517750197</v>
      </c>
    </row>
    <row r="119" spans="3:22" x14ac:dyDescent="0.2">
      <c r="C119" s="87" t="s">
        <v>151</v>
      </c>
      <c r="D119" s="60">
        <f t="shared" ref="D119:V119" si="30">+IFERROR(IF(D80&gt;0,+((D80/D41)*100)," "),"")</f>
        <v>96.876741746332485</v>
      </c>
      <c r="E119" s="60">
        <f t="shared" si="30"/>
        <v>97.818139635509041</v>
      </c>
      <c r="F119" s="60">
        <f t="shared" si="30"/>
        <v>89.685043527966513</v>
      </c>
      <c r="G119" s="60">
        <f t="shared" si="30"/>
        <v>92.675695579189238</v>
      </c>
      <c r="H119" s="60">
        <f t="shared" si="30"/>
        <v>99.583577517814135</v>
      </c>
      <c r="I119" s="60">
        <f t="shared" si="30"/>
        <v>97.873578936329395</v>
      </c>
      <c r="J119" s="60">
        <f t="shared" si="30"/>
        <v>98.21565364560368</v>
      </c>
      <c r="K119" s="60">
        <f t="shared" si="30"/>
        <v>98.832216406379061</v>
      </c>
      <c r="L119" s="60">
        <f t="shared" si="30"/>
        <v>98.715421457354495</v>
      </c>
      <c r="M119" s="60">
        <f t="shared" si="30"/>
        <v>96.968902869468053</v>
      </c>
      <c r="N119" s="60">
        <f t="shared" si="30"/>
        <v>99.363077617936952</v>
      </c>
      <c r="O119" s="60">
        <f t="shared" si="30"/>
        <v>98.598664817522305</v>
      </c>
      <c r="P119" s="60">
        <f t="shared" si="30"/>
        <v>99.632081297774576</v>
      </c>
      <c r="Q119" s="60">
        <f t="shared" si="30"/>
        <v>98.815538735823822</v>
      </c>
      <c r="R119" s="60">
        <f t="shared" si="30"/>
        <v>99.581830615260969</v>
      </c>
      <c r="S119" s="60">
        <f t="shared" si="30"/>
        <v>99.576664667962945</v>
      </c>
      <c r="T119" s="60">
        <f t="shared" si="30"/>
        <v>99.718791329841878</v>
      </c>
      <c r="U119" s="60">
        <f t="shared" si="30"/>
        <v>99.934022095052129</v>
      </c>
      <c r="V119" s="60">
        <f t="shared" si="30"/>
        <v>99.635748584689026</v>
      </c>
    </row>
    <row r="120" spans="3:22" x14ac:dyDescent="0.2">
      <c r="C120" s="91" t="s">
        <v>154</v>
      </c>
      <c r="D120" s="64">
        <f t="shared" ref="D120:V120" si="31">+IFERROR(IF(D81&gt;0,+((D81/D42)*100)," "),"")</f>
        <v>93.314815976948779</v>
      </c>
      <c r="E120" s="64">
        <f t="shared" si="31"/>
        <v>95.917898467049199</v>
      </c>
      <c r="F120" s="64">
        <f t="shared" si="31"/>
        <v>95.852633059446575</v>
      </c>
      <c r="G120" s="64">
        <f t="shared" si="31"/>
        <v>98.78993363030861</v>
      </c>
      <c r="H120" s="64">
        <f t="shared" si="31"/>
        <v>98.522566726160363</v>
      </c>
      <c r="I120" s="64">
        <f t="shared" si="31"/>
        <v>97.662340187000453</v>
      </c>
      <c r="J120" s="64">
        <f t="shared" si="31"/>
        <v>97.304611429411707</v>
      </c>
      <c r="K120" s="64">
        <f t="shared" si="31"/>
        <v>94.066017403338577</v>
      </c>
      <c r="L120" s="64">
        <f t="shared" si="31"/>
        <v>98.032978094114071</v>
      </c>
      <c r="M120" s="64">
        <f t="shared" si="31"/>
        <v>94.605052643994142</v>
      </c>
      <c r="N120" s="64">
        <f t="shared" si="31"/>
        <v>92.637699610348818</v>
      </c>
      <c r="O120" s="64">
        <f t="shared" si="31"/>
        <v>98.421608074964098</v>
      </c>
      <c r="P120" s="64">
        <f t="shared" si="31"/>
        <v>97.426289889196767</v>
      </c>
      <c r="Q120" s="64">
        <f t="shared" si="31"/>
        <v>96.829584201653873</v>
      </c>
      <c r="R120" s="64">
        <f t="shared" si="31"/>
        <v>95.628725156252017</v>
      </c>
      <c r="S120" s="64">
        <f t="shared" si="31"/>
        <v>97.9406174131298</v>
      </c>
      <c r="T120" s="64">
        <f t="shared" si="31"/>
        <v>98.686447096492344</v>
      </c>
      <c r="U120" s="64">
        <f t="shared" si="31"/>
        <v>99.067135507361087</v>
      </c>
      <c r="V120" s="64">
        <f t="shared" si="31"/>
        <v>97.408977440653928</v>
      </c>
    </row>
    <row r="121" spans="3:22" x14ac:dyDescent="0.2">
      <c r="C121" s="1" t="s">
        <v>52</v>
      </c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</row>
    <row r="122" spans="3:22" x14ac:dyDescent="0.2"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</row>
    <row r="126" spans="3:22" ht="18" customHeight="1" x14ac:dyDescent="0.2">
      <c r="D126" s="160" t="s">
        <v>167</v>
      </c>
      <c r="E126" s="158"/>
      <c r="F126" s="158"/>
      <c r="G126" s="158"/>
      <c r="H126" s="158"/>
      <c r="I126" s="158"/>
      <c r="J126" s="158"/>
      <c r="K126" s="158"/>
      <c r="L126" s="158"/>
      <c r="M126" s="158"/>
      <c r="N126" s="158"/>
      <c r="O126" s="158"/>
      <c r="P126" s="158"/>
      <c r="Q126" s="158"/>
      <c r="R126" s="158"/>
      <c r="S126" s="158"/>
      <c r="T126" s="158"/>
      <c r="U126" s="158"/>
      <c r="V126" s="158"/>
    </row>
    <row r="127" spans="3:22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</row>
    <row r="128" spans="3:22" x14ac:dyDescent="0.2">
      <c r="C128" s="177" t="s">
        <v>120</v>
      </c>
      <c r="D128" s="180">
        <v>2000</v>
      </c>
      <c r="E128" s="153">
        <v>2001</v>
      </c>
      <c r="F128" s="153">
        <v>2002</v>
      </c>
      <c r="G128" s="153">
        <v>2003</v>
      </c>
      <c r="H128" s="153">
        <v>2004</v>
      </c>
      <c r="I128" s="153">
        <v>2005</v>
      </c>
      <c r="J128" s="153">
        <v>2006</v>
      </c>
      <c r="K128" s="153">
        <v>2007</v>
      </c>
      <c r="L128" s="153">
        <v>2008</v>
      </c>
      <c r="M128" s="153">
        <v>2009</v>
      </c>
      <c r="N128" s="153">
        <v>2010</v>
      </c>
      <c r="O128" s="153">
        <v>2011</v>
      </c>
      <c r="P128" s="153">
        <v>2012</v>
      </c>
      <c r="Q128" s="153">
        <v>2013</v>
      </c>
      <c r="R128" s="153">
        <v>2014</v>
      </c>
      <c r="S128" s="153">
        <v>2015</v>
      </c>
      <c r="T128" s="153">
        <v>2016</v>
      </c>
      <c r="U128" s="153">
        <v>2017</v>
      </c>
      <c r="V128" s="153">
        <v>2018</v>
      </c>
    </row>
    <row r="129" spans="3:22" ht="12" customHeight="1" thickBot="1" x14ac:dyDescent="0.25">
      <c r="C129" s="156"/>
      <c r="D129" s="181"/>
      <c r="E129" s="154"/>
      <c r="F129" s="154"/>
      <c r="G129" s="154"/>
      <c r="H129" s="154"/>
      <c r="I129" s="154"/>
      <c r="J129" s="154"/>
      <c r="K129" s="154"/>
      <c r="L129" s="154"/>
      <c r="M129" s="154"/>
      <c r="N129" s="154"/>
      <c r="O129" s="154"/>
      <c r="P129" s="154"/>
      <c r="Q129" s="154"/>
      <c r="R129" s="154"/>
      <c r="S129" s="154"/>
      <c r="T129" s="154"/>
      <c r="U129" s="154"/>
      <c r="V129" s="154"/>
    </row>
    <row r="130" spans="3:22" x14ac:dyDescent="0.2">
      <c r="C130" s="87" t="s">
        <v>123</v>
      </c>
      <c r="D130" s="56">
        <f>393.803408312179*Deflactores!$A$5</f>
        <v>1429.7265588982195</v>
      </c>
      <c r="E130" s="56">
        <f>463.38114339604*Deflactores!$B$5</f>
        <v>1562.8045937422166</v>
      </c>
      <c r="F130" s="56">
        <f>454.51567656092*Deflactores!$C$5</f>
        <v>1432.7305821821003</v>
      </c>
      <c r="G130" s="56">
        <f>377.88421909743*Deflactores!$D$5</f>
        <v>1118.5619428145574</v>
      </c>
      <c r="H130" s="56">
        <f>447.22584668524*Deflactores!$E$5</f>
        <v>1254.839379353378</v>
      </c>
      <c r="I130" s="56">
        <f>525.91836065907*Deflactores!$F$5</f>
        <v>1407.3099155490047</v>
      </c>
      <c r="J130" s="56">
        <f>784.23123482629*Deflactores!$G$5</f>
        <v>2008.5882348878565</v>
      </c>
      <c r="K130" s="56">
        <f>1266.19795046168*Deflactores!$H$5</f>
        <v>3068.2882419006291</v>
      </c>
      <c r="L130" s="56">
        <f>1778.46879956156*Deflactores!$I$5</f>
        <v>4002.4734079372315</v>
      </c>
      <c r="M130" s="56">
        <f>1374.11128944067*Deflactores!$J$5</f>
        <v>3031.7699395469535</v>
      </c>
      <c r="N130" s="56">
        <f>1313.14245087745*Deflactores!$K$5</f>
        <v>2808.1971916218872</v>
      </c>
      <c r="O130" s="56">
        <f>1323.59800854374*Deflactores!$L$5</f>
        <v>2728.8606896133247</v>
      </c>
      <c r="P130" s="56">
        <f>1883.91099331148*Deflactores!$M$5</f>
        <v>3791.5437422601221</v>
      </c>
      <c r="Q130" s="56">
        <f>3236.99358431459*Deflactores!$N$5</f>
        <v>6390.7657601589553</v>
      </c>
      <c r="R130" s="56">
        <f>3069.6991900535*Deflactores!$O$5</f>
        <v>5846.4962597244885</v>
      </c>
      <c r="S130" s="56">
        <f>3297.93392064388*Deflactores!$P$5</f>
        <v>5882.9148642595082</v>
      </c>
      <c r="T130" s="56">
        <f>2047.0101928436*Deflactores!$Q$5</f>
        <v>3452.949628948586</v>
      </c>
      <c r="U130" s="56">
        <f>2560.70588145718*Deflactores!$R$5</f>
        <v>4149.7403934783724</v>
      </c>
      <c r="V130" s="56">
        <f>1411.49295957732*Deflactores!$S$5</f>
        <v>2216.8914171137212</v>
      </c>
    </row>
    <row r="131" spans="3:22" x14ac:dyDescent="0.2">
      <c r="C131" s="88" t="s">
        <v>124</v>
      </c>
      <c r="D131" s="57">
        <f>105.36411822376*Deflactores!$A$5</f>
        <v>382.53066123791274</v>
      </c>
      <c r="E131" s="57">
        <f>121.12908912543*Deflactores!$B$5</f>
        <v>408.52136436471602</v>
      </c>
      <c r="F131" s="57">
        <f>125.45739772023*Deflactores!$C$5</f>
        <v>395.46853880773568</v>
      </c>
      <c r="G131" s="57">
        <f>148.792439908709*Deflactores!$D$5</f>
        <v>440.43532978944592</v>
      </c>
      <c r="H131" s="57">
        <f>147.79874074354*Deflactores!$E$5</f>
        <v>414.69803563112248</v>
      </c>
      <c r="I131" s="57">
        <f>176.4687692983*Deflactores!$F$5</f>
        <v>472.21444884906657</v>
      </c>
      <c r="J131" s="57">
        <f>231.280849505969*Deflactores!$G$5</f>
        <v>592.36099334331834</v>
      </c>
      <c r="K131" s="57">
        <f>476.33743959263*Deflactores!$H$5</f>
        <v>1154.2749414072359</v>
      </c>
      <c r="L131" s="57">
        <f>1419.32246498877*Deflactores!$I$5</f>
        <v>3194.2086500510682</v>
      </c>
      <c r="M131" s="57">
        <f>1595.72704646408*Deflactores!$J$5</f>
        <v>3520.7317837852083</v>
      </c>
      <c r="N131" s="57">
        <f>1762.0715834062*Deflactores!$K$5</f>
        <v>3768.2465208946483</v>
      </c>
      <c r="O131" s="57">
        <f>1310.79662672547*Deflactores!$L$5</f>
        <v>2702.4680935296833</v>
      </c>
      <c r="P131" s="57">
        <f>300.4257698713*Deflactores!$M$5</f>
        <v>604.63442902202735</v>
      </c>
      <c r="Q131" s="57">
        <f>353.997346306649*Deflactores!$N$5</f>
        <v>698.89360637787399</v>
      </c>
      <c r="R131" s="57">
        <f>387.967362361911*Deflactores!$O$5</f>
        <v>738.91596293660155</v>
      </c>
      <c r="S131" s="57">
        <f>435.979370289326*Deflactores!$P$5</f>
        <v>777.70797708549173</v>
      </c>
      <c r="T131" s="57">
        <f>436.508509026007*Deflactores!$Q$5</f>
        <v>736.31381980588458</v>
      </c>
      <c r="U131" s="57">
        <f>470.6335667799*Deflactores!$R$5</f>
        <v>762.68310887855091</v>
      </c>
      <c r="V131" s="57">
        <f>438.61583760881*Deflactores!$S$5</f>
        <v>688.89021316570836</v>
      </c>
    </row>
    <row r="132" spans="3:22" x14ac:dyDescent="0.2">
      <c r="C132" s="87" t="s">
        <v>125</v>
      </c>
      <c r="D132" s="56">
        <f>26.8834639093999*Deflactores!$A$5</f>
        <v>97.602005303066093</v>
      </c>
      <c r="E132" s="56">
        <f>36.73429106495*Deflactores!$B$5</f>
        <v>123.89049412634802</v>
      </c>
      <c r="F132" s="56">
        <f>21.14463452346*Deflactores!$C$5</f>
        <v>66.652408471469116</v>
      </c>
      <c r="G132" s="56">
        <f>14.32293153221*Deflactores!$D$5</f>
        <v>42.396811805835107</v>
      </c>
      <c r="H132" s="56">
        <f>39.00130637267*Deflactores!$E$5</f>
        <v>109.43100772325593</v>
      </c>
      <c r="I132" s="56">
        <f>31.6833689300399*Deflactores!$F$5</f>
        <v>84.781826588760367</v>
      </c>
      <c r="J132" s="56">
        <f>42.7822032775999*Deflactores!$G$5</f>
        <v>109.57460803636832</v>
      </c>
      <c r="K132" s="56">
        <f>73.76148976697*Deflactores!$H$5</f>
        <v>178.74101887034843</v>
      </c>
      <c r="L132" s="56">
        <f>128.924043614*Deflactores!$I$5</f>
        <v>290.14568955946055</v>
      </c>
      <c r="M132" s="56">
        <f>137.70957373637*Deflactores!$J$5</f>
        <v>303.83546751274821</v>
      </c>
      <c r="N132" s="56">
        <f>334.97356513327*Deflactores!$K$5</f>
        <v>716.35169836011107</v>
      </c>
      <c r="O132" s="56">
        <f>360.75645416604*Deflactores!$L$5</f>
        <v>743.77122052421487</v>
      </c>
      <c r="P132" s="56">
        <f>386.601252510659*Deflactores!$M$5</f>
        <v>778.07049532109238</v>
      </c>
      <c r="Q132" s="56">
        <f>414.57717876032*Deflactores!$N$5</f>
        <v>818.49579554411036</v>
      </c>
      <c r="R132" s="56">
        <f>357.03357931108*Deflactores!$O$5</f>
        <v>680.00001198876294</v>
      </c>
      <c r="S132" s="56">
        <f>348.128329310249*Deflactores!$P$5</f>
        <v>620.9976829278753</v>
      </c>
      <c r="T132" s="56">
        <f>301.586931166029*Deflactores!$Q$5</f>
        <v>508.72461979237789</v>
      </c>
      <c r="U132" s="56">
        <f>378.87148355873*Deflactores!$R$5</f>
        <v>613.97847782739575</v>
      </c>
      <c r="V132" s="56">
        <f>269.02530627727*Deflactores!$S$5</f>
        <v>422.53125559412308</v>
      </c>
    </row>
    <row r="133" spans="3:22" x14ac:dyDescent="0.2">
      <c r="C133" s="88" t="s">
        <v>126</v>
      </c>
      <c r="D133" s="57">
        <f>161.930549002719*Deflactores!$A$5</f>
        <v>587.89843287142764</v>
      </c>
      <c r="E133" s="57">
        <f>176.599411168159*Deflactores!$B$5</f>
        <v>595.60121286568517</v>
      </c>
      <c r="F133" s="57">
        <f>154.481427837409*Deflactores!$C$5</f>
        <v>486.95848670501817</v>
      </c>
      <c r="G133" s="57">
        <f>132.749683040209*Deflactores!$D$5</f>
        <v>392.94772278169143</v>
      </c>
      <c r="H133" s="57">
        <f>124.135312269629*Deflactores!$E$5</f>
        <v>348.30249494477613</v>
      </c>
      <c r="I133" s="57">
        <f>137.49935706698*Deflactores!$F$5</f>
        <v>367.93583007727392</v>
      </c>
      <c r="J133" s="57">
        <f>225.8856260924*Deflactores!$G$5</f>
        <v>578.54264259185072</v>
      </c>
      <c r="K133" s="57">
        <f>248.077515389329*Deflactores!$H$5</f>
        <v>601.14875661539509</v>
      </c>
      <c r="L133" s="57">
        <f>212.877075007539*Deflactores!$I$5</f>
        <v>479.08337334182278</v>
      </c>
      <c r="M133" s="57">
        <f>344.193489125799*Deflactores!$J$5</f>
        <v>759.41117851097783</v>
      </c>
      <c r="N133" s="57">
        <f>318.608721126309*Deflactores!$K$5</f>
        <v>681.35495527944204</v>
      </c>
      <c r="O133" s="57">
        <f>426.4181578584*Deflactores!$L$5</f>
        <v>879.14588931527783</v>
      </c>
      <c r="P133" s="57">
        <f>613.79847621238*Deflactores!$M$5</f>
        <v>1235.3257557041436</v>
      </c>
      <c r="Q133" s="57">
        <f>827.623077298199*Deflactores!$N$5</f>
        <v>1633.9683990552785</v>
      </c>
      <c r="R133" s="57">
        <f>620.064930265388*Deflactores!$O$5</f>
        <v>1180.9649972640268</v>
      </c>
      <c r="S133" s="57">
        <f>605.107398156139*Deflactores!$P$5</f>
        <v>1079.4016474384489</v>
      </c>
      <c r="T133" s="57">
        <f>570.60822934099*Deflactores!$Q$5</f>
        <v>962.51668929941604</v>
      </c>
      <c r="U133" s="57">
        <f>676.349672772529*Deflactores!$R$5</f>
        <v>1096.0554187593355</v>
      </c>
      <c r="V133" s="57">
        <f>436.644704495989*Deflactores!$S$5</f>
        <v>685.79435069600811</v>
      </c>
    </row>
    <row r="134" spans="3:22" x14ac:dyDescent="0.2">
      <c r="C134" s="87" t="s">
        <v>127</v>
      </c>
      <c r="D134" s="56">
        <f>168.145621939619*Deflactores!$A$5</f>
        <v>610.46262265703615</v>
      </c>
      <c r="E134" s="56">
        <f>180.690713609919*Deflactores!$B$5</f>
        <v>609.39958671299246</v>
      </c>
      <c r="F134" s="56">
        <f>184.05198404973*Deflactores!$C$5</f>
        <v>580.17120169450584</v>
      </c>
      <c r="G134" s="56">
        <f>210.33975556671*Deflactores!$D$5</f>
        <v>622.61939966637351</v>
      </c>
      <c r="H134" s="56">
        <f>215.22518708014*Deflactores!$E$5</f>
        <v>603.88513360440106</v>
      </c>
      <c r="I134" s="56">
        <f>236.83228545257*Deflactores!$F$5</f>
        <v>633.74175265882309</v>
      </c>
      <c r="J134" s="56">
        <f>283.22669989996*Deflactores!$G$5</f>
        <v>725.4057119405395</v>
      </c>
      <c r="K134" s="56">
        <f>281.94951835113*Deflactores!$H$5</f>
        <v>683.2283938312213</v>
      </c>
      <c r="L134" s="56">
        <f>303.85727323989*Deflactores!$I$5</f>
        <v>683.83581216088692</v>
      </c>
      <c r="M134" s="56">
        <f>330.79597615344*Deflactores!$J$5</f>
        <v>729.85158067751422</v>
      </c>
      <c r="N134" s="56">
        <f>357.085573734959*Deflactores!$K$5</f>
        <v>763.6389370103351</v>
      </c>
      <c r="O134" s="56">
        <f>360.815398523639*Deflactores!$L$5</f>
        <v>743.89274604728769</v>
      </c>
      <c r="P134" s="56">
        <f>373.405928492964*Deflactores!$M$5</f>
        <v>751.51369492871083</v>
      </c>
      <c r="Q134" s="56">
        <f>423.265552748943*Deflactores!$N$5</f>
        <v>835.64916997988473</v>
      </c>
      <c r="R134" s="56">
        <f>450.194806717395*Deflactores!$O$5</f>
        <v>857.43328276239549</v>
      </c>
      <c r="S134" s="56">
        <f>465.187670096266*Deflactores!$P$5</f>
        <v>829.81027665504996</v>
      </c>
      <c r="T134" s="56">
        <f>498.152825365204*Deflactores!$Q$5</f>
        <v>840.29704371672051</v>
      </c>
      <c r="U134" s="56">
        <f>545.5624354178*Deflactores!$R$5</f>
        <v>884.10874978323352</v>
      </c>
      <c r="V134" s="56">
        <f>542.03879845239*Deflactores!$S$5</f>
        <v>851.32635758351637</v>
      </c>
    </row>
    <row r="135" spans="3:22" x14ac:dyDescent="0.2">
      <c r="C135" s="88" t="s">
        <v>128</v>
      </c>
      <c r="D135" s="57">
        <f>48.3258850163999*Deflactores!$A$5</f>
        <v>175.44998299109861</v>
      </c>
      <c r="E135" s="57">
        <f>55.95457123238*Deflactores!$B$5</f>
        <v>188.71303290842295</v>
      </c>
      <c r="F135" s="57">
        <f>49.5770739967199*Deflactores!$C$5</f>
        <v>156.27753618457459</v>
      </c>
      <c r="G135" s="57">
        <f>56.83442919774*Deflactores!$D$5</f>
        <v>168.23361847187763</v>
      </c>
      <c r="H135" s="57">
        <f>76.69139809583*Deflactores!$E$5</f>
        <v>215.18297097896746</v>
      </c>
      <c r="I135" s="57">
        <f>88.31689792753*Deflactores!$F$5</f>
        <v>236.32802248658058</v>
      </c>
      <c r="J135" s="57">
        <f>109.65787601217*Deflactores!$G$5</f>
        <v>280.85787691129616</v>
      </c>
      <c r="K135" s="57">
        <f>126.07135567179*Deflactores!$H$5</f>
        <v>305.49982971239399</v>
      </c>
      <c r="L135" s="57">
        <f>161.60781300227*Deflactores!$I$5</f>
        <v>363.70105239739911</v>
      </c>
      <c r="M135" s="57">
        <f>166.27372079337*Deflactores!$J$5</f>
        <v>366.85796289699141</v>
      </c>
      <c r="N135" s="57">
        <f>186.91276749066*Deflactores!$K$5</f>
        <v>399.71894016129994</v>
      </c>
      <c r="O135" s="57">
        <f>209.714370750029*Deflactores!$L$5</f>
        <v>432.36790830199925</v>
      </c>
      <c r="P135" s="57">
        <f>318.277578784829*Deflactores!$M$5</f>
        <v>640.56283254768334</v>
      </c>
      <c r="Q135" s="57">
        <f>378.87061234774*Deflactores!$N$5</f>
        <v>748.00065982678825</v>
      </c>
      <c r="R135" s="57">
        <f>373.315783729939*Deflactores!$O$5</f>
        <v>711.01081837115305</v>
      </c>
      <c r="S135" s="57">
        <f>416.8638696565*Deflactores!$P$5</f>
        <v>743.60939733327552</v>
      </c>
      <c r="T135" s="57">
        <f>356.126582057029*Deflactores!$Q$5</f>
        <v>600.72351064570375</v>
      </c>
      <c r="U135" s="57">
        <f>364.2497497416*Deflactores!$R$5</f>
        <v>590.28329288522468</v>
      </c>
      <c r="V135" s="57">
        <f>353.84142500815*Deflactores!$S$5</f>
        <v>555.74348621246941</v>
      </c>
    </row>
    <row r="136" spans="3:22" x14ac:dyDescent="0.2">
      <c r="C136" s="87" t="s">
        <v>129</v>
      </c>
      <c r="D136" s="56">
        <f>5725.60738338768*Deflactores!$A$5</f>
        <v>20787.156152198138</v>
      </c>
      <c r="E136" s="56">
        <f>6383.37834016359*Deflactores!$B$5</f>
        <v>21528.655483237944</v>
      </c>
      <c r="F136" s="56">
        <f>7236.32210848272*Deflactores!$C$5</f>
        <v>22810.434319428889</v>
      </c>
      <c r="G136" s="56">
        <f>7968.10955195402*Deflactores!$D$5</f>
        <v>23586.124136861414</v>
      </c>
      <c r="H136" s="56">
        <f>9084.80563148644*Deflactores!$E$5</f>
        <v>25490.41372419578</v>
      </c>
      <c r="I136" s="56">
        <f>9819.8241768088*Deflactores!$F$5</f>
        <v>26276.960392963858</v>
      </c>
      <c r="J136" s="56">
        <f>11179.4201385227*Deflactores!$G$5</f>
        <v>28632.947485289715</v>
      </c>
      <c r="K136" s="56">
        <f>13274.8979811172*Deflactores!$H$5</f>
        <v>32168.124559861219</v>
      </c>
      <c r="L136" s="56">
        <f>17009.9891571538*Deflactores!$I$5</f>
        <v>38281.261547907256</v>
      </c>
      <c r="M136" s="56">
        <f>18234.1431494603*Deflactores!$J$5</f>
        <v>40230.895051034837</v>
      </c>
      <c r="N136" s="56">
        <f>18400.8529627626*Deflactores!$K$5</f>
        <v>39350.813446742846</v>
      </c>
      <c r="O136" s="56">
        <f>19391.8761238075*Deflactores!$L$5</f>
        <v>39980.211597878631</v>
      </c>
      <c r="P136" s="56">
        <f>21558.9908643047*Deflactores!$M$5</f>
        <v>43389.447373686337</v>
      </c>
      <c r="Q136" s="56">
        <f>23887.0953746789*Deflactores!$N$5</f>
        <v>47160.066047048793</v>
      </c>
      <c r="R136" s="56">
        <f>24363.9853398935*Deflactores!$O$5</f>
        <v>46403.227268397932</v>
      </c>
      <c r="S136" s="56">
        <f>24563.6812411282*Deflactores!$P$5</f>
        <v>43817.143997279534</v>
      </c>
      <c r="T136" s="56">
        <f>26369.5199524868*Deflactores!$Q$5</f>
        <v>44480.78688314007</v>
      </c>
      <c r="U136" s="56">
        <f>27482.0874547281*Deflactores!$R$5</f>
        <v>44535.973160296526</v>
      </c>
      <c r="V136" s="56">
        <f>28105.2096440684*Deflactores!$S$5</f>
        <v>44142.053712244495</v>
      </c>
    </row>
    <row r="137" spans="3:22" x14ac:dyDescent="0.2">
      <c r="C137" s="88" t="s">
        <v>130</v>
      </c>
      <c r="D137" s="57">
        <f>26.603475762*Deflactores!$A$5</f>
        <v>96.58549177864019</v>
      </c>
      <c r="E137" s="57">
        <f>41.29602211315*Deflactores!$B$5</f>
        <v>139.27544092261937</v>
      </c>
      <c r="F137" s="57">
        <f>16.20004219035*Deflactores!$C$5</f>
        <v>51.065996346649229</v>
      </c>
      <c r="G137" s="57">
        <f>15.29404016637*Deflactores!$D$5</f>
        <v>45.271356720953499</v>
      </c>
      <c r="H137" s="57">
        <f>64.21998445681*Deflactores!$E$5</f>
        <v>180.19031331743165</v>
      </c>
      <c r="I137" s="57">
        <f>52.4251838845*Deflactores!$F$5</f>
        <v>140.28504540643735</v>
      </c>
      <c r="J137" s="57">
        <f>74.44447077347*Deflactores!$G$5</f>
        <v>190.66862107470862</v>
      </c>
      <c r="K137" s="57">
        <f>61.98720067825*Deflactores!$H$5</f>
        <v>150.20921406487872</v>
      </c>
      <c r="L137" s="57">
        <f>128.02979135131*Deflactores!$I$5</f>
        <v>288.13316007213592</v>
      </c>
      <c r="M137" s="57">
        <f>109.10136194885*Deflactores!$J$5</f>
        <v>240.71574992648144</v>
      </c>
      <c r="N137" s="57">
        <f>122.24055765635*Deflactores!$K$5</f>
        <v>261.41534795670992</v>
      </c>
      <c r="O137" s="57">
        <f>143.29676863781*Deflactores!$L$5</f>
        <v>295.43480449518444</v>
      </c>
      <c r="P137" s="57">
        <f>281.167887662789*Deflactores!$M$5</f>
        <v>565.87617396852545</v>
      </c>
      <c r="Q137" s="57">
        <f>344.95288635995*Deflactores!$N$5</f>
        <v>681.03721480929698</v>
      </c>
      <c r="R137" s="57">
        <f>314.724108423019*Deflactores!$O$5</f>
        <v>599.4181217177296</v>
      </c>
      <c r="S137" s="57">
        <f>378.48716233881*Deflactores!$P$5</f>
        <v>675.15232470748526</v>
      </c>
      <c r="T137" s="57">
        <f>287.10083077556*Deflactores!$Q$5</f>
        <v>484.28909175101671</v>
      </c>
      <c r="U137" s="57">
        <f>470.91748321387*Deflactores!$R$5</f>
        <v>763.14320837804803</v>
      </c>
      <c r="V137" s="57">
        <f>402.916937432419*Deflactores!$S$5</f>
        <v>632.82150601102308</v>
      </c>
    </row>
    <row r="138" spans="3:22" x14ac:dyDescent="0.2">
      <c r="C138" s="87" t="s">
        <v>131</v>
      </c>
      <c r="D138" s="56">
        <f>4803.05319550981*Deflactores!$A$5</f>
        <v>17437.768623824693</v>
      </c>
      <c r="E138" s="56">
        <f>7252.29680108901*Deflactores!$B$5</f>
        <v>24459.179915823795</v>
      </c>
      <c r="F138" s="56">
        <f>8446.17883693538*Deflactores!$C$5</f>
        <v>26624.161379469202</v>
      </c>
      <c r="G138" s="56">
        <f>9513.82289543656*Deflactores!$D$5</f>
        <v>28161.536480488372</v>
      </c>
      <c r="H138" s="56">
        <f>11163.1452051335*Deflactores!$E$5</f>
        <v>31321.879772079079</v>
      </c>
      <c r="I138" s="56">
        <f>12113.4045782777*Deflactores!$F$5</f>
        <v>32414.373882485437</v>
      </c>
      <c r="J138" s="56">
        <f>12972.3391963743*Deflactores!$G$5</f>
        <v>33225.006518113914</v>
      </c>
      <c r="K138" s="56">
        <f>14212.0325022367*Deflactores!$H$5</f>
        <v>34439.016588379913</v>
      </c>
      <c r="L138" s="56">
        <f>16102.5659931238*Deflactores!$I$5</f>
        <v>36239.090729576506</v>
      </c>
      <c r="M138" s="56">
        <f>18441.1636481761*Deflactores!$J$5</f>
        <v>40687.654652458434</v>
      </c>
      <c r="N138" s="56">
        <f>20047.3993184913*Deflactores!$K$5</f>
        <v>42872.005567934968</v>
      </c>
      <c r="O138" s="56">
        <f>21630.5257947183*Deflactores!$L$5</f>
        <v>44595.633384048859</v>
      </c>
      <c r="P138" s="56">
        <f>22672.737550085*Deflactores!$M$5</f>
        <v>45630.964776539069</v>
      </c>
      <c r="Q138" s="56">
        <f>25105.0376133367*Deflactores!$N$5</f>
        <v>49564.637867759935</v>
      </c>
      <c r="R138" s="56">
        <f>26828.165364997*Deflactores!$O$5</f>
        <v>51096.462145201716</v>
      </c>
      <c r="S138" s="56">
        <f>28970.7400387485*Deflactores!$P$5</f>
        <v>51678.536108836546</v>
      </c>
      <c r="T138" s="56">
        <f>31285.818301969*Deflactores!$Q$5</f>
        <v>52773.725834295619</v>
      </c>
      <c r="U138" s="56">
        <f>35498.264548768*Deflactores!$R$5</f>
        <v>57526.55287868411</v>
      </c>
      <c r="V138" s="56">
        <f>37893.7984956726*Deflactores!$S$5</f>
        <v>59516.015348776265</v>
      </c>
    </row>
    <row r="139" spans="3:22" x14ac:dyDescent="0.2">
      <c r="C139" s="88" t="s">
        <v>132</v>
      </c>
      <c r="D139" s="57">
        <f>7.40450548425*Deflactores!$A$5</f>
        <v>26.882494978173472</v>
      </c>
      <c r="E139" s="57">
        <f>7.29339134641*Deflactores!$B$5</f>
        <v>24.597775853791219</v>
      </c>
      <c r="F139" s="57">
        <f>6.98010958237*Deflactores!$C$5</f>
        <v>22.00279766214712</v>
      </c>
      <c r="G139" s="57">
        <f>6.95238889795*Deflactores!$D$5</f>
        <v>20.57952473238436</v>
      </c>
      <c r="H139" s="57">
        <f>7.62537307432*Deflactores!$E$5</f>
        <v>21.395495110219144</v>
      </c>
      <c r="I139" s="57">
        <f>8.07079730984*Deflactores!$F$5</f>
        <v>21.596722856928423</v>
      </c>
      <c r="J139" s="57">
        <f>8.64039633757*Deflactores!$G$5</f>
        <v>22.129950526971065</v>
      </c>
      <c r="K139" s="57">
        <f>11.94799093916*Deflactores!$H$5</f>
        <v>28.952724255787174</v>
      </c>
      <c r="L139" s="57">
        <f>12.52627463819*Deflactores!$I$5</f>
        <v>28.190587966588968</v>
      </c>
      <c r="M139" s="57">
        <f>10.84248966338*Deflactores!$J$5</f>
        <v>23.922323092669245</v>
      </c>
      <c r="N139" s="57">
        <f>12.5078455849*Deflactores!$K$5</f>
        <v>26.748428414058193</v>
      </c>
      <c r="O139" s="57">
        <f>14.9834368070599*Deflactores!$L$5</f>
        <v>30.891336670321053</v>
      </c>
      <c r="P139" s="57">
        <f>24.15015796679*Deflactores!$M$5</f>
        <v>48.604408933685093</v>
      </c>
      <c r="Q139" s="57">
        <f>23.15240753756*Deflactores!$N$5</f>
        <v>45.70957881203659</v>
      </c>
      <c r="R139" s="57">
        <f>27.59831932885*Deflactores!$O$5</f>
        <v>52.56328413338489</v>
      </c>
      <c r="S139" s="57">
        <f>27.55964734461*Deflactores!$P$5</f>
        <v>49.161403144700429</v>
      </c>
      <c r="T139" s="57">
        <f>35.99369851027*Deflactores!$Q$5</f>
        <v>60.715099685397568</v>
      </c>
      <c r="U139" s="57">
        <f>40.88744353051*Deflactores!$R$5</f>
        <v>66.259962627207543</v>
      </c>
      <c r="V139" s="57">
        <f>40.6103185210099*Deflactores!$S$5</f>
        <v>63.782582806818141</v>
      </c>
    </row>
    <row r="140" spans="3:22" x14ac:dyDescent="0.2">
      <c r="C140" s="87" t="s">
        <v>133</v>
      </c>
      <c r="D140" s="56">
        <f>621.37803659734*Deflactores!$A$5</f>
        <v>2255.9497030431662</v>
      </c>
      <c r="E140" s="56">
        <f>653.47315880602*Deflactores!$B$5</f>
        <v>2203.911119439852</v>
      </c>
      <c r="F140" s="56">
        <f>677.8079214239*Deflactores!$C$5</f>
        <v>2136.5954750278938</v>
      </c>
      <c r="G140" s="56">
        <f>708.459427648019*Deflactores!$D$5</f>
        <v>2097.0861278304355</v>
      </c>
      <c r="H140" s="56">
        <f>750.68621175725*Deflactores!$E$5</f>
        <v>2106.2973596729175</v>
      </c>
      <c r="I140" s="56">
        <f>843.987911636809*Deflactores!$F$5</f>
        <v>2258.4352353880772</v>
      </c>
      <c r="J140" s="56">
        <f>914.05535962166*Deflactores!$G$5</f>
        <v>2341.096298949285</v>
      </c>
      <c r="K140" s="56">
        <f>1078.98247458147*Deflactores!$H$5</f>
        <v>2614.6221755990446</v>
      </c>
      <c r="L140" s="56">
        <f>1231.85584145262*Deflactores!$I$5</f>
        <v>2772.311917443672</v>
      </c>
      <c r="M140" s="56">
        <f>1415.54741033962*Deflactores!$J$5</f>
        <v>3123.1925096970067</v>
      </c>
      <c r="N140" s="56">
        <f>1465.19943727986*Deflactores!$K$5</f>
        <v>3133.3759274828799</v>
      </c>
      <c r="O140" s="56">
        <f>1585.27986689963*Deflactores!$L$5</f>
        <v>3268.3699151054484</v>
      </c>
      <c r="P140" s="56">
        <f>1858.98029403109*Deflactores!$M$5</f>
        <v>3741.3684223101186</v>
      </c>
      <c r="Q140" s="56">
        <f>2144.07791018129*Deflactores!$N$5</f>
        <v>4233.0327010521769</v>
      </c>
      <c r="R140" s="56">
        <f>2429.000364476*Deflactores!$O$5</f>
        <v>4626.232300478553</v>
      </c>
      <c r="S140" s="56">
        <f>2705.3494564265*Deflactores!$P$5</f>
        <v>4825.8518554915645</v>
      </c>
      <c r="T140" s="56">
        <f>3076.98586252312*Deflactores!$Q$5</f>
        <v>5190.3391734068528</v>
      </c>
      <c r="U140" s="56">
        <f>3384.05351805426*Deflactores!$R$5</f>
        <v>5484.0127010491196</v>
      </c>
      <c r="V140" s="56">
        <f>3423.72383001481*Deflactores!$S$5</f>
        <v>5377.3020416626277</v>
      </c>
    </row>
    <row r="141" spans="3:22" x14ac:dyDescent="0.2">
      <c r="C141" s="88" t="s">
        <v>134</v>
      </c>
      <c r="D141" s="57">
        <f>6422.74364067031*Deflactores!$A$5</f>
        <v>23318.150554912285</v>
      </c>
      <c r="E141" s="57">
        <f>6371.76234667121*Deflactores!$B$5</f>
        <v>21489.479249484179</v>
      </c>
      <c r="F141" s="57">
        <f>5045.68482714042*Deflactores!$C$5</f>
        <v>15905.077278291294</v>
      </c>
      <c r="G141" s="57">
        <f>4478.51194520436*Deflactores!$D$5</f>
        <v>13256.687549194512</v>
      </c>
      <c r="H141" s="57">
        <f>5026.01335591412*Deflactores!$E$5</f>
        <v>14102.135480098608</v>
      </c>
      <c r="I141" s="57">
        <f>6191.14512643601*Deflactores!$F$5</f>
        <v>16566.943801158639</v>
      </c>
      <c r="J141" s="57">
        <f>5375.47923871345*Deflactores!$G$5</f>
        <v>13767.781588239557</v>
      </c>
      <c r="K141" s="57">
        <f>6314.91043750468*Deflactores!$H$5</f>
        <v>15302.477339334124</v>
      </c>
      <c r="L141" s="57">
        <f>6415.45010543613*Deflactores!$I$5</f>
        <v>14438.076424667359</v>
      </c>
      <c r="M141" s="57">
        <f>6300.18514716519*Deflactores!$J$5</f>
        <v>13900.411189060633</v>
      </c>
      <c r="N141" s="57">
        <f>7288.34073588922*Deflactores!$K$5</f>
        <v>15586.350111849071</v>
      </c>
      <c r="O141" s="57">
        <f>8015.10273975544*Deflactores!$L$5</f>
        <v>16524.729297375554</v>
      </c>
      <c r="P141" s="57">
        <f>9225.06006821759*Deflactores!$M$5</f>
        <v>18566.279881483293</v>
      </c>
      <c r="Q141" s="57">
        <f>11949.9928936194*Deflactores!$N$5</f>
        <v>23592.757733208917</v>
      </c>
      <c r="R141" s="57">
        <f>11865.2409846579*Deflactores!$O$5</f>
        <v>22598.33382446933</v>
      </c>
      <c r="S141" s="57">
        <f>15262.6708485752*Deflactores!$P$5</f>
        <v>27225.831494480994</v>
      </c>
      <c r="T141" s="57">
        <f>15512.2405373538*Deflactores!$Q$5</f>
        <v>26166.447726970087</v>
      </c>
      <c r="U141" s="57">
        <f>18950.5814509122*Deflactores!$R$5</f>
        <v>30710.279496059084</v>
      </c>
      <c r="V141" s="57">
        <f>10510.2364646274*Deflactores!$S$5</f>
        <v>16507.381671422208</v>
      </c>
    </row>
    <row r="142" spans="3:22" x14ac:dyDescent="0.2">
      <c r="C142" s="87" t="s">
        <v>135</v>
      </c>
      <c r="D142" s="56"/>
      <c r="E142" s="56"/>
      <c r="F142" s="56"/>
      <c r="G142" s="56"/>
      <c r="H142" s="56"/>
      <c r="I142" s="56"/>
      <c r="J142" s="56"/>
      <c r="K142" s="56"/>
      <c r="L142" s="56"/>
      <c r="M142" s="56"/>
      <c r="N142" s="56"/>
      <c r="O142" s="56"/>
      <c r="P142" s="56"/>
      <c r="Q142" s="56"/>
      <c r="R142" s="56"/>
      <c r="S142" s="56"/>
      <c r="T142" s="56"/>
      <c r="U142" s="56"/>
      <c r="V142" s="56"/>
    </row>
    <row r="143" spans="3:22" x14ac:dyDescent="0.2">
      <c r="C143" s="88" t="s">
        <v>136</v>
      </c>
      <c r="D143" s="57">
        <f>53.9438740912599*Deflactores!$A$5</f>
        <v>195.84642451087348</v>
      </c>
      <c r="E143" s="57">
        <f>129.14848443165*Deflactores!$B$5</f>
        <v>435.56766955474825</v>
      </c>
      <c r="F143" s="57">
        <f>73.44060329751*Deflactores!$C$5</f>
        <v>231.50048225925858</v>
      </c>
      <c r="G143" s="57">
        <f>94.96305858495*Deflactores!$D$5</f>
        <v>281.09684908277961</v>
      </c>
      <c r="H143" s="57">
        <f>132.46646337178*Deflactores!$E$5</f>
        <v>371.67828271689956</v>
      </c>
      <c r="I143" s="57">
        <f>282.42553669737*Deflactores!$F$5</f>
        <v>755.74516489663733</v>
      </c>
      <c r="J143" s="57">
        <f>978.975286020329*Deflactores!$G$5</f>
        <v>2507.3704724117019</v>
      </c>
      <c r="K143" s="57">
        <f>1415.2149180058*Deflactores!$H$5</f>
        <v>3429.390555478532</v>
      </c>
      <c r="L143" s="57">
        <f>1707.70671968937*Deflactores!$I$5</f>
        <v>3843.2221784253093</v>
      </c>
      <c r="M143" s="57">
        <f>1937.07071938023*Deflactores!$J$5</f>
        <v>4273.8552713471045</v>
      </c>
      <c r="N143" s="57">
        <f>2736.25918477859*Deflactores!$K$5</f>
        <v>5851.5779100053951</v>
      </c>
      <c r="O143" s="57">
        <f>3119.30618148277*Deflactores!$L$5</f>
        <v>6431.0704326923924</v>
      </c>
      <c r="P143" s="57">
        <f>4911.46759509363*Deflactores!$M$5</f>
        <v>9884.7792128211822</v>
      </c>
      <c r="Q143" s="57">
        <f>5227.96582586098*Deflactores!$N$5</f>
        <v>10321.523390435746</v>
      </c>
      <c r="R143" s="57">
        <f>7657.18601168751*Deflactores!$O$5</f>
        <v>14583.744727301917</v>
      </c>
      <c r="S143" s="57">
        <f>8878.75118774026*Deflactores!$P$5</f>
        <v>15838.07880790441</v>
      </c>
      <c r="T143" s="57">
        <f>7027.32346001561*Deflactores!$Q$5</f>
        <v>11853.870595561095</v>
      </c>
      <c r="U143" s="57">
        <f>8225.93666496364*Deflactores!$R$5</f>
        <v>13330.504647167616</v>
      </c>
      <c r="V143" s="57">
        <f>7563.95818923557*Deflactores!$S$5</f>
        <v>11879.95581228035</v>
      </c>
    </row>
    <row r="144" spans="3:22" x14ac:dyDescent="0.2">
      <c r="C144" s="87" t="s">
        <v>137</v>
      </c>
      <c r="D144" s="56">
        <f>52.15776226782*Deflactores!$A$5</f>
        <v>189.36183992568925</v>
      </c>
      <c r="E144" s="56">
        <f>49.53838383046*Deflactores!$B$5</f>
        <v>167.07372520473962</v>
      </c>
      <c r="F144" s="56">
        <f>51.5710277378599*Deflactores!$C$5</f>
        <v>162.56290465855895</v>
      </c>
      <c r="G144" s="56">
        <f>45.0607128328199*Deflactores!$D$5</f>
        <v>133.38264987957174</v>
      </c>
      <c r="H144" s="56">
        <f>70.10503070367*Deflactores!$E$5</f>
        <v>196.70274844301861</v>
      </c>
      <c r="I144" s="56">
        <f>147.21931461414*Deflactores!$F$5</f>
        <v>393.94555641139812</v>
      </c>
      <c r="J144" s="56">
        <f>80.2399237883099*Deflactores!$G$5</f>
        <v>205.51204763630335</v>
      </c>
      <c r="K144" s="56">
        <f>110.37895819415*Deflactores!$H$5</f>
        <v>267.47354902672555</v>
      </c>
      <c r="L144" s="56">
        <f>126.965699226679*Deflactores!$I$5</f>
        <v>285.73840317031068</v>
      </c>
      <c r="M144" s="56">
        <f>117.855386439*Deflactores!$J$5</f>
        <v>260.03018865007112</v>
      </c>
      <c r="N144" s="56">
        <f>146.75654274969*Deflactores!$K$5</f>
        <v>313.84356733455297</v>
      </c>
      <c r="O144" s="56">
        <f>175.73268651637*Deflactores!$L$5</f>
        <v>362.30790392490707</v>
      </c>
      <c r="P144" s="56">
        <f>236.349555700429*Deflactores!$M$5</f>
        <v>475.67516835109757</v>
      </c>
      <c r="Q144" s="56">
        <f>300.973418669879*Deflactores!$N$5</f>
        <v>594.20896849282008</v>
      </c>
      <c r="R144" s="56">
        <f>508.07313271056*Deflactores!$O$5</f>
        <v>967.6673465868239</v>
      </c>
      <c r="S144" s="56">
        <f>313.49406574337*Deflactores!$P$5</f>
        <v>559.21644993382733</v>
      </c>
      <c r="T144" s="56">
        <f>282.12197816016*Deflactores!$Q$5</f>
        <v>475.89063464951431</v>
      </c>
      <c r="U144" s="56">
        <f>304.12363144928*Deflactores!$R$5</f>
        <v>492.84618244335081</v>
      </c>
      <c r="V144" s="56">
        <f>525.612777752479*Deflactores!$S$5</f>
        <v>825.52764278307586</v>
      </c>
    </row>
    <row r="145" spans="3:22" x14ac:dyDescent="0.2">
      <c r="C145" s="88" t="s">
        <v>138</v>
      </c>
      <c r="D145" s="57">
        <f>139.684338949539*Deflactores!$A$5</f>
        <v>507.13225188742126</v>
      </c>
      <c r="E145" s="57">
        <f>163.66972713332*Deflactores!$B$5</f>
        <v>551.99441122246049</v>
      </c>
      <c r="F145" s="57">
        <f>160.163848409939*Deflactores!$C$5</f>
        <v>504.87069117876911</v>
      </c>
      <c r="G145" s="57">
        <f>170.93427034018*Deflactores!$D$5</f>
        <v>505.97659246522596</v>
      </c>
      <c r="H145" s="57">
        <f>182.28205063031*Deflactores!$E$5</f>
        <v>511.45231648738758</v>
      </c>
      <c r="I145" s="57">
        <f>210.4206509236*Deflactores!$F$5</f>
        <v>563.06661001520797</v>
      </c>
      <c r="J145" s="57">
        <f>213.248229616399*Deflactores!$G$5</f>
        <v>546.17549785942833</v>
      </c>
      <c r="K145" s="57">
        <f>219.565958508789*Deflactores!$H$5</f>
        <v>532.05871054246927</v>
      </c>
      <c r="L145" s="57">
        <f>277.047934173599*Deflactores!$I$5</f>
        <v>623.50095178905713</v>
      </c>
      <c r="M145" s="57">
        <f>235.32379884835*Deflactores!$J$5</f>
        <v>519.20657729173411</v>
      </c>
      <c r="N145" s="57">
        <f>243.1875267064*Deflactores!$K$5</f>
        <v>520.0643152447434</v>
      </c>
      <c r="O145" s="57">
        <f>250.596835109599*Deflactores!$L$5</f>
        <v>516.65524415867117</v>
      </c>
      <c r="P145" s="57">
        <f>146.34905700431*Deflactores!$M$5</f>
        <v>294.54090625321697</v>
      </c>
      <c r="Q145" s="57">
        <f>153.50597432922*Deflactores!$N$5</f>
        <v>303.06539051443406</v>
      </c>
      <c r="R145" s="57">
        <f>94.67101905836*Deflactores!$O$5</f>
        <v>180.30879397644205</v>
      </c>
      <c r="S145" s="57">
        <f>77.52076228428*Deflactores!$P$5</f>
        <v>138.28295402652611</v>
      </c>
      <c r="T145" s="57">
        <f>91.51380185266*Deflactores!$Q$5</f>
        <v>154.36784304032037</v>
      </c>
      <c r="U145" s="57">
        <f>90.8893260906499*Deflactores!$R$5</f>
        <v>147.29028841054139</v>
      </c>
      <c r="V145" s="57">
        <f>91.984617962*Deflactores!$S$5</f>
        <v>144.47107842996783</v>
      </c>
    </row>
    <row r="146" spans="3:22" x14ac:dyDescent="0.2">
      <c r="C146" s="87" t="s">
        <v>139</v>
      </c>
      <c r="D146" s="56">
        <f>406.52856989331*Deflactores!$A$5</f>
        <v>1475.9260104387502</v>
      </c>
      <c r="E146" s="56">
        <f>477.538254951469*Deflactores!$B$5</f>
        <v>1610.5510316114762</v>
      </c>
      <c r="F146" s="56">
        <f>465.481459095279*Deflactores!$C$5</f>
        <v>1467.2970730750246</v>
      </c>
      <c r="G146" s="56">
        <f>507.829281391689*Deflactores!$D$5</f>
        <v>1503.2078052064689</v>
      </c>
      <c r="H146" s="56">
        <f>635.525794427449*Deflactores!$E$5</f>
        <v>1783.176887814526</v>
      </c>
      <c r="I146" s="56">
        <f>739.419950102909*Deflactores!$F$5</f>
        <v>1978.6208380907719</v>
      </c>
      <c r="J146" s="56">
        <f>853.898149398979*Deflactores!$G$5</f>
        <v>2187.0204864451871</v>
      </c>
      <c r="K146" s="56">
        <f>974.45366554609*Deflactores!$H$5</f>
        <v>2361.3248806648753</v>
      </c>
      <c r="L146" s="56">
        <f>1169.64360324946*Deflactores!$I$5</f>
        <v>2632.3022478234961</v>
      </c>
      <c r="M146" s="56">
        <f>1297.58647593477*Deflactores!$J$5</f>
        <v>2862.9294453311891</v>
      </c>
      <c r="N146" s="56">
        <f>2013.56417317411*Deflactores!$K$5</f>
        <v>4306.0714795105596</v>
      </c>
      <c r="O146" s="56">
        <f>5589.69451416272*Deflactores!$L$5</f>
        <v>11524.267585917743</v>
      </c>
      <c r="P146" s="56">
        <f>1573.64960233017*Deflactores!$M$5</f>
        <v>3167.1142232347452</v>
      </c>
      <c r="Q146" s="56">
        <f>2059.44755585329*Deflactores!$N$5</f>
        <v>4065.9477944492419</v>
      </c>
      <c r="R146" s="56">
        <f>2372.12447060542*Deflactores!$O$5</f>
        <v>4517.9074516268192</v>
      </c>
      <c r="S146" s="56">
        <f>2355.90850861985*Deflactores!$P$5</f>
        <v>4202.5126996750905</v>
      </c>
      <c r="T146" s="56">
        <f>2269.5326915814*Deflactores!$Q$5</f>
        <v>3828.30632337815</v>
      </c>
      <c r="U146" s="56">
        <f>2631.36299517481*Deflactores!$R$5</f>
        <v>4264.2434611691424</v>
      </c>
      <c r="V146" s="56">
        <f>2696.73278095779*Deflactores!$S$5</f>
        <v>4235.4896039614659</v>
      </c>
    </row>
    <row r="147" spans="3:22" x14ac:dyDescent="0.2">
      <c r="C147" s="88" t="s">
        <v>140</v>
      </c>
      <c r="D147" s="57">
        <f>309.112771896569*Deflactores!$A$5</f>
        <v>1122.2521957576057</v>
      </c>
      <c r="E147" s="57">
        <f>429.54614996767*Deflactores!$B$5</f>
        <v>1448.6923042960721</v>
      </c>
      <c r="F147" s="57">
        <f>319.09515175375*Deflactores!$C$5</f>
        <v>1005.8561368066676</v>
      </c>
      <c r="G147" s="57">
        <f>380.698772969659*Deflactores!$D$5</f>
        <v>1126.8932059061895</v>
      </c>
      <c r="H147" s="57">
        <f>606.52980261533*Deflactores!$E$5</f>
        <v>1701.8190847292692</v>
      </c>
      <c r="I147" s="57">
        <f>586.78128322673*Deflactores!$F$5</f>
        <v>1570.1735857038566</v>
      </c>
      <c r="J147" s="57">
        <f>533.616496252209*Deflactores!$G$5</f>
        <v>1366.7089102255384</v>
      </c>
      <c r="K147" s="57">
        <f>2328.31024334159*Deflactores!$H$5</f>
        <v>5642.0300953235492</v>
      </c>
      <c r="L147" s="57">
        <f>1455.81547979564*Deflactores!$I$5</f>
        <v>3276.3367826199187</v>
      </c>
      <c r="M147" s="57">
        <f>6113.57351646796*Deflactores!$J$5</f>
        <v>13488.680686105525</v>
      </c>
      <c r="N147" s="57">
        <f>1067.61759265253*Deflactores!$K$5</f>
        <v>2283.1344180592273</v>
      </c>
      <c r="O147" s="57">
        <f>1598.90016657854*Deflactores!$L$5</f>
        <v>3296.4508733228331</v>
      </c>
      <c r="P147" s="57">
        <f>2033.79039605567*Deflactores!$M$5</f>
        <v>4093.1897932603997</v>
      </c>
      <c r="Q147" s="57">
        <f>2565.06923696795*Deflactores!$N$5</f>
        <v>5064.1918882650125</v>
      </c>
      <c r="R147" s="57">
        <f>2270.49003492363*Deflactores!$O$5</f>
        <v>4324.336254162863</v>
      </c>
      <c r="S147" s="57">
        <f>2481.56696376745*Deflactores!$P$5</f>
        <v>4426.6645509236369</v>
      </c>
      <c r="T147" s="57">
        <f>2350.45309284813*Deflactores!$Q$5</f>
        <v>3964.8049448824127</v>
      </c>
      <c r="U147" s="57">
        <f>2910.73853743065*Deflactores!$R$5</f>
        <v>4716.9842390320255</v>
      </c>
      <c r="V147" s="57">
        <f>3224.79879246096*Deflactores!$S$5</f>
        <v>5064.8702966724068</v>
      </c>
    </row>
    <row r="148" spans="3:22" x14ac:dyDescent="0.2">
      <c r="C148" s="87" t="s">
        <v>141</v>
      </c>
      <c r="D148" s="56">
        <f>348.52733106389*Deflactores!$A$5</f>
        <v>1265.3490833399305</v>
      </c>
      <c r="E148" s="56">
        <f>342.22287886696*Deflactores!$B$5</f>
        <v>1154.1848320743338</v>
      </c>
      <c r="F148" s="56">
        <f>361.265386798259*Deflactores!$C$5</f>
        <v>1138.7857331260529</v>
      </c>
      <c r="G148" s="56">
        <f>368.78584386511*Deflactores!$D$5</f>
        <v>1091.6301585219305</v>
      </c>
      <c r="H148" s="56">
        <f>384.818146240969*Deflactores!$E$5</f>
        <v>1079.7340255980153</v>
      </c>
      <c r="I148" s="56">
        <f>433.848110282999*Deflactores!$F$5</f>
        <v>1160.9382617452698</v>
      </c>
      <c r="J148" s="56">
        <f>494.884624586879*Deflactores!$G$5</f>
        <v>1267.5080899988352</v>
      </c>
      <c r="K148" s="56">
        <f>573.143308498019*Deflactores!$H$5</f>
        <v>1388.8577798971235</v>
      </c>
      <c r="L148" s="56">
        <f>648.33916652427*Deflactores!$I$5</f>
        <v>1459.0980027185781</v>
      </c>
      <c r="M148" s="56">
        <f>736.36788013875*Deflactores!$J$5</f>
        <v>1624.6850023052439</v>
      </c>
      <c r="N148" s="56">
        <f>828.58921965372*Deflactores!$K$5</f>
        <v>1771.96458623734</v>
      </c>
      <c r="O148" s="56">
        <f>861.591006307649*Deflactores!$L$5</f>
        <v>1776.3413154603822</v>
      </c>
      <c r="P148" s="56">
        <f>1012.69507257343*Deflactores!$M$5</f>
        <v>2038.1417587484761</v>
      </c>
      <c r="Q148" s="56">
        <f>1145.42723750982*Deflactores!$N$5</f>
        <v>2261.4061410879222</v>
      </c>
      <c r="R148" s="56">
        <f>1269.35594018605*Deflactores!$O$5</f>
        <v>2417.5934829716853</v>
      </c>
      <c r="S148" s="56">
        <f>1365.24767211733*Deflactores!$P$5</f>
        <v>2435.3537751073732</v>
      </c>
      <c r="T148" s="56">
        <f>1469.62255618039*Deflactores!$Q$5</f>
        <v>2478.9972603938395</v>
      </c>
      <c r="U148" s="56">
        <f>1640.14473966604*Deflactores!$R$5</f>
        <v>2657.9291775087245</v>
      </c>
      <c r="V148" s="56">
        <f>1725.79122920126*Deflactores!$S$5</f>
        <v>2710.5284073766102</v>
      </c>
    </row>
    <row r="149" spans="3:22" x14ac:dyDescent="0.2">
      <c r="C149" s="88" t="s">
        <v>142</v>
      </c>
      <c r="D149" s="57">
        <f>90.85086018341*Deflactores!$A$5</f>
        <v>329.83941977465344</v>
      </c>
      <c r="E149" s="57">
        <f>270.11666876848*Deflactores!$B$5</f>
        <v>910.99859546277094</v>
      </c>
      <c r="F149" s="57">
        <f>98.0478043774*Deflactores!$C$5</f>
        <v>309.06764076921905</v>
      </c>
      <c r="G149" s="57">
        <f>92.0517962751*Deflactores!$D$5</f>
        <v>272.47932270624415</v>
      </c>
      <c r="H149" s="57">
        <f>197.501602051*Deflactores!$E$5</f>
        <v>554.15577962648649</v>
      </c>
      <c r="I149" s="57">
        <f>66.74394121854*Deflactores!$F$5</f>
        <v>178.60074358681996</v>
      </c>
      <c r="J149" s="57">
        <f>94.6162414064799*Deflactores!$G$5</f>
        <v>242.33295089357216</v>
      </c>
      <c r="K149" s="57">
        <f>251.21669781646*Deflactores!$H$5</f>
        <v>608.75571611713428</v>
      </c>
      <c r="L149" s="57">
        <f>230.71571702653*Deflactores!$I$5</f>
        <v>519.2295318419466</v>
      </c>
      <c r="M149" s="57">
        <f>405.44593803201*Deflactores!$J$5</f>
        <v>894.55549669286006</v>
      </c>
      <c r="N149" s="57">
        <f>474.437219161439*Deflactores!$K$5</f>
        <v>1014.5991895698678</v>
      </c>
      <c r="O149" s="57">
        <f>338.07461712564*Deflactores!$L$5</f>
        <v>697.00809979705218</v>
      </c>
      <c r="P149" s="57">
        <f>497.118346258096*Deflactores!$M$5</f>
        <v>1000.4962875684805</v>
      </c>
      <c r="Q149" s="57">
        <f>339.42556425911*Deflactores!$N$5</f>
        <v>670.12467516183347</v>
      </c>
      <c r="R149" s="57">
        <f>325.84543045428*Deflactores!$O$5</f>
        <v>620.59960030352738</v>
      </c>
      <c r="S149" s="57">
        <f>290.198030009343*Deflactores!$P$5</f>
        <v>517.66055518404062</v>
      </c>
      <c r="T149" s="57">
        <f>374.654490555369*Deflactores!$Q$5</f>
        <v>631.97686492708351</v>
      </c>
      <c r="U149" s="57">
        <f>415.51293292955*Deflactores!$R$5</f>
        <v>673.35761372532954</v>
      </c>
      <c r="V149" s="57">
        <f>251.050426071488*Deflactores!$S$5</f>
        <v>394.29990142302029</v>
      </c>
    </row>
    <row r="150" spans="3:22" x14ac:dyDescent="0.2">
      <c r="C150" s="87" t="s">
        <v>143</v>
      </c>
      <c r="D150" s="56">
        <f>761.44450446958*Deflactores!$A$5</f>
        <v>2764.4692965791792</v>
      </c>
      <c r="E150" s="56">
        <f>512.96438136608*Deflactores!$B$5</f>
        <v>1730.0295945359246</v>
      </c>
      <c r="F150" s="56">
        <f>593.26046287281*Deflactores!$C$5</f>
        <v>1870.0838105051757</v>
      </c>
      <c r="G150" s="56">
        <f>495.3950351705*Deflactores!$D$5</f>
        <v>1466.4016251446822</v>
      </c>
      <c r="H150" s="56">
        <f>609.11668188007*Deflactores!$E$5</f>
        <v>1709.077426336956</v>
      </c>
      <c r="I150" s="56">
        <f>573.97672880661*Deflactores!$F$5</f>
        <v>1535.909757422525</v>
      </c>
      <c r="J150" s="56">
        <f>194.720018907709*Deflactores!$G$5</f>
        <v>498.72068556641722</v>
      </c>
      <c r="K150" s="56">
        <f>351.79594114575*Deflactores!$H$5</f>
        <v>852.48230687176249</v>
      </c>
      <c r="L150" s="56">
        <f>311.87358812064*Deflactores!$I$5</f>
        <v>701.87666120348092</v>
      </c>
      <c r="M150" s="56">
        <f>288.33534932997*Deflactores!$J$5</f>
        <v>636.16859225660028</v>
      </c>
      <c r="N150" s="56">
        <f>280.11018148782*Deflactores!$K$5</f>
        <v>599.02459514059512</v>
      </c>
      <c r="O150" s="56">
        <f>290.21996289474*Deflactores!$L$5</f>
        <v>598.34620706013402</v>
      </c>
      <c r="P150" s="56">
        <f>834.5322593546*Deflactores!$M$5</f>
        <v>1679.5727488740131</v>
      </c>
      <c r="Q150" s="56">
        <f>585.73813599634*Deflactores!$N$5</f>
        <v>1156.4172515149917</v>
      </c>
      <c r="R150" s="56">
        <f>642.746154863789*Deflactores!$O$5</f>
        <v>1224.1632673779825</v>
      </c>
      <c r="S150" s="56">
        <f>655.77612519081*Deflactores!$P$5</f>
        <v>1169.7854497212968</v>
      </c>
      <c r="T150" s="56">
        <f>718.08801970011*Deflactores!$Q$5</f>
        <v>1211.2894062982155</v>
      </c>
      <c r="U150" s="56">
        <f>1131.63673761574*Deflactores!$R$5</f>
        <v>1833.8688229808906</v>
      </c>
      <c r="V150" s="56">
        <f>558.64661362711*Deflactores!$S$5</f>
        <v>877.41059886012408</v>
      </c>
    </row>
    <row r="151" spans="3:22" x14ac:dyDescent="0.2">
      <c r="C151" s="88" t="s">
        <v>144</v>
      </c>
      <c r="D151" s="57">
        <f>693.18703127138*Deflactores!$A$5</f>
        <v>2516.656504168332</v>
      </c>
      <c r="E151" s="57">
        <f>773.71666460527*Deflactores!$B$5</f>
        <v>2609.4457552550366</v>
      </c>
      <c r="F151" s="57">
        <f>763.19454848389*Deflactores!$C$5</f>
        <v>2405.7523780942029</v>
      </c>
      <c r="G151" s="57">
        <f>781.96057965096*Deflactores!$D$5</f>
        <v>2314.6543331920893</v>
      </c>
      <c r="H151" s="57">
        <f>864.50179858742*Deflactores!$E$5</f>
        <v>2425.6444667269266</v>
      </c>
      <c r="I151" s="57">
        <f>1018.29315099037*Deflactores!$F$5</f>
        <v>2724.8602739948337</v>
      </c>
      <c r="J151" s="57">
        <f>1145.28599044168*Deflactores!$G$5</f>
        <v>2933.3286712210502</v>
      </c>
      <c r="K151" s="57">
        <f>1275.61400602996*Deflactores!$H$5</f>
        <v>3091.1055056426076</v>
      </c>
      <c r="L151" s="57">
        <f>1413.89589815147*Deflactores!$I$5</f>
        <v>3181.9960717544786</v>
      </c>
      <c r="M151" s="57">
        <f>1621.13184757084*Deflactores!$J$5</f>
        <v>3576.7836573907261</v>
      </c>
      <c r="N151" s="57">
        <f>1714.92936138701*Deflactores!$K$5</f>
        <v>3667.4313691244465</v>
      </c>
      <c r="O151" s="57">
        <f>1870.43706018619*Deflactores!$L$5</f>
        <v>3856.2782151310048</v>
      </c>
      <c r="P151" s="57">
        <f>2245.8668583066*Deflactores!$M$5</f>
        <v>4520.0131337382645</v>
      </c>
      <c r="Q151" s="57">
        <f>2665.00103771408*Deflactores!$N$5</f>
        <v>5261.4862955366361</v>
      </c>
      <c r="R151" s="57">
        <f>2936.89060138028*Deflactores!$O$5</f>
        <v>5593.5513068596647</v>
      </c>
      <c r="S151" s="57">
        <f>3112.78532762755*Deflactores!$P$5</f>
        <v>5552.6434166921645</v>
      </c>
      <c r="T151" s="57">
        <f>3392.37363584261*Deflactores!$Q$5</f>
        <v>5722.3434099591123</v>
      </c>
      <c r="U151" s="57">
        <f>3690.34656984302*Deflactores!$R$5</f>
        <v>5980.3745278616125</v>
      </c>
      <c r="V151" s="57">
        <f>4064.04925052754*Deflactores!$S$5</f>
        <v>6382.9974078793275</v>
      </c>
    </row>
    <row r="152" spans="3:22" x14ac:dyDescent="0.2">
      <c r="C152" s="87" t="s">
        <v>145</v>
      </c>
      <c r="D152" s="56">
        <f>177.33679243631*Deflactores!$A$5</f>
        <v>643.83171060577149</v>
      </c>
      <c r="E152" s="56">
        <f>127.9117655087*Deflactores!$B$5</f>
        <v>431.39669703784909</v>
      </c>
      <c r="F152" s="56">
        <f>170.28563016976*Deflactores!$C$5</f>
        <v>536.77671119373508</v>
      </c>
      <c r="G152" s="56">
        <f>233.55357986727*Deflactores!$D$5</f>
        <v>691.33383413471347</v>
      </c>
      <c r="H152" s="56">
        <f>131.52460243852*Deflactores!$E$5</f>
        <v>369.03558172434936</v>
      </c>
      <c r="I152" s="56">
        <f>187.81437728384*Deflactores!$F$5</f>
        <v>502.57426856704171</v>
      </c>
      <c r="J152" s="56">
        <f>467.38311832686*Deflactores!$G$5</f>
        <v>1197.0706992618996</v>
      </c>
      <c r="K152" s="56">
        <f>325.35100926236*Deflactores!$H$5</f>
        <v>788.40016748266987</v>
      </c>
      <c r="L152" s="56">
        <f>337.40821311558*Deflactores!$I$5</f>
        <v>759.34275650360212</v>
      </c>
      <c r="M152" s="56">
        <f>376.17067802578*Deflactores!$J$5</f>
        <v>829.96403751386049</v>
      </c>
      <c r="N152" s="56">
        <f>694.00797125235*Deflactores!$K$5</f>
        <v>1484.1582758456846</v>
      </c>
      <c r="O152" s="56">
        <f>542.44112495446*Deflactores!$L$5</f>
        <v>1118.3503244663113</v>
      </c>
      <c r="P152" s="56">
        <f>398.68248306786*Deflactores!$M$5</f>
        <v>802.38508039468968</v>
      </c>
      <c r="Q152" s="56">
        <f>527.42353669713*Deflactores!$N$5</f>
        <v>1041.2872907005367</v>
      </c>
      <c r="R152" s="56">
        <f>1062.96284212772*Deflactores!$O$5</f>
        <v>2024.5007396368098</v>
      </c>
      <c r="S152" s="56">
        <f>810.93330338825*Deflactores!$P$5</f>
        <v>1446.5576628334604</v>
      </c>
      <c r="T152" s="56">
        <f>679.63398142729*Deflactores!$Q$5</f>
        <v>1146.4241419971825</v>
      </c>
      <c r="U152" s="56">
        <f>719.707084555689*Deflactores!$R$5</f>
        <v>1166.318077323961</v>
      </c>
      <c r="V152" s="56">
        <f>1747.24245680992*Deflactores!$S$5</f>
        <v>2744.2197141943448</v>
      </c>
    </row>
    <row r="153" spans="3:22" x14ac:dyDescent="0.2">
      <c r="C153" s="88" t="s">
        <v>146</v>
      </c>
      <c r="D153" s="57">
        <f>143.244116595899*Deflactores!$A$5</f>
        <v>520.05623511698855</v>
      </c>
      <c r="E153" s="57">
        <f>152.442711379869*Deflactores!$B$5</f>
        <v>514.13004828157648</v>
      </c>
      <c r="F153" s="57">
        <f>168.0850580005*Deflactores!$C$5</f>
        <v>529.84003726192839</v>
      </c>
      <c r="G153" s="57">
        <f>180.51509950736*Deflactores!$D$5</f>
        <v>534.33647188176258</v>
      </c>
      <c r="H153" s="57">
        <f>176.142750066409*Deflactores!$E$5</f>
        <v>494.22648715223426</v>
      </c>
      <c r="I153" s="57">
        <f>219.4003444181*Deflactores!$F$5</f>
        <v>587.09545676922517</v>
      </c>
      <c r="J153" s="57">
        <f>220.52892572786*Deflactores!$G$5</f>
        <v>564.82295782002734</v>
      </c>
      <c r="K153" s="57">
        <f>208.36990485992*Deflactores!$H$5</f>
        <v>504.92810291987144</v>
      </c>
      <c r="L153" s="57">
        <f>212.67738090085*Deflactores!$I$5</f>
        <v>478.63395845642168</v>
      </c>
      <c r="M153" s="57">
        <f>211.940753573229*Deflactores!$J$5</f>
        <v>467.61540392393948</v>
      </c>
      <c r="N153" s="57">
        <f>219.3036359216*Deflactores!$K$5</f>
        <v>468.98784979191902</v>
      </c>
      <c r="O153" s="57">
        <f>251.760463829558*Deflactores!$L$5</f>
        <v>519.05429632609992</v>
      </c>
      <c r="P153" s="57">
        <f>389.411244287013*Deflactores!$M$5</f>
        <v>783.72586161666766</v>
      </c>
      <c r="Q153" s="57">
        <f>410.398488583789*Deflactores!$N$5</f>
        <v>810.24584712533976</v>
      </c>
      <c r="R153" s="57">
        <f>474.505755259905*Deflactores!$O$5</f>
        <v>903.73549705905498</v>
      </c>
      <c r="S153" s="57">
        <f>595.197097293266*Deflactores!$P$5</f>
        <v>1061.7234714475555</v>
      </c>
      <c r="T153" s="57">
        <f>692.927004814836*Deflactores!$Q$5</f>
        <v>1168.8471569553394</v>
      </c>
      <c r="U153" s="57">
        <f>633.468622061237*Deflactores!$R$5</f>
        <v>1026.5647249861865</v>
      </c>
      <c r="V153" s="57">
        <f>609.30578621268*Deflactores!$S$5</f>
        <v>956.97591595293011</v>
      </c>
    </row>
    <row r="154" spans="3:22" x14ac:dyDescent="0.2">
      <c r="C154" s="90" t="s">
        <v>147</v>
      </c>
      <c r="D154" s="58">
        <f>4582.89957835662*Deflactores!$A$5</f>
        <v>16638.487899387925</v>
      </c>
      <c r="E154" s="58">
        <f>5908.73071266371*Deflactores!$B$5</f>
        <v>19927.853415140678</v>
      </c>
      <c r="F154" s="58">
        <f>6983.61162454552*Deflactores!$C$5</f>
        <v>22013.836847776365</v>
      </c>
      <c r="G154" s="58">
        <f>7790.34633583478*Deflactores!$D$5</f>
        <v>23059.933419349512</v>
      </c>
      <c r="H154" s="58">
        <f>9830.43543399968*Deflactores!$E$5</f>
        <v>27582.523662715517</v>
      </c>
      <c r="I154" s="58">
        <f>12960.4452418627*Deflactores!$F$5</f>
        <v>34680.978005685334</v>
      </c>
      <c r="J154" s="58">
        <f>14666.3931050368*Deflactores!$G$5</f>
        <v>37563.850215099519</v>
      </c>
      <c r="K154" s="58">
        <f>16435.8134706668*Deflactores!$H$5</f>
        <v>39827.748259844549</v>
      </c>
      <c r="L154" s="58">
        <f>18293.5902160627*Deflactores!$I$5</f>
        <v>41170.02693189909</v>
      </c>
      <c r="M154" s="58">
        <f>20772.9258817255*Deflactores!$J$5</f>
        <v>45832.337401352452</v>
      </c>
      <c r="N154" s="58">
        <f>21657.5762143991*Deflactores!$K$5</f>
        <v>46315.420434373344</v>
      </c>
      <c r="O154" s="58">
        <f>23701.1242536732*Deflactores!$L$5</f>
        <v>48864.58415470818</v>
      </c>
      <c r="P154" s="58">
        <f>26383.9057952277*Deflactores!$M$5</f>
        <v>53100.031407766488</v>
      </c>
      <c r="Q154" s="58">
        <f>27786.2679619603*Deflactores!$N$5</f>
        <v>54858.16553803828</v>
      </c>
      <c r="R154" s="58">
        <f>33462.1116916858*Deflactores!$O$5</f>
        <v>63731.362174452828</v>
      </c>
      <c r="S154" s="58">
        <f>30877.953514013*Deflactores!$P$5</f>
        <v>55080.658399012391</v>
      </c>
      <c r="T154" s="58">
        <f>32512.2676994041*Deflactores!$Q$5</f>
        <v>54842.532333942247</v>
      </c>
      <c r="U154" s="58">
        <f>35431.7442036581*Deflactores!$R$5</f>
        <v>57418.75363274588</v>
      </c>
      <c r="V154" s="58">
        <f>44169.9852951886*Deflactores!$S$5</f>
        <v>69373.396891944547</v>
      </c>
    </row>
    <row r="155" spans="3:22" ht="22.5" customHeight="1" x14ac:dyDescent="0.2">
      <c r="C155" s="89" t="s">
        <v>148</v>
      </c>
      <c r="D155" s="59">
        <f>0*Deflactores!$A$5</f>
        <v>0</v>
      </c>
      <c r="E155" s="59">
        <f>0*Deflactores!$B$5</f>
        <v>0</v>
      </c>
      <c r="F155" s="59">
        <f>0*Deflactores!$C$5</f>
        <v>0</v>
      </c>
      <c r="G155" s="59">
        <f>0*Deflactores!$D$5</f>
        <v>0</v>
      </c>
      <c r="H155" s="59">
        <f>0*Deflactores!$E$5</f>
        <v>0</v>
      </c>
      <c r="I155" s="59">
        <f>0*Deflactores!$F$5</f>
        <v>0</v>
      </c>
      <c r="J155" s="59">
        <f>0*Deflactores!$G$5</f>
        <v>0</v>
      </c>
      <c r="K155" s="59">
        <f>0*Deflactores!$H$5</f>
        <v>0</v>
      </c>
      <c r="L155" s="59">
        <f>0*Deflactores!$I$5</f>
        <v>0</v>
      </c>
      <c r="M155" s="59">
        <f>0*Deflactores!$J$5</f>
        <v>0</v>
      </c>
      <c r="N155" s="59">
        <f>0*Deflactores!$K$5</f>
        <v>0</v>
      </c>
      <c r="O155" s="59">
        <f>0*Deflactores!$L$5</f>
        <v>0</v>
      </c>
      <c r="P155" s="59">
        <f>0*Deflactores!$M$5</f>
        <v>0</v>
      </c>
      <c r="Q155" s="59">
        <f>0*Deflactores!$N$5</f>
        <v>0</v>
      </c>
      <c r="R155" s="59">
        <f>0*Deflactores!$O$5</f>
        <v>0</v>
      </c>
      <c r="S155" s="59">
        <f>0*Deflactores!$P$5</f>
        <v>0</v>
      </c>
      <c r="T155" s="59">
        <f>0*Deflactores!$Q$5</f>
        <v>0</v>
      </c>
      <c r="U155" s="59">
        <f>0.150079299*Deflactores!$R$5</f>
        <v>0.24321033266452963</v>
      </c>
      <c r="V155" s="59">
        <f>120.54937830268*Deflactores!$S$5</f>
        <v>189.3349026534531</v>
      </c>
    </row>
    <row r="156" spans="3:22" x14ac:dyDescent="0.2">
      <c r="C156" s="87" t="s">
        <v>149</v>
      </c>
      <c r="D156" s="56">
        <f>30.98173367111*Deflactores!$A$5</f>
        <v>112.481015997665</v>
      </c>
      <c r="E156" s="56">
        <f>22.95268081052*Deflactores!$B$5</f>
        <v>77.410476279829624</v>
      </c>
      <c r="F156" s="56">
        <f>15.9431445177699*Deflactores!$C$5</f>
        <v>50.256199961226685</v>
      </c>
      <c r="G156" s="56">
        <f>17.91791950173*Deflactores!$D$5</f>
        <v>53.038210743281773</v>
      </c>
      <c r="H156" s="56">
        <f>19.46000505066*Deflactores!$E$5</f>
        <v>54.601452132014522</v>
      </c>
      <c r="I156" s="56">
        <f>37.52103815616*Deflactores!$F$5</f>
        <v>100.40290088500423</v>
      </c>
      <c r="J156" s="56">
        <f>31.28842709475*Deflactores!$G$5</f>
        <v>80.136525758989691</v>
      </c>
      <c r="K156" s="56">
        <f>36.35329778853*Deflactores!$H$5</f>
        <v>88.092384068532297</v>
      </c>
      <c r="L156" s="56">
        <f>36.99157433791*Deflactores!$I$5</f>
        <v>83.250149028039331</v>
      </c>
      <c r="M156" s="56">
        <f>41.78251954457*Deflactores!$J$5</f>
        <v>92.186846674786622</v>
      </c>
      <c r="N156" s="56">
        <f>109.15932987828*Deflactores!$K$5</f>
        <v>233.44072335692178</v>
      </c>
      <c r="O156" s="56">
        <f>120.59611987467*Deflactores!$L$5</f>
        <v>248.63289965807465</v>
      </c>
      <c r="P156" s="56">
        <f>142.38121663111*Deflactores!$M$5</f>
        <v>286.55526341196509</v>
      </c>
      <c r="Q156" s="56">
        <f>45.45397412115*Deflactores!$N$5</f>
        <v>89.739350391114513</v>
      </c>
      <c r="R156" s="56">
        <f>64.87346086602*Deflactores!$O$5</f>
        <v>123.55687734404967</v>
      </c>
      <c r="S156" s="56">
        <f>66.65550106906*Deflactores!$P$5</f>
        <v>118.90130228785192</v>
      </c>
      <c r="T156" s="56">
        <f>73.80429481003*Deflactores!$Q$5</f>
        <v>124.49498945830416</v>
      </c>
      <c r="U156" s="56">
        <f>77.4136039071799*Deflactores!$R$5</f>
        <v>125.45226746445128</v>
      </c>
      <c r="V156" s="56">
        <f>73.96503099522*Deflactores!$S$5</f>
        <v>116.16950780183565</v>
      </c>
    </row>
    <row r="157" spans="3:22" x14ac:dyDescent="0.2">
      <c r="C157" s="88" t="s">
        <v>150</v>
      </c>
      <c r="D157" s="57">
        <f>525.42086522344*Deflactores!$A$5</f>
        <v>1907.5715185627098</v>
      </c>
      <c r="E157" s="57">
        <f>787.40352863522*Deflactores!$B$5</f>
        <v>2655.6062308910714</v>
      </c>
      <c r="F157" s="57">
        <f>492.14368254742*Deflactores!$C$5</f>
        <v>1551.3421014399269</v>
      </c>
      <c r="G157" s="57">
        <f>357.356206853989*Deflactores!$D$5</f>
        <v>1057.7976872656266</v>
      </c>
      <c r="H157" s="57">
        <f>562.02190754904*Deflactores!$E$5</f>
        <v>1576.9375291678875</v>
      </c>
      <c r="I157" s="57">
        <f>904.34105468814*Deflactores!$F$5</f>
        <v>2419.9347817135681</v>
      </c>
      <c r="J157" s="57">
        <f>1185.26824804579*Deflactores!$G$5</f>
        <v>3035.7320041432072</v>
      </c>
      <c r="K157" s="57">
        <f>2084.45928584942*Deflactores!$H$5</f>
        <v>5051.1232585397538</v>
      </c>
      <c r="L157" s="57">
        <f>1602.85799796059*Deflactores!$I$5</f>
        <v>3607.2583984146008</v>
      </c>
      <c r="M157" s="57">
        <f>2675.72399603092*Deflactores!$J$5</f>
        <v>5903.5826574083712</v>
      </c>
      <c r="N157" s="57">
        <f>2457.9874304287*Deflactores!$K$5</f>
        <v>5256.4848501847391</v>
      </c>
      <c r="O157" s="57">
        <f>3828.39656605024*Deflactores!$L$5</f>
        <v>7893.0013689272655</v>
      </c>
      <c r="P157" s="57">
        <f>6256.62593227124*Deflactores!$M$5</f>
        <v>12592.033798511444</v>
      </c>
      <c r="Q157" s="57">
        <f>6875.96548899567*Deflactores!$N$5</f>
        <v>13575.153509120317</v>
      </c>
      <c r="R157" s="57">
        <f>5619.70666891858*Deflactores!$O$5</f>
        <v>10703.196628204025</v>
      </c>
      <c r="S157" s="57">
        <f>4830.01687155519*Deflactores!$P$5</f>
        <v>8615.8724619772402</v>
      </c>
      <c r="T157" s="57">
        <f>3821.0082432524*Deflactores!$Q$5</f>
        <v>6445.3753292844103</v>
      </c>
      <c r="U157" s="57">
        <f>3169.69529016965*Deflactores!$R$5</f>
        <v>5136.6354394242826</v>
      </c>
      <c r="V157" s="57">
        <f>2365.47909725908*Deflactores!$S$5</f>
        <v>3715.2224334479974</v>
      </c>
    </row>
    <row r="158" spans="3:22" x14ac:dyDescent="0.2">
      <c r="C158" s="87" t="s">
        <v>151</v>
      </c>
      <c r="D158" s="56">
        <f>115.50451451101*Deflactores!$A$5</f>
        <v>419.3459695456084</v>
      </c>
      <c r="E158" s="56">
        <f>39.86461104246*Deflactores!$B$5</f>
        <v>134.44784742061992</v>
      </c>
      <c r="F158" s="56">
        <f>79.27671387647*Deflactores!$C$5</f>
        <v>249.89715049024258</v>
      </c>
      <c r="G158" s="56">
        <f>53.7919817173*Deflactores!$D$5</f>
        <v>159.22777543148652</v>
      </c>
      <c r="H158" s="56">
        <f>20.60832197886*Deflactores!$E$5</f>
        <v>57.823433402022864</v>
      </c>
      <c r="I158" s="56">
        <f>49.72028344153*Deflactores!$F$5</f>
        <v>133.04697672749984</v>
      </c>
      <c r="J158" s="56">
        <f>139.004059606919*Deflactores!$G$5</f>
        <v>356.01989098273037</v>
      </c>
      <c r="K158" s="56">
        <f>338.46168632449*Deflactores!$H$5</f>
        <v>820.17034706511379</v>
      </c>
      <c r="L158" s="56">
        <f>397.84936249448*Deflactores!$I$5</f>
        <v>895.3665614721499</v>
      </c>
      <c r="M158" s="56">
        <f>657.01831289666*Deflactores!$J$5</f>
        <v>1449.6121137195225</v>
      </c>
      <c r="N158" s="56">
        <f>315.11706956662*Deflactores!$K$5</f>
        <v>673.8879465802039</v>
      </c>
      <c r="O158" s="56">
        <f>960.24870659873*Deflactores!$L$5</f>
        <v>1979.7437974180207</v>
      </c>
      <c r="P158" s="56">
        <f>3011.09604453375*Deflactores!$M$5</f>
        <v>6060.1070886731341</v>
      </c>
      <c r="Q158" s="56">
        <f>3478.03563047096*Deflactores!$N$5</f>
        <v>6866.6527878006746</v>
      </c>
      <c r="R158" s="56">
        <f>3668.24190724048*Deflactores!$O$5</f>
        <v>6986.470420273432</v>
      </c>
      <c r="S158" s="56">
        <f>3805.94999877669*Deflactores!$P$5</f>
        <v>6789.1232387277387</v>
      </c>
      <c r="T158" s="56">
        <f>3173.94806763313*Deflactores!$Q$5</f>
        <v>5353.8975236911519</v>
      </c>
      <c r="U158" s="56">
        <f>3771.11273998334*Deflactores!$R$5</f>
        <v>6111.2597814492319</v>
      </c>
      <c r="V158" s="56">
        <f>2307.52601065269*Deflactores!$S$5</f>
        <v>3624.2012920237944</v>
      </c>
    </row>
    <row r="159" spans="3:22" x14ac:dyDescent="0.2">
      <c r="C159" s="79" t="s">
        <v>152</v>
      </c>
      <c r="D159" s="44">
        <f t="shared" ref="D159:V159" si="32">+SUM(D130:D158)</f>
        <v>97814.770660292968</v>
      </c>
      <c r="E159" s="44">
        <f t="shared" si="32"/>
        <v>107693.41190375175</v>
      </c>
      <c r="F159" s="44">
        <f t="shared" si="32"/>
        <v>104695.32189886781</v>
      </c>
      <c r="G159" s="44">
        <f t="shared" si="32"/>
        <v>104203.86994206943</v>
      </c>
      <c r="H159" s="44">
        <f t="shared" si="32"/>
        <v>116637.24033148342</v>
      </c>
      <c r="I159" s="44">
        <f t="shared" si="32"/>
        <v>130166.8000586839</v>
      </c>
      <c r="J159" s="44">
        <f t="shared" si="32"/>
        <v>137027.27063522977</v>
      </c>
      <c r="K159" s="44">
        <f t="shared" si="32"/>
        <v>155948.52540331744</v>
      </c>
      <c r="L159" s="44">
        <f t="shared" si="32"/>
        <v>164577.69194020182</v>
      </c>
      <c r="M159" s="44">
        <f t="shared" si="32"/>
        <v>189631.44276616443</v>
      </c>
      <c r="N159" s="44">
        <f t="shared" si="32"/>
        <v>185128.30858406777</v>
      </c>
      <c r="O159" s="44">
        <f t="shared" si="32"/>
        <v>202607.86960187485</v>
      </c>
      <c r="P159" s="44">
        <f t="shared" si="32"/>
        <v>220522.55371992901</v>
      </c>
      <c r="Q159" s="44">
        <f t="shared" si="32"/>
        <v>243342.63065226894</v>
      </c>
      <c r="R159" s="44">
        <f t="shared" si="32"/>
        <v>254293.75284558404</v>
      </c>
      <c r="S159" s="44">
        <f t="shared" si="32"/>
        <v>246159.15422509503</v>
      </c>
      <c r="T159" s="44">
        <f t="shared" si="32"/>
        <v>235661.24787987609</v>
      </c>
      <c r="U159" s="44">
        <f t="shared" si="32"/>
        <v>252265.69694273206</v>
      </c>
      <c r="V159" s="44">
        <f t="shared" si="32"/>
        <v>244895.60535097419</v>
      </c>
    </row>
    <row r="160" spans="3:22" x14ac:dyDescent="0.2">
      <c r="C160" s="1" t="s">
        <v>52</v>
      </c>
      <c r="D160" s="12"/>
      <c r="E160" s="12"/>
      <c r="F160" s="12"/>
      <c r="G160" s="12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</row>
    <row r="161" spans="2:22" x14ac:dyDescent="0.2">
      <c r="B161" s="9"/>
    </row>
    <row r="162" spans="2:22" x14ac:dyDescent="0.2">
      <c r="D162" s="11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</row>
    <row r="163" spans="2:22" x14ac:dyDescent="0.2"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</row>
    <row r="164" spans="2:22" ht="18" customHeight="1" x14ac:dyDescent="0.2">
      <c r="D164" s="160" t="s">
        <v>168</v>
      </c>
      <c r="E164" s="158"/>
      <c r="F164" s="158"/>
      <c r="G164" s="158"/>
      <c r="H164" s="158"/>
      <c r="I164" s="158"/>
      <c r="J164" s="158"/>
      <c r="K164" s="158"/>
      <c r="L164" s="158"/>
      <c r="M164" s="158"/>
      <c r="N164" s="158"/>
      <c r="O164" s="158"/>
      <c r="P164" s="158"/>
      <c r="Q164" s="158"/>
      <c r="R164" s="158"/>
      <c r="S164" s="158"/>
      <c r="T164" s="158"/>
      <c r="U164" s="158"/>
      <c r="V164" s="158"/>
    </row>
    <row r="165" spans="2:22" ht="2.25" customHeight="1" x14ac:dyDescent="0.2">
      <c r="D165" s="158"/>
      <c r="E165" s="158"/>
      <c r="F165" s="158"/>
      <c r="G165" s="158"/>
      <c r="H165" s="158"/>
      <c r="I165" s="158"/>
      <c r="J165" s="158"/>
      <c r="K165" s="158"/>
      <c r="L165" s="158"/>
      <c r="M165" s="158"/>
      <c r="N165" s="158"/>
      <c r="O165" s="158"/>
      <c r="P165" s="158"/>
      <c r="Q165" s="158"/>
      <c r="R165" s="158"/>
      <c r="S165" s="158"/>
      <c r="T165" s="158"/>
      <c r="U165" s="158"/>
      <c r="V165" s="158"/>
    </row>
    <row r="166" spans="2:22" x14ac:dyDescent="0.2"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</row>
    <row r="167" spans="2:22" x14ac:dyDescent="0.2">
      <c r="C167" s="177" t="s">
        <v>120</v>
      </c>
      <c r="D167" s="180">
        <v>2000</v>
      </c>
      <c r="E167" s="153">
        <v>2001</v>
      </c>
      <c r="F167" s="153">
        <v>2002</v>
      </c>
      <c r="G167" s="153">
        <v>2003</v>
      </c>
      <c r="H167" s="153">
        <v>2004</v>
      </c>
      <c r="I167" s="153">
        <v>2005</v>
      </c>
      <c r="J167" s="153">
        <v>2006</v>
      </c>
      <c r="K167" s="153">
        <v>2007</v>
      </c>
      <c r="L167" s="153">
        <v>2008</v>
      </c>
      <c r="M167" s="153">
        <v>2009</v>
      </c>
      <c r="N167" s="153">
        <v>2010</v>
      </c>
      <c r="O167" s="153">
        <v>2011</v>
      </c>
      <c r="P167" s="153">
        <v>2012</v>
      </c>
      <c r="Q167" s="153">
        <v>2013</v>
      </c>
      <c r="R167" s="153">
        <v>2014</v>
      </c>
      <c r="S167" s="153">
        <v>2015</v>
      </c>
      <c r="T167" s="153">
        <v>2016</v>
      </c>
      <c r="U167" s="153">
        <v>2017</v>
      </c>
      <c r="V167" s="153">
        <v>2018</v>
      </c>
    </row>
    <row r="168" spans="2:22" ht="12" customHeight="1" thickBot="1" x14ac:dyDescent="0.25">
      <c r="C168" s="156"/>
      <c r="D168" s="181"/>
      <c r="E168" s="154"/>
      <c r="F168" s="154"/>
      <c r="G168" s="154"/>
      <c r="H168" s="154"/>
      <c r="I168" s="154"/>
      <c r="J168" s="154"/>
      <c r="K168" s="154"/>
      <c r="L168" s="154"/>
      <c r="M168" s="154"/>
      <c r="N168" s="154"/>
      <c r="O168" s="154"/>
      <c r="P168" s="154"/>
      <c r="Q168" s="154"/>
      <c r="R168" s="154"/>
      <c r="S168" s="154"/>
      <c r="T168" s="154"/>
      <c r="U168" s="154"/>
      <c r="V168" s="154"/>
    </row>
    <row r="169" spans="2:22" x14ac:dyDescent="0.2">
      <c r="C169" s="87" t="s">
        <v>123</v>
      </c>
      <c r="D169" s="60">
        <f t="shared" ref="D169:V169" si="33">+IFERROR(IF(D130&gt;0,+((D130/D13)*100)," "),"")</f>
        <v>86.410008666246213</v>
      </c>
      <c r="E169" s="60">
        <f t="shared" si="33"/>
        <v>67.287717238736988</v>
      </c>
      <c r="F169" s="60">
        <f t="shared" si="33"/>
        <v>63.050819004425293</v>
      </c>
      <c r="G169" s="60">
        <f t="shared" si="33"/>
        <v>74.547343311654529</v>
      </c>
      <c r="H169" s="60">
        <f t="shared" si="33"/>
        <v>75.379779840174521</v>
      </c>
      <c r="I169" s="60">
        <f t="shared" si="33"/>
        <v>82.336719039971982</v>
      </c>
      <c r="J169" s="60">
        <f t="shared" si="33"/>
        <v>81.484771383819975</v>
      </c>
      <c r="K169" s="60">
        <f t="shared" si="33"/>
        <v>93.327548740319713</v>
      </c>
      <c r="L169" s="60">
        <f t="shared" si="33"/>
        <v>97.658786221859046</v>
      </c>
      <c r="M169" s="60">
        <f t="shared" si="33"/>
        <v>87.586606849368138</v>
      </c>
      <c r="N169" s="60">
        <f t="shared" si="33"/>
        <v>81.496874616302989</v>
      </c>
      <c r="O169" s="60">
        <f t="shared" si="33"/>
        <v>78.601710199392954</v>
      </c>
      <c r="P169" s="60">
        <f t="shared" si="33"/>
        <v>85.408832479866078</v>
      </c>
      <c r="Q169" s="60">
        <f t="shared" si="33"/>
        <v>88.093981703210346</v>
      </c>
      <c r="R169" s="60">
        <f t="shared" si="33"/>
        <v>91.394523228966378</v>
      </c>
      <c r="S169" s="60">
        <f t="shared" si="33"/>
        <v>88.170472859528786</v>
      </c>
      <c r="T169" s="60">
        <f t="shared" si="33"/>
        <v>80.580733362920327</v>
      </c>
      <c r="U169" s="60">
        <f t="shared" si="33"/>
        <v>91.814309822139649</v>
      </c>
      <c r="V169" s="60">
        <f t="shared" si="33"/>
        <v>59.722119634182356</v>
      </c>
    </row>
    <row r="170" spans="2:22" x14ac:dyDescent="0.2">
      <c r="C170" s="88" t="s">
        <v>124</v>
      </c>
      <c r="D170" s="62">
        <f t="shared" ref="D170:V170" si="34">+IFERROR(IF(D131&gt;0,+((D131/D14)*100)," "),"")</f>
        <v>74.328805223611752</v>
      </c>
      <c r="E170" s="62">
        <f t="shared" si="34"/>
        <v>76.286217934091326</v>
      </c>
      <c r="F170" s="62">
        <f t="shared" si="34"/>
        <v>74.400767044967495</v>
      </c>
      <c r="G170" s="62">
        <f t="shared" si="34"/>
        <v>73.584985836933086</v>
      </c>
      <c r="H170" s="62">
        <f t="shared" si="34"/>
        <v>44.935377391662691</v>
      </c>
      <c r="I170" s="62">
        <f t="shared" si="34"/>
        <v>57.969734658706109</v>
      </c>
      <c r="J170" s="62">
        <f t="shared" si="34"/>
        <v>54.087662184801935</v>
      </c>
      <c r="K170" s="62">
        <f t="shared" si="34"/>
        <v>93.843805188885383</v>
      </c>
      <c r="L170" s="62">
        <f t="shared" si="34"/>
        <v>97.679598719363952</v>
      </c>
      <c r="M170" s="62">
        <f t="shared" si="34"/>
        <v>94.084327051915395</v>
      </c>
      <c r="N170" s="62">
        <f t="shared" si="34"/>
        <v>93.288973199764243</v>
      </c>
      <c r="O170" s="62">
        <f t="shared" si="34"/>
        <v>95.884730040183968</v>
      </c>
      <c r="P170" s="62">
        <f t="shared" si="34"/>
        <v>80.915926036923906</v>
      </c>
      <c r="Q170" s="62">
        <f t="shared" si="34"/>
        <v>70.594860083846882</v>
      </c>
      <c r="R170" s="62">
        <f t="shared" si="34"/>
        <v>74.530305943603736</v>
      </c>
      <c r="S170" s="62">
        <f t="shared" si="34"/>
        <v>67.755026400973733</v>
      </c>
      <c r="T170" s="62">
        <f t="shared" si="34"/>
        <v>71.184416930505165</v>
      </c>
      <c r="U170" s="62">
        <f t="shared" si="34"/>
        <v>73.656781911304904</v>
      </c>
      <c r="V170" s="62">
        <f t="shared" si="34"/>
        <v>74.148596373859149</v>
      </c>
    </row>
    <row r="171" spans="2:22" x14ac:dyDescent="0.2">
      <c r="C171" s="87" t="s">
        <v>125</v>
      </c>
      <c r="D171" s="60">
        <f t="shared" ref="D171:V171" si="35">+IFERROR(IF(D132&gt;0,+((D132/D15)*100)," "),"")</f>
        <v>69.628415835971552</v>
      </c>
      <c r="E171" s="60">
        <f t="shared" si="35"/>
        <v>54.318139080053953</v>
      </c>
      <c r="F171" s="60">
        <f t="shared" si="35"/>
        <v>32.139050436040577</v>
      </c>
      <c r="G171" s="60">
        <f t="shared" si="35"/>
        <v>31.464833281295778</v>
      </c>
      <c r="H171" s="60">
        <f t="shared" si="35"/>
        <v>59.40229913763261</v>
      </c>
      <c r="I171" s="60">
        <f t="shared" si="35"/>
        <v>55.22782501762277</v>
      </c>
      <c r="J171" s="60">
        <f t="shared" si="35"/>
        <v>51.654442797752687</v>
      </c>
      <c r="K171" s="60">
        <f t="shared" si="35"/>
        <v>92.309766958474</v>
      </c>
      <c r="L171" s="60">
        <f t="shared" si="35"/>
        <v>95.69872429410033</v>
      </c>
      <c r="M171" s="60">
        <f t="shared" si="35"/>
        <v>73.639306904450549</v>
      </c>
      <c r="N171" s="60">
        <f t="shared" si="35"/>
        <v>93.912790733948555</v>
      </c>
      <c r="O171" s="60">
        <f t="shared" si="35"/>
        <v>95.041746313245213</v>
      </c>
      <c r="P171" s="60">
        <f t="shared" si="35"/>
        <v>90.923909656537759</v>
      </c>
      <c r="Q171" s="60">
        <f t="shared" si="35"/>
        <v>96.379613927901786</v>
      </c>
      <c r="R171" s="60">
        <f t="shared" si="35"/>
        <v>94.762164254867372</v>
      </c>
      <c r="S171" s="60">
        <f t="shared" si="35"/>
        <v>98.15104900551701</v>
      </c>
      <c r="T171" s="60">
        <f t="shared" si="35"/>
        <v>98.391747332416443</v>
      </c>
      <c r="U171" s="60">
        <f t="shared" si="35"/>
        <v>99.616140108691994</v>
      </c>
      <c r="V171" s="60">
        <f t="shared" si="35"/>
        <v>80.359304580074152</v>
      </c>
    </row>
    <row r="172" spans="2:22" x14ac:dyDescent="0.2">
      <c r="C172" s="88" t="s">
        <v>126</v>
      </c>
      <c r="D172" s="62">
        <f t="shared" ref="D172:V172" si="36">+IFERROR(IF(D133&gt;0,+((D133/D16)*100)," "),"")</f>
        <v>75.409528536075626</v>
      </c>
      <c r="E172" s="62">
        <f t="shared" si="36"/>
        <v>68.75685398432546</v>
      </c>
      <c r="F172" s="62">
        <f t="shared" si="36"/>
        <v>62.669685821022533</v>
      </c>
      <c r="G172" s="62">
        <f t="shared" si="36"/>
        <v>76.704431231304909</v>
      </c>
      <c r="H172" s="62">
        <f t="shared" si="36"/>
        <v>79.829782186813787</v>
      </c>
      <c r="I172" s="62">
        <f t="shared" si="36"/>
        <v>79.534369416087287</v>
      </c>
      <c r="J172" s="62">
        <f t="shared" si="36"/>
        <v>86.436870304427458</v>
      </c>
      <c r="K172" s="62">
        <f t="shared" si="36"/>
        <v>89.364821541096163</v>
      </c>
      <c r="L172" s="62">
        <f t="shared" si="36"/>
        <v>92.037420617165822</v>
      </c>
      <c r="M172" s="62">
        <f t="shared" si="36"/>
        <v>91.756494423777539</v>
      </c>
      <c r="N172" s="62">
        <f t="shared" si="36"/>
        <v>91.564465059123137</v>
      </c>
      <c r="O172" s="62">
        <f t="shared" si="36"/>
        <v>92.038491305963362</v>
      </c>
      <c r="P172" s="62">
        <f t="shared" si="36"/>
        <v>95.785944607069212</v>
      </c>
      <c r="Q172" s="62">
        <f t="shared" si="36"/>
        <v>94.75822143955574</v>
      </c>
      <c r="R172" s="62">
        <f t="shared" si="36"/>
        <v>91.664406707044506</v>
      </c>
      <c r="S172" s="62">
        <f t="shared" si="36"/>
        <v>95.563284138104933</v>
      </c>
      <c r="T172" s="62">
        <f t="shared" si="36"/>
        <v>97.526539920371945</v>
      </c>
      <c r="U172" s="62">
        <f t="shared" si="36"/>
        <v>98.952305602687659</v>
      </c>
      <c r="V172" s="62">
        <f t="shared" si="36"/>
        <v>83.440410710072015</v>
      </c>
    </row>
    <row r="173" spans="2:22" x14ac:dyDescent="0.2">
      <c r="C173" s="87" t="s">
        <v>127</v>
      </c>
      <c r="D173" s="60">
        <f t="shared" ref="D173:V173" si="37">+IFERROR(IF(D134&gt;0,+((D134/D17)*100)," "),"")</f>
        <v>86.625023337689782</v>
      </c>
      <c r="E173" s="60">
        <f t="shared" si="37"/>
        <v>81.078374192575367</v>
      </c>
      <c r="F173" s="60">
        <f t="shared" si="37"/>
        <v>93.68000752536453</v>
      </c>
      <c r="G173" s="60">
        <f t="shared" si="37"/>
        <v>91.303240186385864</v>
      </c>
      <c r="H173" s="60">
        <f t="shared" si="37"/>
        <v>93.497565104521968</v>
      </c>
      <c r="I173" s="60">
        <f t="shared" si="37"/>
        <v>93.773634793614264</v>
      </c>
      <c r="J173" s="60">
        <f t="shared" si="37"/>
        <v>93.859918648426785</v>
      </c>
      <c r="K173" s="60">
        <f t="shared" si="37"/>
        <v>97.100852780428795</v>
      </c>
      <c r="L173" s="60">
        <f t="shared" si="37"/>
        <v>94.597994838217474</v>
      </c>
      <c r="M173" s="60">
        <f t="shared" si="37"/>
        <v>94.575461099225961</v>
      </c>
      <c r="N173" s="60">
        <f t="shared" si="37"/>
        <v>94.048409947523197</v>
      </c>
      <c r="O173" s="60">
        <f t="shared" si="37"/>
        <v>89.355637074634245</v>
      </c>
      <c r="P173" s="60">
        <f t="shared" si="37"/>
        <v>87.399118466244403</v>
      </c>
      <c r="Q173" s="60">
        <f t="shared" si="37"/>
        <v>90.465072174835484</v>
      </c>
      <c r="R173" s="60">
        <f t="shared" si="37"/>
        <v>95.408839041333309</v>
      </c>
      <c r="S173" s="60">
        <f t="shared" si="37"/>
        <v>97.687119133242263</v>
      </c>
      <c r="T173" s="60">
        <f t="shared" si="37"/>
        <v>96.870415888958235</v>
      </c>
      <c r="U173" s="60">
        <f t="shared" si="37"/>
        <v>98.184179198252821</v>
      </c>
      <c r="V173" s="60">
        <f t="shared" si="37"/>
        <v>92.269699098342443</v>
      </c>
    </row>
    <row r="174" spans="2:22" x14ac:dyDescent="0.2">
      <c r="C174" s="88" t="s">
        <v>128</v>
      </c>
      <c r="D174" s="62">
        <f t="shared" ref="D174:V174" si="38">+IFERROR(IF(D135&gt;0,+((D135/D18)*100)," "),"")</f>
        <v>74.978797411753433</v>
      </c>
      <c r="E174" s="62">
        <f t="shared" si="38"/>
        <v>82.649675187589551</v>
      </c>
      <c r="F174" s="62">
        <f t="shared" si="38"/>
        <v>74.560323570789549</v>
      </c>
      <c r="G174" s="62">
        <f t="shared" si="38"/>
        <v>85.990447037732139</v>
      </c>
      <c r="H174" s="62">
        <f t="shared" si="38"/>
        <v>80.120775424137079</v>
      </c>
      <c r="I174" s="62">
        <f t="shared" si="38"/>
        <v>84.125370845599065</v>
      </c>
      <c r="J174" s="62">
        <f t="shared" si="38"/>
        <v>89.883581352628354</v>
      </c>
      <c r="K174" s="62">
        <f t="shared" si="38"/>
        <v>88.682393150967314</v>
      </c>
      <c r="L174" s="62">
        <f t="shared" si="38"/>
        <v>90.709291215838206</v>
      </c>
      <c r="M174" s="62">
        <f t="shared" si="38"/>
        <v>87.505028343506979</v>
      </c>
      <c r="N174" s="62">
        <f t="shared" si="38"/>
        <v>88.358798497322724</v>
      </c>
      <c r="O174" s="62">
        <f t="shared" si="38"/>
        <v>90.090127154184671</v>
      </c>
      <c r="P174" s="62">
        <f t="shared" si="38"/>
        <v>94.101590505160274</v>
      </c>
      <c r="Q174" s="62">
        <f t="shared" si="38"/>
        <v>93.636574947786499</v>
      </c>
      <c r="R174" s="62">
        <f t="shared" si="38"/>
        <v>97.822913878878111</v>
      </c>
      <c r="S174" s="62">
        <f t="shared" si="38"/>
        <v>98.309328614972998</v>
      </c>
      <c r="T174" s="62">
        <f t="shared" si="38"/>
        <v>98.520545326306276</v>
      </c>
      <c r="U174" s="62">
        <f t="shared" si="38"/>
        <v>93.22680392441039</v>
      </c>
      <c r="V174" s="62">
        <f t="shared" si="38"/>
        <v>90.626209513725783</v>
      </c>
    </row>
    <row r="175" spans="2:22" x14ac:dyDescent="0.2">
      <c r="C175" s="87" t="s">
        <v>129</v>
      </c>
      <c r="D175" s="60">
        <f t="shared" ref="D175:V175" si="39">+IFERROR(IF(D136&gt;0,+((D136/D19)*100)," "),"")</f>
        <v>95.740010413069626</v>
      </c>
      <c r="E175" s="60">
        <f t="shared" si="39"/>
        <v>90.390877118544196</v>
      </c>
      <c r="F175" s="60">
        <f t="shared" si="39"/>
        <v>91.007418590296368</v>
      </c>
      <c r="G175" s="60">
        <f t="shared" si="39"/>
        <v>89.159336454856415</v>
      </c>
      <c r="H175" s="60">
        <f t="shared" si="39"/>
        <v>89.371092934068727</v>
      </c>
      <c r="I175" s="60">
        <f t="shared" si="39"/>
        <v>89.874350359302198</v>
      </c>
      <c r="J175" s="60">
        <f t="shared" si="39"/>
        <v>91.544721479161453</v>
      </c>
      <c r="K175" s="60">
        <f t="shared" si="39"/>
        <v>97.264681631359437</v>
      </c>
      <c r="L175" s="60">
        <f t="shared" si="39"/>
        <v>97.829056448975876</v>
      </c>
      <c r="M175" s="60">
        <f t="shared" si="39"/>
        <v>95.784513214300091</v>
      </c>
      <c r="N175" s="60">
        <f t="shared" si="39"/>
        <v>95.363610182597327</v>
      </c>
      <c r="O175" s="60">
        <f t="shared" si="39"/>
        <v>96.652511015182498</v>
      </c>
      <c r="P175" s="60">
        <f t="shared" si="39"/>
        <v>98.425812791060267</v>
      </c>
      <c r="Q175" s="60">
        <f t="shared" si="39"/>
        <v>98.111674094873322</v>
      </c>
      <c r="R175" s="60">
        <f t="shared" si="39"/>
        <v>97.218151162829585</v>
      </c>
      <c r="S175" s="60">
        <f t="shared" si="39"/>
        <v>97.881389363047504</v>
      </c>
      <c r="T175" s="60">
        <f t="shared" si="39"/>
        <v>98.861201582003972</v>
      </c>
      <c r="U175" s="60">
        <f t="shared" si="39"/>
        <v>98.927920323389756</v>
      </c>
      <c r="V175" s="60">
        <f t="shared" si="39"/>
        <v>95.667215560418612</v>
      </c>
    </row>
    <row r="176" spans="2:22" x14ac:dyDescent="0.2">
      <c r="C176" s="88" t="s">
        <v>130</v>
      </c>
      <c r="D176" s="62">
        <f t="shared" ref="D176:V176" si="40">+IFERROR(IF(D137&gt;0,+((D137/D20)*100)," "),"")</f>
        <v>85.891649490864694</v>
      </c>
      <c r="E176" s="62">
        <f t="shared" si="40"/>
        <v>63.381652028885149</v>
      </c>
      <c r="F176" s="62">
        <f t="shared" si="40"/>
        <v>73.365759996144433</v>
      </c>
      <c r="G176" s="62">
        <f t="shared" si="40"/>
        <v>59.264620684507882</v>
      </c>
      <c r="H176" s="62">
        <f t="shared" si="40"/>
        <v>86.141317126446936</v>
      </c>
      <c r="I176" s="62">
        <f t="shared" si="40"/>
        <v>88.80975367745306</v>
      </c>
      <c r="J176" s="62">
        <f t="shared" si="40"/>
        <v>93.300747016505127</v>
      </c>
      <c r="K176" s="62">
        <f t="shared" si="40"/>
        <v>91.3090181363753</v>
      </c>
      <c r="L176" s="62">
        <f t="shared" si="40"/>
        <v>93.39876141662829</v>
      </c>
      <c r="M176" s="62">
        <f t="shared" si="40"/>
        <v>85.40903859988471</v>
      </c>
      <c r="N176" s="62">
        <f t="shared" si="40"/>
        <v>87.849210547318407</v>
      </c>
      <c r="O176" s="62">
        <f t="shared" si="40"/>
        <v>84.705319114478456</v>
      </c>
      <c r="P176" s="62">
        <f t="shared" si="40"/>
        <v>84.695037183730847</v>
      </c>
      <c r="Q176" s="62">
        <f t="shared" si="40"/>
        <v>88.741413898721831</v>
      </c>
      <c r="R176" s="62">
        <f t="shared" si="40"/>
        <v>89.166834721737487</v>
      </c>
      <c r="S176" s="62">
        <f t="shared" si="40"/>
        <v>86.735096914790148</v>
      </c>
      <c r="T176" s="62">
        <f t="shared" si="40"/>
        <v>70.232272274789054</v>
      </c>
      <c r="U176" s="62">
        <f t="shared" si="40"/>
        <v>79.75376338516908</v>
      </c>
      <c r="V176" s="62">
        <f t="shared" si="40"/>
        <v>70.787316276504583</v>
      </c>
    </row>
    <row r="177" spans="3:22" x14ac:dyDescent="0.2">
      <c r="C177" s="87" t="s">
        <v>131</v>
      </c>
      <c r="D177" s="60">
        <f t="shared" ref="D177:V177" si="41">+IFERROR(IF(D138&gt;0,+((D138/D21)*100)," "),"")</f>
        <v>94.42604801230128</v>
      </c>
      <c r="E177" s="60">
        <f t="shared" si="41"/>
        <v>95.481314833594723</v>
      </c>
      <c r="F177" s="60">
        <f t="shared" si="41"/>
        <v>98.869986416534147</v>
      </c>
      <c r="G177" s="60">
        <f t="shared" si="41"/>
        <v>95.572686727151591</v>
      </c>
      <c r="H177" s="60">
        <f t="shared" si="41"/>
        <v>98.328638710623537</v>
      </c>
      <c r="I177" s="60">
        <f t="shared" si="41"/>
        <v>97.55215120903064</v>
      </c>
      <c r="J177" s="60">
        <f t="shared" si="41"/>
        <v>97.253298330603585</v>
      </c>
      <c r="K177" s="60">
        <f t="shared" si="41"/>
        <v>99.290381072931595</v>
      </c>
      <c r="L177" s="60">
        <f t="shared" si="41"/>
        <v>99.251644113017207</v>
      </c>
      <c r="M177" s="60">
        <f t="shared" si="41"/>
        <v>98.105064263973858</v>
      </c>
      <c r="N177" s="60">
        <f t="shared" si="41"/>
        <v>96.163856393203318</v>
      </c>
      <c r="O177" s="60">
        <f t="shared" si="41"/>
        <v>99.409325048755647</v>
      </c>
      <c r="P177" s="60">
        <f t="shared" si="41"/>
        <v>97.064295522490767</v>
      </c>
      <c r="Q177" s="60">
        <f t="shared" si="41"/>
        <v>99.424936565849748</v>
      </c>
      <c r="R177" s="60">
        <f t="shared" si="41"/>
        <v>99.682573534929034</v>
      </c>
      <c r="S177" s="60">
        <f t="shared" si="41"/>
        <v>99.752033283489666</v>
      </c>
      <c r="T177" s="60">
        <f t="shared" si="41"/>
        <v>99.046595030668612</v>
      </c>
      <c r="U177" s="60">
        <f t="shared" si="41"/>
        <v>99.80795592393855</v>
      </c>
      <c r="V177" s="60">
        <f t="shared" si="41"/>
        <v>99.146562853540473</v>
      </c>
    </row>
    <row r="178" spans="3:22" x14ac:dyDescent="0.2">
      <c r="C178" s="88" t="s">
        <v>132</v>
      </c>
      <c r="D178" s="62">
        <f t="shared" ref="D178:V178" si="42">+IFERROR(IF(D139&gt;0,+((D139/D22)*100)," "),"")</f>
        <v>96.5108157890851</v>
      </c>
      <c r="E178" s="62">
        <f t="shared" si="42"/>
        <v>94.146538230657299</v>
      </c>
      <c r="F178" s="62">
        <f t="shared" si="42"/>
        <v>96.244902511097635</v>
      </c>
      <c r="G178" s="62">
        <f t="shared" si="42"/>
        <v>89.257682579972766</v>
      </c>
      <c r="H178" s="62">
        <f t="shared" si="42"/>
        <v>81.667110281982687</v>
      </c>
      <c r="I178" s="62">
        <f t="shared" si="42"/>
        <v>50.921099351367452</v>
      </c>
      <c r="J178" s="62">
        <f t="shared" si="42"/>
        <v>82.425770127552326</v>
      </c>
      <c r="K178" s="62">
        <f t="shared" si="42"/>
        <v>92.367727168582178</v>
      </c>
      <c r="L178" s="62">
        <f t="shared" si="42"/>
        <v>93.651174974712376</v>
      </c>
      <c r="M178" s="62">
        <f t="shared" si="42"/>
        <v>85.089044711757253</v>
      </c>
      <c r="N178" s="62">
        <f t="shared" si="42"/>
        <v>71.855528872740976</v>
      </c>
      <c r="O178" s="62">
        <f t="shared" si="42"/>
        <v>81.764110662147758</v>
      </c>
      <c r="P178" s="62">
        <f t="shared" si="42"/>
        <v>90.608957467672752</v>
      </c>
      <c r="Q178" s="62">
        <f t="shared" si="42"/>
        <v>91.374715490342481</v>
      </c>
      <c r="R178" s="62">
        <f t="shared" si="42"/>
        <v>92.843997421420795</v>
      </c>
      <c r="S178" s="62">
        <f t="shared" si="42"/>
        <v>93.622375250673628</v>
      </c>
      <c r="T178" s="62">
        <f t="shared" si="42"/>
        <v>97.212637700362876</v>
      </c>
      <c r="U178" s="62">
        <f t="shared" si="42"/>
        <v>92.108828999687788</v>
      </c>
      <c r="V178" s="62">
        <f t="shared" si="42"/>
        <v>86.363977764331963</v>
      </c>
    </row>
    <row r="179" spans="3:22" x14ac:dyDescent="0.2">
      <c r="C179" s="87" t="s">
        <v>133</v>
      </c>
      <c r="D179" s="60">
        <f t="shared" ref="D179:V179" si="43">+IFERROR(IF(D140&gt;0,+((D140/D23)*100)," "),"")</f>
        <v>96.079063939162822</v>
      </c>
      <c r="E179" s="60">
        <f t="shared" si="43"/>
        <v>97.25861018790944</v>
      </c>
      <c r="F179" s="60">
        <f t="shared" si="43"/>
        <v>96.239680074197864</v>
      </c>
      <c r="G179" s="60">
        <f t="shared" si="43"/>
        <v>96.215626959637348</v>
      </c>
      <c r="H179" s="60">
        <f t="shared" si="43"/>
        <v>94.993549219156492</v>
      </c>
      <c r="I179" s="60">
        <f t="shared" si="43"/>
        <v>96.766805325259241</v>
      </c>
      <c r="J179" s="60">
        <f t="shared" si="43"/>
        <v>95.180797029879812</v>
      </c>
      <c r="K179" s="60">
        <f t="shared" si="43"/>
        <v>97.850070850427926</v>
      </c>
      <c r="L179" s="60">
        <f t="shared" si="43"/>
        <v>95.841084212285764</v>
      </c>
      <c r="M179" s="60">
        <f t="shared" si="43"/>
        <v>95.898902217807901</v>
      </c>
      <c r="N179" s="60">
        <f t="shared" si="43"/>
        <v>90.311951024025788</v>
      </c>
      <c r="O179" s="60">
        <f t="shared" si="43"/>
        <v>92.206927702450358</v>
      </c>
      <c r="P179" s="60">
        <f t="shared" si="43"/>
        <v>91.021224113126522</v>
      </c>
      <c r="Q179" s="60">
        <f t="shared" si="43"/>
        <v>93.990179111253283</v>
      </c>
      <c r="R179" s="60">
        <f t="shared" si="43"/>
        <v>90.232017637727054</v>
      </c>
      <c r="S179" s="60">
        <f t="shared" si="43"/>
        <v>89.869012356984967</v>
      </c>
      <c r="T179" s="60">
        <f t="shared" si="43"/>
        <v>95.032448639601355</v>
      </c>
      <c r="U179" s="60">
        <f t="shared" si="43"/>
        <v>98.625552622880889</v>
      </c>
      <c r="V179" s="60">
        <f t="shared" si="43"/>
        <v>92.083590683492929</v>
      </c>
    </row>
    <row r="180" spans="3:22" x14ac:dyDescent="0.2">
      <c r="C180" s="88" t="s">
        <v>134</v>
      </c>
      <c r="D180" s="62">
        <f t="shared" ref="D180:V180" si="44">+IFERROR(IF(D141&gt;0,+((D141/D24)*100)," "),"")</f>
        <v>88.779146220347229</v>
      </c>
      <c r="E180" s="62">
        <f t="shared" si="44"/>
        <v>89.492780158487221</v>
      </c>
      <c r="F180" s="62">
        <f t="shared" si="44"/>
        <v>79.402173913483111</v>
      </c>
      <c r="G180" s="62">
        <f t="shared" si="44"/>
        <v>85.551338301581737</v>
      </c>
      <c r="H180" s="62">
        <f t="shared" si="44"/>
        <v>79.514460147424842</v>
      </c>
      <c r="I180" s="62">
        <f t="shared" si="44"/>
        <v>83.360076916372179</v>
      </c>
      <c r="J180" s="62">
        <f t="shared" si="44"/>
        <v>84.407038641552774</v>
      </c>
      <c r="K180" s="62">
        <f t="shared" si="44"/>
        <v>82.935281272427346</v>
      </c>
      <c r="L180" s="62">
        <f t="shared" si="44"/>
        <v>79.015753353469137</v>
      </c>
      <c r="M180" s="62">
        <f t="shared" si="44"/>
        <v>73.700362192522277</v>
      </c>
      <c r="N180" s="62">
        <f t="shared" si="44"/>
        <v>78.165848778489249</v>
      </c>
      <c r="O180" s="62">
        <f t="shared" si="44"/>
        <v>95.509542480291557</v>
      </c>
      <c r="P180" s="62">
        <f t="shared" si="44"/>
        <v>92.039905290529049</v>
      </c>
      <c r="Q180" s="62">
        <f t="shared" si="44"/>
        <v>84.530107647360168</v>
      </c>
      <c r="R180" s="62">
        <f t="shared" si="44"/>
        <v>68.805891449369611</v>
      </c>
      <c r="S180" s="62">
        <f t="shared" si="44"/>
        <v>84.934283671462865</v>
      </c>
      <c r="T180" s="62">
        <f t="shared" si="44"/>
        <v>84.044753748485178</v>
      </c>
      <c r="U180" s="62">
        <f t="shared" si="44"/>
        <v>90.361198978292919</v>
      </c>
      <c r="V180" s="62">
        <f t="shared" si="44"/>
        <v>82.628424077017911</v>
      </c>
    </row>
    <row r="181" spans="3:22" x14ac:dyDescent="0.2">
      <c r="C181" s="87" t="s">
        <v>135</v>
      </c>
      <c r="D181" s="60" t="str">
        <f t="shared" ref="D181:V181" si="45">+IFERROR(IF(D142&gt;0,+((D142/D25)*100)," "),"")</f>
        <v xml:space="preserve"> </v>
      </c>
      <c r="E181" s="60" t="str">
        <f t="shared" si="45"/>
        <v xml:space="preserve"> </v>
      </c>
      <c r="F181" s="60" t="str">
        <f t="shared" si="45"/>
        <v xml:space="preserve"> </v>
      </c>
      <c r="G181" s="60" t="str">
        <f t="shared" si="45"/>
        <v xml:space="preserve"> </v>
      </c>
      <c r="H181" s="60" t="str">
        <f t="shared" si="45"/>
        <v xml:space="preserve"> </v>
      </c>
      <c r="I181" s="60" t="str">
        <f t="shared" si="45"/>
        <v xml:space="preserve"> </v>
      </c>
      <c r="J181" s="60" t="str">
        <f t="shared" si="45"/>
        <v xml:space="preserve"> </v>
      </c>
      <c r="K181" s="60" t="str">
        <f t="shared" si="45"/>
        <v xml:space="preserve"> </v>
      </c>
      <c r="L181" s="60" t="str">
        <f t="shared" si="45"/>
        <v xml:space="preserve"> </v>
      </c>
      <c r="M181" s="60" t="str">
        <f t="shared" si="45"/>
        <v xml:space="preserve"> </v>
      </c>
      <c r="N181" s="60" t="str">
        <f t="shared" si="45"/>
        <v xml:space="preserve"> </v>
      </c>
      <c r="O181" s="60" t="str">
        <f t="shared" si="45"/>
        <v xml:space="preserve"> </v>
      </c>
      <c r="P181" s="60" t="str">
        <f t="shared" si="45"/>
        <v xml:space="preserve"> </v>
      </c>
      <c r="Q181" s="60" t="str">
        <f t="shared" si="45"/>
        <v xml:space="preserve"> </v>
      </c>
      <c r="R181" s="60" t="str">
        <f t="shared" si="45"/>
        <v xml:space="preserve"> </v>
      </c>
      <c r="S181" s="60" t="str">
        <f t="shared" si="45"/>
        <v xml:space="preserve"> </v>
      </c>
      <c r="T181" s="60" t="str">
        <f t="shared" si="45"/>
        <v xml:space="preserve"> </v>
      </c>
      <c r="U181" s="60" t="str">
        <f t="shared" si="45"/>
        <v xml:space="preserve"> </v>
      </c>
      <c r="V181" s="60" t="str">
        <f t="shared" si="45"/>
        <v xml:space="preserve"> </v>
      </c>
    </row>
    <row r="182" spans="3:22" x14ac:dyDescent="0.2">
      <c r="C182" s="88" t="s">
        <v>136</v>
      </c>
      <c r="D182" s="62">
        <f t="shared" ref="D182:V182" si="46">+IFERROR(IF(D143&gt;0,+((D143/D26)*100)," "),"")</f>
        <v>59.160126582758529</v>
      </c>
      <c r="E182" s="62">
        <f t="shared" si="46"/>
        <v>79.385287889224855</v>
      </c>
      <c r="F182" s="62">
        <f t="shared" si="46"/>
        <v>57.334765137667191</v>
      </c>
      <c r="G182" s="62">
        <f t="shared" si="46"/>
        <v>90.705514564309922</v>
      </c>
      <c r="H182" s="62">
        <f t="shared" si="46"/>
        <v>57.144328473640215</v>
      </c>
      <c r="I182" s="62">
        <f t="shared" si="46"/>
        <v>62.14395398563817</v>
      </c>
      <c r="J182" s="62">
        <f t="shared" si="46"/>
        <v>78.329060751624354</v>
      </c>
      <c r="K182" s="62">
        <f t="shared" si="46"/>
        <v>91.310297632869634</v>
      </c>
      <c r="L182" s="62">
        <f t="shared" si="46"/>
        <v>78.331073412787944</v>
      </c>
      <c r="M182" s="62">
        <f t="shared" si="46"/>
        <v>85.592774836691277</v>
      </c>
      <c r="N182" s="62">
        <f t="shared" si="46"/>
        <v>83.119843471102044</v>
      </c>
      <c r="O182" s="62">
        <f t="shared" si="46"/>
        <v>89.919961362896473</v>
      </c>
      <c r="P182" s="62">
        <f t="shared" si="46"/>
        <v>88.420877067586972</v>
      </c>
      <c r="Q182" s="62">
        <f t="shared" si="46"/>
        <v>89.680404093040138</v>
      </c>
      <c r="R182" s="62">
        <f t="shared" si="46"/>
        <v>91.765507787504646</v>
      </c>
      <c r="S182" s="62">
        <f t="shared" si="46"/>
        <v>95.371497584293294</v>
      </c>
      <c r="T182" s="62">
        <f t="shared" si="46"/>
        <v>85.838230317062781</v>
      </c>
      <c r="U182" s="62">
        <f t="shared" si="46"/>
        <v>96.151356507888991</v>
      </c>
      <c r="V182" s="62">
        <f t="shared" si="46"/>
        <v>91.381038317736099</v>
      </c>
    </row>
    <row r="183" spans="3:22" x14ac:dyDescent="0.2">
      <c r="C183" s="87" t="s">
        <v>137</v>
      </c>
      <c r="D183" s="60">
        <f t="shared" ref="D183:V183" si="47">+IFERROR(IF(D144&gt;0,+((D144/D27)*100)," "),"")</f>
        <v>68.564373279784505</v>
      </c>
      <c r="E183" s="60">
        <f t="shared" si="47"/>
        <v>84.825418115251395</v>
      </c>
      <c r="F183" s="60">
        <f t="shared" si="47"/>
        <v>70.783841139609265</v>
      </c>
      <c r="G183" s="60">
        <f t="shared" si="47"/>
        <v>79.906828956603064</v>
      </c>
      <c r="H183" s="60">
        <f t="shared" si="47"/>
        <v>78.697049351998402</v>
      </c>
      <c r="I183" s="60">
        <f t="shared" si="47"/>
        <v>81.470058395553664</v>
      </c>
      <c r="J183" s="60">
        <f t="shared" si="47"/>
        <v>97.241804475130351</v>
      </c>
      <c r="K183" s="60">
        <f t="shared" si="47"/>
        <v>86.95448908864951</v>
      </c>
      <c r="L183" s="60">
        <f t="shared" si="47"/>
        <v>93.821687108579539</v>
      </c>
      <c r="M183" s="60">
        <f t="shared" si="47"/>
        <v>86.440576007158313</v>
      </c>
      <c r="N183" s="60">
        <f t="shared" si="47"/>
        <v>84.214619611309502</v>
      </c>
      <c r="O183" s="60">
        <f t="shared" si="47"/>
        <v>92.165697990563217</v>
      </c>
      <c r="P183" s="60">
        <f t="shared" si="47"/>
        <v>85.483140996555377</v>
      </c>
      <c r="Q183" s="60">
        <f t="shared" si="47"/>
        <v>81.302493786677616</v>
      </c>
      <c r="R183" s="60">
        <f t="shared" si="47"/>
        <v>95.757610807029224</v>
      </c>
      <c r="S183" s="60">
        <f t="shared" si="47"/>
        <v>92.559506797736418</v>
      </c>
      <c r="T183" s="60">
        <f t="shared" si="47"/>
        <v>95.061719894056566</v>
      </c>
      <c r="U183" s="60">
        <f t="shared" si="47"/>
        <v>92.401572470428945</v>
      </c>
      <c r="V183" s="60">
        <f t="shared" si="47"/>
        <v>92.977828727405708</v>
      </c>
    </row>
    <row r="184" spans="3:22" x14ac:dyDescent="0.2">
      <c r="C184" s="88" t="s">
        <v>138</v>
      </c>
      <c r="D184" s="62">
        <f t="shared" ref="D184:V184" si="48">+IFERROR(IF(D145&gt;0,+((D145/D28)*100)," "),"")</f>
        <v>93.258811119922996</v>
      </c>
      <c r="E184" s="62">
        <f t="shared" si="48"/>
        <v>94.085081805767004</v>
      </c>
      <c r="F184" s="62">
        <f t="shared" si="48"/>
        <v>91.558679732269425</v>
      </c>
      <c r="G184" s="62">
        <f t="shared" si="48"/>
        <v>81.487726675639507</v>
      </c>
      <c r="H184" s="62">
        <f t="shared" si="48"/>
        <v>94.076004053946434</v>
      </c>
      <c r="I184" s="62">
        <f t="shared" si="48"/>
        <v>91.486450772702412</v>
      </c>
      <c r="J184" s="62">
        <f t="shared" si="48"/>
        <v>86.779354347697421</v>
      </c>
      <c r="K184" s="62">
        <f t="shared" si="48"/>
        <v>91.634832066681042</v>
      </c>
      <c r="L184" s="62">
        <f t="shared" si="48"/>
        <v>88.179153447842694</v>
      </c>
      <c r="M184" s="62">
        <f t="shared" si="48"/>
        <v>81.997047630474768</v>
      </c>
      <c r="N184" s="62">
        <f t="shared" si="48"/>
        <v>81.768676744660212</v>
      </c>
      <c r="O184" s="62">
        <f t="shared" si="48"/>
        <v>87.872705308304447</v>
      </c>
      <c r="P184" s="62">
        <f t="shared" si="48"/>
        <v>76.768253903238445</v>
      </c>
      <c r="Q184" s="62">
        <f t="shared" si="48"/>
        <v>76.347104579476238</v>
      </c>
      <c r="R184" s="62">
        <f t="shared" si="48"/>
        <v>84.804031796968417</v>
      </c>
      <c r="S184" s="62">
        <f t="shared" si="48"/>
        <v>94.592801949555962</v>
      </c>
      <c r="T184" s="62">
        <f t="shared" si="48"/>
        <v>97.020182299042133</v>
      </c>
      <c r="U184" s="62">
        <f t="shared" si="48"/>
        <v>97.109287093899482</v>
      </c>
      <c r="V184" s="62">
        <f t="shared" si="48"/>
        <v>95.857043525022846</v>
      </c>
    </row>
    <row r="185" spans="3:22" x14ac:dyDescent="0.2">
      <c r="C185" s="87" t="s">
        <v>139</v>
      </c>
      <c r="D185" s="60">
        <f t="shared" ref="D185:V185" si="49">+IFERROR(IF(D146&gt;0,+((D146/D29)*100)," "),"")</f>
        <v>94.064722743104085</v>
      </c>
      <c r="E185" s="60">
        <f t="shared" si="49"/>
        <v>83.53412951586462</v>
      </c>
      <c r="F185" s="60">
        <f t="shared" si="49"/>
        <v>80.057449075384895</v>
      </c>
      <c r="G185" s="60">
        <f t="shared" si="49"/>
        <v>88.879532242229686</v>
      </c>
      <c r="H185" s="60">
        <f t="shared" si="49"/>
        <v>88.981991372617571</v>
      </c>
      <c r="I185" s="60">
        <f t="shared" si="49"/>
        <v>91.883042787538017</v>
      </c>
      <c r="J185" s="60">
        <f t="shared" si="49"/>
        <v>81.779139918072403</v>
      </c>
      <c r="K185" s="60">
        <f t="shared" si="49"/>
        <v>82.552680661653483</v>
      </c>
      <c r="L185" s="60">
        <f t="shared" si="49"/>
        <v>87.866089147769401</v>
      </c>
      <c r="M185" s="60">
        <f t="shared" si="49"/>
        <v>90.389547696261204</v>
      </c>
      <c r="N185" s="60">
        <f t="shared" si="49"/>
        <v>89.646077590400068</v>
      </c>
      <c r="O185" s="60">
        <f t="shared" si="49"/>
        <v>97.672818516628965</v>
      </c>
      <c r="P185" s="60">
        <f t="shared" si="49"/>
        <v>86.35110178020669</v>
      </c>
      <c r="Q185" s="60">
        <f t="shared" si="49"/>
        <v>88.549891118097563</v>
      </c>
      <c r="R185" s="60">
        <f t="shared" si="49"/>
        <v>91.756997649640368</v>
      </c>
      <c r="S185" s="60">
        <f t="shared" si="49"/>
        <v>89.86622595194676</v>
      </c>
      <c r="T185" s="60">
        <f t="shared" si="49"/>
        <v>84.044414813450118</v>
      </c>
      <c r="U185" s="60">
        <f t="shared" si="49"/>
        <v>83.752415335957735</v>
      </c>
      <c r="V185" s="60">
        <f t="shared" si="49"/>
        <v>80.240227388911222</v>
      </c>
    </row>
    <row r="186" spans="3:22" x14ac:dyDescent="0.2">
      <c r="C186" s="88" t="s">
        <v>140</v>
      </c>
      <c r="D186" s="62">
        <f t="shared" ref="D186:V186" si="50">+IFERROR(IF(D147&gt;0,+((D147/D30)*100)," "),"")</f>
        <v>87.653503284194542</v>
      </c>
      <c r="E186" s="62">
        <f t="shared" si="50"/>
        <v>72.692358754539597</v>
      </c>
      <c r="F186" s="62">
        <f t="shared" si="50"/>
        <v>78.68177344338244</v>
      </c>
      <c r="G186" s="62">
        <f t="shared" si="50"/>
        <v>91.952881066242242</v>
      </c>
      <c r="H186" s="62">
        <f t="shared" si="50"/>
        <v>82.799339739617622</v>
      </c>
      <c r="I186" s="62">
        <f t="shared" si="50"/>
        <v>78.53764841810424</v>
      </c>
      <c r="J186" s="62">
        <f t="shared" si="50"/>
        <v>65.880951409331473</v>
      </c>
      <c r="K186" s="62">
        <f t="shared" si="50"/>
        <v>59.966327308925258</v>
      </c>
      <c r="L186" s="62">
        <f t="shared" si="50"/>
        <v>95.072893874669589</v>
      </c>
      <c r="M186" s="62">
        <f t="shared" si="50"/>
        <v>88.36883577250309</v>
      </c>
      <c r="N186" s="62">
        <f t="shared" si="50"/>
        <v>92.074278952005272</v>
      </c>
      <c r="O186" s="62">
        <f t="shared" si="50"/>
        <v>92.505470491344639</v>
      </c>
      <c r="P186" s="62">
        <f t="shared" si="50"/>
        <v>96.080005244919988</v>
      </c>
      <c r="Q186" s="62">
        <f t="shared" si="50"/>
        <v>92.848429722462214</v>
      </c>
      <c r="R186" s="62">
        <f t="shared" si="50"/>
        <v>95.099766809337666</v>
      </c>
      <c r="S186" s="62">
        <f t="shared" si="50"/>
        <v>95.738027678084507</v>
      </c>
      <c r="T186" s="62">
        <f t="shared" si="50"/>
        <v>90.380287338110705</v>
      </c>
      <c r="U186" s="62">
        <f t="shared" si="50"/>
        <v>91.080556173131228</v>
      </c>
      <c r="V186" s="62">
        <f t="shared" si="50"/>
        <v>92.640824398913651</v>
      </c>
    </row>
    <row r="187" spans="3:22" x14ac:dyDescent="0.2">
      <c r="C187" s="87" t="s">
        <v>141</v>
      </c>
      <c r="D187" s="60">
        <f t="shared" ref="D187:V187" si="51">+IFERROR(IF(D148&gt;0,+((D148/D31)*100)," "),"")</f>
        <v>93.656145316525937</v>
      </c>
      <c r="E187" s="60">
        <f t="shared" si="51"/>
        <v>90.525396664437608</v>
      </c>
      <c r="F187" s="60">
        <f t="shared" si="51"/>
        <v>89.392851366887456</v>
      </c>
      <c r="G187" s="60">
        <f t="shared" si="51"/>
        <v>89.448892513979658</v>
      </c>
      <c r="H187" s="60">
        <f t="shared" si="51"/>
        <v>81.350315117227296</v>
      </c>
      <c r="I187" s="60">
        <f t="shared" si="51"/>
        <v>87.521567735495736</v>
      </c>
      <c r="J187" s="60">
        <f t="shared" si="51"/>
        <v>90.323378125211633</v>
      </c>
      <c r="K187" s="60">
        <f t="shared" si="51"/>
        <v>91.628758158064926</v>
      </c>
      <c r="L187" s="60">
        <f t="shared" si="51"/>
        <v>90.621008894680983</v>
      </c>
      <c r="M187" s="60">
        <f t="shared" si="51"/>
        <v>89.662600359438088</v>
      </c>
      <c r="N187" s="60">
        <f t="shared" si="51"/>
        <v>86.377757818333848</v>
      </c>
      <c r="O187" s="60">
        <f t="shared" si="51"/>
        <v>88.465404609652509</v>
      </c>
      <c r="P187" s="60">
        <f t="shared" si="51"/>
        <v>87.345259018986184</v>
      </c>
      <c r="Q187" s="60">
        <f t="shared" si="51"/>
        <v>88.649002118671831</v>
      </c>
      <c r="R187" s="60">
        <f t="shared" si="51"/>
        <v>92.280095531948021</v>
      </c>
      <c r="S187" s="60">
        <f t="shared" si="51"/>
        <v>89.643050650828187</v>
      </c>
      <c r="T187" s="60">
        <f t="shared" si="51"/>
        <v>95.197779014253229</v>
      </c>
      <c r="U187" s="60">
        <f t="shared" si="51"/>
        <v>93.379081353556259</v>
      </c>
      <c r="V187" s="60">
        <f t="shared" si="51"/>
        <v>92.521816517418969</v>
      </c>
    </row>
    <row r="188" spans="3:22" x14ac:dyDescent="0.2">
      <c r="C188" s="88" t="s">
        <v>142</v>
      </c>
      <c r="D188" s="62">
        <f t="shared" ref="D188:V188" si="52">+IFERROR(IF(D149&gt;0,+((D149/D32)*100)," "),"")</f>
        <v>18.60766786433156</v>
      </c>
      <c r="E188" s="62">
        <f t="shared" si="52"/>
        <v>25.125717097212259</v>
      </c>
      <c r="F188" s="62">
        <f t="shared" si="52"/>
        <v>11.216880922684322</v>
      </c>
      <c r="G188" s="62">
        <f t="shared" si="52"/>
        <v>22.52260729387444</v>
      </c>
      <c r="H188" s="62">
        <f t="shared" si="52"/>
        <v>63.81000917699766</v>
      </c>
      <c r="I188" s="62">
        <f t="shared" si="52"/>
        <v>24.280648171375724</v>
      </c>
      <c r="J188" s="62">
        <f t="shared" si="52"/>
        <v>26.381859069171615</v>
      </c>
      <c r="K188" s="62">
        <f t="shared" si="52"/>
        <v>63.565250899215762</v>
      </c>
      <c r="L188" s="62">
        <f t="shared" si="52"/>
        <v>38.135891821396591</v>
      </c>
      <c r="M188" s="62">
        <f t="shared" si="52"/>
        <v>35.95113206131844</v>
      </c>
      <c r="N188" s="62">
        <f t="shared" si="52"/>
        <v>47.622527746129521</v>
      </c>
      <c r="O188" s="62">
        <f t="shared" si="52"/>
        <v>38.730131481344735</v>
      </c>
      <c r="P188" s="62">
        <f t="shared" si="52"/>
        <v>50.830616238990658</v>
      </c>
      <c r="Q188" s="62">
        <f t="shared" si="52"/>
        <v>57.391774085002197</v>
      </c>
      <c r="R188" s="62">
        <f t="shared" si="52"/>
        <v>84.857522970326826</v>
      </c>
      <c r="S188" s="62">
        <f t="shared" si="52"/>
        <v>92.875044128290739</v>
      </c>
      <c r="T188" s="62">
        <f t="shared" si="52"/>
        <v>82.494553504199288</v>
      </c>
      <c r="U188" s="62">
        <f t="shared" si="52"/>
        <v>97.550702960356432</v>
      </c>
      <c r="V188" s="62">
        <f t="shared" si="52"/>
        <v>65.694946242472284</v>
      </c>
    </row>
    <row r="189" spans="3:22" x14ac:dyDescent="0.2">
      <c r="C189" s="87" t="s">
        <v>143</v>
      </c>
      <c r="D189" s="60">
        <f t="shared" ref="D189:V189" si="53">+IFERROR(IF(D150&gt;0,+((D150/D33)*100)," "),"")</f>
        <v>96.550472644321644</v>
      </c>
      <c r="E189" s="60">
        <f t="shared" si="53"/>
        <v>62.315863014269546</v>
      </c>
      <c r="F189" s="60">
        <f t="shared" si="53"/>
        <v>50.901138385407961</v>
      </c>
      <c r="G189" s="60">
        <f t="shared" si="53"/>
        <v>61.39939632776882</v>
      </c>
      <c r="H189" s="60">
        <f t="shared" si="53"/>
        <v>79.008015783463236</v>
      </c>
      <c r="I189" s="60">
        <f t="shared" si="53"/>
        <v>84.943764988128493</v>
      </c>
      <c r="J189" s="60">
        <f t="shared" si="53"/>
        <v>89.720244063132739</v>
      </c>
      <c r="K189" s="60">
        <f t="shared" si="53"/>
        <v>97.087836903666329</v>
      </c>
      <c r="L189" s="60">
        <f t="shared" si="53"/>
        <v>87.739209455946877</v>
      </c>
      <c r="M189" s="60">
        <f t="shared" si="53"/>
        <v>88.605758634861786</v>
      </c>
      <c r="N189" s="60">
        <f t="shared" si="53"/>
        <v>83.452218961005059</v>
      </c>
      <c r="O189" s="60">
        <f t="shared" si="53"/>
        <v>86.596965604806954</v>
      </c>
      <c r="P189" s="60">
        <f t="shared" si="53"/>
        <v>94.574492965580987</v>
      </c>
      <c r="Q189" s="60">
        <f t="shared" si="53"/>
        <v>91.154184760910553</v>
      </c>
      <c r="R189" s="60">
        <f t="shared" si="53"/>
        <v>92.563777462151819</v>
      </c>
      <c r="S189" s="60">
        <f t="shared" si="53"/>
        <v>95.821392584172131</v>
      </c>
      <c r="T189" s="60">
        <f t="shared" si="53"/>
        <v>89.500082311051216</v>
      </c>
      <c r="U189" s="60">
        <f t="shared" si="53"/>
        <v>61.522012695405195</v>
      </c>
      <c r="V189" s="60">
        <f t="shared" si="53"/>
        <v>37.724889132609547</v>
      </c>
    </row>
    <row r="190" spans="3:22" x14ac:dyDescent="0.2">
      <c r="C190" s="88" t="s">
        <v>144</v>
      </c>
      <c r="D190" s="62">
        <f t="shared" ref="D190:V190" si="54">+IFERROR(IF(D151&gt;0,+((D151/D34)*100)," "),"")</f>
        <v>98.025718527667763</v>
      </c>
      <c r="E190" s="62">
        <f t="shared" si="54"/>
        <v>95.825753907381113</v>
      </c>
      <c r="F190" s="62">
        <f t="shared" si="54"/>
        <v>91.764140355033419</v>
      </c>
      <c r="G190" s="62">
        <f t="shared" si="54"/>
        <v>95.666641163029581</v>
      </c>
      <c r="H190" s="62">
        <f t="shared" si="54"/>
        <v>83.284614400000791</v>
      </c>
      <c r="I190" s="62">
        <f t="shared" si="54"/>
        <v>94.678574173464042</v>
      </c>
      <c r="J190" s="62">
        <f t="shared" si="54"/>
        <v>93.777881908613438</v>
      </c>
      <c r="K190" s="62">
        <f t="shared" si="54"/>
        <v>96.681375498893843</v>
      </c>
      <c r="L190" s="62">
        <f t="shared" si="54"/>
        <v>96.176902712869961</v>
      </c>
      <c r="M190" s="62">
        <f t="shared" si="54"/>
        <v>96.087399261362606</v>
      </c>
      <c r="N190" s="62">
        <f t="shared" si="54"/>
        <v>92.124599895425035</v>
      </c>
      <c r="O190" s="62">
        <f t="shared" si="54"/>
        <v>87.476959795009577</v>
      </c>
      <c r="P190" s="62">
        <f t="shared" si="54"/>
        <v>91.718179377066804</v>
      </c>
      <c r="Q190" s="62">
        <f t="shared" si="54"/>
        <v>94.091316772484433</v>
      </c>
      <c r="R190" s="62">
        <f t="shared" si="54"/>
        <v>97.057572571417523</v>
      </c>
      <c r="S190" s="62">
        <f t="shared" si="54"/>
        <v>96.139369704848221</v>
      </c>
      <c r="T190" s="62">
        <f t="shared" si="54"/>
        <v>96.968895740616929</v>
      </c>
      <c r="U190" s="62">
        <f t="shared" si="54"/>
        <v>96.747309947691491</v>
      </c>
      <c r="V190" s="62">
        <f t="shared" si="54"/>
        <v>96.891308944058949</v>
      </c>
    </row>
    <row r="191" spans="3:22" x14ac:dyDescent="0.2">
      <c r="C191" s="87" t="s">
        <v>145</v>
      </c>
      <c r="D191" s="60">
        <f t="shared" ref="D191:V191" si="55">+IFERROR(IF(D152&gt;0,+((D152/D35)*100)," "),"")</f>
        <v>85.563738231138629</v>
      </c>
      <c r="E191" s="60">
        <f t="shared" si="55"/>
        <v>70.466687239107898</v>
      </c>
      <c r="F191" s="60">
        <f t="shared" si="55"/>
        <v>71.893033505299158</v>
      </c>
      <c r="G191" s="60">
        <f t="shared" si="55"/>
        <v>72.113102965383462</v>
      </c>
      <c r="H191" s="60">
        <f t="shared" si="55"/>
        <v>90.205151204216705</v>
      </c>
      <c r="I191" s="60">
        <f t="shared" si="55"/>
        <v>94.91789764050732</v>
      </c>
      <c r="J191" s="60">
        <f t="shared" si="55"/>
        <v>88.021295394806316</v>
      </c>
      <c r="K191" s="60">
        <f t="shared" si="55"/>
        <v>74.324566923039455</v>
      </c>
      <c r="L191" s="60">
        <f t="shared" si="55"/>
        <v>93.722754045068029</v>
      </c>
      <c r="M191" s="60">
        <f t="shared" si="55"/>
        <v>91.76201246681174</v>
      </c>
      <c r="N191" s="60">
        <f t="shared" si="55"/>
        <v>94.654288515189791</v>
      </c>
      <c r="O191" s="60">
        <f t="shared" si="55"/>
        <v>88.849396883272377</v>
      </c>
      <c r="P191" s="60">
        <f t="shared" si="55"/>
        <v>89.788379202717039</v>
      </c>
      <c r="Q191" s="60">
        <f t="shared" si="55"/>
        <v>87.594725048859246</v>
      </c>
      <c r="R191" s="60">
        <f t="shared" si="55"/>
        <v>93.621356819732512</v>
      </c>
      <c r="S191" s="60">
        <f t="shared" si="55"/>
        <v>91.691236319579943</v>
      </c>
      <c r="T191" s="60">
        <f t="shared" si="55"/>
        <v>94.059013808151349</v>
      </c>
      <c r="U191" s="60">
        <f t="shared" si="55"/>
        <v>94.551240982905824</v>
      </c>
      <c r="V191" s="60">
        <f t="shared" si="55"/>
        <v>96.473384602795633</v>
      </c>
    </row>
    <row r="192" spans="3:22" x14ac:dyDescent="0.2">
      <c r="C192" s="88" t="s">
        <v>146</v>
      </c>
      <c r="D192" s="62">
        <f t="shared" ref="D192:V192" si="56">+IFERROR(IF(D153&gt;0,+((D153/D36)*100)," "),"")</f>
        <v>92.430298486309567</v>
      </c>
      <c r="E192" s="62">
        <f t="shared" si="56"/>
        <v>93.68289348172263</v>
      </c>
      <c r="F192" s="62">
        <f t="shared" si="56"/>
        <v>92.61043827030646</v>
      </c>
      <c r="G192" s="62">
        <f t="shared" si="56"/>
        <v>97.715805492638154</v>
      </c>
      <c r="H192" s="62">
        <f t="shared" si="56"/>
        <v>90.67833483794972</v>
      </c>
      <c r="I192" s="62">
        <f t="shared" si="56"/>
        <v>86.113594615415991</v>
      </c>
      <c r="J192" s="62">
        <f t="shared" si="56"/>
        <v>90.136135272427325</v>
      </c>
      <c r="K192" s="62">
        <f t="shared" si="56"/>
        <v>84.198223552815506</v>
      </c>
      <c r="L192" s="62">
        <f t="shared" si="56"/>
        <v>90.389003853067621</v>
      </c>
      <c r="M192" s="62">
        <f t="shared" si="56"/>
        <v>92.812672894450685</v>
      </c>
      <c r="N192" s="62">
        <f t="shared" si="56"/>
        <v>83.09117798639322</v>
      </c>
      <c r="O192" s="62">
        <f t="shared" si="56"/>
        <v>96.336382172783502</v>
      </c>
      <c r="P192" s="62">
        <f t="shared" si="56"/>
        <v>95.629010896991005</v>
      </c>
      <c r="Q192" s="62">
        <f t="shared" si="56"/>
        <v>98.7167707238725</v>
      </c>
      <c r="R192" s="62">
        <f t="shared" si="56"/>
        <v>97.897783172570954</v>
      </c>
      <c r="S192" s="62">
        <f t="shared" si="56"/>
        <v>98.654392740308978</v>
      </c>
      <c r="T192" s="62">
        <f t="shared" si="56"/>
        <v>97.460693147354519</v>
      </c>
      <c r="U192" s="62">
        <f t="shared" si="56"/>
        <v>96.315052563920275</v>
      </c>
      <c r="V192" s="62">
        <f t="shared" si="56"/>
        <v>92.878367898442065</v>
      </c>
    </row>
    <row r="193" spans="3:22" x14ac:dyDescent="0.2">
      <c r="C193" s="90" t="s">
        <v>147</v>
      </c>
      <c r="D193" s="61">
        <f t="shared" ref="D193:V193" si="57">+IFERROR(IF(D154&gt;0,+((D154/D37)*100)," "),"")</f>
        <v>91.112118959459451</v>
      </c>
      <c r="E193" s="61">
        <f t="shared" si="57"/>
        <v>93.598130172593628</v>
      </c>
      <c r="F193" s="61">
        <f t="shared" si="57"/>
        <v>94.038993649647409</v>
      </c>
      <c r="G193" s="61">
        <f t="shared" si="57"/>
        <v>92.91464322610922</v>
      </c>
      <c r="H193" s="61">
        <f t="shared" si="57"/>
        <v>89.42818200391244</v>
      </c>
      <c r="I193" s="61">
        <f t="shared" si="57"/>
        <v>92.069317334903374</v>
      </c>
      <c r="J193" s="61">
        <f t="shared" si="57"/>
        <v>91.790588403286449</v>
      </c>
      <c r="K193" s="61">
        <f t="shared" si="57"/>
        <v>93.315389767324604</v>
      </c>
      <c r="L193" s="61">
        <f t="shared" si="57"/>
        <v>97.623662182105321</v>
      </c>
      <c r="M193" s="61">
        <f t="shared" si="57"/>
        <v>94.48826329676551</v>
      </c>
      <c r="N193" s="61">
        <f t="shared" si="57"/>
        <v>86.40218307368643</v>
      </c>
      <c r="O193" s="61">
        <f t="shared" si="57"/>
        <v>97.99353599558664</v>
      </c>
      <c r="P193" s="61">
        <f t="shared" si="57"/>
        <v>97.023724665512162</v>
      </c>
      <c r="Q193" s="61">
        <f t="shared" si="57"/>
        <v>98.204926115311835</v>
      </c>
      <c r="R193" s="61">
        <f t="shared" si="57"/>
        <v>94.492070310870702</v>
      </c>
      <c r="S193" s="61">
        <f t="shared" si="57"/>
        <v>89.035079924852582</v>
      </c>
      <c r="T193" s="61">
        <f t="shared" si="57"/>
        <v>90.671050043023783</v>
      </c>
      <c r="U193" s="61">
        <f t="shared" si="57"/>
        <v>92.679874312873224</v>
      </c>
      <c r="V193" s="61">
        <f t="shared" si="57"/>
        <v>90.915024551189461</v>
      </c>
    </row>
    <row r="194" spans="3:22" ht="22.5" customHeight="1" x14ac:dyDescent="0.2">
      <c r="C194" s="89" t="s">
        <v>148</v>
      </c>
      <c r="D194" s="63" t="str">
        <f t="shared" ref="D194:V194" si="58">+IFERROR(IF(D155&gt;0,+((D155/D38)*100)," "),"")</f>
        <v xml:space="preserve"> </v>
      </c>
      <c r="E194" s="63" t="str">
        <f t="shared" si="58"/>
        <v xml:space="preserve"> </v>
      </c>
      <c r="F194" s="63" t="str">
        <f t="shared" si="58"/>
        <v xml:space="preserve"> </v>
      </c>
      <c r="G194" s="63" t="str">
        <f t="shared" si="58"/>
        <v xml:space="preserve"> </v>
      </c>
      <c r="H194" s="63" t="str">
        <f t="shared" si="58"/>
        <v xml:space="preserve"> </v>
      </c>
      <c r="I194" s="63" t="str">
        <f t="shared" si="58"/>
        <v xml:space="preserve"> </v>
      </c>
      <c r="J194" s="63" t="str">
        <f t="shared" si="58"/>
        <v xml:space="preserve"> </v>
      </c>
      <c r="K194" s="63" t="str">
        <f t="shared" si="58"/>
        <v xml:space="preserve"> </v>
      </c>
      <c r="L194" s="63" t="str">
        <f t="shared" si="58"/>
        <v xml:space="preserve"> </v>
      </c>
      <c r="M194" s="63" t="str">
        <f t="shared" si="58"/>
        <v xml:space="preserve"> </v>
      </c>
      <c r="N194" s="63" t="str">
        <f t="shared" si="58"/>
        <v xml:space="preserve"> </v>
      </c>
      <c r="O194" s="63" t="str">
        <f t="shared" si="58"/>
        <v xml:space="preserve"> </v>
      </c>
      <c r="P194" s="63" t="str">
        <f t="shared" si="58"/>
        <v xml:space="preserve"> </v>
      </c>
      <c r="Q194" s="63" t="str">
        <f t="shared" si="58"/>
        <v xml:space="preserve"> </v>
      </c>
      <c r="R194" s="63" t="str">
        <f t="shared" si="58"/>
        <v xml:space="preserve"> </v>
      </c>
      <c r="S194" s="63" t="str">
        <f t="shared" si="58"/>
        <v xml:space="preserve"> </v>
      </c>
      <c r="T194" s="63" t="str">
        <f t="shared" si="58"/>
        <v xml:space="preserve"> </v>
      </c>
      <c r="U194" s="63">
        <f t="shared" si="58"/>
        <v>59.926249401054143</v>
      </c>
      <c r="V194" s="63">
        <f t="shared" si="58"/>
        <v>74.919441741777504</v>
      </c>
    </row>
    <row r="195" spans="3:22" x14ac:dyDescent="0.2">
      <c r="C195" s="87" t="s">
        <v>149</v>
      </c>
      <c r="D195" s="60">
        <f t="shared" ref="D195:V195" si="59">+IFERROR(IF(D156&gt;0,+((D156/D39)*100)," "),"")</f>
        <v>75.937547137563129</v>
      </c>
      <c r="E195" s="60">
        <f t="shared" si="59"/>
        <v>81.508286208827883</v>
      </c>
      <c r="F195" s="60">
        <f t="shared" si="59"/>
        <v>80.981411366288285</v>
      </c>
      <c r="G195" s="60">
        <f t="shared" si="59"/>
        <v>89.390906218364435</v>
      </c>
      <c r="H195" s="60">
        <f t="shared" si="59"/>
        <v>87.807982360166065</v>
      </c>
      <c r="I195" s="60">
        <f t="shared" si="59"/>
        <v>81.532423878248366</v>
      </c>
      <c r="J195" s="60">
        <f t="shared" si="59"/>
        <v>66.738350391121543</v>
      </c>
      <c r="K195" s="60">
        <f t="shared" si="59"/>
        <v>94.443048522047107</v>
      </c>
      <c r="L195" s="60">
        <f t="shared" si="59"/>
        <v>92.220717834837458</v>
      </c>
      <c r="M195" s="60">
        <f t="shared" si="59"/>
        <v>30.546484108868473</v>
      </c>
      <c r="N195" s="60">
        <f t="shared" si="59"/>
        <v>79.026423214518516</v>
      </c>
      <c r="O195" s="60">
        <f t="shared" si="59"/>
        <v>85.284439031453019</v>
      </c>
      <c r="P195" s="60">
        <f t="shared" si="59"/>
        <v>75.682517068611205</v>
      </c>
      <c r="Q195" s="60">
        <f t="shared" si="59"/>
        <v>54.769499154309962</v>
      </c>
      <c r="R195" s="60">
        <f t="shared" si="59"/>
        <v>53.250741071522157</v>
      </c>
      <c r="S195" s="60">
        <f t="shared" si="59"/>
        <v>84.001584706319292</v>
      </c>
      <c r="T195" s="60">
        <f t="shared" si="59"/>
        <v>94.49114695072015</v>
      </c>
      <c r="U195" s="60">
        <f t="shared" si="59"/>
        <v>95.566308786491788</v>
      </c>
      <c r="V195" s="60">
        <f t="shared" si="59"/>
        <v>91.20055824852227</v>
      </c>
    </row>
    <row r="196" spans="3:22" x14ac:dyDescent="0.2">
      <c r="C196" s="88" t="s">
        <v>150</v>
      </c>
      <c r="D196" s="62">
        <f t="shared" ref="D196:V196" si="60">+IFERROR(IF(D157&gt;0,+((D157/D40)*100)," "),"")</f>
        <v>69.552506354167036</v>
      </c>
      <c r="E196" s="62">
        <f t="shared" si="60"/>
        <v>71.350115321724317</v>
      </c>
      <c r="F196" s="62">
        <f t="shared" si="60"/>
        <v>48.031462519904203</v>
      </c>
      <c r="G196" s="62">
        <f t="shared" si="60"/>
        <v>77.126559628082333</v>
      </c>
      <c r="H196" s="62">
        <f t="shared" si="60"/>
        <v>72.2097274252896</v>
      </c>
      <c r="I196" s="62">
        <f t="shared" si="60"/>
        <v>75.04966773609398</v>
      </c>
      <c r="J196" s="62">
        <f t="shared" si="60"/>
        <v>56.359006946286328</v>
      </c>
      <c r="K196" s="62">
        <f t="shared" si="60"/>
        <v>86.763324718845311</v>
      </c>
      <c r="L196" s="62">
        <f t="shared" si="60"/>
        <v>87.267944990876444</v>
      </c>
      <c r="M196" s="62">
        <f t="shared" si="60"/>
        <v>90.72047515163068</v>
      </c>
      <c r="N196" s="62">
        <f t="shared" si="60"/>
        <v>80.272979396009418</v>
      </c>
      <c r="O196" s="62">
        <f t="shared" si="60"/>
        <v>84.692220598661095</v>
      </c>
      <c r="P196" s="62">
        <f t="shared" si="60"/>
        <v>87.80005969513806</v>
      </c>
      <c r="Q196" s="62">
        <f t="shared" si="60"/>
        <v>92.979135439032419</v>
      </c>
      <c r="R196" s="62">
        <f t="shared" si="60"/>
        <v>90.5916084899455</v>
      </c>
      <c r="S196" s="62">
        <f t="shared" si="60"/>
        <v>85.249187032247249</v>
      </c>
      <c r="T196" s="62">
        <f t="shared" si="60"/>
        <v>89.880964077027144</v>
      </c>
      <c r="U196" s="62">
        <f t="shared" si="60"/>
        <v>76.534530516013007</v>
      </c>
      <c r="V196" s="62">
        <f t="shared" si="60"/>
        <v>70.772137951118481</v>
      </c>
    </row>
    <row r="197" spans="3:22" x14ac:dyDescent="0.2">
      <c r="C197" s="87" t="s">
        <v>151</v>
      </c>
      <c r="D197" s="60">
        <f t="shared" ref="D197:V197" si="61">+IFERROR(IF(D158&gt;0,+((D158/D41)*100)," "),"")</f>
        <v>70.509833947678658</v>
      </c>
      <c r="E197" s="60">
        <f t="shared" si="61"/>
        <v>23.248464170538767</v>
      </c>
      <c r="F197" s="60">
        <f t="shared" si="61"/>
        <v>46.999488501571022</v>
      </c>
      <c r="G197" s="60">
        <f t="shared" si="61"/>
        <v>25.202375894993718</v>
      </c>
      <c r="H197" s="60">
        <f t="shared" si="61"/>
        <v>8.8293362814151344</v>
      </c>
      <c r="I197" s="60">
        <f t="shared" si="61"/>
        <v>26.458493170290019</v>
      </c>
      <c r="J197" s="60">
        <f t="shared" si="61"/>
        <v>64.749523507059905</v>
      </c>
      <c r="K197" s="60">
        <f t="shared" si="61"/>
        <v>88.013066362971799</v>
      </c>
      <c r="L197" s="60">
        <f t="shared" si="61"/>
        <v>89.672546597489671</v>
      </c>
      <c r="M197" s="60">
        <f t="shared" si="61"/>
        <v>91.022979083180445</v>
      </c>
      <c r="N197" s="60">
        <f t="shared" si="61"/>
        <v>49.599082421096377</v>
      </c>
      <c r="O197" s="60">
        <f t="shared" si="61"/>
        <v>83.806185524648654</v>
      </c>
      <c r="P197" s="60">
        <f t="shared" si="61"/>
        <v>97.777633048254188</v>
      </c>
      <c r="Q197" s="60">
        <f t="shared" si="61"/>
        <v>96.706824110033068</v>
      </c>
      <c r="R197" s="60">
        <f t="shared" si="61"/>
        <v>98.638701165579391</v>
      </c>
      <c r="S197" s="60">
        <f t="shared" si="61"/>
        <v>97.854117710304308</v>
      </c>
      <c r="T197" s="60">
        <f t="shared" si="61"/>
        <v>97.840910081699562</v>
      </c>
      <c r="U197" s="60">
        <f t="shared" si="61"/>
        <v>98.017554742959149</v>
      </c>
      <c r="V197" s="60">
        <f t="shared" si="61"/>
        <v>60.639076562993743</v>
      </c>
    </row>
    <row r="198" spans="3:22" x14ac:dyDescent="0.2">
      <c r="C198" s="91" t="s">
        <v>154</v>
      </c>
      <c r="D198" s="64">
        <f t="shared" ref="D198:V198" si="62">+IFERROR(IF(D159&gt;0,+((D159/D42)*100)," "),"")</f>
        <v>90.087605614688428</v>
      </c>
      <c r="E198" s="64">
        <f t="shared" si="62"/>
        <v>87.278019474964836</v>
      </c>
      <c r="F198" s="64">
        <f t="shared" si="62"/>
        <v>85.727174397628715</v>
      </c>
      <c r="G198" s="64">
        <f t="shared" si="62"/>
        <v>89.095646256275842</v>
      </c>
      <c r="H198" s="64">
        <f t="shared" si="62"/>
        <v>88.254710129065785</v>
      </c>
      <c r="I198" s="64">
        <f t="shared" si="62"/>
        <v>89.822183744321535</v>
      </c>
      <c r="J198" s="64">
        <f t="shared" si="62"/>
        <v>89.13354296794661</v>
      </c>
      <c r="K198" s="64">
        <f t="shared" si="62"/>
        <v>91.648776008127868</v>
      </c>
      <c r="L198" s="64">
        <f t="shared" si="62"/>
        <v>94.239856813990002</v>
      </c>
      <c r="M198" s="64">
        <f t="shared" si="62"/>
        <v>91.630436606948422</v>
      </c>
      <c r="N198" s="64">
        <f t="shared" si="62"/>
        <v>89.004624306792351</v>
      </c>
      <c r="O198" s="64">
        <f t="shared" si="62"/>
        <v>95.193858889621353</v>
      </c>
      <c r="P198" s="64">
        <f t="shared" si="62"/>
        <v>94.488921667495319</v>
      </c>
      <c r="Q198" s="64">
        <f t="shared" si="62"/>
        <v>94.800761663364298</v>
      </c>
      <c r="R198" s="64">
        <f t="shared" si="62"/>
        <v>92.338014331332843</v>
      </c>
      <c r="S198" s="64">
        <f t="shared" si="62"/>
        <v>93.013649208874895</v>
      </c>
      <c r="T198" s="64">
        <f t="shared" si="62"/>
        <v>92.912758668874815</v>
      </c>
      <c r="U198" s="64">
        <f t="shared" si="62"/>
        <v>94.519136502205697</v>
      </c>
      <c r="V198" s="64">
        <f t="shared" si="62"/>
        <v>90.87215693141934</v>
      </c>
    </row>
    <row r="199" spans="3:22" x14ac:dyDescent="0.2">
      <c r="C199" s="1" t="s">
        <v>52</v>
      </c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</row>
    <row r="203" spans="3:22" ht="18" customHeight="1" x14ac:dyDescent="0.2">
      <c r="D203" s="182" t="s">
        <v>169</v>
      </c>
      <c r="E203" s="158"/>
      <c r="F203" s="158"/>
      <c r="G203" s="158"/>
      <c r="H203" s="158"/>
      <c r="I203" s="158"/>
      <c r="J203" s="158"/>
      <c r="K203" s="158"/>
      <c r="L203" s="158"/>
      <c r="M203" s="158"/>
      <c r="N203" s="158"/>
      <c r="O203" s="158"/>
      <c r="P203" s="158"/>
      <c r="Q203" s="158"/>
      <c r="R203" s="158"/>
      <c r="S203" s="158"/>
      <c r="T203" s="158"/>
      <c r="U203" s="158"/>
      <c r="V203" s="158"/>
    </row>
    <row r="204" spans="3:22" ht="15.75" customHeight="1" x14ac:dyDescent="0.2"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</row>
    <row r="205" spans="3:22" x14ac:dyDescent="0.2">
      <c r="C205" s="177" t="s">
        <v>120</v>
      </c>
      <c r="D205" s="180">
        <v>2000</v>
      </c>
      <c r="E205" s="153">
        <v>2001</v>
      </c>
      <c r="F205" s="153">
        <v>2002</v>
      </c>
      <c r="G205" s="153">
        <v>2003</v>
      </c>
      <c r="H205" s="153">
        <v>2004</v>
      </c>
      <c r="I205" s="153">
        <v>2005</v>
      </c>
      <c r="J205" s="153">
        <v>2006</v>
      </c>
      <c r="K205" s="153">
        <v>2007</v>
      </c>
      <c r="L205" s="153">
        <v>2008</v>
      </c>
      <c r="M205" s="153">
        <v>2009</v>
      </c>
      <c r="N205" s="153">
        <v>2010</v>
      </c>
      <c r="O205" s="153">
        <v>2011</v>
      </c>
      <c r="P205" s="153">
        <v>2012</v>
      </c>
      <c r="Q205" s="153">
        <v>2013</v>
      </c>
      <c r="R205" s="153">
        <v>2014</v>
      </c>
      <c r="S205" s="153">
        <v>2015</v>
      </c>
      <c r="T205" s="153">
        <v>2016</v>
      </c>
      <c r="U205" s="153">
        <v>2017</v>
      </c>
      <c r="V205" s="153">
        <v>2018</v>
      </c>
    </row>
    <row r="206" spans="3:22" ht="12" customHeight="1" thickBot="1" x14ac:dyDescent="0.25">
      <c r="C206" s="156"/>
      <c r="D206" s="181"/>
      <c r="E206" s="154"/>
      <c r="F206" s="154"/>
      <c r="G206" s="154"/>
      <c r="H206" s="154"/>
      <c r="I206" s="154"/>
      <c r="J206" s="154"/>
      <c r="K206" s="154"/>
      <c r="L206" s="154"/>
      <c r="M206" s="154"/>
      <c r="N206" s="154"/>
      <c r="O206" s="154"/>
      <c r="P206" s="154"/>
      <c r="Q206" s="154"/>
      <c r="R206" s="154"/>
      <c r="S206" s="154"/>
      <c r="T206" s="154"/>
      <c r="U206" s="154"/>
      <c r="V206" s="154"/>
    </row>
    <row r="207" spans="3:22" x14ac:dyDescent="0.2">
      <c r="C207" s="87" t="s">
        <v>123</v>
      </c>
      <c r="D207" s="56">
        <f>275.987901255879*Deflactores!$A$5</f>
        <v>1001.9903942713192</v>
      </c>
      <c r="E207" s="56">
        <f>441.669339132159*Deflactores!$B$5</f>
        <v>1489.5791120289375</v>
      </c>
      <c r="F207" s="56">
        <f>414.12815016537*Deflactores!$C$5</f>
        <v>1305.4204646446349</v>
      </c>
      <c r="G207" s="56">
        <f>334.78241763442*Deflactores!$D$5</f>
        <v>990.97779839480518</v>
      </c>
      <c r="H207" s="56">
        <f>396.96979182841*Deflactores!$E$5</f>
        <v>1113.8294686947972</v>
      </c>
      <c r="I207" s="56">
        <f>463.08590328107*Deflactores!$F$5</f>
        <v>1239.1759485668335</v>
      </c>
      <c r="J207" s="56">
        <f>758.81117368653*Deflactores!$G$5</f>
        <v>1943.4818817256269</v>
      </c>
      <c r="K207" s="56">
        <f>1206.97906562796*Deflactores!$H$5</f>
        <v>2924.7872924894264</v>
      </c>
      <c r="L207" s="56">
        <f>1670.72112938623*Deflactores!$I$5</f>
        <v>3759.9854965663562</v>
      </c>
      <c r="M207" s="56">
        <f>1203.20797437393*Deflactores!$J$5</f>
        <v>2654.6974730226648</v>
      </c>
      <c r="N207" s="56">
        <f>1245.87373289658*Deflactores!$K$5</f>
        <v>2664.3408835787973</v>
      </c>
      <c r="O207" s="56">
        <f>1311.56400002329*Deflactores!$L$5</f>
        <v>2704.0501862898432</v>
      </c>
      <c r="P207" s="56">
        <f>1359.88939279866*Deflactores!$M$5</f>
        <v>2736.9021868535729</v>
      </c>
      <c r="Q207" s="56">
        <f>2489.406743703*Deflactores!$N$5</f>
        <v>4914.812144780507</v>
      </c>
      <c r="R207" s="56">
        <f>1900.92607639883*Deflactores!$O$5</f>
        <v>3620.4710975230155</v>
      </c>
      <c r="S207" s="56">
        <f>2194.39772330095*Deflactores!$P$5</f>
        <v>3914.4068059386632</v>
      </c>
      <c r="T207" s="56">
        <f>1264.90820507494*Deflactores!$Q$5</f>
        <v>2133.6798090390571</v>
      </c>
      <c r="U207" s="56">
        <f>1678.40594994793*Deflactores!$R$5</f>
        <v>2719.9332096624594</v>
      </c>
      <c r="V207" s="56">
        <f>1410.29569829354*Deflactores!$S$5</f>
        <v>2215.0109980538559</v>
      </c>
    </row>
    <row r="208" spans="3:22" x14ac:dyDescent="0.2">
      <c r="C208" s="88" t="s">
        <v>124</v>
      </c>
      <c r="D208" s="57">
        <f>87.2162902282*Deflactores!$A$5</f>
        <v>316.64389864544603</v>
      </c>
      <c r="E208" s="57">
        <f>116.11631413385*Deflactores!$B$5</f>
        <v>391.61522155790391</v>
      </c>
      <c r="F208" s="57">
        <f>115.42349030326*Deflactores!$C$5</f>
        <v>363.83951750785121</v>
      </c>
      <c r="G208" s="57">
        <f>129.75048422883*Deflactores!$D$5</f>
        <v>384.06989862339219</v>
      </c>
      <c r="H208" s="57">
        <f>131.86722541421*Deflactores!$E$5</f>
        <v>369.9969233045681</v>
      </c>
      <c r="I208" s="57">
        <f>158.97679503558*Deflactores!$F$5</f>
        <v>425.40750947618596</v>
      </c>
      <c r="J208" s="57">
        <f>195.819616325419*Deflactores!$G$5</f>
        <v>501.53699577983861</v>
      </c>
      <c r="K208" s="57">
        <f>411.25945887125*Deflactores!$H$5</f>
        <v>996.57605792599225</v>
      </c>
      <c r="L208" s="57">
        <f>1158.35855455749*Deflactores!$I$5</f>
        <v>2606.9050593498932</v>
      </c>
      <c r="M208" s="57">
        <f>1348.97456283595*Deflactores!$J$5</f>
        <v>2976.309532020704</v>
      </c>
      <c r="N208" s="57">
        <f>1586.124757545*Deflactores!$K$5</f>
        <v>3391.9785981509654</v>
      </c>
      <c r="O208" s="57">
        <f>1300.95836832101*Deflactores!$L$5</f>
        <v>2682.1845660229237</v>
      </c>
      <c r="P208" s="57">
        <f>281.044114761651*Deflactores!$M$5</f>
        <v>565.62706964754773</v>
      </c>
      <c r="Q208" s="57">
        <f>330.697611643999*Deflactores!$N$5</f>
        <v>652.89316101882594</v>
      </c>
      <c r="R208" s="57">
        <f>369.420612531041*Deflactores!$O$5</f>
        <v>703.59214232656404</v>
      </c>
      <c r="S208" s="57">
        <f>405.744426593076*Deflactores!$P$5</f>
        <v>723.77433136344769</v>
      </c>
      <c r="T208" s="57">
        <f>390.989203383527*Deflactores!$Q$5</f>
        <v>659.53068014312692</v>
      </c>
      <c r="U208" s="57">
        <f>423.37593084781*Deflactores!$R$5</f>
        <v>686.09995961968593</v>
      </c>
      <c r="V208" s="57">
        <f>434.499677438149*Deflactores!$S$5</f>
        <v>682.42537032544624</v>
      </c>
    </row>
    <row r="209" spans="3:22" x14ac:dyDescent="0.2">
      <c r="C209" s="87" t="s">
        <v>125</v>
      </c>
      <c r="D209" s="56">
        <f>26.8834639093999*Deflactores!$A$5</f>
        <v>97.602005303066093</v>
      </c>
      <c r="E209" s="56">
        <f>36.73429106495*Deflactores!$B$5</f>
        <v>123.89049412634802</v>
      </c>
      <c r="F209" s="56">
        <f>21.14463452346*Deflactores!$C$5</f>
        <v>66.652408471469116</v>
      </c>
      <c r="G209" s="56">
        <f>14.32293153221*Deflactores!$D$5</f>
        <v>42.396811805835107</v>
      </c>
      <c r="H209" s="56">
        <f>39.00130637267*Deflactores!$E$5</f>
        <v>109.43100772325593</v>
      </c>
      <c r="I209" s="56">
        <f>31.6833689300399*Deflactores!$F$5</f>
        <v>84.781826588760367</v>
      </c>
      <c r="J209" s="56">
        <f>42.7822032775999*Deflactores!$G$5</f>
        <v>109.57460803636832</v>
      </c>
      <c r="K209" s="56">
        <f>60.0597806229799*Deflactores!$H$5</f>
        <v>145.53863290445875</v>
      </c>
      <c r="L209" s="56">
        <f>88.73478132093*Deflactores!$I$5</f>
        <v>199.69909097292219</v>
      </c>
      <c r="M209" s="56">
        <f>74.2152093214499*Deflactores!$J$5</f>
        <v>163.74469987037514</v>
      </c>
      <c r="N209" s="56">
        <f>220.57057114527*Deflactores!$K$5</f>
        <v>471.69723134812386</v>
      </c>
      <c r="O209" s="56">
        <f>234.31040817924*Deflactores!$L$5</f>
        <v>483.07753405512221</v>
      </c>
      <c r="P209" s="56">
        <f>314.32878550468*Deflactores!$M$5</f>
        <v>632.61552372896347</v>
      </c>
      <c r="Q209" s="56">
        <f>371.50547393151*Deflactores!$N$5</f>
        <v>733.45973684277169</v>
      </c>
      <c r="R209" s="56">
        <f>300.10470642536*Deflactores!$O$5</f>
        <v>571.57426021635808</v>
      </c>
      <c r="S209" s="56">
        <f>178.15722769886*Deflactores!$P$5</f>
        <v>317.80012220507564</v>
      </c>
      <c r="T209" s="56">
        <f>243.68148692774*Deflactores!$Q$5</f>
        <v>411.04822184589261</v>
      </c>
      <c r="U209" s="56">
        <f>335.84673051296*Deflactores!$R$5</f>
        <v>544.25490788274294</v>
      </c>
      <c r="V209" s="56">
        <f>207.61466380429*Deflactores!$S$5</f>
        <v>326.07967551783503</v>
      </c>
    </row>
    <row r="210" spans="3:22" x14ac:dyDescent="0.2">
      <c r="C210" s="88" t="s">
        <v>126</v>
      </c>
      <c r="D210" s="57">
        <f>100.66916970502*Deflactores!$A$5</f>
        <v>365.48537303517264</v>
      </c>
      <c r="E210" s="57">
        <f>149.57520751286*Deflactores!$B$5</f>
        <v>504.45907163567284</v>
      </c>
      <c r="F210" s="57">
        <f>127.619718133789*Deflactores!$C$5</f>
        <v>402.28463502783467</v>
      </c>
      <c r="G210" s="57">
        <f>123.433218444029*Deflactores!$D$5</f>
        <v>365.37037974324267</v>
      </c>
      <c r="H210" s="57">
        <f>117.24278211482*Deflactores!$E$5</f>
        <v>328.96323196223614</v>
      </c>
      <c r="I210" s="57">
        <f>134.18517826077*Deflactores!$F$5</f>
        <v>359.06738766344228</v>
      </c>
      <c r="J210" s="57">
        <f>178.34873249479*Deflactores!$G$5</f>
        <v>456.79022957501275</v>
      </c>
      <c r="K210" s="57">
        <f>236.658148578809*Deflactores!$H$5</f>
        <v>573.47700994901231</v>
      </c>
      <c r="L210" s="57">
        <f>197.382017924739*Deflactores!$I$5</f>
        <v>444.21149144900255</v>
      </c>
      <c r="M210" s="57">
        <f>287.160480224309*Deflactores!$J$5</f>
        <v>633.57642023617018</v>
      </c>
      <c r="N210" s="57">
        <f>259.962238066699*Deflactores!$K$5</f>
        <v>555.93757278872306</v>
      </c>
      <c r="O210" s="57">
        <f>418.74282959288*Deflactores!$L$5</f>
        <v>863.32167271140145</v>
      </c>
      <c r="P210" s="57">
        <f>570.72196151672*Deflactores!$M$5</f>
        <v>1148.6303171656084</v>
      </c>
      <c r="Q210" s="57">
        <f>609.599190113289*Deflactores!$N$5</f>
        <v>1203.5259045536679</v>
      </c>
      <c r="R210" s="57">
        <f>495.695929657887*Deflactores!$O$5</f>
        <v>944.09393861650028</v>
      </c>
      <c r="S210" s="57">
        <f>471.347333885489*Deflactores!$P$5</f>
        <v>840.79799761502181</v>
      </c>
      <c r="T210" s="57">
        <f>431.84167367725*Deflactores!$Q$5</f>
        <v>728.44168148327594</v>
      </c>
      <c r="U210" s="57">
        <f>491.37020911867*Deflactores!$R$5</f>
        <v>796.28778130947444</v>
      </c>
      <c r="V210" s="57">
        <f>436.505653772989*Deflactores!$S$5</f>
        <v>685.57595757383865</v>
      </c>
    </row>
    <row r="211" spans="3:22" x14ac:dyDescent="0.2">
      <c r="C211" s="87" t="s">
        <v>127</v>
      </c>
      <c r="D211" s="56">
        <f>162.36267304875*Deflactores!$A$5</f>
        <v>589.46728477140744</v>
      </c>
      <c r="E211" s="56">
        <f>176.212293919919*Deflactores!$B$5</f>
        <v>594.29561676517824</v>
      </c>
      <c r="F211" s="56">
        <f>183.29421470424*Deflactores!$C$5</f>
        <v>577.78255071608771</v>
      </c>
      <c r="G211" s="56">
        <f>202.09252200271*Deflactores!$D$5</f>
        <v>598.20705024297843</v>
      </c>
      <c r="H211" s="56">
        <f>212.161283088139*Deflactores!$E$5</f>
        <v>595.28834204546683</v>
      </c>
      <c r="I211" s="56">
        <f>236.41392533257*Deflactores!$F$5</f>
        <v>632.62225885676514</v>
      </c>
      <c r="J211" s="56">
        <f>274.78853444552*Deflactores!$G$5</f>
        <v>703.79371907012091</v>
      </c>
      <c r="K211" s="56">
        <f>281.66485840589*Deflactores!$H$5</f>
        <v>682.53859745096224</v>
      </c>
      <c r="L211" s="56">
        <f>297.87884068075*Deflactores!$I$5</f>
        <v>670.38125094226848</v>
      </c>
      <c r="M211" s="56">
        <f>326.31256272717*Deflactores!$J$5</f>
        <v>719.95960310860903</v>
      </c>
      <c r="N211" s="56">
        <f>355.46258701022*Deflactores!$K$5</f>
        <v>760.16812791463781</v>
      </c>
      <c r="O211" s="56">
        <f>346.654967357439*Deflactores!$L$5</f>
        <v>714.69819928309801</v>
      </c>
      <c r="P211" s="56">
        <f>370.512688758364*Deflactores!$M$5</f>
        <v>745.69078447830873</v>
      </c>
      <c r="Q211" s="56">
        <f>411.761765509603*Deflactores!$N$5</f>
        <v>812.93735184172965</v>
      </c>
      <c r="R211" s="56">
        <f>439.485661673045*Deflactores!$O$5</f>
        <v>837.03682937389647</v>
      </c>
      <c r="S211" s="56">
        <f>449.989091902626*Deflactores!$P$5</f>
        <v>802.69877481103526</v>
      </c>
      <c r="T211" s="56">
        <f>492.712598344024*Deflactores!$Q$5</f>
        <v>831.12032835895047</v>
      </c>
      <c r="U211" s="56">
        <f>524.9818361038*Deflactores!$R$5</f>
        <v>850.75695217393547</v>
      </c>
      <c r="V211" s="56">
        <f>542.02806151796*Deflactores!$S$5</f>
        <v>851.30949414992836</v>
      </c>
    </row>
    <row r="212" spans="3:22" x14ac:dyDescent="0.2">
      <c r="C212" s="88" t="s">
        <v>128</v>
      </c>
      <c r="D212" s="57">
        <f>36.8626536607699*Deflactores!$A$5</f>
        <v>133.83204375034219</v>
      </c>
      <c r="E212" s="57">
        <f>51.60730113956*Deflactores!$B$5</f>
        <v>174.05137960612046</v>
      </c>
      <c r="F212" s="57">
        <f>44.1418614962199*Deflactores!$C$5</f>
        <v>139.14458440379909</v>
      </c>
      <c r="G212" s="57">
        <f>50.38732020531*Deflactores!$D$5</f>
        <v>149.1497552257907</v>
      </c>
      <c r="H212" s="57">
        <f>68.09820633837*Deflactores!$E$5</f>
        <v>191.07194186131261</v>
      </c>
      <c r="I212" s="57">
        <f>86.10826492353*Deflactores!$F$5</f>
        <v>230.41792054139881</v>
      </c>
      <c r="J212" s="57">
        <f>103.58782896269*Deflactores!$G$5</f>
        <v>265.31115478730186</v>
      </c>
      <c r="K212" s="57">
        <f>113.033897309149*Deflactores!$H$5</f>
        <v>273.90707584340004</v>
      </c>
      <c r="L212" s="57">
        <f>144.35656958442*Deflactores!$I$5</f>
        <v>324.87684415105878</v>
      </c>
      <c r="M212" s="57">
        <f>157.2730305408*Deflactores!$J$5</f>
        <v>346.999293258943</v>
      </c>
      <c r="N212" s="57">
        <f>182.12372306666*Deflactores!$K$5</f>
        <v>389.4774152657771</v>
      </c>
      <c r="O212" s="57">
        <f>197.14376049856*Deflactores!$L$5</f>
        <v>406.45109372668446</v>
      </c>
      <c r="P212" s="57">
        <f>268.82472002885*Deflactores!$M$5</f>
        <v>541.03441649257047</v>
      </c>
      <c r="Q212" s="57">
        <f>341.93770487212*Deflactores!$N$5</f>
        <v>675.08437056936339</v>
      </c>
      <c r="R212" s="57">
        <f>333.349418399949*Deflactores!$O$5</f>
        <v>634.89156663023675</v>
      </c>
      <c r="S212" s="57">
        <f>355.39749230767*Deflactores!$P$5</f>
        <v>633.96454887402626</v>
      </c>
      <c r="T212" s="57">
        <f>292.46712350644*Deflactores!$Q$5</f>
        <v>493.3410928395806</v>
      </c>
      <c r="U212" s="57">
        <f>309.2261181927*Deflactores!$R$5</f>
        <v>501.11499437512521</v>
      </c>
      <c r="V212" s="57">
        <f>351.04374513498*Deflactores!$S$5</f>
        <v>551.34944906437079</v>
      </c>
    </row>
    <row r="213" spans="3:22" x14ac:dyDescent="0.2">
      <c r="C213" s="87" t="s">
        <v>129</v>
      </c>
      <c r="D213" s="56">
        <f>5069.44700501953*Deflactores!$A$5</f>
        <v>18404.927100726934</v>
      </c>
      <c r="E213" s="56">
        <f>6163.38387191625*Deflactores!$B$5</f>
        <v>20786.699599890799</v>
      </c>
      <c r="F213" s="56">
        <f>6731.13388776779*Deflactores!$C$5</f>
        <v>21217.973044928869</v>
      </c>
      <c r="G213" s="56">
        <f>7584.76827221136*Deflactores!$D$5</f>
        <v>22451.408938502169</v>
      </c>
      <c r="H213" s="56">
        <f>8362.72309833312*Deflactores!$E$5</f>
        <v>23464.373403718178</v>
      </c>
      <c r="I213" s="56">
        <f>9363.01322256669*Deflactores!$F$5</f>
        <v>25054.575639880346</v>
      </c>
      <c r="J213" s="56">
        <f>10866.4593383061*Deflactores!$G$5</f>
        <v>27831.38621945287</v>
      </c>
      <c r="K213" s="56">
        <f>12832.411711653*Deflactores!$H$5</f>
        <v>31095.87877293316</v>
      </c>
      <c r="L213" s="56">
        <f>16346.6822504438*Deflactores!$I$5</f>
        <v>36788.47839868228</v>
      </c>
      <c r="M213" s="56">
        <f>17177.8818994699*Deflactores!$J$5</f>
        <v>37900.413429467859</v>
      </c>
      <c r="N213" s="56">
        <f>17583.0731904019*Deflactores!$K$5</f>
        <v>37601.965209772075</v>
      </c>
      <c r="O213" s="56">
        <f>18578.001174527*Deflactores!$L$5</f>
        <v>38302.246429438899</v>
      </c>
      <c r="P213" s="56">
        <f>20506.7386344509*Deflactores!$M$5</f>
        <v>41271.693206134863</v>
      </c>
      <c r="Q213" s="56">
        <f>22759.4083446234*Deflactores!$N$5</f>
        <v>44933.684229433908</v>
      </c>
      <c r="R213" s="56">
        <f>23172.4471133341*Deflactores!$O$5</f>
        <v>44133.844063857665</v>
      </c>
      <c r="S213" s="56">
        <f>23333.421744294*Deflactores!$P$5</f>
        <v>41622.584598888279</v>
      </c>
      <c r="T213" s="56">
        <f>24722.8313409027*Deflactores!$Q$5</f>
        <v>41703.110030215088</v>
      </c>
      <c r="U213" s="56">
        <f>26053.390542935*Deflactores!$R$5</f>
        <v>42220.70480877001</v>
      </c>
      <c r="V213" s="56">
        <f>28025.3738634724*Deflactores!$S$5</f>
        <v>44016.663602728935</v>
      </c>
    </row>
    <row r="214" spans="3:22" x14ac:dyDescent="0.2">
      <c r="C214" s="88" t="s">
        <v>130</v>
      </c>
      <c r="D214" s="57">
        <f>15.439114915*Deflactores!$A$5</f>
        <v>56.052619591242028</v>
      </c>
      <c r="E214" s="57">
        <f>39.76501163626*Deflactores!$B$5</f>
        <v>134.11193731343991</v>
      </c>
      <c r="F214" s="57">
        <f>9.18358797563*Deflactores!$C$5</f>
        <v>28.948632633315462</v>
      </c>
      <c r="G214" s="57">
        <f>14.82418322237*Deflactores!$D$5</f>
        <v>43.880549511854234</v>
      </c>
      <c r="H214" s="57">
        <f>63.57781698878*Deflactores!$E$5</f>
        <v>178.3885010272962</v>
      </c>
      <c r="I214" s="57">
        <f>51.9585998765*Deflactores!$F$5</f>
        <v>139.03650884636724</v>
      </c>
      <c r="J214" s="57">
        <f>73.47830350547*Deflactores!$G$5</f>
        <v>188.19405474623485</v>
      </c>
      <c r="K214" s="57">
        <f>58.29104918677*Deflactores!$H$5</f>
        <v>141.25259068900257</v>
      </c>
      <c r="L214" s="57">
        <f>126.09042507592*Deflactores!$I$5</f>
        <v>283.76858423734348</v>
      </c>
      <c r="M214" s="57">
        <f>107.96479185285*Deflactores!$J$5</f>
        <v>238.20807891197182</v>
      </c>
      <c r="N214" s="57">
        <f>121.07837556635*Deflactores!$K$5</f>
        <v>258.92998433213859</v>
      </c>
      <c r="O214" s="57">
        <f>138.07299162981*Deflactores!$L$5</f>
        <v>284.66494866552745</v>
      </c>
      <c r="P214" s="57">
        <f>208.785182843409*Deflactores!$M$5</f>
        <v>420.19933866147306</v>
      </c>
      <c r="Q214" s="57">
        <f>277.95694301465*Deflactores!$N$5</f>
        <v>548.76775870799577</v>
      </c>
      <c r="R214" s="57">
        <f>250.48148130179*Deflactores!$O$5</f>
        <v>477.06271946979984</v>
      </c>
      <c r="S214" s="57">
        <f>352.26475720274*Deflactores!$P$5</f>
        <v>628.37631867959533</v>
      </c>
      <c r="T214" s="57">
        <f>224.82246659068*Deflactores!$Q$5</f>
        <v>379.23633956858708</v>
      </c>
      <c r="U214" s="57">
        <f>358.76980480957*Deflactores!$R$5</f>
        <v>581.40279278439255</v>
      </c>
      <c r="V214" s="57">
        <f>402.91398656442*Deflactores!$S$5</f>
        <v>632.81687137654217</v>
      </c>
    </row>
    <row r="215" spans="3:22" x14ac:dyDescent="0.2">
      <c r="C215" s="87" t="s">
        <v>131</v>
      </c>
      <c r="D215" s="56">
        <f>4501.88255975813*Deflactores!$A$5</f>
        <v>16344.350822948025</v>
      </c>
      <c r="E215" s="56">
        <f>7241.49544053331*Deflactores!$B$5</f>
        <v>24422.751122516842</v>
      </c>
      <c r="F215" s="56">
        <f>8068.8203302663*Deflactores!$C$5</f>
        <v>25434.646692006285</v>
      </c>
      <c r="G215" s="56">
        <f>9509.56879560315*Deflactores!$D$5</f>
        <v>28148.944067431403</v>
      </c>
      <c r="H215" s="56">
        <f>10931.9665401567*Deflactores!$E$5</f>
        <v>30673.231902933454</v>
      </c>
      <c r="I215" s="56">
        <f>12109.2901907635*Deflactores!$F$5</f>
        <v>32403.364154021332</v>
      </c>
      <c r="J215" s="56">
        <f>12967.3642747961*Deflactores!$G$5</f>
        <v>33212.264652567494</v>
      </c>
      <c r="K215" s="56">
        <f>14095.9339078888*Deflactores!$H$5</f>
        <v>34157.683048226128</v>
      </c>
      <c r="L215" s="56">
        <f>15542.4418380685*Deflactores!$I$5</f>
        <v>34978.522067194106</v>
      </c>
      <c r="M215" s="56">
        <f>18210.9773551253*Deflactores!$J$5</f>
        <v>40179.783209199108</v>
      </c>
      <c r="N215" s="56">
        <f>19863.1418424301*Deflactores!$K$5</f>
        <v>42477.9650535455</v>
      </c>
      <c r="O215" s="56">
        <f>21234.7224709212*Deflactores!$L$5</f>
        <v>43779.606067479712</v>
      </c>
      <c r="P215" s="56">
        <f>22309.7932579042*Deflactores!$M$5</f>
        <v>44900.506084651373</v>
      </c>
      <c r="Q215" s="56">
        <f>24495.1594023044*Deflactores!$N$5</f>
        <v>48360.561094849836</v>
      </c>
      <c r="R215" s="56">
        <f>26062.8779505419*Deflactores!$O$5</f>
        <v>49638.908903267285</v>
      </c>
      <c r="S215" s="56">
        <f>28696.743540038*Deflactores!$P$5</f>
        <v>51189.776141594892</v>
      </c>
      <c r="T215" s="56">
        <f>31029.7782351837*Deflactores!$Q$5</f>
        <v>52341.830840956995</v>
      </c>
      <c r="U215" s="56">
        <f>35333.2826713046*Deflactores!$R$5</f>
        <v>57259.192239549651</v>
      </c>
      <c r="V215" s="56">
        <f>37862.2482746657*Deflactores!$S$5</f>
        <v>59466.462558814645</v>
      </c>
    </row>
    <row r="216" spans="3:22" x14ac:dyDescent="0.2">
      <c r="C216" s="88" t="s">
        <v>132</v>
      </c>
      <c r="D216" s="57">
        <f>6.87251134135*Deflactores!$A$5</f>
        <v>24.951058786337693</v>
      </c>
      <c r="E216" s="57">
        <f>7.22846594450999*Deflactores!$B$5</f>
        <v>24.378807693808984</v>
      </c>
      <c r="F216" s="57">
        <f>6.78687900776*Deflactores!$C$5</f>
        <v>21.393693580740894</v>
      </c>
      <c r="G216" s="57">
        <f>6.93880014991*Deflactores!$D$5</f>
        <v>20.539301151615771</v>
      </c>
      <c r="H216" s="57">
        <f>7.06204996417*Deflactores!$E$5</f>
        <v>19.814906628682774</v>
      </c>
      <c r="I216" s="57">
        <f>8.04635507984*Deflactores!$F$5</f>
        <v>21.531317662490977</v>
      </c>
      <c r="J216" s="57">
        <f>8.60732535857*Deflactores!$G$5</f>
        <v>22.045248494731382</v>
      </c>
      <c r="K216" s="57">
        <f>10.16240127676*Deflactores!$H$5</f>
        <v>24.625830689103076</v>
      </c>
      <c r="L216" s="57">
        <f>11.1359978569499*Deflactores!$I$5</f>
        <v>25.061747107554567</v>
      </c>
      <c r="M216" s="57">
        <f>10.6785981713699*Deflactores!$J$5</f>
        <v>23.560721159374616</v>
      </c>
      <c r="N216" s="57">
        <f>11.81712201405*Deflactores!$K$5</f>
        <v>25.271293933673448</v>
      </c>
      <c r="O216" s="57">
        <f>14.5831223439799*Deflactores!$L$5</f>
        <v>30.066008742406918</v>
      </c>
      <c r="P216" s="57">
        <f>23.38847486061*Deflactores!$M$5</f>
        <v>47.071451790234448</v>
      </c>
      <c r="Q216" s="57">
        <f>22.90865746126*Deflactores!$N$5</f>
        <v>45.228345346143264</v>
      </c>
      <c r="R216" s="57">
        <f>27.08466586909*Deflactores!$O$5</f>
        <v>51.584988591915547</v>
      </c>
      <c r="S216" s="57">
        <f>27.06407959161*Deflactores!$P$5</f>
        <v>48.277400320349663</v>
      </c>
      <c r="T216" s="57">
        <f>32.71359571897*Deflactores!$Q$5</f>
        <v>55.182137633851049</v>
      </c>
      <c r="U216" s="57">
        <f>40.2882888872599*Deflactores!$R$5</f>
        <v>65.289005266177</v>
      </c>
      <c r="V216" s="57">
        <f>40.4467794447399*Deflactores!$S$5</f>
        <v>63.525728267030544</v>
      </c>
    </row>
    <row r="217" spans="3:22" x14ac:dyDescent="0.2">
      <c r="C217" s="87" t="s">
        <v>133</v>
      </c>
      <c r="D217" s="56">
        <f>557.49439954369*Deflactores!$A$5</f>
        <v>2024.0163813736565</v>
      </c>
      <c r="E217" s="56">
        <f>631.07945758592*Deflactores!$B$5</f>
        <v>2128.3858641798383</v>
      </c>
      <c r="F217" s="56">
        <f>634.21117413908*Deflactores!$C$5</f>
        <v>1999.1692071569021</v>
      </c>
      <c r="G217" s="56">
        <f>660.562053944369*Deflactores!$D$5</f>
        <v>1955.3067767010464</v>
      </c>
      <c r="H217" s="56">
        <f>730.35315760303*Deflactores!$E$5</f>
        <v>2049.2462807955435</v>
      </c>
      <c r="I217" s="56">
        <f>828.817652346669*Deflactores!$F$5</f>
        <v>2217.8409950696578</v>
      </c>
      <c r="J217" s="56">
        <f>893.49310343196*Deflactores!$G$5</f>
        <v>2288.4318499560873</v>
      </c>
      <c r="K217" s="56">
        <f>1015.87651149627*Deflactores!$H$5</f>
        <v>2461.7019434524564</v>
      </c>
      <c r="L217" s="56">
        <f>1175.36035414827*Deflactores!$I$5</f>
        <v>2645.1678901434116</v>
      </c>
      <c r="M217" s="56">
        <f>1353.63438548279*Deflactores!$J$5</f>
        <v>2986.5907300087215</v>
      </c>
      <c r="N217" s="56">
        <f>1413.03099196528*Deflactores!$K$5</f>
        <v>3021.8120362037644</v>
      </c>
      <c r="O217" s="56">
        <f>1507.30953630196*Deflactores!$L$5</f>
        <v>3107.6185625416647</v>
      </c>
      <c r="P217" s="56">
        <f>1782.93634222831*Deflactores!$M$5</f>
        <v>3588.3229914918857</v>
      </c>
      <c r="Q217" s="56">
        <f>2046.97898230337*Deflactores!$N$5</f>
        <v>4041.3312078403055</v>
      </c>
      <c r="R217" s="56">
        <f>2337.68710875596*Deflactores!$O$5</f>
        <v>4452.3186447821536</v>
      </c>
      <c r="S217" s="56">
        <f>2558.80310110904*Deflactores!$P$5</f>
        <v>4564.4397857701006</v>
      </c>
      <c r="T217" s="56">
        <f>2885.49314656052*Deflactores!$Q$5</f>
        <v>4867.3243174764621</v>
      </c>
      <c r="U217" s="56">
        <f>3105.43646515495*Deflactores!$R$5</f>
        <v>5032.5010896998947</v>
      </c>
      <c r="V217" s="56">
        <f>3421.07737562496*Deflactores!$S$5</f>
        <v>5373.1455193202155</v>
      </c>
    </row>
    <row r="218" spans="3:22" x14ac:dyDescent="0.2">
      <c r="C218" s="88" t="s">
        <v>134</v>
      </c>
      <c r="D218" s="57">
        <f>5010.60094736939*Deflactores!$A$5</f>
        <v>18191.28300894659</v>
      </c>
      <c r="E218" s="57">
        <f>5927.76321086255*Deflactores!$B$5</f>
        <v>19992.042638287629</v>
      </c>
      <c r="F218" s="57">
        <f>5025.99348365381*Deflactores!$C$5</f>
        <v>15843.005953863087</v>
      </c>
      <c r="G218" s="57">
        <f>4455.33609276353*Deflactores!$D$5</f>
        <v>13188.085513908371</v>
      </c>
      <c r="H218" s="57">
        <f>4951.37208817326*Deflactores!$E$5</f>
        <v>13892.704824915543</v>
      </c>
      <c r="I218" s="57">
        <f>6105.30457310885*Deflactores!$F$5</f>
        <v>16337.242252610044</v>
      </c>
      <c r="J218" s="57">
        <f>5296.66707507888*Deflactores!$G$5</f>
        <v>13565.926347575089</v>
      </c>
      <c r="K218" s="57">
        <f>6036.03247144117*Deflactores!$H$5</f>
        <v>14626.69202165466</v>
      </c>
      <c r="L218" s="57">
        <f>6127.89175400736*Deflactores!$I$5</f>
        <v>13790.921605247609</v>
      </c>
      <c r="M218" s="57">
        <f>6012.77891794296*Deflactores!$J$5</f>
        <v>13266.292560613021</v>
      </c>
      <c r="N218" s="57">
        <f>6611.67571363071*Deflactores!$K$5</f>
        <v>14139.280287927546</v>
      </c>
      <c r="O218" s="57">
        <f>6768.14539066759*Deflactores!$L$5</f>
        <v>13953.878578663684</v>
      </c>
      <c r="P218" s="57">
        <f>7103.48312356357*Deflactores!$M$5</f>
        <v>14296.411603849478</v>
      </c>
      <c r="Q218" s="57">
        <f>7560.55982515011*Deflactores!$N$5</f>
        <v>14926.741619858243</v>
      </c>
      <c r="R218" s="57">
        <f>10470.6965227977*Deflactores!$O$5</f>
        <v>19942.308437127369</v>
      </c>
      <c r="S218" s="57">
        <f>13662.0218251531*Deflactores!$P$5</f>
        <v>24370.564482183221</v>
      </c>
      <c r="T218" s="57">
        <f>15446.4922946851*Deflactores!$Q$5</f>
        <v>26055.541894199643</v>
      </c>
      <c r="U218" s="57">
        <f>18454.5058324958*Deflactores!$R$5</f>
        <v>29906.366384885674</v>
      </c>
      <c r="V218" s="57">
        <f>10503.7545046066*Deflactores!$S$5</f>
        <v>16497.201102373896</v>
      </c>
    </row>
    <row r="219" spans="3:22" x14ac:dyDescent="0.2">
      <c r="C219" s="87" t="s">
        <v>135</v>
      </c>
      <c r="D219" s="56"/>
      <c r="E219" s="56"/>
      <c r="F219" s="56"/>
      <c r="G219" s="56"/>
      <c r="H219" s="56"/>
      <c r="I219" s="56"/>
      <c r="J219" s="56"/>
      <c r="K219" s="56"/>
      <c r="L219" s="56"/>
      <c r="M219" s="56"/>
      <c r="N219" s="56"/>
      <c r="O219" s="56"/>
      <c r="P219" s="56"/>
      <c r="Q219" s="56"/>
      <c r="R219" s="56"/>
      <c r="S219" s="56"/>
      <c r="T219" s="56"/>
      <c r="U219" s="56"/>
      <c r="V219" s="56"/>
    </row>
    <row r="220" spans="3:22" x14ac:dyDescent="0.2">
      <c r="C220" s="88" t="s">
        <v>136</v>
      </c>
      <c r="D220" s="57">
        <f>51.8259591926899*Deflactores!$A$5</f>
        <v>188.15720924239781</v>
      </c>
      <c r="E220" s="57">
        <f>124.09944738177*Deflactores!$B$5</f>
        <v>418.53922891148466</v>
      </c>
      <c r="F220" s="57">
        <f>63.21684259827*Deflactores!$C$5</f>
        <v>199.2730028254457</v>
      </c>
      <c r="G220" s="57">
        <f>52.70640981384*Deflactores!$D$5</f>
        <v>156.01441177131727</v>
      </c>
      <c r="H220" s="57">
        <f>124.33604700725*Deflactores!$E$5</f>
        <v>348.86572235087971</v>
      </c>
      <c r="I220" s="57">
        <f>274.175673734399*Deflactores!$F$5</f>
        <v>733.66927856485006</v>
      </c>
      <c r="J220" s="57">
        <f>835.7669658911*Deflactores!$G$5</f>
        <v>2140.5825479121913</v>
      </c>
      <c r="K220" s="57">
        <f>1245.41321782824*Deflactores!$H$5</f>
        <v>3017.9220643791928</v>
      </c>
      <c r="L220" s="57">
        <f>1636.35061683776*Deflactores!$I$5</f>
        <v>3682.6340903868736</v>
      </c>
      <c r="M220" s="57">
        <f>1774.92151635625*Deflactores!$J$5</f>
        <v>3916.0974367180743</v>
      </c>
      <c r="N220" s="57">
        <f>2701.7600036571*Deflactores!$K$5</f>
        <v>5777.8003061560275</v>
      </c>
      <c r="O220" s="57">
        <f>2835.97503971097*Deflactores!$L$5</f>
        <v>5846.9269012473806</v>
      </c>
      <c r="P220" s="57">
        <f>4084.49279460485*Deflactores!$M$5</f>
        <v>8220.4165433892558</v>
      </c>
      <c r="Q220" s="57">
        <f>4832.14713670903*Deflactores!$N$5</f>
        <v>9540.0623031722989</v>
      </c>
      <c r="R220" s="57">
        <f>7390.5799502482*Deflactores!$O$5</f>
        <v>14075.971409943862</v>
      </c>
      <c r="S220" s="57">
        <f>8597.65581382664*Deflactores!$P$5</f>
        <v>15336.655737199535</v>
      </c>
      <c r="T220" s="57">
        <f>6534.25786027933*Deflactores!$Q$5</f>
        <v>11022.154815342319</v>
      </c>
      <c r="U220" s="57">
        <f>7407.60017009485*Deflactores!$R$5</f>
        <v>12004.353122775412</v>
      </c>
      <c r="V220" s="57">
        <f>7563.11255706743*Deflactores!$S$5</f>
        <v>11878.627662052704</v>
      </c>
    </row>
    <row r="221" spans="3:22" x14ac:dyDescent="0.2">
      <c r="C221" s="87" t="s">
        <v>137</v>
      </c>
      <c r="D221" s="56">
        <f>48.4717889598599*Deflactores!$A$5</f>
        <v>175.97969588491739</v>
      </c>
      <c r="E221" s="56">
        <f>49.15387536447*Deflactores!$B$5</f>
        <v>165.77692751336622</v>
      </c>
      <c r="F221" s="56">
        <f>49.09515410166*Deflactores!$C$5</f>
        <v>154.75842164701083</v>
      </c>
      <c r="G221" s="56">
        <f>44.6574826488199*Deflactores!$D$5</f>
        <v>132.18906222699971</v>
      </c>
      <c r="H221" s="56">
        <f>69.88146196257*Deflactores!$E$5</f>
        <v>196.07545272117233</v>
      </c>
      <c r="I221" s="56">
        <f>145.51456914694*Deflactores!$F$5</f>
        <v>389.38381189182809</v>
      </c>
      <c r="J221" s="56">
        <f>79.6959718993099*Deflactores!$G$5</f>
        <v>204.11886751790058</v>
      </c>
      <c r="K221" s="56">
        <f>95.59816049475*Deflactores!$H$5</f>
        <v>231.6562838270427</v>
      </c>
      <c r="L221" s="56">
        <f>119.01239981507*Deflactores!$I$5</f>
        <v>267.83937148182923</v>
      </c>
      <c r="M221" s="56">
        <f>113.59355051967*Deflactores!$J$5</f>
        <v>250.62708853234659</v>
      </c>
      <c r="N221" s="56">
        <f>141.69144590969*Deflactores!$K$5</f>
        <v>303.0116955053569</v>
      </c>
      <c r="O221" s="56">
        <f>166.67687479333*Deflactores!$L$5</f>
        <v>343.63754595819159</v>
      </c>
      <c r="P221" s="56">
        <f>220.774656921459*Deflactores!$M$5</f>
        <v>444.32925540117787</v>
      </c>
      <c r="Q221" s="56">
        <f>273.336706074499*Deflactores!$N$5</f>
        <v>539.64606869785291</v>
      </c>
      <c r="R221" s="56">
        <f>440.748278225949*Deflactores!$O$5</f>
        <v>839.44158713580953</v>
      </c>
      <c r="S221" s="56">
        <f>274.72693222128*Deflactores!$P$5</f>
        <v>490.06292790167271</v>
      </c>
      <c r="T221" s="56">
        <f>261.15745154229*Deflactores!$Q$5</f>
        <v>440.52713003222794</v>
      </c>
      <c r="U221" s="56">
        <f>256.72139642266*Deflactores!$R$5</f>
        <v>416.02870377251514</v>
      </c>
      <c r="V221" s="56">
        <f>525.203558456389*Deflactores!$S$5</f>
        <v>824.88492278999081</v>
      </c>
    </row>
    <row r="222" spans="3:22" x14ac:dyDescent="0.2">
      <c r="C222" s="88" t="s">
        <v>138</v>
      </c>
      <c r="D222" s="57">
        <f>134.46357398484*Deflactores!$A$5</f>
        <v>488.1779559868678</v>
      </c>
      <c r="E222" s="57">
        <f>162.03531115432*Deflactores!$B$5</f>
        <v>546.48216102309527</v>
      </c>
      <c r="F222" s="57">
        <f>158.081069009469*Deflactores!$C$5</f>
        <v>498.30532523678204</v>
      </c>
      <c r="G222" s="57">
        <f>168.605080704179*Deflactores!$D$5</f>
        <v>499.0820391794295</v>
      </c>
      <c r="H222" s="57">
        <f>178.69529184586*Deflactores!$E$5</f>
        <v>501.38848363799229</v>
      </c>
      <c r="I222" s="57">
        <f>208.27327020891*Deflactores!$F$5</f>
        <v>557.32041365032967</v>
      </c>
      <c r="J222" s="57">
        <f>211.5811642222*Deflactores!$G$5</f>
        <v>541.90577766864999</v>
      </c>
      <c r="K222" s="57">
        <f>215.222254229569*Deflactores!$H$5</f>
        <v>521.53291814060606</v>
      </c>
      <c r="L222" s="57">
        <f>271.405943420359*Deflactores!$I$5</f>
        <v>610.80355841154164</v>
      </c>
      <c r="M222" s="57">
        <f>233.51645138972*Deflactores!$J$5</f>
        <v>515.21893688917146</v>
      </c>
      <c r="N222" s="57">
        <f>239.944958169789*Deflactores!$K$5</f>
        <v>513.12997856857555</v>
      </c>
      <c r="O222" s="57">
        <f>249.214802428229*Deflactores!$L$5</f>
        <v>513.80590876257099</v>
      </c>
      <c r="P222" s="57">
        <f>136.30782270088*Deflactores!$M$5</f>
        <v>274.33200083098342</v>
      </c>
      <c r="Q222" s="57">
        <f>144.00699710384*Deflactores!$N$5</f>
        <v>284.31164978950699</v>
      </c>
      <c r="R222" s="57">
        <f>88.76683525415*Deflactores!$O$5</f>
        <v>169.06378709111328</v>
      </c>
      <c r="S222" s="57">
        <f>73.23585503259*Deflactores!$P$5</f>
        <v>130.63945807739594</v>
      </c>
      <c r="T222" s="57">
        <f>87.2751272472299*Deflactores!$Q$5</f>
        <v>147.21793731087104</v>
      </c>
      <c r="U222" s="57">
        <f>87.29626979986*Deflactores!$R$5</f>
        <v>141.46757720661049</v>
      </c>
      <c r="V222" s="57">
        <f>91.983347156*Deflactores!$S$5</f>
        <v>144.46908250154669</v>
      </c>
    </row>
    <row r="223" spans="3:22" x14ac:dyDescent="0.2">
      <c r="C223" s="87" t="s">
        <v>139</v>
      </c>
      <c r="D223" s="56">
        <f>336.49932323452*Deflactores!$A$5</f>
        <v>1221.6806897168522</v>
      </c>
      <c r="E223" s="56">
        <f>452.04767782869*Deflactores!$B$5</f>
        <v>1524.5812169300621</v>
      </c>
      <c r="F223" s="56">
        <f>429.6874798935*Deflactores!$C$5</f>
        <v>1354.4667983342035</v>
      </c>
      <c r="G223" s="56">
        <f>470.498408097189*Deflactores!$D$5</f>
        <v>1392.7059846779598</v>
      </c>
      <c r="H223" s="56">
        <f>582.421936176*Deflactores!$E$5</f>
        <v>1634.17652698248</v>
      </c>
      <c r="I223" s="56">
        <f>701.117148502829*Deflactores!$F$5</f>
        <v>1876.126009012077</v>
      </c>
      <c r="J223" s="56">
        <f>799.35493640029*Deflactores!$G$5</f>
        <v>2047.3233524150485</v>
      </c>
      <c r="K223" s="56">
        <f>934.57712382282*Deflactores!$H$5</f>
        <v>2264.6948679148491</v>
      </c>
      <c r="L223" s="56">
        <f>990.4219049963*Deflactores!$I$5</f>
        <v>2228.960855744836</v>
      </c>
      <c r="M223" s="56">
        <f>1183.8570362083*Deflactores!$J$5</f>
        <v>2612.0025376972521</v>
      </c>
      <c r="N223" s="56">
        <f>1469.94518834701*Deflactores!$K$5</f>
        <v>3143.5248681480771</v>
      </c>
      <c r="O223" s="56">
        <f>3175.93450291309*Deflactores!$L$5</f>
        <v>6547.8209863140364</v>
      </c>
      <c r="P223" s="56">
        <f>1469.06188261093*Deflactores!$M$5</f>
        <v>2956.6218403001894</v>
      </c>
      <c r="Q223" s="56">
        <f>1861.55541296466*Deflactores!$N$5</f>
        <v>3675.2512119458424</v>
      </c>
      <c r="R223" s="56">
        <f>2039.64164269743*Deflactores!$O$5</f>
        <v>3884.6663783368967</v>
      </c>
      <c r="S223" s="56">
        <f>2083.69643460394*Deflactores!$P$5</f>
        <v>3716.9358218501839</v>
      </c>
      <c r="T223" s="56">
        <f>2081.49581093055*Deflactores!$Q$5</f>
        <v>3511.1208596506572</v>
      </c>
      <c r="U223" s="56">
        <f>2296.23524271577*Deflactores!$R$5</f>
        <v>3721.1536899364069</v>
      </c>
      <c r="V223" s="56">
        <f>2692.94744831319*Deflactores!$S$5</f>
        <v>4229.5443589683573</v>
      </c>
    </row>
    <row r="224" spans="3:22" x14ac:dyDescent="0.2">
      <c r="C224" s="88" t="s">
        <v>140</v>
      </c>
      <c r="D224" s="57">
        <f>263.91924957131*Deflactores!$A$5</f>
        <v>958.17444072872911</v>
      </c>
      <c r="E224" s="57">
        <f>426.75103910671*Deflactores!$B$5</f>
        <v>1439.2654811381135</v>
      </c>
      <c r="F224" s="57">
        <f>284.86987728527*Deflactores!$C$5</f>
        <v>897.97075475429483</v>
      </c>
      <c r="G224" s="57">
        <f>341.931581838189*Deflactores!$D$5</f>
        <v>1012.1397908706177</v>
      </c>
      <c r="H224" s="57">
        <f>595.90259841956*Deflactores!$E$5</f>
        <v>1672.00096393835</v>
      </c>
      <c r="I224" s="57">
        <f>570.439838502729*Deflactores!$F$5</f>
        <v>1526.445359205617</v>
      </c>
      <c r="J224" s="57">
        <f>525.55474780108*Deflactores!$G$5</f>
        <v>1346.0610038779291</v>
      </c>
      <c r="K224" s="57">
        <f>2252.15859316998*Deflactores!$H$5</f>
        <v>5457.4971692216814</v>
      </c>
      <c r="L224" s="57">
        <f>1433.03366581878*Deflactores!$I$5</f>
        <v>3225.0659339834774</v>
      </c>
      <c r="M224" s="57">
        <f>6104.12323203162*Deflactores!$J$5</f>
        <v>13467.83005450499</v>
      </c>
      <c r="N224" s="57">
        <f>1066.78144198881*Deflactores!$K$5</f>
        <v>2281.3462830826588</v>
      </c>
      <c r="O224" s="57">
        <f>1573.62980794967*Deflactores!$L$5</f>
        <v>3244.3510002272055</v>
      </c>
      <c r="P224" s="57">
        <f>1890.08849837767*Deflactores!$M$5</f>
        <v>3803.9765380554913</v>
      </c>
      <c r="Q224" s="57">
        <f>2354.40917578201*Deflactores!$N$5</f>
        <v>4648.287725654458</v>
      </c>
      <c r="R224" s="57">
        <f>2053.02921421487*Deflactores!$O$5</f>
        <v>3910.1641167006824</v>
      </c>
      <c r="S224" s="57">
        <f>2372.88752337646*Deflactores!$P$5</f>
        <v>4232.8001768337108</v>
      </c>
      <c r="T224" s="57">
        <f>2304.31150132404*Deflactores!$Q$5</f>
        <v>3886.9721173326493</v>
      </c>
      <c r="U224" s="57">
        <f>2658.61721229309*Deflactores!$R$5</f>
        <v>4308.4101600810836</v>
      </c>
      <c r="V224" s="57">
        <f>3219.45634982325*Deflactores!$S$5</f>
        <v>5056.4794540900184</v>
      </c>
    </row>
    <row r="225" spans="2:22" x14ac:dyDescent="0.2">
      <c r="C225" s="87" t="s">
        <v>141</v>
      </c>
      <c r="D225" s="56">
        <f>327.83657188915*Deflactores!$A$5</f>
        <v>1190.230058741641</v>
      </c>
      <c r="E225" s="56">
        <f>321.70309792633*Deflactores!$B$5</f>
        <v>1084.9795819824187</v>
      </c>
      <c r="F225" s="56">
        <f>341.25359650506*Deflactores!$C$5</f>
        <v>1075.7042918560328</v>
      </c>
      <c r="G225" s="56">
        <f>349.380545818479*Deflactores!$D$5</f>
        <v>1034.1892102447582</v>
      </c>
      <c r="H225" s="56">
        <f>373.826147535879*Deflactores!$E$5</f>
        <v>1048.8923536884397</v>
      </c>
      <c r="I225" s="56">
        <f>426.954114970769*Deflactores!$F$5</f>
        <v>1142.4905544842202</v>
      </c>
      <c r="J225" s="56">
        <f>482.275047043619*Deflactores!$G$5</f>
        <v>1235.2121956560036</v>
      </c>
      <c r="K225" s="56">
        <f>550.982543825129*Deflactores!$H$5</f>
        <v>1335.1571609278994</v>
      </c>
      <c r="L225" s="56">
        <f>638.56108170528*Deflactores!$I$5</f>
        <v>1437.0922613312619</v>
      </c>
      <c r="M225" s="56">
        <f>724.84171572633*Deflactores!$J$5</f>
        <v>1599.2542536807455</v>
      </c>
      <c r="N225" s="56">
        <f>806.51671341772*Deflactores!$K$5</f>
        <v>1724.7618246614168</v>
      </c>
      <c r="O225" s="56">
        <f>845.606023814489*Deflactores!$L$5</f>
        <v>1743.3850930513338</v>
      </c>
      <c r="P225" s="56">
        <f>977.48219943551*Deflactores!$M$5</f>
        <v>1967.2726204149296</v>
      </c>
      <c r="Q225" s="56">
        <f>1093.507359505*Deflactores!$N$5</f>
        <v>2158.9012179293882</v>
      </c>
      <c r="R225" s="56">
        <f>1215.96365344404*Deflactores!$O$5</f>
        <v>2315.9034523176201</v>
      </c>
      <c r="S225" s="56">
        <f>1274.51063518102*Deflactores!$P$5</f>
        <v>2273.4953885611485</v>
      </c>
      <c r="T225" s="56">
        <f>1406.53424394108*Deflactores!$Q$5</f>
        <v>2372.5782669275177</v>
      </c>
      <c r="U225" s="56">
        <f>1580.71994840168*Deflactores!$R$5</f>
        <v>2561.6285994261657</v>
      </c>
      <c r="V225" s="56">
        <f>1716.87416344463*Deflactores!$S$5</f>
        <v>2696.5232602679553</v>
      </c>
    </row>
    <row r="226" spans="2:22" x14ac:dyDescent="0.2">
      <c r="C226" s="88" t="s">
        <v>142</v>
      </c>
      <c r="D226" s="57">
        <f>86.12592102411*Deflactores!$A$5</f>
        <v>312.68524877805743</v>
      </c>
      <c r="E226" s="57">
        <f>252.454097578479*Deflactores!$B$5</f>
        <v>851.42960396101535</v>
      </c>
      <c r="F226" s="57">
        <f>95.56838464213*Deflactores!$C$5</f>
        <v>301.2519796952912</v>
      </c>
      <c r="G226" s="57">
        <f>91.71013004314*Deflactores!$D$5</f>
        <v>271.46796836832516</v>
      </c>
      <c r="H226" s="57">
        <f>177.8674104945*Deflactores!$E$5</f>
        <v>499.06558989466635</v>
      </c>
      <c r="I226" s="57">
        <f>66.44642927426*Deflactores!$F$5</f>
        <v>177.80462856118208</v>
      </c>
      <c r="J226" s="57">
        <f>90.93905792352*Deflactores!$G$5</f>
        <v>232.91487730328316</v>
      </c>
      <c r="K226" s="57">
        <f>170.7919960924*Deflactores!$H$5</f>
        <v>413.86820538603348</v>
      </c>
      <c r="L226" s="57">
        <f>190.338266302659*Deflactores!$I$5</f>
        <v>428.35941208362937</v>
      </c>
      <c r="M226" s="57">
        <f>343.24390331059*Deflactores!$J$5</f>
        <v>757.31606019582114</v>
      </c>
      <c r="N226" s="57">
        <f>337.15822608264*Deflactores!$K$5</f>
        <v>721.02366577580733</v>
      </c>
      <c r="O226" s="57">
        <f>298.493154136729*Deflactores!$L$5</f>
        <v>615.40303716428036</v>
      </c>
      <c r="P226" s="57">
        <f>480.873871628556*Deflactores!$M$5</f>
        <v>967.80279177881391</v>
      </c>
      <c r="Q226" s="57">
        <f>325.53472298555*Deflactores!$N$5</f>
        <v>642.70011886334851</v>
      </c>
      <c r="R226" s="57">
        <f>296.56188790351*Deflactores!$O$5</f>
        <v>564.82666901784796</v>
      </c>
      <c r="S226" s="57">
        <f>217.695982158323*Deflactores!$P$5</f>
        <v>388.33007578233503</v>
      </c>
      <c r="T226" s="57">
        <f>266.9343348057*Deflactores!$Q$5</f>
        <v>450.27172582887187</v>
      </c>
      <c r="U226" s="57">
        <f>287.17973869718*Deflactores!$R$5</f>
        <v>465.38783328841271</v>
      </c>
      <c r="V226" s="57">
        <f>246.013001980488*Deflactores!$S$5</f>
        <v>386.38812109430796</v>
      </c>
    </row>
    <row r="227" spans="2:22" x14ac:dyDescent="0.2">
      <c r="C227" s="87" t="s">
        <v>143</v>
      </c>
      <c r="D227" s="56">
        <f>519.28996388923*Deflactores!$A$5</f>
        <v>1885.3129187576112</v>
      </c>
      <c r="E227" s="56">
        <f>434.53259556806*Deflactores!$B$5</f>
        <v>1465.509648294196</v>
      </c>
      <c r="F227" s="56">
        <f>581.73350719791*Deflactores!$C$5</f>
        <v>1833.7483819015968</v>
      </c>
      <c r="G227" s="56">
        <f>493.25358723375*Deflactores!$D$5</f>
        <v>1460.0627995374932</v>
      </c>
      <c r="H227" s="56">
        <f>514.11028588113*Deflactores!$E$5</f>
        <v>1442.5056978164951</v>
      </c>
      <c r="I227" s="56">
        <f>531.769648211609*Deflactores!$F$5</f>
        <v>1422.9674312537181</v>
      </c>
      <c r="J227" s="56">
        <f>193.707584003709*Deflactores!$G$5</f>
        <v>496.12761767208036</v>
      </c>
      <c r="K227" s="56">
        <f>323.4822294536*Deflactores!$H$5</f>
        <v>783.87168509819844</v>
      </c>
      <c r="L227" s="56">
        <f>279.03868379348*Deflactores!$I$5</f>
        <v>627.98116668931243</v>
      </c>
      <c r="M227" s="56">
        <f>273.710360827189*Deflactores!$J$5</f>
        <v>603.9007542367267</v>
      </c>
      <c r="N227" s="56">
        <f>278.47670011032*Deflactores!$K$5</f>
        <v>595.53134289382092</v>
      </c>
      <c r="O227" s="56">
        <f>258.214570902429*Deflactores!$L$5</f>
        <v>532.36072241923875</v>
      </c>
      <c r="P227" s="56">
        <f>321.669898953839*Deflactores!$M$5</f>
        <v>647.39018816810142</v>
      </c>
      <c r="Q227" s="56">
        <f>419.55353465725*Deflactores!$N$5</f>
        <v>828.32056783608243</v>
      </c>
      <c r="R227" s="56">
        <f>399.359914855409*Deflactores!$O$5</f>
        <v>760.61402239394863</v>
      </c>
      <c r="S227" s="56">
        <f>453.488376130149*Deflactores!$P$5</f>
        <v>808.94086203646543</v>
      </c>
      <c r="T227" s="56">
        <f>492.81556942265*Deflactores!$Q$5</f>
        <v>831.29402263217742</v>
      </c>
      <c r="U227" s="56">
        <f>946.606054302899*Deflactores!$R$5</f>
        <v>1534.0181817431455</v>
      </c>
      <c r="V227" s="56">
        <f>558.51065827205*Deflactores!$S$5</f>
        <v>877.19706732410179</v>
      </c>
    </row>
    <row r="228" spans="2:22" x14ac:dyDescent="0.2">
      <c r="C228" s="88" t="s">
        <v>144</v>
      </c>
      <c r="D228" s="57">
        <f>651.603211265379*Deflactores!$A$5</f>
        <v>2365.6839868459519</v>
      </c>
      <c r="E228" s="57">
        <f>768.78315157199*Deflactores!$B$5</f>
        <v>2592.80693224383</v>
      </c>
      <c r="F228" s="57">
        <f>757.377538022979*Deflactores!$C$5</f>
        <v>2387.4159175186714</v>
      </c>
      <c r="G228" s="57">
        <f>758.64414113991*Deflactores!$D$5</f>
        <v>2245.6361539658437</v>
      </c>
      <c r="H228" s="57">
        <f>857.92111038983*Deflactores!$E$5</f>
        <v>2407.1801790414393</v>
      </c>
      <c r="I228" s="57">
        <f>1001.1944786702*Deflactores!$F$5</f>
        <v>2679.1057750099667</v>
      </c>
      <c r="J228" s="57">
        <f>1141.28755112518*Deflactores!$G$5</f>
        <v>2923.0877909648411</v>
      </c>
      <c r="K228" s="57">
        <f>1251.92743625647*Deflactores!$H$5</f>
        <v>3033.7075107236783</v>
      </c>
      <c r="L228" s="57">
        <f>1382.48460054591*Deflactores!$I$5</f>
        <v>3111.3044276806268</v>
      </c>
      <c r="M228" s="57">
        <f>1591.79816597594*Deflactores!$J$5</f>
        <v>3512.0632997609891</v>
      </c>
      <c r="N228" s="57">
        <f>1706.05888271731*Deflactores!$K$5</f>
        <v>3648.4615663647019</v>
      </c>
      <c r="O228" s="57">
        <f>1844.54177571753*Deflactores!$L$5</f>
        <v>3802.889933056882</v>
      </c>
      <c r="P228" s="57">
        <f>2123.5887388934*Deflactores!$M$5</f>
        <v>4273.9171981433919</v>
      </c>
      <c r="Q228" s="57">
        <f>2573.40625712867*Deflactores!$N$5</f>
        <v>5080.6515881677433</v>
      </c>
      <c r="R228" s="57">
        <f>2816.204692881*Deflactores!$O$5</f>
        <v>5363.695002069685</v>
      </c>
      <c r="S228" s="57">
        <f>2925.89222470223*Deflactores!$P$5</f>
        <v>5219.2600804328713</v>
      </c>
      <c r="T228" s="57">
        <f>3162.40046426952*Deflactores!$Q$5</f>
        <v>5334.4187282806452</v>
      </c>
      <c r="U228" s="57">
        <f>3462.24762919295*Deflactores!$R$5</f>
        <v>5610.7298159954516</v>
      </c>
      <c r="V228" s="57">
        <f>4024.01833501514*Deflactores!$S$5</f>
        <v>6320.1248356737815</v>
      </c>
    </row>
    <row r="229" spans="2:22" x14ac:dyDescent="0.2">
      <c r="C229" s="87" t="s">
        <v>145</v>
      </c>
      <c r="D229" s="56">
        <f>149.670216053309*Deflactores!$A$5</f>
        <v>543.38656916299885</v>
      </c>
      <c r="E229" s="56">
        <f>121.0981130667*Deflactores!$B$5</f>
        <v>408.41689415143873</v>
      </c>
      <c r="F229" s="56">
        <f>169.85648766476*Deflactores!$C$5</f>
        <v>535.42396227277391</v>
      </c>
      <c r="G229" s="56">
        <f>230.484178927489*Deflactores!$D$5</f>
        <v>682.24820709614949</v>
      </c>
      <c r="H229" s="56">
        <f>129.29846306602*Deflactores!$E$5</f>
        <v>362.78941467196057</v>
      </c>
      <c r="I229" s="56">
        <f>187.06339811284*Deflactores!$F$5</f>
        <v>500.5647163004225</v>
      </c>
      <c r="J229" s="56">
        <f>460.97867221053*Deflactores!$G$5</f>
        <v>1180.6675077681521</v>
      </c>
      <c r="K229" s="56">
        <f>315.35753044536*Deflactores!$H$5</f>
        <v>764.18367468333804</v>
      </c>
      <c r="L229" s="56">
        <f>306.56296348758*Deflactores!$I$5</f>
        <v>689.92501275252187</v>
      </c>
      <c r="M229" s="56">
        <f>317.348748683659*Deflactores!$J$5</f>
        <v>700.18229528089466</v>
      </c>
      <c r="N229" s="56">
        <f>687.07533486735*Deflactores!$K$5</f>
        <v>1469.332610881549</v>
      </c>
      <c r="O229" s="56">
        <f>510.16777071566*Deflactores!$L$5</f>
        <v>1051.8123823299952</v>
      </c>
      <c r="P229" s="56">
        <f>385.25465845314*Deflactores!$M$5</f>
        <v>775.36035121647296</v>
      </c>
      <c r="Q229" s="56">
        <f>502.69691538913*Deflactores!$N$5</f>
        <v>992.46975655857671</v>
      </c>
      <c r="R229" s="56">
        <f>1044.80585178372*Deflactores!$O$5</f>
        <v>1989.9192482392116</v>
      </c>
      <c r="S229" s="56">
        <f>792.52563394825*Deflactores!$P$5</f>
        <v>1413.721725312975</v>
      </c>
      <c r="T229" s="56">
        <f>656.21486902129*Deflactores!$Q$5</f>
        <v>1106.920178716829</v>
      </c>
      <c r="U229" s="56">
        <f>686.36197243326*Deflactores!$R$5</f>
        <v>1112.280805920981</v>
      </c>
      <c r="V229" s="56">
        <f>1746.55630732292*Deflactores!$S$5</f>
        <v>2743.1420475306422</v>
      </c>
    </row>
    <row r="230" spans="2:22" x14ac:dyDescent="0.2">
      <c r="C230" s="88" t="s">
        <v>146</v>
      </c>
      <c r="D230" s="57">
        <f>137.35289434502*Deflactores!$A$5</f>
        <v>498.66780439579776</v>
      </c>
      <c r="E230" s="57">
        <f>152.140573639659*Deflactores!$B$5</f>
        <v>513.11105505090131</v>
      </c>
      <c r="F230" s="57">
        <f>155.9885152445*Deflactores!$C$5</f>
        <v>491.70914840825958</v>
      </c>
      <c r="G230" s="57">
        <f>178.60079000935*Deflactores!$D$5</f>
        <v>528.66999087242903</v>
      </c>
      <c r="H230" s="57">
        <f>175.555893584789*Deflactores!$E$5</f>
        <v>492.57986804776232</v>
      </c>
      <c r="I230" s="57">
        <f>219.3728341471*Deflactores!$F$5</f>
        <v>587.02184177485765</v>
      </c>
      <c r="J230" s="57">
        <f>219.52232557786*Deflactores!$G$5</f>
        <v>562.24483401069676</v>
      </c>
      <c r="K230" s="57">
        <f>204.07036352793*Deflactores!$H$5</f>
        <v>494.50932747508364</v>
      </c>
      <c r="L230" s="57">
        <f>211.01246592172*Deflactores!$I$5</f>
        <v>474.8870397969057</v>
      </c>
      <c r="M230" s="57">
        <f>206.193152371009*Deflactores!$J$5</f>
        <v>454.93418611916661</v>
      </c>
      <c r="N230" s="57">
        <f>216.55528483086*Deflactores!$K$5</f>
        <v>463.11041295370705</v>
      </c>
      <c r="O230" s="57">
        <f>245.051440581838*Deflactores!$L$5</f>
        <v>505.22230981038433</v>
      </c>
      <c r="P230" s="57">
        <f>371.392660641713*Deflactores!$M$5</f>
        <v>747.46180864002451</v>
      </c>
      <c r="Q230" s="57">
        <f>372.274060028009*Deflactores!$N$5</f>
        <v>734.97714909006231</v>
      </c>
      <c r="R230" s="57">
        <f>467.855189527166*Deflactores!$O$5</f>
        <v>891.06894399499629</v>
      </c>
      <c r="S230" s="57">
        <f>586.49513975614*Deflactores!$P$5</f>
        <v>1046.2007603881057</v>
      </c>
      <c r="T230" s="57">
        <f>676.717583149837*Deflactores!$Q$5</f>
        <v>1141.5046861072201</v>
      </c>
      <c r="U230" s="57">
        <f>625.359535462737*Deflactores!$R$5</f>
        <v>1013.4235811884221</v>
      </c>
      <c r="V230" s="57">
        <f>609.04947815015*Deflactores!$S$5</f>
        <v>956.57335840554424</v>
      </c>
    </row>
    <row r="231" spans="2:22" x14ac:dyDescent="0.2">
      <c r="C231" s="90" t="s">
        <v>147</v>
      </c>
      <c r="D231" s="58">
        <f>4302.40476531304*Deflactores!$A$5</f>
        <v>15620.134895384241</v>
      </c>
      <c r="E231" s="58">
        <f>5868.88758305294*Deflactores!$B$5</f>
        <v>19793.478016244568</v>
      </c>
      <c r="F231" s="58">
        <f>6937.53686308582*Deflactores!$C$5</f>
        <v>21868.599349458287</v>
      </c>
      <c r="G231" s="58">
        <f>7778.92046149744*Deflactores!$D$5</f>
        <v>23026.112085853089</v>
      </c>
      <c r="H231" s="58">
        <f>9821.15157244827*Deflactores!$E$5</f>
        <v>27556.474732061084</v>
      </c>
      <c r="I231" s="58">
        <f>12956.9539589357*Deflactores!$F$5</f>
        <v>34671.635648679585</v>
      </c>
      <c r="J231" s="58">
        <f>14191.148097639*Deflactores!$G$5</f>
        <v>36346.643493207273</v>
      </c>
      <c r="K231" s="58">
        <f>16080.9183612601*Deflactores!$H$5</f>
        <v>38967.755956979447</v>
      </c>
      <c r="L231" s="58">
        <f>17686.7884981914*Deflactores!$I$5</f>
        <v>39804.409643437662</v>
      </c>
      <c r="M231" s="58">
        <f>18498.8110796449*Deflactores!$J$5</f>
        <v>40814.845041739303</v>
      </c>
      <c r="N231" s="58">
        <f>18133.4686738389*Deflactores!$K$5</f>
        <v>38779.003580465491</v>
      </c>
      <c r="O231" s="58">
        <f>19178.2799618141*Deflactores!$L$5</f>
        <v>39539.840604454912</v>
      </c>
      <c r="P231" s="58">
        <f>21420.6686660447*Deflactores!$M$5</f>
        <v>43111.061257202942</v>
      </c>
      <c r="Q231" s="58">
        <f>25889.586600348*Deflactores!$N$5</f>
        <v>51113.565498526572</v>
      </c>
      <c r="R231" s="58">
        <f>30519.8841919084*Deflactores!$O$5</f>
        <v>58127.646302733388</v>
      </c>
      <c r="S231" s="58">
        <f>30376.0768977747*Deflactores!$P$5</f>
        <v>54185.401708994745</v>
      </c>
      <c r="T231" s="58">
        <f>32365.9531807544*Deflactores!$Q$5</f>
        <v>54595.725227339884</v>
      </c>
      <c r="U231" s="58">
        <f>35099.4123043597*Deflactores!$R$5</f>
        <v>56880.194668771786</v>
      </c>
      <c r="V231" s="58">
        <f>44149.2376913647*Deflactores!$S$5</f>
        <v>69340.810696929708</v>
      </c>
    </row>
    <row r="232" spans="2:22" ht="22.5" customHeight="1" x14ac:dyDescent="0.2">
      <c r="C232" s="89" t="s">
        <v>148</v>
      </c>
      <c r="D232" s="59">
        <f>0*Deflactores!$A$5</f>
        <v>0</v>
      </c>
      <c r="E232" s="59">
        <f>0*Deflactores!$B$5</f>
        <v>0</v>
      </c>
      <c r="F232" s="59">
        <f>0*Deflactores!$C$5</f>
        <v>0</v>
      </c>
      <c r="G232" s="59">
        <f>0*Deflactores!$D$5</f>
        <v>0</v>
      </c>
      <c r="H232" s="59">
        <f>0*Deflactores!$E$5</f>
        <v>0</v>
      </c>
      <c r="I232" s="59">
        <f>0*Deflactores!$F$5</f>
        <v>0</v>
      </c>
      <c r="J232" s="59">
        <f>0*Deflactores!$G$5</f>
        <v>0</v>
      </c>
      <c r="K232" s="59">
        <f>0*Deflactores!$H$5</f>
        <v>0</v>
      </c>
      <c r="L232" s="59">
        <f>0*Deflactores!$I$5</f>
        <v>0</v>
      </c>
      <c r="M232" s="59">
        <f>0*Deflactores!$J$5</f>
        <v>0</v>
      </c>
      <c r="N232" s="59">
        <f>0*Deflactores!$K$5</f>
        <v>0</v>
      </c>
      <c r="O232" s="59">
        <f>0*Deflactores!$L$5</f>
        <v>0</v>
      </c>
      <c r="P232" s="59">
        <f>0*Deflactores!$M$5</f>
        <v>0</v>
      </c>
      <c r="Q232" s="59">
        <f>0*Deflactores!$N$5</f>
        <v>0</v>
      </c>
      <c r="R232" s="59">
        <f>0*Deflactores!$O$5</f>
        <v>0</v>
      </c>
      <c r="S232" s="59">
        <f>0*Deflactores!$P$5</f>
        <v>0</v>
      </c>
      <c r="T232" s="59">
        <f>0*Deflactores!$Q$5</f>
        <v>0</v>
      </c>
      <c r="U232" s="59">
        <f>0.137947055*Deflactores!$R$5</f>
        <v>0.22354947924325105</v>
      </c>
      <c r="V232" s="59">
        <f>120.319795553179*Deflactores!$S$5</f>
        <v>188.97431989359399</v>
      </c>
    </row>
    <row r="233" spans="2:22" x14ac:dyDescent="0.2">
      <c r="C233" s="87" t="s">
        <v>149</v>
      </c>
      <c r="D233" s="56">
        <f>29.8579478772099*Deflactores!$A$5</f>
        <v>108.40104522509664</v>
      </c>
      <c r="E233" s="56">
        <f>22.53363079752*Deflactores!$B$5</f>
        <v>75.997183368243839</v>
      </c>
      <c r="F233" s="56">
        <f>14.8975056967699*Deflactores!$C$5</f>
        <v>46.960122853173978</v>
      </c>
      <c r="G233" s="56">
        <f>17.17418928252*Deflactores!$D$5</f>
        <v>50.836720771256914</v>
      </c>
      <c r="H233" s="56">
        <f>19.03689981666*Deflactores!$E$5</f>
        <v>53.414291074198026</v>
      </c>
      <c r="I233" s="56">
        <f>37.36482751316*Deflactores!$F$5</f>
        <v>99.984895347922972</v>
      </c>
      <c r="J233" s="56">
        <f>30.80633092575*Deflactores!$G$5</f>
        <v>78.901771709245182</v>
      </c>
      <c r="K233" s="56">
        <f>29.04182042413*Deflactores!$H$5</f>
        <v>70.374996341019909</v>
      </c>
      <c r="L233" s="56">
        <f>33.12300703291*Deflactores!$I$5</f>
        <v>74.543874411979118</v>
      </c>
      <c r="M233" s="56">
        <f>39.81617563257*Deflactores!$J$5</f>
        <v>87.848404505637887</v>
      </c>
      <c r="N233" s="56">
        <f>100.30432864258*Deflactores!$K$5</f>
        <v>214.50401958553348</v>
      </c>
      <c r="O233" s="56">
        <f>118.44447543295*Deflactores!$L$5</f>
        <v>244.19685646585594</v>
      </c>
      <c r="P233" s="56">
        <f>101.05325401911*Deflactores!$M$5</f>
        <v>203.37894638944366</v>
      </c>
      <c r="Q233" s="56">
        <f>42.54449896715*Deflactores!$N$5</f>
        <v>83.995201164401266</v>
      </c>
      <c r="R233" s="56">
        <f>62.71793869002*Deflactores!$O$5</f>
        <v>119.45150689584052</v>
      </c>
      <c r="S233" s="56">
        <f>63.74851742266*Deflactores!$P$5</f>
        <v>113.71577167533225</v>
      </c>
      <c r="T233" s="56">
        <f>73.1661942080299*Deflactores!$Q$5</f>
        <v>123.41862489274851</v>
      </c>
      <c r="U233" s="56">
        <f>72.35755169704*Deflactores!$R$5</f>
        <v>117.25870480663691</v>
      </c>
      <c r="V233" s="56">
        <f>73.33571388322*Deflactores!$S$5</f>
        <v>115.18110208945194</v>
      </c>
    </row>
    <row r="234" spans="2:22" x14ac:dyDescent="0.2">
      <c r="C234" s="88" t="s">
        <v>150</v>
      </c>
      <c r="D234" s="57">
        <f>356.716072507359*Deflactores!$A$5</f>
        <v>1295.0787933387762</v>
      </c>
      <c r="E234" s="57">
        <f>727.986426880229*Deflactores!$B$5</f>
        <v>2455.2154275687494</v>
      </c>
      <c r="F234" s="57">
        <f>362.60876154299*Deflactores!$C$5</f>
        <v>1143.0203375178537</v>
      </c>
      <c r="G234" s="57">
        <f>341.77079727025*Deflactores!$D$5</f>
        <v>1011.6638580594566</v>
      </c>
      <c r="H234" s="57">
        <f>559.968090455169*Deflactores!$E$5</f>
        <v>1571.1748690119948</v>
      </c>
      <c r="I234" s="57">
        <f>883.08100193498*Deflactores!$F$5</f>
        <v>2363.0448054687331</v>
      </c>
      <c r="J234" s="57">
        <f>1152.44643862528*Deflactores!$G$5</f>
        <v>2951.6681498587363</v>
      </c>
      <c r="K234" s="57">
        <f>1718.53702732015*Deflactores!$H$5</f>
        <v>4164.4096424849304</v>
      </c>
      <c r="L234" s="57">
        <f>1374.13299695833*Deflactores!$I$5</f>
        <v>3092.5090058654323</v>
      </c>
      <c r="M234" s="57">
        <f>2133.68586385502*Deflactores!$J$5</f>
        <v>4707.6570232568702</v>
      </c>
      <c r="N234" s="57">
        <f>2094.27005866145*Deflactores!$K$5</f>
        <v>4478.6636006634963</v>
      </c>
      <c r="O234" s="57">
        <f>3311.09300661934*Deflactores!$L$5</f>
        <v>6826.4771381442579</v>
      </c>
      <c r="P234" s="57">
        <f>5217.51188100658*Deflactores!$M$5</f>
        <v>10500.721420933696</v>
      </c>
      <c r="Q234" s="57">
        <f>5195.3265467632*Deflactores!$N$5</f>
        <v>10257.083970998798</v>
      </c>
      <c r="R234" s="57">
        <f>4924.34952666584*Deflactores!$O$5</f>
        <v>9378.8313794766709</v>
      </c>
      <c r="S234" s="57">
        <f>4165.20909065521*Deflactores!$P$5</f>
        <v>7429.9761795652821</v>
      </c>
      <c r="T234" s="57">
        <f>2917.32986171863*Deflactores!$Q$5</f>
        <v>4921.0273103469699</v>
      </c>
      <c r="U234" s="57">
        <f>2504.14792713104*Deflactores!$R$5</f>
        <v>4058.0856550957938</v>
      </c>
      <c r="V234" s="57">
        <f>2300.13250220533*Deflactores!$S$5</f>
        <v>3612.5890446455164</v>
      </c>
    </row>
    <row r="235" spans="2:22" x14ac:dyDescent="0.2">
      <c r="C235" s="87" t="s">
        <v>151</v>
      </c>
      <c r="D235" s="56">
        <f>77.86727215901*Deflactores!$A$5</f>
        <v>282.7017357514564</v>
      </c>
      <c r="E235" s="56">
        <f>39.32383661224*Deflactores!$B$5</f>
        <v>132.6240253342649</v>
      </c>
      <c r="F235" s="56">
        <f>72.92030603935*Deflactores!$C$5</f>
        <v>229.86039406861195</v>
      </c>
      <c r="G235" s="56">
        <f>51.2757556073*Deflactores!$D$5</f>
        <v>151.77958197983926</v>
      </c>
      <c r="H235" s="56">
        <f>18.88626598919*Deflactores!$E$5</f>
        <v>52.991638269193416</v>
      </c>
      <c r="I235" s="56">
        <f>31.16586500318*Deflactores!$F$5</f>
        <v>83.39703293620029</v>
      </c>
      <c r="J235" s="56">
        <f>118.88193252504*Deflactores!$G$5</f>
        <v>304.48270918897924</v>
      </c>
      <c r="K235" s="56">
        <f>289.18471412849*Deflactores!$H$5</f>
        <v>700.76093376577762</v>
      </c>
      <c r="L235" s="56">
        <f>211.56625805128*Deflactores!$I$5</f>
        <v>476.13335813132636</v>
      </c>
      <c r="M235" s="56">
        <f>247.00716585591*Deflactores!$J$5</f>
        <v>544.98416980437048</v>
      </c>
      <c r="N235" s="56">
        <f>184.41300274062*Deflactores!$K$5</f>
        <v>394.37311317498398</v>
      </c>
      <c r="O235" s="56">
        <f>790.50118307173*Deflactores!$L$5</f>
        <v>1629.7754980385978</v>
      </c>
      <c r="P235" s="56">
        <f>2083.90812294276*Deflactores!$M$5</f>
        <v>4194.0563174378667</v>
      </c>
      <c r="Q235" s="56">
        <f>2012.63460090615*Deflactores!$N$5</f>
        <v>3973.5254210909106</v>
      </c>
      <c r="R235" s="56">
        <f>2229.53886662889*Deflactores!$O$5</f>
        <v>4246.3413636399346</v>
      </c>
      <c r="S235" s="56">
        <f>2130.09994283383*Deflactores!$P$5</f>
        <v>3799.7112487957038</v>
      </c>
      <c r="T235" s="56">
        <f>2067.46919018956*Deflactores!$Q$5</f>
        <v>3487.4603937417291</v>
      </c>
      <c r="U235" s="56">
        <f>2294.6695789907*Deflactores!$R$5</f>
        <v>3718.6164606319508</v>
      </c>
      <c r="V235" s="56">
        <f>2303.41686545827*Deflactores!$S$5</f>
        <v>3617.7474669080734</v>
      </c>
    </row>
    <row r="236" spans="2:22" x14ac:dyDescent="0.2">
      <c r="C236" s="79" t="s">
        <v>152</v>
      </c>
      <c r="D236" s="44">
        <f t="shared" ref="D236:V236" si="63">+SUM(D207:D235)</f>
        <v>84685.055040090927</v>
      </c>
      <c r="E236" s="44">
        <f t="shared" si="63"/>
        <v>104234.47424931827</v>
      </c>
      <c r="F236" s="44">
        <f t="shared" si="63"/>
        <v>100418.72957328918</v>
      </c>
      <c r="G236" s="44">
        <f t="shared" si="63"/>
        <v>101993.13470671745</v>
      </c>
      <c r="H236" s="44">
        <f t="shared" si="63"/>
        <v>112825.91651881843</v>
      </c>
      <c r="I236" s="44">
        <f t="shared" si="63"/>
        <v>127956.02592192515</v>
      </c>
      <c r="J236" s="44">
        <f t="shared" si="63"/>
        <v>133680.67945849779</v>
      </c>
      <c r="K236" s="44">
        <f t="shared" si="63"/>
        <v>150326.56127155654</v>
      </c>
      <c r="L236" s="44">
        <f t="shared" si="63"/>
        <v>156750.42853823304</v>
      </c>
      <c r="M236" s="44">
        <f t="shared" si="63"/>
        <v>176634.89729379991</v>
      </c>
      <c r="N236" s="44">
        <f t="shared" si="63"/>
        <v>170266.40256364291</v>
      </c>
      <c r="O236" s="44">
        <f t="shared" si="63"/>
        <v>180299.7697650661</v>
      </c>
      <c r="P236" s="44">
        <f t="shared" si="63"/>
        <v>193982.80405324869</v>
      </c>
      <c r="Q236" s="44">
        <f t="shared" si="63"/>
        <v>216402.77637512912</v>
      </c>
      <c r="R236" s="44">
        <f t="shared" si="63"/>
        <v>232645.29276177025</v>
      </c>
      <c r="S236" s="44">
        <f t="shared" si="63"/>
        <v>230243.30923165119</v>
      </c>
      <c r="T236" s="44">
        <f t="shared" si="63"/>
        <v>224031.99939824382</v>
      </c>
      <c r="U236" s="44">
        <f t="shared" si="63"/>
        <v>238827.16523609924</v>
      </c>
      <c r="V236" s="44">
        <f t="shared" si="63"/>
        <v>244350.82312873183</v>
      </c>
    </row>
    <row r="237" spans="2:22" x14ac:dyDescent="0.2">
      <c r="C237" s="1" t="s">
        <v>52</v>
      </c>
      <c r="D237" s="12"/>
      <c r="E237" s="12"/>
      <c r="F237" s="12"/>
      <c r="G237" s="12"/>
      <c r="H237" s="13"/>
      <c r="I237" s="13"/>
      <c r="J237" s="13"/>
      <c r="K237" s="13"/>
      <c r="L237" s="13"/>
      <c r="M237" s="13"/>
      <c r="N237" s="13"/>
      <c r="O237" s="13"/>
      <c r="P237" s="13"/>
      <c r="Q237" s="13"/>
      <c r="R237" s="13"/>
      <c r="S237" s="13"/>
      <c r="T237" s="13"/>
      <c r="U237" s="13"/>
    </row>
    <row r="238" spans="2:22" x14ac:dyDescent="0.2">
      <c r="C238" s="2"/>
      <c r="D238" s="12"/>
      <c r="E238" s="12"/>
      <c r="F238" s="12"/>
      <c r="G238" s="12"/>
      <c r="H238" s="13"/>
      <c r="I238" s="13"/>
      <c r="J238" s="13"/>
      <c r="K238" s="13"/>
      <c r="L238" s="13"/>
      <c r="M238" s="13"/>
      <c r="N238" s="13"/>
      <c r="O238" s="13"/>
      <c r="P238" s="13"/>
      <c r="Q238" s="13"/>
      <c r="R238" s="13"/>
      <c r="S238" s="13"/>
      <c r="T238" s="13"/>
      <c r="U238" s="13"/>
    </row>
    <row r="239" spans="2:22" x14ac:dyDescent="0.2">
      <c r="B239" s="9"/>
    </row>
    <row r="242" spans="3:22" ht="18" customHeight="1" x14ac:dyDescent="0.2">
      <c r="D242" s="160" t="s">
        <v>170</v>
      </c>
      <c r="E242" s="158"/>
      <c r="F242" s="158"/>
      <c r="G242" s="158"/>
      <c r="H242" s="158"/>
      <c r="I242" s="158"/>
      <c r="J242" s="158"/>
      <c r="K242" s="158"/>
      <c r="L242" s="158"/>
      <c r="M242" s="158"/>
      <c r="N242" s="158"/>
      <c r="O242" s="158"/>
      <c r="P242" s="158"/>
      <c r="Q242" s="158"/>
      <c r="R242" s="158"/>
      <c r="S242" s="158"/>
      <c r="T242" s="158"/>
      <c r="U242" s="158"/>
      <c r="V242" s="158"/>
    </row>
    <row r="243" spans="3:22" ht="2.25" customHeight="1" x14ac:dyDescent="0.2">
      <c r="H243" s="27"/>
      <c r="I243" s="27"/>
      <c r="J243" s="27"/>
      <c r="L243" s="175"/>
      <c r="M243" s="158"/>
      <c r="N243" s="158"/>
      <c r="O243" s="158"/>
      <c r="P243" s="158"/>
      <c r="Q243" s="158"/>
      <c r="R243" s="28"/>
      <c r="S243" s="28"/>
      <c r="T243" s="28"/>
      <c r="U243" s="28"/>
      <c r="V243" s="28"/>
    </row>
    <row r="244" spans="3:22" x14ac:dyDescent="0.2"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</row>
    <row r="245" spans="3:22" ht="13.5" customHeight="1" x14ac:dyDescent="0.2">
      <c r="C245" s="177" t="s">
        <v>120</v>
      </c>
      <c r="D245" s="180">
        <v>2000</v>
      </c>
      <c r="E245" s="153">
        <v>2001</v>
      </c>
      <c r="F245" s="153">
        <v>2002</v>
      </c>
      <c r="G245" s="153">
        <v>2003</v>
      </c>
      <c r="H245" s="153">
        <v>2004</v>
      </c>
      <c r="I245" s="153">
        <v>2005</v>
      </c>
      <c r="J245" s="153">
        <v>2006</v>
      </c>
      <c r="K245" s="153">
        <v>2007</v>
      </c>
      <c r="L245" s="153">
        <v>2008</v>
      </c>
      <c r="M245" s="153">
        <v>2009</v>
      </c>
      <c r="N245" s="153">
        <v>2010</v>
      </c>
      <c r="O245" s="153">
        <v>2011</v>
      </c>
      <c r="P245" s="153">
        <v>2012</v>
      </c>
      <c r="Q245" s="153">
        <v>2013</v>
      </c>
      <c r="R245" s="153">
        <v>2014</v>
      </c>
      <c r="S245" s="153">
        <v>2015</v>
      </c>
      <c r="T245" s="153">
        <v>2016</v>
      </c>
      <c r="U245" s="153">
        <v>2017</v>
      </c>
      <c r="V245" s="153">
        <v>2018</v>
      </c>
    </row>
    <row r="246" spans="3:22" ht="12" customHeight="1" thickBot="1" x14ac:dyDescent="0.25">
      <c r="C246" s="156"/>
      <c r="D246" s="181"/>
      <c r="E246" s="154"/>
      <c r="F246" s="154"/>
      <c r="G246" s="154"/>
      <c r="H246" s="154"/>
      <c r="I246" s="154"/>
      <c r="J246" s="154"/>
      <c r="K246" s="154"/>
      <c r="L246" s="154"/>
      <c r="M246" s="154"/>
      <c r="N246" s="154"/>
      <c r="O246" s="154"/>
      <c r="P246" s="154"/>
      <c r="Q246" s="154"/>
      <c r="R246" s="154"/>
      <c r="S246" s="154"/>
      <c r="T246" s="154"/>
      <c r="U246" s="154"/>
      <c r="V246" s="154"/>
    </row>
    <row r="247" spans="3:22" x14ac:dyDescent="0.2">
      <c r="C247" s="87" t="s">
        <v>123</v>
      </c>
      <c r="D247" s="60">
        <f t="shared" ref="D247:V247" si="64">+IFERROR(IF(D207&gt;0,+((D207/D13)*100)," "),"")</f>
        <v>60.558432039761676</v>
      </c>
      <c r="E247" s="60">
        <f t="shared" si="64"/>
        <v>64.134939515966764</v>
      </c>
      <c r="F247" s="60">
        <f t="shared" si="64"/>
        <v>57.448225412780573</v>
      </c>
      <c r="G247" s="60">
        <f t="shared" si="64"/>
        <v>66.04440873902729</v>
      </c>
      <c r="H247" s="60">
        <f t="shared" si="64"/>
        <v>66.909137146283442</v>
      </c>
      <c r="I247" s="60">
        <f t="shared" si="64"/>
        <v>72.499796093908301</v>
      </c>
      <c r="J247" s="60">
        <f t="shared" si="64"/>
        <v>78.843525054228323</v>
      </c>
      <c r="K247" s="60">
        <f t="shared" si="64"/>
        <v>88.962707240891277</v>
      </c>
      <c r="L247" s="60">
        <f t="shared" si="64"/>
        <v>91.742175995044832</v>
      </c>
      <c r="M247" s="60">
        <f t="shared" si="64"/>
        <v>76.693135861223283</v>
      </c>
      <c r="N247" s="60">
        <f t="shared" si="64"/>
        <v>77.322011278952814</v>
      </c>
      <c r="O247" s="60">
        <f t="shared" si="64"/>
        <v>77.887072035724117</v>
      </c>
      <c r="P247" s="60">
        <f t="shared" si="64"/>
        <v>61.651832678426452</v>
      </c>
      <c r="Q247" s="60">
        <f t="shared" si="64"/>
        <v>67.748590295107448</v>
      </c>
      <c r="R247" s="60">
        <f t="shared" si="64"/>
        <v>56.59650072844854</v>
      </c>
      <c r="S247" s="60">
        <f t="shared" si="64"/>
        <v>58.667362524820831</v>
      </c>
      <c r="T247" s="60">
        <f t="shared" si="64"/>
        <v>49.793220941475575</v>
      </c>
      <c r="U247" s="60">
        <f t="shared" si="64"/>
        <v>60.179376714732143</v>
      </c>
      <c r="V247" s="60">
        <f t="shared" si="64"/>
        <v>59.671461937919602</v>
      </c>
    </row>
    <row r="248" spans="3:22" x14ac:dyDescent="0.2">
      <c r="C248" s="88" t="s">
        <v>124</v>
      </c>
      <c r="D248" s="62">
        <f t="shared" ref="D248:V248" si="65">+IFERROR(IF(D208&gt;0,+((D208/D14)*100)," "),"")</f>
        <v>61.526473698861182</v>
      </c>
      <c r="E248" s="62">
        <f t="shared" si="65"/>
        <v>73.129208761288496</v>
      </c>
      <c r="F248" s="62">
        <f t="shared" si="65"/>
        <v>68.450297627886798</v>
      </c>
      <c r="G248" s="62">
        <f t="shared" si="65"/>
        <v>64.167827009030901</v>
      </c>
      <c r="H248" s="62">
        <f t="shared" si="65"/>
        <v>40.091705178063044</v>
      </c>
      <c r="I248" s="62">
        <f t="shared" si="65"/>
        <v>52.223646494217704</v>
      </c>
      <c r="J248" s="62">
        <f t="shared" si="65"/>
        <v>45.794648712121052</v>
      </c>
      <c r="K248" s="62">
        <f t="shared" si="65"/>
        <v>81.022714849805283</v>
      </c>
      <c r="L248" s="62">
        <f t="shared" si="65"/>
        <v>79.7197265409403</v>
      </c>
      <c r="M248" s="62">
        <f t="shared" si="65"/>
        <v>79.535760351874842</v>
      </c>
      <c r="N248" s="62">
        <f t="shared" si="65"/>
        <v>83.973858605713588</v>
      </c>
      <c r="O248" s="62">
        <f t="shared" si="65"/>
        <v>95.165061762173679</v>
      </c>
      <c r="P248" s="62">
        <f t="shared" si="65"/>
        <v>75.695719488073678</v>
      </c>
      <c r="Q248" s="62">
        <f t="shared" si="65"/>
        <v>65.948380313132176</v>
      </c>
      <c r="R248" s="62">
        <f t="shared" si="65"/>
        <v>70.967390417052911</v>
      </c>
      <c r="S248" s="62">
        <f t="shared" si="65"/>
        <v>63.056250385466626</v>
      </c>
      <c r="T248" s="62">
        <f t="shared" si="65"/>
        <v>63.761273591394819</v>
      </c>
      <c r="U248" s="62">
        <f t="shared" si="65"/>
        <v>66.260697931766586</v>
      </c>
      <c r="V248" s="62">
        <f t="shared" si="65"/>
        <v>73.452753969334054</v>
      </c>
    </row>
    <row r="249" spans="3:22" x14ac:dyDescent="0.2">
      <c r="C249" s="87" t="s">
        <v>125</v>
      </c>
      <c r="D249" s="60">
        <f t="shared" ref="D249:V249" si="66">+IFERROR(IF(D209&gt;0,+((D209/D15)*100)," "),"")</f>
        <v>69.628415835971552</v>
      </c>
      <c r="E249" s="60">
        <f t="shared" si="66"/>
        <v>54.318139080053953</v>
      </c>
      <c r="F249" s="60">
        <f t="shared" si="66"/>
        <v>32.139050436040577</v>
      </c>
      <c r="G249" s="60">
        <f t="shared" si="66"/>
        <v>31.464833281295778</v>
      </c>
      <c r="H249" s="60">
        <f t="shared" si="66"/>
        <v>59.40229913763261</v>
      </c>
      <c r="I249" s="60">
        <f t="shared" si="66"/>
        <v>55.22782501762277</v>
      </c>
      <c r="J249" s="60">
        <f t="shared" si="66"/>
        <v>51.654442797752687</v>
      </c>
      <c r="K249" s="60">
        <f t="shared" si="66"/>
        <v>75.162586471605778</v>
      </c>
      <c r="L249" s="60">
        <f t="shared" si="66"/>
        <v>65.866731564466917</v>
      </c>
      <c r="M249" s="60">
        <f t="shared" si="66"/>
        <v>39.686104806792429</v>
      </c>
      <c r="N249" s="60">
        <f t="shared" si="66"/>
        <v>61.838903263282837</v>
      </c>
      <c r="O249" s="60">
        <f t="shared" si="66"/>
        <v>61.729374805515526</v>
      </c>
      <c r="P249" s="60">
        <f t="shared" si="66"/>
        <v>73.926304972042956</v>
      </c>
      <c r="Q249" s="60">
        <f t="shared" si="66"/>
        <v>86.366437864929907</v>
      </c>
      <c r="R249" s="60">
        <f t="shared" si="66"/>
        <v>79.652372022857975</v>
      </c>
      <c r="S249" s="60">
        <f t="shared" si="66"/>
        <v>50.22951973257598</v>
      </c>
      <c r="T249" s="60">
        <f t="shared" si="66"/>
        <v>79.50028603256149</v>
      </c>
      <c r="U249" s="60">
        <f t="shared" si="66"/>
        <v>88.303703006560724</v>
      </c>
      <c r="V249" s="60">
        <f t="shared" si="66"/>
        <v>62.015615686145033</v>
      </c>
    </row>
    <row r="250" spans="3:22" x14ac:dyDescent="0.2">
      <c r="C250" s="88" t="s">
        <v>126</v>
      </c>
      <c r="D250" s="62">
        <f t="shared" ref="D250:V250" si="67">+IFERROR(IF(D210&gt;0,+((D210/D16)*100)," "),"")</f>
        <v>46.880682319222402</v>
      </c>
      <c r="E250" s="62">
        <f t="shared" si="67"/>
        <v>58.235305738613732</v>
      </c>
      <c r="F250" s="62">
        <f t="shared" si="67"/>
        <v>51.772486518118868</v>
      </c>
      <c r="G250" s="62">
        <f t="shared" si="67"/>
        <v>71.321261180946863</v>
      </c>
      <c r="H250" s="62">
        <f t="shared" si="67"/>
        <v>75.397286945014102</v>
      </c>
      <c r="I250" s="62">
        <f t="shared" si="67"/>
        <v>77.617334114200958</v>
      </c>
      <c r="J250" s="62">
        <f t="shared" si="67"/>
        <v>68.246512743157965</v>
      </c>
      <c r="K250" s="62">
        <f t="shared" si="67"/>
        <v>85.25122956347218</v>
      </c>
      <c r="L250" s="62">
        <f t="shared" si="67"/>
        <v>85.338131432709702</v>
      </c>
      <c r="M250" s="62">
        <f t="shared" si="67"/>
        <v>76.552403909072439</v>
      </c>
      <c r="N250" s="62">
        <f t="shared" si="67"/>
        <v>74.710143463753937</v>
      </c>
      <c r="O250" s="62">
        <f t="shared" si="67"/>
        <v>90.38184132326947</v>
      </c>
      <c r="P250" s="62">
        <f t="shared" si="67"/>
        <v>89.06366553598788</v>
      </c>
      <c r="Q250" s="62">
        <f t="shared" si="67"/>
        <v>69.795703661022813</v>
      </c>
      <c r="R250" s="62">
        <f t="shared" si="67"/>
        <v>73.278895614592727</v>
      </c>
      <c r="S250" s="62">
        <f t="shared" si="67"/>
        <v>74.438850579404729</v>
      </c>
      <c r="T250" s="62">
        <f t="shared" si="67"/>
        <v>73.809002502129061</v>
      </c>
      <c r="U250" s="62">
        <f t="shared" si="67"/>
        <v>71.889167769465146</v>
      </c>
      <c r="V250" s="62">
        <f t="shared" si="67"/>
        <v>83.413838878747399</v>
      </c>
    </row>
    <row r="251" spans="3:22" x14ac:dyDescent="0.2">
      <c r="C251" s="87" t="s">
        <v>127</v>
      </c>
      <c r="D251" s="60">
        <f t="shared" ref="D251:V251" si="68">+IFERROR(IF(D211&gt;0,+((D211/D17)*100)," "),"")</f>
        <v>83.645771919463243</v>
      </c>
      <c r="E251" s="60">
        <f t="shared" si="68"/>
        <v>79.068846529736561</v>
      </c>
      <c r="F251" s="60">
        <f t="shared" si="68"/>
        <v>93.294313025223673</v>
      </c>
      <c r="G251" s="60">
        <f t="shared" si="68"/>
        <v>87.723321854074712</v>
      </c>
      <c r="H251" s="60">
        <f t="shared" si="68"/>
        <v>92.166551913861099</v>
      </c>
      <c r="I251" s="60">
        <f t="shared" si="68"/>
        <v>93.607985295995618</v>
      </c>
      <c r="J251" s="60">
        <f t="shared" si="68"/>
        <v>91.06355261593248</v>
      </c>
      <c r="K251" s="60">
        <f t="shared" si="68"/>
        <v>97.002818481250415</v>
      </c>
      <c r="L251" s="60">
        <f t="shared" si="68"/>
        <v>92.736766616361948</v>
      </c>
      <c r="M251" s="60">
        <f t="shared" si="68"/>
        <v>93.293641117560711</v>
      </c>
      <c r="N251" s="60">
        <f t="shared" si="68"/>
        <v>93.620951287597237</v>
      </c>
      <c r="O251" s="60">
        <f t="shared" si="68"/>
        <v>85.84881792754507</v>
      </c>
      <c r="P251" s="60">
        <f t="shared" si="68"/>
        <v>86.721928890449234</v>
      </c>
      <c r="Q251" s="60">
        <f t="shared" si="68"/>
        <v>88.006353443457584</v>
      </c>
      <c r="R251" s="60">
        <f t="shared" si="68"/>
        <v>93.139272443582513</v>
      </c>
      <c r="S251" s="60">
        <f t="shared" si="68"/>
        <v>94.495492583143104</v>
      </c>
      <c r="T251" s="60">
        <f t="shared" si="68"/>
        <v>95.81251351996994</v>
      </c>
      <c r="U251" s="60">
        <f t="shared" si="68"/>
        <v>94.480314855932875</v>
      </c>
      <c r="V251" s="60">
        <f t="shared" si="68"/>
        <v>92.267871381005762</v>
      </c>
    </row>
    <row r="252" spans="3:22" x14ac:dyDescent="0.2">
      <c r="C252" s="88" t="s">
        <v>128</v>
      </c>
      <c r="D252" s="62">
        <f t="shared" ref="D252:V252" si="69">+IFERROR(IF(D212&gt;0,+((D212/D18)*100)," "),"")</f>
        <v>57.193312444304603</v>
      </c>
      <c r="E252" s="62">
        <f t="shared" si="69"/>
        <v>76.228386395434995</v>
      </c>
      <c r="F252" s="62">
        <f t="shared" si="69"/>
        <v>66.386158174499883</v>
      </c>
      <c r="G252" s="62">
        <f t="shared" si="69"/>
        <v>76.235976161791967</v>
      </c>
      <c r="H252" s="62">
        <f t="shared" si="69"/>
        <v>71.143325487500263</v>
      </c>
      <c r="I252" s="62">
        <f t="shared" si="69"/>
        <v>82.021559741683348</v>
      </c>
      <c r="J252" s="62">
        <f t="shared" si="69"/>
        <v>84.908128720975483</v>
      </c>
      <c r="K252" s="62">
        <f t="shared" si="69"/>
        <v>79.511451805535202</v>
      </c>
      <c r="L252" s="62">
        <f t="shared" si="69"/>
        <v>81.026293630795152</v>
      </c>
      <c r="M252" s="62">
        <f t="shared" si="69"/>
        <v>82.768226569274532</v>
      </c>
      <c r="N252" s="62">
        <f t="shared" si="69"/>
        <v>86.094885673517965</v>
      </c>
      <c r="O252" s="62">
        <f t="shared" si="69"/>
        <v>84.689982796359914</v>
      </c>
      <c r="P252" s="62">
        <f t="shared" si="69"/>
        <v>79.480413978268558</v>
      </c>
      <c r="Q252" s="62">
        <f t="shared" si="69"/>
        <v>84.508733288464441</v>
      </c>
      <c r="R252" s="62">
        <f t="shared" si="69"/>
        <v>87.350208238991044</v>
      </c>
      <c r="S252" s="62">
        <f t="shared" si="69"/>
        <v>83.813665331567492</v>
      </c>
      <c r="T252" s="62">
        <f t="shared" si="69"/>
        <v>80.909491033883143</v>
      </c>
      <c r="U252" s="62">
        <f t="shared" si="69"/>
        <v>79.143946452971335</v>
      </c>
      <c r="V252" s="62">
        <f t="shared" si="69"/>
        <v>89.90966502679241</v>
      </c>
    </row>
    <row r="253" spans="3:22" x14ac:dyDescent="0.2">
      <c r="C253" s="87" t="s">
        <v>129</v>
      </c>
      <c r="D253" s="60">
        <f t="shared" ref="D253:V253" si="70">+IFERROR(IF(D213&gt;0,+((D213/D19)*100)," "),"")</f>
        <v>84.768108700095169</v>
      </c>
      <c r="E253" s="60">
        <f t="shared" si="70"/>
        <v>87.275678255743401</v>
      </c>
      <c r="F253" s="60">
        <f t="shared" si="70"/>
        <v>84.653931946080277</v>
      </c>
      <c r="G253" s="60">
        <f t="shared" si="70"/>
        <v>84.869930804148524</v>
      </c>
      <c r="H253" s="60">
        <f t="shared" si="70"/>
        <v>82.267660258211407</v>
      </c>
      <c r="I253" s="60">
        <f t="shared" si="70"/>
        <v>85.69346208571352</v>
      </c>
      <c r="J253" s="60">
        <f t="shared" si="70"/>
        <v>88.981984867179165</v>
      </c>
      <c r="K253" s="60">
        <f t="shared" si="70"/>
        <v>94.022601263818927</v>
      </c>
      <c r="L253" s="60">
        <f t="shared" si="70"/>
        <v>94.014198707444791</v>
      </c>
      <c r="M253" s="60">
        <f t="shared" si="70"/>
        <v>90.235940472045783</v>
      </c>
      <c r="N253" s="60">
        <f t="shared" si="70"/>
        <v>91.125413638967615</v>
      </c>
      <c r="O253" s="60">
        <f t="shared" si="70"/>
        <v>92.596015552954398</v>
      </c>
      <c r="P253" s="60">
        <f t="shared" si="70"/>
        <v>93.621841137820923</v>
      </c>
      <c r="Q253" s="60">
        <f t="shared" si="70"/>
        <v>93.479915371663211</v>
      </c>
      <c r="R253" s="60">
        <f t="shared" si="70"/>
        <v>92.463627557191614</v>
      </c>
      <c r="S253" s="60">
        <f t="shared" si="70"/>
        <v>92.979049699658987</v>
      </c>
      <c r="T253" s="60">
        <f t="shared" si="70"/>
        <v>92.6876491219694</v>
      </c>
      <c r="U253" s="60">
        <f t="shared" si="70"/>
        <v>93.785006252944058</v>
      </c>
      <c r="V253" s="60">
        <f t="shared" si="70"/>
        <v>95.395462852346441</v>
      </c>
    </row>
    <row r="254" spans="3:22" x14ac:dyDescent="0.2">
      <c r="C254" s="88" t="s">
        <v>130</v>
      </c>
      <c r="D254" s="62">
        <f t="shared" ref="D254:V254" si="71">+IFERROR(IF(D214&gt;0,+((D214/D20)*100)," "),"")</f>
        <v>49.846533535385987</v>
      </c>
      <c r="E254" s="62">
        <f t="shared" si="71"/>
        <v>61.031837970936955</v>
      </c>
      <c r="F254" s="62">
        <f t="shared" si="71"/>
        <v>41.590071396535777</v>
      </c>
      <c r="G254" s="62">
        <f t="shared" si="71"/>
        <v>57.443918420146609</v>
      </c>
      <c r="H254" s="62">
        <f t="shared" si="71"/>
        <v>85.279947383371663</v>
      </c>
      <c r="I254" s="62">
        <f t="shared" si="71"/>
        <v>88.019347087528459</v>
      </c>
      <c r="J254" s="62">
        <f t="shared" si="71"/>
        <v>92.08985617517456</v>
      </c>
      <c r="K254" s="62">
        <f t="shared" si="71"/>
        <v>85.864475394041776</v>
      </c>
      <c r="L254" s="62">
        <f t="shared" si="71"/>
        <v>91.983978137339989</v>
      </c>
      <c r="M254" s="62">
        <f t="shared" si="71"/>
        <v>84.519284728193824</v>
      </c>
      <c r="N254" s="62">
        <f t="shared" si="71"/>
        <v>87.013998559773697</v>
      </c>
      <c r="O254" s="62">
        <f t="shared" si="71"/>
        <v>81.617449774145214</v>
      </c>
      <c r="P254" s="62">
        <f t="shared" si="71"/>
        <v>62.891495082618654</v>
      </c>
      <c r="Q254" s="62">
        <f t="shared" si="71"/>
        <v>71.506263902798068</v>
      </c>
      <c r="R254" s="62">
        <f t="shared" si="71"/>
        <v>70.965776838655188</v>
      </c>
      <c r="S254" s="62">
        <f t="shared" si="71"/>
        <v>80.725902740907074</v>
      </c>
      <c r="T254" s="62">
        <f t="shared" si="71"/>
        <v>54.99737720867104</v>
      </c>
      <c r="U254" s="62">
        <f t="shared" si="71"/>
        <v>60.760628225669144</v>
      </c>
      <c r="V254" s="62">
        <f t="shared" si="71"/>
        <v>70.786797847004777</v>
      </c>
    </row>
    <row r="255" spans="3:22" x14ac:dyDescent="0.2">
      <c r="C255" s="87" t="s">
        <v>131</v>
      </c>
      <c r="D255" s="60">
        <f t="shared" ref="D255:V255" si="72">+IFERROR(IF(D215&gt;0,+((D215/D21)*100)," "),"")</f>
        <v>88.50515733010576</v>
      </c>
      <c r="E255" s="60">
        <f t="shared" si="72"/>
        <v>95.339107732018974</v>
      </c>
      <c r="F255" s="60">
        <f t="shared" si="72"/>
        <v>94.452671658127613</v>
      </c>
      <c r="G255" s="60">
        <f t="shared" si="72"/>
        <v>95.529951461301792</v>
      </c>
      <c r="H255" s="60">
        <f t="shared" si="72"/>
        <v>96.292341322352129</v>
      </c>
      <c r="I255" s="60">
        <f t="shared" si="72"/>
        <v>97.519017059970906</v>
      </c>
      <c r="J255" s="60">
        <f t="shared" si="72"/>
        <v>97.216001469560112</v>
      </c>
      <c r="K255" s="60">
        <f t="shared" si="72"/>
        <v>98.47927445091814</v>
      </c>
      <c r="L255" s="60">
        <f t="shared" si="72"/>
        <v>95.799197880510363</v>
      </c>
      <c r="M255" s="60">
        <f t="shared" si="72"/>
        <v>96.880497229958735</v>
      </c>
      <c r="N255" s="60">
        <f t="shared" si="72"/>
        <v>95.280005616061374</v>
      </c>
      <c r="O255" s="60">
        <f t="shared" si="72"/>
        <v>97.590296623643042</v>
      </c>
      <c r="P255" s="60">
        <f t="shared" si="72"/>
        <v>95.510494092177538</v>
      </c>
      <c r="Q255" s="60">
        <f t="shared" si="72"/>
        <v>97.009600513432616</v>
      </c>
      <c r="R255" s="60">
        <f t="shared" si="72"/>
        <v>96.839076116119045</v>
      </c>
      <c r="S255" s="60">
        <f t="shared" si="72"/>
        <v>98.808608717103965</v>
      </c>
      <c r="T255" s="60">
        <f t="shared" si="72"/>
        <v>98.236007416761993</v>
      </c>
      <c r="U255" s="60">
        <f t="shared" si="72"/>
        <v>99.344088065511457</v>
      </c>
      <c r="V255" s="60">
        <f t="shared" si="72"/>
        <v>99.06401383247939</v>
      </c>
    </row>
    <row r="256" spans="3:22" x14ac:dyDescent="0.2">
      <c r="C256" s="88" t="s">
        <v>132</v>
      </c>
      <c r="D256" s="62">
        <f t="shared" ref="D256:V256" si="73">+IFERROR(IF(D216&gt;0,+((D216/D22)*100)," "),"")</f>
        <v>89.576768831390837</v>
      </c>
      <c r="E256" s="62">
        <f t="shared" si="73"/>
        <v>93.308450495912481</v>
      </c>
      <c r="F256" s="62">
        <f t="shared" si="73"/>
        <v>93.58055210283537</v>
      </c>
      <c r="G256" s="62">
        <f t="shared" si="73"/>
        <v>89.083224537274489</v>
      </c>
      <c r="H256" s="62">
        <f t="shared" si="73"/>
        <v>75.633966708202578</v>
      </c>
      <c r="I256" s="62">
        <f t="shared" si="73"/>
        <v>50.766885935465965</v>
      </c>
      <c r="J256" s="62">
        <f t="shared" si="73"/>
        <v>82.110286808680215</v>
      </c>
      <c r="K256" s="62">
        <f t="shared" si="73"/>
        <v>78.563660894055914</v>
      </c>
      <c r="L256" s="62">
        <f t="shared" si="73"/>
        <v>83.256939029554289</v>
      </c>
      <c r="M256" s="62">
        <f t="shared" si="73"/>
        <v>83.802866820472389</v>
      </c>
      <c r="N256" s="62">
        <f t="shared" si="73"/>
        <v>67.88743483517041</v>
      </c>
      <c r="O256" s="62">
        <f t="shared" si="73"/>
        <v>79.579608102393976</v>
      </c>
      <c r="P256" s="62">
        <f t="shared" si="73"/>
        <v>87.751199258943245</v>
      </c>
      <c r="Q256" s="62">
        <f t="shared" si="73"/>
        <v>90.412716448276171</v>
      </c>
      <c r="R256" s="62">
        <f t="shared" si="73"/>
        <v>91.116006672230171</v>
      </c>
      <c r="S256" s="62">
        <f t="shared" si="73"/>
        <v>91.938891077115329</v>
      </c>
      <c r="T256" s="62">
        <f t="shared" si="73"/>
        <v>88.35365800480271</v>
      </c>
      <c r="U256" s="62">
        <f t="shared" si="73"/>
        <v>90.759088643866519</v>
      </c>
      <c r="V256" s="62">
        <f t="shared" si="73"/>
        <v>86.016187211069635</v>
      </c>
    </row>
    <row r="257" spans="3:22" x14ac:dyDescent="0.2">
      <c r="C257" s="87" t="s">
        <v>133</v>
      </c>
      <c r="D257" s="60">
        <f t="shared" ref="D257:V257" si="74">+IFERROR(IF(D217&gt;0,+((D217/D23)*100)," "),"")</f>
        <v>86.201212313194702</v>
      </c>
      <c r="E257" s="60">
        <f t="shared" si="74"/>
        <v>93.925680245370316</v>
      </c>
      <c r="F257" s="60">
        <f t="shared" si="74"/>
        <v>90.049523721122839</v>
      </c>
      <c r="G257" s="60">
        <f t="shared" si="74"/>
        <v>89.710701397539623</v>
      </c>
      <c r="H257" s="60">
        <f t="shared" si="74"/>
        <v>92.420558067429752</v>
      </c>
      <c r="I257" s="60">
        <f t="shared" si="74"/>
        <v>95.027470546618005</v>
      </c>
      <c r="J257" s="60">
        <f t="shared" si="74"/>
        <v>93.039644514042791</v>
      </c>
      <c r="K257" s="60">
        <f t="shared" si="74"/>
        <v>92.127157731411302</v>
      </c>
      <c r="L257" s="60">
        <f t="shared" si="74"/>
        <v>91.445611483946564</v>
      </c>
      <c r="M257" s="60">
        <f t="shared" si="74"/>
        <v>91.704488753882089</v>
      </c>
      <c r="N257" s="60">
        <f t="shared" si="74"/>
        <v>87.096392815106014</v>
      </c>
      <c r="O257" s="60">
        <f t="shared" si="74"/>
        <v>87.671826496367416</v>
      </c>
      <c r="P257" s="60">
        <f t="shared" si="74"/>
        <v>87.297885247344624</v>
      </c>
      <c r="Q257" s="60">
        <f t="shared" si="74"/>
        <v>89.733642732878536</v>
      </c>
      <c r="R257" s="60">
        <f t="shared" si="74"/>
        <v>86.839931155901269</v>
      </c>
      <c r="S257" s="60">
        <f t="shared" si="74"/>
        <v>85.000888504958795</v>
      </c>
      <c r="T257" s="60">
        <f t="shared" si="74"/>
        <v>89.118212270750689</v>
      </c>
      <c r="U257" s="60">
        <f t="shared" si="74"/>
        <v>90.505479856374379</v>
      </c>
      <c r="V257" s="60">
        <f t="shared" si="74"/>
        <v>92.012412330653518</v>
      </c>
    </row>
    <row r="258" spans="3:22" x14ac:dyDescent="0.2">
      <c r="C258" s="88" t="s">
        <v>134</v>
      </c>
      <c r="D258" s="62">
        <f t="shared" ref="D258:V258" si="75">+IFERROR(IF(D218&gt;0,+((D218/D24)*100)," "),"")</f>
        <v>69.259634051327637</v>
      </c>
      <c r="E258" s="62">
        <f t="shared" si="75"/>
        <v>83.256716273863319</v>
      </c>
      <c r="F258" s="62">
        <f t="shared" si="75"/>
        <v>79.092298141674334</v>
      </c>
      <c r="G258" s="62">
        <f t="shared" si="75"/>
        <v>85.108618662368514</v>
      </c>
      <c r="H258" s="62">
        <f t="shared" si="75"/>
        <v>78.33359179534412</v>
      </c>
      <c r="I258" s="62">
        <f t="shared" si="75"/>
        <v>82.204285058523197</v>
      </c>
      <c r="J258" s="62">
        <f t="shared" si="75"/>
        <v>83.169511521474135</v>
      </c>
      <c r="K258" s="62">
        <f t="shared" si="75"/>
        <v>79.272707941411269</v>
      </c>
      <c r="L258" s="62">
        <f t="shared" si="75"/>
        <v>75.474047097820346</v>
      </c>
      <c r="M258" s="62">
        <f t="shared" si="75"/>
        <v>70.3382477950436</v>
      </c>
      <c r="N258" s="62">
        <f t="shared" si="75"/>
        <v>70.908765483370956</v>
      </c>
      <c r="O258" s="62">
        <f t="shared" si="75"/>
        <v>80.650553173380729</v>
      </c>
      <c r="P258" s="62">
        <f t="shared" si="75"/>
        <v>70.872591516034049</v>
      </c>
      <c r="Q258" s="62">
        <f t="shared" si="75"/>
        <v>53.480779577323844</v>
      </c>
      <c r="R258" s="62">
        <f t="shared" si="75"/>
        <v>60.719003455426446</v>
      </c>
      <c r="S258" s="62">
        <f t="shared" si="75"/>
        <v>76.026931900427741</v>
      </c>
      <c r="T258" s="62">
        <f t="shared" si="75"/>
        <v>83.688532166491242</v>
      </c>
      <c r="U258" s="62">
        <f t="shared" si="75"/>
        <v>87.995784081651536</v>
      </c>
      <c r="V258" s="62">
        <f t="shared" si="75"/>
        <v>82.577464791444143</v>
      </c>
    </row>
    <row r="259" spans="3:22" x14ac:dyDescent="0.2">
      <c r="C259" s="87" t="s">
        <v>135</v>
      </c>
      <c r="D259" s="60" t="str">
        <f t="shared" ref="D259:V259" si="76">+IFERROR(IF(D219&gt;0,+((D219/D25)*100)," "),"")</f>
        <v xml:space="preserve"> </v>
      </c>
      <c r="E259" s="60" t="str">
        <f t="shared" si="76"/>
        <v xml:space="preserve"> </v>
      </c>
      <c r="F259" s="60" t="str">
        <f t="shared" si="76"/>
        <v xml:space="preserve"> </v>
      </c>
      <c r="G259" s="60" t="str">
        <f t="shared" si="76"/>
        <v xml:space="preserve"> </v>
      </c>
      <c r="H259" s="60" t="str">
        <f t="shared" si="76"/>
        <v xml:space="preserve"> </v>
      </c>
      <c r="I259" s="60" t="str">
        <f t="shared" si="76"/>
        <v xml:space="preserve"> </v>
      </c>
      <c r="J259" s="60" t="str">
        <f t="shared" si="76"/>
        <v xml:space="preserve"> </v>
      </c>
      <c r="K259" s="60" t="str">
        <f t="shared" si="76"/>
        <v xml:space="preserve"> </v>
      </c>
      <c r="L259" s="60" t="str">
        <f t="shared" si="76"/>
        <v xml:space="preserve"> </v>
      </c>
      <c r="M259" s="60" t="str">
        <f t="shared" si="76"/>
        <v xml:space="preserve"> </v>
      </c>
      <c r="N259" s="60" t="str">
        <f t="shared" si="76"/>
        <v xml:space="preserve"> </v>
      </c>
      <c r="O259" s="60" t="str">
        <f t="shared" si="76"/>
        <v xml:space="preserve"> </v>
      </c>
      <c r="P259" s="60" t="str">
        <f t="shared" si="76"/>
        <v xml:space="preserve"> </v>
      </c>
      <c r="Q259" s="60" t="str">
        <f t="shared" si="76"/>
        <v xml:space="preserve"> </v>
      </c>
      <c r="R259" s="60" t="str">
        <f t="shared" si="76"/>
        <v xml:space="preserve"> </v>
      </c>
      <c r="S259" s="60" t="str">
        <f t="shared" si="76"/>
        <v xml:space="preserve"> </v>
      </c>
      <c r="T259" s="60" t="str">
        <f t="shared" si="76"/>
        <v xml:space="preserve"> </v>
      </c>
      <c r="U259" s="60" t="str">
        <f t="shared" si="76"/>
        <v xml:space="preserve"> </v>
      </c>
      <c r="V259" s="60" t="str">
        <f t="shared" si="76"/>
        <v xml:space="preserve"> </v>
      </c>
    </row>
    <row r="260" spans="3:22" x14ac:dyDescent="0.2">
      <c r="C260" s="88" t="s">
        <v>136</v>
      </c>
      <c r="D260" s="62">
        <f t="shared" ref="D260:V260" si="77">+IFERROR(IF(D220&gt;0,+((D220/D26)*100)," "),"")</f>
        <v>56.837414030097946</v>
      </c>
      <c r="E260" s="62">
        <f t="shared" si="77"/>
        <v>76.281734165524654</v>
      </c>
      <c r="F260" s="62">
        <f t="shared" si="77"/>
        <v>49.353118852164641</v>
      </c>
      <c r="G260" s="62">
        <f t="shared" si="77"/>
        <v>50.343387146961781</v>
      </c>
      <c r="H260" s="62">
        <f t="shared" si="77"/>
        <v>53.636971429931748</v>
      </c>
      <c r="I260" s="62">
        <f t="shared" si="77"/>
        <v>60.328682213992238</v>
      </c>
      <c r="J260" s="62">
        <f t="shared" si="77"/>
        <v>66.870780478645614</v>
      </c>
      <c r="K260" s="62">
        <f t="shared" si="77"/>
        <v>80.354616213380268</v>
      </c>
      <c r="L260" s="62">
        <f t="shared" si="77"/>
        <v>75.058028886772007</v>
      </c>
      <c r="M260" s="62">
        <f t="shared" si="77"/>
        <v>78.427935636178759</v>
      </c>
      <c r="N260" s="62">
        <f t="shared" si="77"/>
        <v>82.071855564601321</v>
      </c>
      <c r="O260" s="62">
        <f t="shared" si="77"/>
        <v>81.752399783893352</v>
      </c>
      <c r="P260" s="62">
        <f t="shared" si="77"/>
        <v>73.53289587739107</v>
      </c>
      <c r="Q260" s="62">
        <f t="shared" si="77"/>
        <v>82.890539512225217</v>
      </c>
      <c r="R260" s="62">
        <f t="shared" si="77"/>
        <v>88.570438401719528</v>
      </c>
      <c r="S260" s="62">
        <f t="shared" si="77"/>
        <v>92.352099224400533</v>
      </c>
      <c r="T260" s="62">
        <f t="shared" si="77"/>
        <v>79.815470904834228</v>
      </c>
      <c r="U260" s="62">
        <f t="shared" si="77"/>
        <v>86.585982099320873</v>
      </c>
      <c r="V260" s="62">
        <f t="shared" si="77"/>
        <v>91.370822139430203</v>
      </c>
    </row>
    <row r="261" spans="3:22" x14ac:dyDescent="0.2">
      <c r="C261" s="87" t="s">
        <v>137</v>
      </c>
      <c r="D261" s="60">
        <f t="shared" ref="D261:V261" si="78">+IFERROR(IF(D221&gt;0,+((D221/D27)*100)," "),"")</f>
        <v>63.718949726362162</v>
      </c>
      <c r="E261" s="60">
        <f t="shared" si="78"/>
        <v>84.167017721970865</v>
      </c>
      <c r="F261" s="60">
        <f t="shared" si="78"/>
        <v>67.385579483135373</v>
      </c>
      <c r="G261" s="60">
        <f t="shared" si="78"/>
        <v>79.191774903584175</v>
      </c>
      <c r="H261" s="60">
        <f t="shared" si="78"/>
        <v>78.446080197926136</v>
      </c>
      <c r="I261" s="60">
        <f t="shared" si="78"/>
        <v>80.526665111008384</v>
      </c>
      <c r="J261" s="60">
        <f t="shared" si="78"/>
        <v>96.582595683088556</v>
      </c>
      <c r="K261" s="60">
        <f t="shared" si="78"/>
        <v>75.310451734960026</v>
      </c>
      <c r="L261" s="60">
        <f t="shared" si="78"/>
        <v>87.944572475086176</v>
      </c>
      <c r="M261" s="60">
        <f t="shared" si="78"/>
        <v>83.314748984347105</v>
      </c>
      <c r="N261" s="60">
        <f t="shared" si="78"/>
        <v>81.308069786116448</v>
      </c>
      <c r="O261" s="60">
        <f t="shared" si="78"/>
        <v>87.416238883834339</v>
      </c>
      <c r="P261" s="60">
        <f t="shared" si="78"/>
        <v>79.849996206483098</v>
      </c>
      <c r="Q261" s="60">
        <f t="shared" si="78"/>
        <v>73.83693864230581</v>
      </c>
      <c r="R261" s="60">
        <f t="shared" si="78"/>
        <v>83.068754029692172</v>
      </c>
      <c r="S261" s="60">
        <f t="shared" si="78"/>
        <v>81.113463153312054</v>
      </c>
      <c r="T261" s="60">
        <f t="shared" si="78"/>
        <v>87.997669194936364</v>
      </c>
      <c r="U261" s="60">
        <f t="shared" si="78"/>
        <v>77.999399794140189</v>
      </c>
      <c r="V261" s="60">
        <f t="shared" si="78"/>
        <v>92.905440225386229</v>
      </c>
    </row>
    <row r="262" spans="3:22" x14ac:dyDescent="0.2">
      <c r="C262" s="88" t="s">
        <v>138</v>
      </c>
      <c r="D262" s="62">
        <f t="shared" ref="D262:V262" si="79">+IFERROR(IF(D222&gt;0,+((D222/D28)*100)," "),"")</f>
        <v>89.773221128905718</v>
      </c>
      <c r="E262" s="62">
        <f t="shared" si="79"/>
        <v>93.145542382183748</v>
      </c>
      <c r="F262" s="62">
        <f t="shared" si="79"/>
        <v>90.368045678618856</v>
      </c>
      <c r="G262" s="62">
        <f t="shared" si="79"/>
        <v>80.37735619196495</v>
      </c>
      <c r="H262" s="62">
        <f t="shared" si="79"/>
        <v>92.224873167610326</v>
      </c>
      <c r="I262" s="62">
        <f t="shared" si="79"/>
        <v>90.552815033137747</v>
      </c>
      <c r="J262" s="62">
        <f t="shared" si="79"/>
        <v>86.100957819743996</v>
      </c>
      <c r="K262" s="62">
        <f t="shared" si="79"/>
        <v>89.822007278735967</v>
      </c>
      <c r="L262" s="62">
        <f t="shared" si="79"/>
        <v>86.383413768840001</v>
      </c>
      <c r="M262" s="62">
        <f t="shared" si="79"/>
        <v>81.367289159910527</v>
      </c>
      <c r="N262" s="62">
        <f t="shared" si="79"/>
        <v>80.678404796573616</v>
      </c>
      <c r="O262" s="62">
        <f t="shared" si="79"/>
        <v>87.388090446814459</v>
      </c>
      <c r="P262" s="62">
        <f t="shared" si="79"/>
        <v>71.501065714353004</v>
      </c>
      <c r="Q262" s="62">
        <f t="shared" si="79"/>
        <v>71.622732053956213</v>
      </c>
      <c r="R262" s="62">
        <f t="shared" si="79"/>
        <v>79.515205331936755</v>
      </c>
      <c r="S262" s="62">
        <f t="shared" si="79"/>
        <v>89.364249351673138</v>
      </c>
      <c r="T262" s="62">
        <f t="shared" si="79"/>
        <v>92.526466874703701</v>
      </c>
      <c r="U262" s="62">
        <f t="shared" si="79"/>
        <v>93.270341973557635</v>
      </c>
      <c r="V262" s="62">
        <f t="shared" si="79"/>
        <v>95.855719219842754</v>
      </c>
    </row>
    <row r="263" spans="3:22" x14ac:dyDescent="0.2">
      <c r="C263" s="87" t="s">
        <v>139</v>
      </c>
      <c r="D263" s="60">
        <f t="shared" ref="D263:V263" si="80">+IFERROR(IF(D223&gt;0,+((D223/D29)*100)," "),"")</f>
        <v>77.860986625378558</v>
      </c>
      <c r="E263" s="60">
        <f t="shared" si="80"/>
        <v>79.075150263982991</v>
      </c>
      <c r="F263" s="60">
        <f t="shared" si="80"/>
        <v>73.901296964146326</v>
      </c>
      <c r="G263" s="60">
        <f t="shared" si="80"/>
        <v>82.345937827357872</v>
      </c>
      <c r="H263" s="60">
        <f t="shared" si="80"/>
        <v>81.546750980777631</v>
      </c>
      <c r="I263" s="60">
        <f t="shared" si="80"/>
        <v>87.123395772586747</v>
      </c>
      <c r="J263" s="60">
        <f t="shared" si="80"/>
        <v>76.555452467126912</v>
      </c>
      <c r="K263" s="60">
        <f t="shared" si="80"/>
        <v>79.174464199275661</v>
      </c>
      <c r="L263" s="60">
        <f t="shared" si="80"/>
        <v>74.402577978916213</v>
      </c>
      <c r="M263" s="60">
        <f t="shared" si="80"/>
        <v>82.467183516857105</v>
      </c>
      <c r="N263" s="60">
        <f t="shared" si="80"/>
        <v>65.44356627107949</v>
      </c>
      <c r="O263" s="60">
        <f t="shared" si="80"/>
        <v>55.495425293415281</v>
      </c>
      <c r="P263" s="60">
        <f t="shared" si="80"/>
        <v>80.612044739132969</v>
      </c>
      <c r="Q263" s="60">
        <f t="shared" si="80"/>
        <v>80.041139508419036</v>
      </c>
      <c r="R263" s="60">
        <f t="shared" si="80"/>
        <v>78.89611010476672</v>
      </c>
      <c r="S263" s="60">
        <f t="shared" si="80"/>
        <v>79.482685308981516</v>
      </c>
      <c r="T263" s="60">
        <f t="shared" si="80"/>
        <v>77.081109258844748</v>
      </c>
      <c r="U263" s="60">
        <f t="shared" si="80"/>
        <v>73.085791701733172</v>
      </c>
      <c r="V263" s="60">
        <f t="shared" si="80"/>
        <v>80.127596299064223</v>
      </c>
    </row>
    <row r="264" spans="3:22" x14ac:dyDescent="0.2">
      <c r="C264" s="88" t="s">
        <v>140</v>
      </c>
      <c r="D264" s="62">
        <f t="shared" ref="D264:V264" si="81">+IFERROR(IF(D224&gt;0,+((D224/D30)*100)," "),"")</f>
        <v>74.838210880531236</v>
      </c>
      <c r="E264" s="62">
        <f t="shared" si="81"/>
        <v>72.219340426988737</v>
      </c>
      <c r="F264" s="62">
        <f t="shared" si="81"/>
        <v>70.242581318505927</v>
      </c>
      <c r="G264" s="62">
        <f t="shared" si="81"/>
        <v>82.589165791886884</v>
      </c>
      <c r="H264" s="62">
        <f t="shared" si="81"/>
        <v>81.348585816407834</v>
      </c>
      <c r="I264" s="62">
        <f t="shared" si="81"/>
        <v>76.350430323280378</v>
      </c>
      <c r="J264" s="62">
        <f t="shared" si="81"/>
        <v>64.885637992836081</v>
      </c>
      <c r="K264" s="62">
        <f t="shared" si="81"/>
        <v>58.005018762366767</v>
      </c>
      <c r="L264" s="62">
        <f t="shared" si="81"/>
        <v>93.585113992841087</v>
      </c>
      <c r="M264" s="62">
        <f t="shared" si="81"/>
        <v>88.232236346470359</v>
      </c>
      <c r="N264" s="62">
        <f t="shared" si="81"/>
        <v>92.002167017931612</v>
      </c>
      <c r="O264" s="62">
        <f t="shared" si="81"/>
        <v>91.04343648615037</v>
      </c>
      <c r="P264" s="62">
        <f t="shared" si="81"/>
        <v>89.291262850726255</v>
      </c>
      <c r="Q264" s="62">
        <f t="shared" si="81"/>
        <v>85.223116688232906</v>
      </c>
      <c r="R264" s="62">
        <f t="shared" si="81"/>
        <v>85.991392396117277</v>
      </c>
      <c r="S264" s="62">
        <f t="shared" si="81"/>
        <v>91.545211032752022</v>
      </c>
      <c r="T264" s="62">
        <f t="shared" si="81"/>
        <v>88.606037806020836</v>
      </c>
      <c r="U264" s="62">
        <f t="shared" si="81"/>
        <v>83.191372647596893</v>
      </c>
      <c r="V264" s="62">
        <f t="shared" si="81"/>
        <v>92.487348687058869</v>
      </c>
    </row>
    <row r="265" spans="3:22" x14ac:dyDescent="0.2">
      <c r="C265" s="87" t="s">
        <v>141</v>
      </c>
      <c r="D265" s="60">
        <f t="shared" ref="D265:V265" si="82">+IFERROR(IF(D225&gt;0,+((D225/D31)*100)," "),"")</f>
        <v>88.096131580835674</v>
      </c>
      <c r="E265" s="60">
        <f t="shared" si="82"/>
        <v>85.097468189088559</v>
      </c>
      <c r="F265" s="60">
        <f t="shared" si="82"/>
        <v>84.441059524553438</v>
      </c>
      <c r="G265" s="60">
        <f t="shared" si="82"/>
        <v>84.74214346693725</v>
      </c>
      <c r="H265" s="60">
        <f t="shared" si="82"/>
        <v>79.026613474874679</v>
      </c>
      <c r="I265" s="60">
        <f t="shared" si="82"/>
        <v>86.130819998242842</v>
      </c>
      <c r="J265" s="60">
        <f t="shared" si="82"/>
        <v>88.021953542886365</v>
      </c>
      <c r="K265" s="60">
        <f t="shared" si="82"/>
        <v>88.085903663032397</v>
      </c>
      <c r="L265" s="60">
        <f t="shared" si="82"/>
        <v>89.254286109591504</v>
      </c>
      <c r="M265" s="60">
        <f t="shared" si="82"/>
        <v>88.259136274077292</v>
      </c>
      <c r="N265" s="60">
        <f t="shared" si="82"/>
        <v>84.076770123980722</v>
      </c>
      <c r="O265" s="60">
        <f t="shared" si="82"/>
        <v>86.824117811644015</v>
      </c>
      <c r="P265" s="60">
        <f t="shared" si="82"/>
        <v>84.308137966132122</v>
      </c>
      <c r="Q265" s="60">
        <f t="shared" si="82"/>
        <v>84.630723851379443</v>
      </c>
      <c r="R265" s="60">
        <f t="shared" si="82"/>
        <v>88.398563831312742</v>
      </c>
      <c r="S265" s="60">
        <f t="shared" si="82"/>
        <v>83.685197754164392</v>
      </c>
      <c r="T265" s="60">
        <f t="shared" si="82"/>
        <v>91.111105751324047</v>
      </c>
      <c r="U265" s="60">
        <f t="shared" si="82"/>
        <v>89.995823593620614</v>
      </c>
      <c r="V265" s="60">
        <f t="shared" si="82"/>
        <v>92.043761519891547</v>
      </c>
    </row>
    <row r="266" spans="3:22" x14ac:dyDescent="0.2">
      <c r="C266" s="88" t="s">
        <v>142</v>
      </c>
      <c r="D266" s="62">
        <f t="shared" ref="D266:V266" si="83">+IFERROR(IF(D226&gt;0,+((D226/D32)*100)," "),"")</f>
        <v>17.639926905380431</v>
      </c>
      <c r="E266" s="62">
        <f t="shared" si="83"/>
        <v>23.482779736283561</v>
      </c>
      <c r="F266" s="62">
        <f t="shared" si="83"/>
        <v>10.93322994136477</v>
      </c>
      <c r="G266" s="62">
        <f t="shared" si="83"/>
        <v>22.439010724558013</v>
      </c>
      <c r="H266" s="62">
        <f t="shared" si="83"/>
        <v>57.466476109961206</v>
      </c>
      <c r="I266" s="62">
        <f t="shared" si="83"/>
        <v>24.172416881554344</v>
      </c>
      <c r="J266" s="62">
        <f t="shared" si="83"/>
        <v>25.356549513678218</v>
      </c>
      <c r="K266" s="62">
        <f t="shared" si="83"/>
        <v>43.215423885250836</v>
      </c>
      <c r="L266" s="62">
        <f t="shared" si="83"/>
        <v>31.461747065787023</v>
      </c>
      <c r="M266" s="62">
        <f t="shared" si="83"/>
        <v>30.435640709729327</v>
      </c>
      <c r="N266" s="62">
        <f t="shared" si="83"/>
        <v>33.842890751353075</v>
      </c>
      <c r="O266" s="62">
        <f t="shared" si="83"/>
        <v>34.195643566167149</v>
      </c>
      <c r="P266" s="62">
        <f t="shared" si="83"/>
        <v>49.169610037723913</v>
      </c>
      <c r="Q266" s="62">
        <f t="shared" si="83"/>
        <v>55.043041083812582</v>
      </c>
      <c r="R266" s="62">
        <f t="shared" si="83"/>
        <v>77.231425893592871</v>
      </c>
      <c r="S266" s="62">
        <f t="shared" si="83"/>
        <v>69.671472093917743</v>
      </c>
      <c r="T266" s="62">
        <f t="shared" si="83"/>
        <v>58.775830317940112</v>
      </c>
      <c r="U266" s="62">
        <f t="shared" si="83"/>
        <v>67.421692962397501</v>
      </c>
      <c r="V266" s="62">
        <f t="shared" si="83"/>
        <v>64.37675168675166</v>
      </c>
    </row>
    <row r="267" spans="3:22" x14ac:dyDescent="0.2">
      <c r="C267" s="87" t="s">
        <v>143</v>
      </c>
      <c r="D267" s="60">
        <f t="shared" ref="D267:V267" si="84">+IFERROR(IF(D227&gt;0,+((D227/D33)*100)," "),"")</f>
        <v>65.845496498636678</v>
      </c>
      <c r="E267" s="60">
        <f t="shared" si="84"/>
        <v>52.787824426604089</v>
      </c>
      <c r="F267" s="60">
        <f t="shared" si="84"/>
        <v>49.912137427667858</v>
      </c>
      <c r="G267" s="60">
        <f t="shared" si="84"/>
        <v>61.133984684031716</v>
      </c>
      <c r="H267" s="60">
        <f t="shared" si="84"/>
        <v>66.684815552851049</v>
      </c>
      <c r="I267" s="60">
        <f t="shared" si="84"/>
        <v>78.697469354591178</v>
      </c>
      <c r="J267" s="60">
        <f t="shared" si="84"/>
        <v>89.253749106967149</v>
      </c>
      <c r="K267" s="60">
        <f t="shared" si="84"/>
        <v>89.273883695587642</v>
      </c>
      <c r="L267" s="60">
        <f t="shared" si="84"/>
        <v>78.501785518937297</v>
      </c>
      <c r="M267" s="60">
        <f t="shared" si="84"/>
        <v>84.111484157846263</v>
      </c>
      <c r="N267" s="60">
        <f t="shared" si="84"/>
        <v>82.965561728983715</v>
      </c>
      <c r="O267" s="60">
        <f t="shared" si="84"/>
        <v>77.047071786745448</v>
      </c>
      <c r="P267" s="60">
        <f t="shared" si="84"/>
        <v>36.453674803867003</v>
      </c>
      <c r="Q267" s="60">
        <f t="shared" si="84"/>
        <v>65.292078601279641</v>
      </c>
      <c r="R267" s="60">
        <f t="shared" si="84"/>
        <v>57.513004171629603</v>
      </c>
      <c r="S267" s="60">
        <f t="shared" si="84"/>
        <v>66.263296348097484</v>
      </c>
      <c r="T267" s="60">
        <f t="shared" si="84"/>
        <v>61.422879671373508</v>
      </c>
      <c r="U267" s="60">
        <f t="shared" si="84"/>
        <v>51.462724525072325</v>
      </c>
      <c r="V267" s="60">
        <f t="shared" si="84"/>
        <v>37.715708193225836</v>
      </c>
    </row>
    <row r="268" spans="3:22" x14ac:dyDescent="0.2">
      <c r="C268" s="88" t="s">
        <v>144</v>
      </c>
      <c r="D268" s="62">
        <f t="shared" ref="D268:V268" si="85">+IFERROR(IF(D228&gt;0,+((D228/D34)*100)," "),"")</f>
        <v>92.145222137339871</v>
      </c>
      <c r="E268" s="62">
        <f t="shared" si="85"/>
        <v>95.214732292553734</v>
      </c>
      <c r="F268" s="62">
        <f t="shared" si="85"/>
        <v>91.064721097594898</v>
      </c>
      <c r="G268" s="62">
        <f t="shared" si="85"/>
        <v>92.814060848517897</v>
      </c>
      <c r="H268" s="62">
        <f t="shared" si="85"/>
        <v>82.6506422325415</v>
      </c>
      <c r="I268" s="62">
        <f t="shared" si="85"/>
        <v>93.088778627890079</v>
      </c>
      <c r="J268" s="62">
        <f t="shared" si="85"/>
        <v>93.450483186223678</v>
      </c>
      <c r="K268" s="62">
        <f t="shared" si="85"/>
        <v>94.886122283010167</v>
      </c>
      <c r="L268" s="62">
        <f t="shared" si="85"/>
        <v>94.040223967394667</v>
      </c>
      <c r="M268" s="62">
        <f t="shared" si="85"/>
        <v>94.34873921379257</v>
      </c>
      <c r="N268" s="62">
        <f t="shared" si="85"/>
        <v>91.648085050716759</v>
      </c>
      <c r="O268" s="62">
        <f t="shared" si="85"/>
        <v>86.265884155757746</v>
      </c>
      <c r="P268" s="62">
        <f t="shared" si="85"/>
        <v>86.724505576347127</v>
      </c>
      <c r="Q268" s="62">
        <f t="shared" si="85"/>
        <v>90.857444292584617</v>
      </c>
      <c r="R268" s="62">
        <f t="shared" si="85"/>
        <v>93.069177049632955</v>
      </c>
      <c r="S268" s="62">
        <f t="shared" si="85"/>
        <v>90.367116489070582</v>
      </c>
      <c r="T268" s="62">
        <f t="shared" si="85"/>
        <v>90.395255307324589</v>
      </c>
      <c r="U268" s="62">
        <f t="shared" si="85"/>
        <v>90.767394920157599</v>
      </c>
      <c r="V268" s="62">
        <f t="shared" si="85"/>
        <v>95.936928826317498</v>
      </c>
    </row>
    <row r="269" spans="3:22" x14ac:dyDescent="0.2">
      <c r="C269" s="87" t="s">
        <v>145</v>
      </c>
      <c r="D269" s="60">
        <f t="shared" ref="D269:V269" si="86">+IFERROR(IF(D229&gt;0,+((D229/D35)*100)," "),"")</f>
        <v>72.214812343482834</v>
      </c>
      <c r="E269" s="60">
        <f t="shared" si="86"/>
        <v>66.713041015268232</v>
      </c>
      <c r="F269" s="60">
        <f t="shared" si="86"/>
        <v>71.711853469968204</v>
      </c>
      <c r="G269" s="60">
        <f t="shared" si="86"/>
        <v>71.165380279487295</v>
      </c>
      <c r="H269" s="60">
        <f t="shared" si="86"/>
        <v>88.678370396862505</v>
      </c>
      <c r="I269" s="60">
        <f t="shared" si="86"/>
        <v>94.538366716868779</v>
      </c>
      <c r="J269" s="60">
        <f t="shared" si="86"/>
        <v>86.815159312134696</v>
      </c>
      <c r="K269" s="60">
        <f t="shared" si="86"/>
        <v>72.041614161306555</v>
      </c>
      <c r="L269" s="60">
        <f t="shared" si="86"/>
        <v>85.154789093505087</v>
      </c>
      <c r="M269" s="60">
        <f t="shared" si="86"/>
        <v>77.413157202649671</v>
      </c>
      <c r="N269" s="60">
        <f t="shared" si="86"/>
        <v>93.708760809834232</v>
      </c>
      <c r="O269" s="60">
        <f t="shared" si="86"/>
        <v>83.563167783739573</v>
      </c>
      <c r="P269" s="60">
        <f t="shared" si="86"/>
        <v>86.764261867296426</v>
      </c>
      <c r="Q269" s="60">
        <f t="shared" si="86"/>
        <v>83.488117277000768</v>
      </c>
      <c r="R269" s="60">
        <f t="shared" si="86"/>
        <v>92.022164444987382</v>
      </c>
      <c r="S269" s="60">
        <f t="shared" si="86"/>
        <v>89.6099036604529</v>
      </c>
      <c r="T269" s="60">
        <f t="shared" si="86"/>
        <v>90.817888912447089</v>
      </c>
      <c r="U269" s="60">
        <f t="shared" si="86"/>
        <v>90.170539723259097</v>
      </c>
      <c r="V269" s="60">
        <f t="shared" si="86"/>
        <v>96.435499097497626</v>
      </c>
    </row>
    <row r="270" spans="3:22" x14ac:dyDescent="0.2">
      <c r="C270" s="88" t="s">
        <v>146</v>
      </c>
      <c r="D270" s="62">
        <f t="shared" ref="D270:V270" si="87">+IFERROR(IF(D230&gt;0,+((D230/D36)*100)," "),"")</f>
        <v>88.628903748164191</v>
      </c>
      <c r="E270" s="62">
        <f t="shared" si="87"/>
        <v>93.497216269104911</v>
      </c>
      <c r="F270" s="62">
        <f t="shared" si="87"/>
        <v>85.945561930225551</v>
      </c>
      <c r="G270" s="62">
        <f t="shared" si="87"/>
        <v>96.679558136761827</v>
      </c>
      <c r="H270" s="62">
        <f t="shared" si="87"/>
        <v>90.376220964275674</v>
      </c>
      <c r="I270" s="62">
        <f t="shared" si="87"/>
        <v>86.102796964523804</v>
      </c>
      <c r="J270" s="62">
        <f t="shared" si="87"/>
        <v>89.724710571625891</v>
      </c>
      <c r="K270" s="62">
        <f t="shared" si="87"/>
        <v>82.46086257216507</v>
      </c>
      <c r="L270" s="62">
        <f t="shared" si="87"/>
        <v>89.681406242893118</v>
      </c>
      <c r="M270" s="62">
        <f t="shared" si="87"/>
        <v>90.295694817720957</v>
      </c>
      <c r="N270" s="62">
        <f t="shared" si="87"/>
        <v>82.049864974458416</v>
      </c>
      <c r="O270" s="62">
        <f t="shared" si="87"/>
        <v>93.769168013073326</v>
      </c>
      <c r="P270" s="62">
        <f t="shared" si="87"/>
        <v>91.204127545408227</v>
      </c>
      <c r="Q270" s="62">
        <f t="shared" si="87"/>
        <v>89.546365428992331</v>
      </c>
      <c r="R270" s="62">
        <f t="shared" si="87"/>
        <v>96.525669905531657</v>
      </c>
      <c r="S270" s="62">
        <f t="shared" si="87"/>
        <v>97.212036350499289</v>
      </c>
      <c r="T270" s="62">
        <f t="shared" si="87"/>
        <v>95.180826061772123</v>
      </c>
      <c r="U270" s="62">
        <f t="shared" si="87"/>
        <v>95.082115248985019</v>
      </c>
      <c r="V270" s="62">
        <f t="shared" si="87"/>
        <v>92.839298066732496</v>
      </c>
    </row>
    <row r="271" spans="3:22" x14ac:dyDescent="0.2">
      <c r="C271" s="90" t="s">
        <v>147</v>
      </c>
      <c r="D271" s="61">
        <f t="shared" ref="D271:V271" si="88">+IFERROR(IF(D231&gt;0,+((D231/D37)*100)," "),"")</f>
        <v>85.535632646245872</v>
      </c>
      <c r="E271" s="61">
        <f t="shared" si="88"/>
        <v>92.966989135179318</v>
      </c>
      <c r="F271" s="61">
        <f t="shared" si="88"/>
        <v>93.418566221368167</v>
      </c>
      <c r="G271" s="61">
        <f t="shared" si="88"/>
        <v>92.778368021922603</v>
      </c>
      <c r="H271" s="61">
        <f t="shared" si="88"/>
        <v>89.343726044042427</v>
      </c>
      <c r="I271" s="61">
        <f t="shared" si="88"/>
        <v>92.0445157150737</v>
      </c>
      <c r="J271" s="61">
        <f t="shared" si="88"/>
        <v>88.816236185099456</v>
      </c>
      <c r="K271" s="61">
        <f t="shared" si="88"/>
        <v>91.300449921486859</v>
      </c>
      <c r="L271" s="61">
        <f t="shared" si="88"/>
        <v>94.385467534836195</v>
      </c>
      <c r="M271" s="61">
        <f t="shared" si="88"/>
        <v>84.144166398258946</v>
      </c>
      <c r="N271" s="61">
        <f t="shared" si="88"/>
        <v>72.342872748443298</v>
      </c>
      <c r="O271" s="61">
        <f t="shared" si="88"/>
        <v>79.29360006963411</v>
      </c>
      <c r="P271" s="61">
        <f t="shared" si="88"/>
        <v>78.772001194053999</v>
      </c>
      <c r="Q271" s="61">
        <f t="shared" si="88"/>
        <v>91.50149069043141</v>
      </c>
      <c r="R271" s="61">
        <f t="shared" si="88"/>
        <v>86.183653605399556</v>
      </c>
      <c r="S271" s="61">
        <f t="shared" si="88"/>
        <v>87.58794306654643</v>
      </c>
      <c r="T271" s="61">
        <f t="shared" si="88"/>
        <v>90.263004342700299</v>
      </c>
      <c r="U271" s="61">
        <f t="shared" si="88"/>
        <v>91.810583812239216</v>
      </c>
      <c r="V271" s="61">
        <f t="shared" si="88"/>
        <v>90.872319784628601</v>
      </c>
    </row>
    <row r="272" spans="3:22" ht="22.5" customHeight="1" x14ac:dyDescent="0.2">
      <c r="C272" s="89" t="s">
        <v>148</v>
      </c>
      <c r="D272" s="63" t="str">
        <f t="shared" ref="D272:V272" si="89">+IFERROR(IF(D232&gt;0,+((D232/D38)*100)," "),"")</f>
        <v xml:space="preserve"> </v>
      </c>
      <c r="E272" s="63" t="str">
        <f t="shared" si="89"/>
        <v xml:space="preserve"> </v>
      </c>
      <c r="F272" s="63" t="str">
        <f t="shared" si="89"/>
        <v xml:space="preserve"> </v>
      </c>
      <c r="G272" s="63" t="str">
        <f t="shared" si="89"/>
        <v xml:space="preserve"> </v>
      </c>
      <c r="H272" s="63" t="str">
        <f t="shared" si="89"/>
        <v xml:space="preserve"> </v>
      </c>
      <c r="I272" s="63" t="str">
        <f t="shared" si="89"/>
        <v xml:space="preserve"> </v>
      </c>
      <c r="J272" s="63" t="str">
        <f t="shared" si="89"/>
        <v xml:space="preserve"> </v>
      </c>
      <c r="K272" s="63" t="str">
        <f t="shared" si="89"/>
        <v xml:space="preserve"> </v>
      </c>
      <c r="L272" s="63" t="str">
        <f t="shared" si="89"/>
        <v xml:space="preserve"> </v>
      </c>
      <c r="M272" s="63" t="str">
        <f t="shared" si="89"/>
        <v xml:space="preserve"> </v>
      </c>
      <c r="N272" s="63" t="str">
        <f t="shared" si="89"/>
        <v xml:space="preserve"> </v>
      </c>
      <c r="O272" s="63" t="str">
        <f t="shared" si="89"/>
        <v xml:space="preserve"> </v>
      </c>
      <c r="P272" s="63" t="str">
        <f t="shared" si="89"/>
        <v xml:space="preserve"> </v>
      </c>
      <c r="Q272" s="63" t="str">
        <f t="shared" si="89"/>
        <v xml:space="preserve"> </v>
      </c>
      <c r="R272" s="63" t="str">
        <f t="shared" si="89"/>
        <v xml:space="preserve"> </v>
      </c>
      <c r="S272" s="63" t="str">
        <f t="shared" si="89"/>
        <v xml:space="preserve"> </v>
      </c>
      <c r="T272" s="63" t="str">
        <f t="shared" si="89"/>
        <v xml:space="preserve"> </v>
      </c>
      <c r="U272" s="63">
        <f t="shared" si="89"/>
        <v>55.081877894904977</v>
      </c>
      <c r="V272" s="63">
        <f t="shared" si="89"/>
        <v>74.776759865949245</v>
      </c>
    </row>
    <row r="273" spans="3:22" x14ac:dyDescent="0.2">
      <c r="C273" s="87" t="s">
        <v>149</v>
      </c>
      <c r="D273" s="60">
        <f t="shared" ref="D273:V273" si="90">+IFERROR(IF(D233&gt;0,+((D233/D39)*100)," "),"")</f>
        <v>73.183100352798832</v>
      </c>
      <c r="E273" s="60">
        <f t="shared" si="90"/>
        <v>80.020179060151705</v>
      </c>
      <c r="F273" s="60">
        <f t="shared" si="90"/>
        <v>75.670206452503422</v>
      </c>
      <c r="G273" s="60">
        <f t="shared" si="90"/>
        <v>85.680502325169911</v>
      </c>
      <c r="H273" s="60">
        <f t="shared" si="90"/>
        <v>85.898835017868421</v>
      </c>
      <c r="I273" s="60">
        <f t="shared" si="90"/>
        <v>81.19298144847437</v>
      </c>
      <c r="J273" s="60">
        <f t="shared" si="90"/>
        <v>65.71003717641419</v>
      </c>
      <c r="K273" s="60">
        <f t="shared" si="90"/>
        <v>75.448397321193823</v>
      </c>
      <c r="L273" s="60">
        <f t="shared" si="90"/>
        <v>82.576303931267461</v>
      </c>
      <c r="M273" s="60">
        <f t="shared" si="90"/>
        <v>29.108923767482018</v>
      </c>
      <c r="N273" s="60">
        <f t="shared" si="90"/>
        <v>72.615802372508824</v>
      </c>
      <c r="O273" s="60">
        <f t="shared" si="90"/>
        <v>83.762816367324703</v>
      </c>
      <c r="P273" s="60">
        <f t="shared" si="90"/>
        <v>53.714702002826776</v>
      </c>
      <c r="Q273" s="60">
        <f t="shared" si="90"/>
        <v>51.263744155599255</v>
      </c>
      <c r="R273" s="60">
        <f t="shared" si="90"/>
        <v>51.481401934441806</v>
      </c>
      <c r="S273" s="60">
        <f t="shared" si="90"/>
        <v>80.338102636625536</v>
      </c>
      <c r="T273" s="60">
        <f t="shared" si="90"/>
        <v>93.674191001095124</v>
      </c>
      <c r="U273" s="60">
        <f t="shared" si="90"/>
        <v>89.324663618619155</v>
      </c>
      <c r="V273" s="60">
        <f t="shared" si="90"/>
        <v>90.424595997746522</v>
      </c>
    </row>
    <row r="274" spans="3:22" x14ac:dyDescent="0.2">
      <c r="C274" s="88" t="s">
        <v>150</v>
      </c>
      <c r="D274" s="62">
        <f t="shared" ref="D274:V274" si="91">+IFERROR(IF(D234&gt;0,+((D234/D40)*100)," "),"")</f>
        <v>47.22023532345009</v>
      </c>
      <c r="E274" s="62">
        <f t="shared" si="91"/>
        <v>65.966069012395138</v>
      </c>
      <c r="F274" s="62">
        <f t="shared" si="91"/>
        <v>35.38931770756367</v>
      </c>
      <c r="G274" s="62">
        <f t="shared" si="91"/>
        <v>73.762831788651042</v>
      </c>
      <c r="H274" s="62">
        <f t="shared" si="91"/>
        <v>71.945848792556973</v>
      </c>
      <c r="I274" s="62">
        <f t="shared" si="91"/>
        <v>73.285333487521456</v>
      </c>
      <c r="J274" s="62">
        <f t="shared" si="91"/>
        <v>54.798343705564179</v>
      </c>
      <c r="K274" s="62">
        <f t="shared" si="91"/>
        <v>71.532213248279589</v>
      </c>
      <c r="L274" s="62">
        <f t="shared" si="91"/>
        <v>74.814963609556244</v>
      </c>
      <c r="M274" s="62">
        <f t="shared" si="91"/>
        <v>72.34266153025456</v>
      </c>
      <c r="N274" s="62">
        <f t="shared" si="91"/>
        <v>68.394693637342641</v>
      </c>
      <c r="O274" s="62">
        <f t="shared" si="91"/>
        <v>73.248372915714597</v>
      </c>
      <c r="P274" s="62">
        <f t="shared" si="91"/>
        <v>73.218034699762541</v>
      </c>
      <c r="Q274" s="62">
        <f t="shared" si="91"/>
        <v>70.252966134658905</v>
      </c>
      <c r="R274" s="62">
        <f t="shared" si="91"/>
        <v>79.382211682804012</v>
      </c>
      <c r="S274" s="62">
        <f t="shared" si="91"/>
        <v>73.51541376362772</v>
      </c>
      <c r="T274" s="62">
        <f t="shared" si="91"/>
        <v>68.6238824438595</v>
      </c>
      <c r="U274" s="62">
        <f t="shared" si="91"/>
        <v>60.464419573707197</v>
      </c>
      <c r="V274" s="62">
        <f t="shared" si="91"/>
        <v>68.817050609556858</v>
      </c>
    </row>
    <row r="275" spans="3:22" x14ac:dyDescent="0.2">
      <c r="C275" s="87" t="s">
        <v>151</v>
      </c>
      <c r="D275" s="60">
        <f t="shared" ref="D275:V275" si="92">+IFERROR(IF(D235&gt;0,+((D235/D41)*100)," "),"")</f>
        <v>47.534145770268964</v>
      </c>
      <c r="E275" s="60">
        <f t="shared" si="92"/>
        <v>22.933092349854942</v>
      </c>
      <c r="F275" s="60">
        <f t="shared" si="92"/>
        <v>43.231068968976238</v>
      </c>
      <c r="G275" s="60">
        <f t="shared" si="92"/>
        <v>24.023485022478734</v>
      </c>
      <c r="H275" s="60">
        <f t="shared" si="92"/>
        <v>8.0915464000352486</v>
      </c>
      <c r="I275" s="60">
        <f t="shared" si="92"/>
        <v>16.58481748806869</v>
      </c>
      <c r="J275" s="60">
        <f t="shared" si="92"/>
        <v>55.376429338554637</v>
      </c>
      <c r="K275" s="60">
        <f t="shared" si="92"/>
        <v>75.199156844436573</v>
      </c>
      <c r="L275" s="60">
        <f t="shared" si="92"/>
        <v>47.685598927717663</v>
      </c>
      <c r="M275" s="60">
        <f t="shared" si="92"/>
        <v>34.220245691438592</v>
      </c>
      <c r="N275" s="60">
        <f t="shared" si="92"/>
        <v>29.026405123128836</v>
      </c>
      <c r="O275" s="60">
        <f t="shared" si="92"/>
        <v>68.991385617817684</v>
      </c>
      <c r="P275" s="60">
        <f t="shared" si="92"/>
        <v>67.669579693836809</v>
      </c>
      <c r="Q275" s="60">
        <f t="shared" si="92"/>
        <v>55.96133019524072</v>
      </c>
      <c r="R275" s="60">
        <f t="shared" si="92"/>
        <v>59.952103368201989</v>
      </c>
      <c r="S275" s="60">
        <f t="shared" si="92"/>
        <v>54.766628728115364</v>
      </c>
      <c r="T275" s="60">
        <f t="shared" si="92"/>
        <v>63.732317865196528</v>
      </c>
      <c r="U275" s="60">
        <f t="shared" si="92"/>
        <v>59.64231689257786</v>
      </c>
      <c r="V275" s="60">
        <f t="shared" si="92"/>
        <v>60.531093047790627</v>
      </c>
    </row>
    <row r="276" spans="3:22" x14ac:dyDescent="0.2">
      <c r="C276" s="91" t="s">
        <v>154</v>
      </c>
      <c r="D276" s="64">
        <f t="shared" ref="D276:V276" si="93">+IFERROR(IF(D236&gt;0,+((D236/D42)*100)," "),"")</f>
        <v>77.995110435880704</v>
      </c>
      <c r="E276" s="64">
        <f t="shared" si="93"/>
        <v>84.47479110073391</v>
      </c>
      <c r="F276" s="64">
        <f t="shared" si="93"/>
        <v>82.225392565613504</v>
      </c>
      <c r="G276" s="64">
        <f t="shared" si="93"/>
        <v>87.205439255281476</v>
      </c>
      <c r="H276" s="64">
        <f t="shared" si="93"/>
        <v>85.370834641796037</v>
      </c>
      <c r="I276" s="64">
        <f t="shared" si="93"/>
        <v>88.296629143304898</v>
      </c>
      <c r="J276" s="64">
        <f t="shared" si="93"/>
        <v>86.956651265553603</v>
      </c>
      <c r="K276" s="64">
        <f t="shared" si="93"/>
        <v>88.344826002156694</v>
      </c>
      <c r="L276" s="64">
        <f t="shared" si="93"/>
        <v>89.757838786206875</v>
      </c>
      <c r="M276" s="64">
        <f t="shared" si="93"/>
        <v>85.350469958783975</v>
      </c>
      <c r="N276" s="64">
        <f t="shared" si="93"/>
        <v>81.859426622289732</v>
      </c>
      <c r="O276" s="64">
        <f t="shared" si="93"/>
        <v>84.712557683830951</v>
      </c>
      <c r="P276" s="64">
        <f t="shared" si="93"/>
        <v>83.11723979175045</v>
      </c>
      <c r="Q276" s="64">
        <f t="shared" si="93"/>
        <v>84.30560634377548</v>
      </c>
      <c r="R276" s="64">
        <f t="shared" si="93"/>
        <v>84.477121977110002</v>
      </c>
      <c r="S276" s="64">
        <f t="shared" si="93"/>
        <v>86.999691175328437</v>
      </c>
      <c r="T276" s="64">
        <f t="shared" si="93"/>
        <v>88.327764031890439</v>
      </c>
      <c r="U276" s="64">
        <f t="shared" si="93"/>
        <v>89.483975447166188</v>
      </c>
      <c r="V276" s="64">
        <f t="shared" si="93"/>
        <v>90.670007384790679</v>
      </c>
    </row>
    <row r="277" spans="3:22" x14ac:dyDescent="0.2">
      <c r="C277" s="1" t="s">
        <v>52</v>
      </c>
      <c r="D277" s="11"/>
      <c r="E277" s="11"/>
      <c r="F277" s="11"/>
      <c r="G277" s="11"/>
      <c r="H277" s="11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</row>
  </sheetData>
  <mergeCells count="173">
    <mergeCell ref="J11:J12"/>
    <mergeCell ref="S128:S129"/>
    <mergeCell ref="R205:R206"/>
    <mergeCell ref="E245:E246"/>
    <mergeCell ref="H128:H129"/>
    <mergeCell ref="E89:E90"/>
    <mergeCell ref="J128:J129"/>
    <mergeCell ref="T128:T129"/>
    <mergeCell ref="S245:S246"/>
    <mergeCell ref="K245:K246"/>
    <mergeCell ref="M50:M51"/>
    <mergeCell ref="U6:U7"/>
    <mergeCell ref="S167:S168"/>
    <mergeCell ref="N50:N51"/>
    <mergeCell ref="P50:P51"/>
    <mergeCell ref="D11:D12"/>
    <mergeCell ref="M128:M129"/>
    <mergeCell ref="P11:P12"/>
    <mergeCell ref="O128:O129"/>
    <mergeCell ref="E128:E129"/>
    <mergeCell ref="G128:G129"/>
    <mergeCell ref="L6:L7"/>
    <mergeCell ref="M167:M168"/>
    <mergeCell ref="U89:U90"/>
    <mergeCell ref="F11:F12"/>
    <mergeCell ref="L167:L168"/>
    <mergeCell ref="E11:E12"/>
    <mergeCell ref="E6:E7"/>
    <mergeCell ref="J167:J168"/>
    <mergeCell ref="H50:H51"/>
    <mergeCell ref="D9:V9"/>
    <mergeCell ref="P6:P7"/>
    <mergeCell ref="K89:K90"/>
    <mergeCell ref="R6:R7"/>
    <mergeCell ref="H11:H12"/>
    <mergeCell ref="S6:S7"/>
    <mergeCell ref="O167:O168"/>
    <mergeCell ref="R50:R51"/>
    <mergeCell ref="Q167:Q168"/>
    <mergeCell ref="S205:S206"/>
    <mergeCell ref="N245:N246"/>
    <mergeCell ref="N6:N7"/>
    <mergeCell ref="K6:K7"/>
    <mergeCell ref="V11:V12"/>
    <mergeCell ref="M89:M90"/>
    <mergeCell ref="O89:O90"/>
    <mergeCell ref="V89:V90"/>
    <mergeCell ref="V50:V51"/>
    <mergeCell ref="L11:L12"/>
    <mergeCell ref="K128:K129"/>
    <mergeCell ref="D86:V86"/>
    <mergeCell ref="N11:N12"/>
    <mergeCell ref="D164:V165"/>
    <mergeCell ref="U128:U129"/>
    <mergeCell ref="R11:R12"/>
    <mergeCell ref="T11:T12"/>
    <mergeCell ref="V205:V206"/>
    <mergeCell ref="Q11:Q12"/>
    <mergeCell ref="E50:E51"/>
    <mergeCell ref="F245:F246"/>
    <mergeCell ref="P245:P246"/>
    <mergeCell ref="J50:J51"/>
    <mergeCell ref="O11:O12"/>
    <mergeCell ref="L50:L51"/>
    <mergeCell ref="T6:T7"/>
    <mergeCell ref="L48:Q48"/>
    <mergeCell ref="U167:U168"/>
    <mergeCell ref="G205:G206"/>
    <mergeCell ref="J205:J206"/>
    <mergeCell ref="R245:R246"/>
    <mergeCell ref="M245:M246"/>
    <mergeCell ref="O245:O246"/>
    <mergeCell ref="Q245:Q246"/>
    <mergeCell ref="F205:F206"/>
    <mergeCell ref="G245:G246"/>
    <mergeCell ref="L128:L129"/>
    <mergeCell ref="N128:N129"/>
    <mergeCell ref="D203:V203"/>
    <mergeCell ref="D245:D246"/>
    <mergeCell ref="M205:M206"/>
    <mergeCell ref="D242:V242"/>
    <mergeCell ref="Q128:Q129"/>
    <mergeCell ref="N205:N206"/>
    <mergeCell ref="C245:C246"/>
    <mergeCell ref="S50:S51"/>
    <mergeCell ref="G11:G12"/>
    <mergeCell ref="R167:R168"/>
    <mergeCell ref="I11:I12"/>
    <mergeCell ref="A7:C7"/>
    <mergeCell ref="U50:U51"/>
    <mergeCell ref="P128:P129"/>
    <mergeCell ref="S11:S12"/>
    <mergeCell ref="R128:R129"/>
    <mergeCell ref="U11:U12"/>
    <mergeCell ref="M11:M12"/>
    <mergeCell ref="F89:F90"/>
    <mergeCell ref="O205:O206"/>
    <mergeCell ref="C50:C51"/>
    <mergeCell ref="Q205:Q206"/>
    <mergeCell ref="L245:L246"/>
    <mergeCell ref="K11:K12"/>
    <mergeCell ref="J89:J90"/>
    <mergeCell ref="G6:G7"/>
    <mergeCell ref="L89:L90"/>
    <mergeCell ref="Q6:Q7"/>
    <mergeCell ref="C167:C168"/>
    <mergeCell ref="F50:F51"/>
    <mergeCell ref="V245:V246"/>
    <mergeCell ref="T245:T246"/>
    <mergeCell ref="L243:Q243"/>
    <mergeCell ref="P167:P168"/>
    <mergeCell ref="I205:I206"/>
    <mergeCell ref="R89:R90"/>
    <mergeCell ref="O50:O51"/>
    <mergeCell ref="N167:N168"/>
    <mergeCell ref="Q50:Q51"/>
    <mergeCell ref="T89:T90"/>
    <mergeCell ref="Q89:Q90"/>
    <mergeCell ref="S89:S90"/>
    <mergeCell ref="N89:N90"/>
    <mergeCell ref="U205:U206"/>
    <mergeCell ref="I245:I246"/>
    <mergeCell ref="P205:P206"/>
    <mergeCell ref="I167:I168"/>
    <mergeCell ref="I128:I129"/>
    <mergeCell ref="P89:P90"/>
    <mergeCell ref="J245:J246"/>
    <mergeCell ref="T205:T206"/>
    <mergeCell ref="T50:T51"/>
    <mergeCell ref="V128:V129"/>
    <mergeCell ref="U245:U246"/>
    <mergeCell ref="C11:C12"/>
    <mergeCell ref="H205:H206"/>
    <mergeCell ref="D6:D7"/>
    <mergeCell ref="I89:I90"/>
    <mergeCell ref="D128:D129"/>
    <mergeCell ref="F6:F7"/>
    <mergeCell ref="F128:F129"/>
    <mergeCell ref="D50:D51"/>
    <mergeCell ref="D89:D90"/>
    <mergeCell ref="I50:I51"/>
    <mergeCell ref="I6:I7"/>
    <mergeCell ref="D205:D206"/>
    <mergeCell ref="G167:G168"/>
    <mergeCell ref="F167:F168"/>
    <mergeCell ref="G89:G90"/>
    <mergeCell ref="D167:D168"/>
    <mergeCell ref="G50:G51"/>
    <mergeCell ref="C128:C129"/>
    <mergeCell ref="D2:V2"/>
    <mergeCell ref="H245:H246"/>
    <mergeCell ref="A5:C6"/>
    <mergeCell ref="K205:K206"/>
    <mergeCell ref="D126:V126"/>
    <mergeCell ref="O6:O7"/>
    <mergeCell ref="D47:V47"/>
    <mergeCell ref="L87:Q87"/>
    <mergeCell ref="K167:K168"/>
    <mergeCell ref="C89:C90"/>
    <mergeCell ref="H89:H90"/>
    <mergeCell ref="D4:V4"/>
    <mergeCell ref="H6:H7"/>
    <mergeCell ref="J6:J7"/>
    <mergeCell ref="C205:C206"/>
    <mergeCell ref="E205:E206"/>
    <mergeCell ref="H167:H168"/>
    <mergeCell ref="V6:V7"/>
    <mergeCell ref="K50:K51"/>
    <mergeCell ref="T167:T168"/>
    <mergeCell ref="L205:L206"/>
    <mergeCell ref="V167:V168"/>
    <mergeCell ref="E167:E168"/>
    <mergeCell ref="M6:M7"/>
  </mergeCells>
  <pageMargins left="0.7" right="0.7" top="0.75" bottom="0.75" header="0.3" footer="0.3"/>
  <pageSetup orientation="portrait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3"/>
  <dimension ref="A1:K298"/>
  <sheetViews>
    <sheetView showGridLines="0" zoomScaleNormal="100" workbookViewId="0">
      <pane xSplit="3" ySplit="9" topLeftCell="D36" activePane="bottomRight" state="frozen"/>
      <selection activeCell="C204" sqref="C204:V204"/>
      <selection pane="topRight" activeCell="C204" sqref="C204:V204"/>
      <selection pane="bottomLeft" activeCell="C204" sqref="C204:V204"/>
      <selection pane="bottomRight" activeCell="K18" sqref="K18"/>
    </sheetView>
  </sheetViews>
  <sheetFormatPr baseColWidth="10" defaultColWidth="11.42578125" defaultRowHeight="11.25" x14ac:dyDescent="0.2"/>
  <cols>
    <col min="1" max="2" width="2.7109375" style="3" customWidth="1"/>
    <col min="3" max="3" width="52.85546875" style="3" customWidth="1"/>
    <col min="4" max="4" width="10.7109375" style="3" customWidth="1"/>
    <col min="5" max="33" width="10.7109375" style="9" customWidth="1"/>
    <col min="34" max="34" width="11.42578125" style="9" customWidth="1"/>
    <col min="35" max="16384" width="11.42578125" style="9"/>
  </cols>
  <sheetData>
    <row r="1" spans="1:11" ht="16.5" customHeight="1" x14ac:dyDescent="0.2"/>
    <row r="2" spans="1:11" ht="16.5" customHeight="1" x14ac:dyDescent="0.2">
      <c r="D2" s="179"/>
      <c r="E2" s="178"/>
      <c r="F2" s="178"/>
      <c r="G2" s="178"/>
      <c r="H2" s="178"/>
      <c r="I2" s="178"/>
      <c r="J2" s="178"/>
      <c r="K2" s="178"/>
    </row>
    <row r="3" spans="1:11" ht="16.5" customHeight="1" x14ac:dyDescent="0.2">
      <c r="D3" s="158"/>
      <c r="E3" s="178"/>
      <c r="F3" s="178"/>
      <c r="G3" s="178"/>
      <c r="H3" s="178"/>
      <c r="I3" s="178"/>
      <c r="J3" s="178"/>
      <c r="K3" s="178"/>
    </row>
    <row r="4" spans="1:11" ht="16.5" customHeight="1" x14ac:dyDescent="0.2">
      <c r="D4" s="158"/>
      <c r="E4" s="178"/>
      <c r="F4" s="178"/>
      <c r="G4" s="178"/>
      <c r="H4" s="178"/>
      <c r="I4" s="178"/>
      <c r="J4" s="178"/>
      <c r="K4" s="178"/>
    </row>
    <row r="5" spans="1:11" ht="16.5" customHeight="1" x14ac:dyDescent="0.2">
      <c r="D5" s="139"/>
      <c r="E5" s="139"/>
      <c r="F5" s="139"/>
      <c r="G5" s="139"/>
      <c r="H5" s="139"/>
      <c r="I5" s="139"/>
      <c r="J5" s="139"/>
      <c r="K5" s="139"/>
    </row>
    <row r="6" spans="1:11" ht="16.5" customHeight="1" x14ac:dyDescent="0.2">
      <c r="D6" s="161"/>
      <c r="E6" s="178"/>
      <c r="F6" s="178"/>
      <c r="G6" s="178"/>
      <c r="H6" s="178"/>
      <c r="I6" s="178"/>
      <c r="J6" s="178"/>
      <c r="K6" s="178"/>
    </row>
    <row r="7" spans="1:11" ht="16.5" customHeight="1" x14ac:dyDescent="0.2">
      <c r="A7" s="165" t="s">
        <v>11</v>
      </c>
      <c r="B7" s="158"/>
      <c r="C7" s="158"/>
      <c r="D7" s="147"/>
      <c r="E7" s="147"/>
      <c r="F7" s="147"/>
      <c r="G7" s="147"/>
      <c r="H7" s="147"/>
      <c r="I7" s="147"/>
      <c r="J7" s="147"/>
      <c r="K7" s="147"/>
    </row>
    <row r="8" spans="1:11" ht="16.5" customHeight="1" x14ac:dyDescent="0.2">
      <c r="A8" s="158"/>
      <c r="B8" s="158"/>
      <c r="C8" s="158"/>
      <c r="D8" s="151">
        <v>2019</v>
      </c>
      <c r="E8" s="151">
        <v>2020</v>
      </c>
      <c r="F8" s="151">
        <v>2021</v>
      </c>
      <c r="G8" s="151">
        <v>2022</v>
      </c>
      <c r="H8" s="151">
        <v>2023</v>
      </c>
      <c r="I8" s="151">
        <v>2024</v>
      </c>
      <c r="J8" s="151">
        <v>2025</v>
      </c>
      <c r="K8" s="151" t="s">
        <v>36</v>
      </c>
    </row>
    <row r="9" spans="1:11" ht="16.5" customHeight="1" x14ac:dyDescent="0.2">
      <c r="A9" s="162" t="s">
        <v>227</v>
      </c>
      <c r="B9" s="158"/>
      <c r="C9" s="158"/>
      <c r="D9" s="158"/>
      <c r="E9" s="178"/>
      <c r="F9" s="178"/>
      <c r="G9" s="178"/>
      <c r="H9" s="178"/>
      <c r="I9" s="178"/>
      <c r="J9" s="178"/>
      <c r="K9" s="178"/>
    </row>
    <row r="10" spans="1:11" s="102" customFormat="1" ht="16.5" customHeight="1" x14ac:dyDescent="0.25">
      <c r="A10" s="120"/>
      <c r="B10" s="98"/>
      <c r="C10" s="98"/>
      <c r="D10" s="98"/>
    </row>
    <row r="11" spans="1:11" ht="16.5" customHeight="1" x14ac:dyDescent="0.2">
      <c r="D11" s="160" t="s">
        <v>119</v>
      </c>
      <c r="E11" s="178"/>
      <c r="F11" s="178"/>
      <c r="G11" s="178"/>
      <c r="H11" s="178"/>
      <c r="I11" s="178"/>
      <c r="J11" s="178"/>
      <c r="K11" s="178"/>
    </row>
    <row r="12" spans="1:11" x14ac:dyDescent="0.2">
      <c r="C12" s="2"/>
      <c r="D12" s="2"/>
      <c r="E12" s="2"/>
      <c r="F12" s="2"/>
      <c r="G12" s="2"/>
      <c r="H12" s="2"/>
      <c r="I12" s="2"/>
      <c r="J12" s="2"/>
      <c r="K12" s="2"/>
    </row>
    <row r="13" spans="1:11" ht="9.9499999999999993" customHeight="1" x14ac:dyDescent="0.2">
      <c r="C13" s="177" t="s">
        <v>120</v>
      </c>
      <c r="D13" s="153">
        <v>2019</v>
      </c>
      <c r="E13" s="153">
        <v>2020</v>
      </c>
      <c r="F13" s="153">
        <v>2021</v>
      </c>
      <c r="G13" s="153">
        <v>2022</v>
      </c>
      <c r="H13" s="153">
        <v>2023</v>
      </c>
      <c r="I13" s="153">
        <v>2024</v>
      </c>
      <c r="J13" s="153">
        <v>2025</v>
      </c>
      <c r="K13" s="153" t="s">
        <v>36</v>
      </c>
    </row>
    <row r="14" spans="1:11" ht="9.9499999999999993" customHeight="1" thickBot="1" x14ac:dyDescent="0.25">
      <c r="C14" s="156"/>
      <c r="D14" s="154"/>
      <c r="E14" s="154"/>
      <c r="F14" s="154"/>
      <c r="G14" s="154"/>
      <c r="H14" s="154"/>
      <c r="I14" s="154"/>
      <c r="J14" s="154"/>
      <c r="K14" s="154"/>
    </row>
    <row r="15" spans="1:11" x14ac:dyDescent="0.2">
      <c r="C15" s="87" t="s">
        <v>123</v>
      </c>
      <c r="D15" s="42">
        <f>2193.742180851*Deflactores!$T$5</f>
        <v>3319.3568040473297</v>
      </c>
      <c r="E15" s="42">
        <f>1754.409588688*Deflactores!$U$5</f>
        <v>2612.5396667039518</v>
      </c>
      <c r="F15" s="42">
        <f>2305.665630003*Deflactores!$V$5</f>
        <v>3250.7387136842194</v>
      </c>
      <c r="G15" s="42">
        <f>2510.265185453*Deflactores!$W$5</f>
        <v>3128.7145668287926</v>
      </c>
      <c r="H15" s="42">
        <f>5299.275204156*Deflactores!$X$5</f>
        <v>6043.9676197544095</v>
      </c>
      <c r="I15" s="42">
        <f>7757.551166971*Deflactores!$Y$5</f>
        <v>8410.3595732650465</v>
      </c>
      <c r="J15" s="42">
        <f>4928.443349889*Deflactores!$Z$5</f>
        <v>5083.899631800834</v>
      </c>
      <c r="K15" s="42">
        <f>3914.54225949*Deflactores!$AA$5</f>
        <v>3914.5422594900001</v>
      </c>
    </row>
    <row r="16" spans="1:11" x14ac:dyDescent="0.2">
      <c r="C16" s="88" t="s">
        <v>124</v>
      </c>
      <c r="D16" s="50">
        <f>493.464824051*Deflactores!$T$5</f>
        <v>746.66286474753167</v>
      </c>
      <c r="E16" s="50">
        <f>577.096483533*Deflactores!$U$5</f>
        <v>859.37027730954208</v>
      </c>
      <c r="F16" s="50">
        <f>968.877352388*Deflactores!$V$5</f>
        <v>1366.0120865901276</v>
      </c>
      <c r="G16" s="50">
        <f>1123.75782107*Deflactores!$W$5</f>
        <v>1400.6159527464481</v>
      </c>
      <c r="H16" s="50">
        <f>1755.882291883*Deflactores!$X$5</f>
        <v>2002.6315500501046</v>
      </c>
      <c r="I16" s="50">
        <f>1762.908120112*Deflactores!$Y$5</f>
        <v>1911.2592190042685</v>
      </c>
      <c r="J16" s="50">
        <f>1496.596743646*Deflactores!$Z$5</f>
        <v>1543.8034068399281</v>
      </c>
      <c r="K16" s="50">
        <f>1501.188299644*Deflactores!$AA$5</f>
        <v>1501.1882996439999</v>
      </c>
    </row>
    <row r="17" spans="3:11" x14ac:dyDescent="0.2">
      <c r="C17" s="87" t="s">
        <v>125</v>
      </c>
      <c r="D17" s="42">
        <f>350.968983876*Deflactores!$T$5</f>
        <v>531.05205106028131</v>
      </c>
      <c r="E17" s="42">
        <f>270.045579608*Deflactores!$U$5</f>
        <v>402.13231453640049</v>
      </c>
      <c r="F17" s="42">
        <f>412.035071887*Deflactores!$V$5</f>
        <v>580.9248063332534</v>
      </c>
      <c r="G17" s="42">
        <f>330.504086272*Deflactores!$W$5</f>
        <v>411.92976547178705</v>
      </c>
      <c r="H17" s="42">
        <f>484.836286945*Deflactores!$X$5</f>
        <v>552.96898279209927</v>
      </c>
      <c r="I17" s="42">
        <f>375.665563998*Deflactores!$Y$5</f>
        <v>407.27832849734693</v>
      </c>
      <c r="J17" s="42">
        <f>281.450237264*Deflactores!$Z$5</f>
        <v>290.32793034517346</v>
      </c>
      <c r="K17" s="42">
        <f>379.855765201*Deflactores!$AA$5</f>
        <v>379.855765201</v>
      </c>
    </row>
    <row r="18" spans="3:11" x14ac:dyDescent="0.2">
      <c r="C18" s="88" t="s">
        <v>126</v>
      </c>
      <c r="D18" s="50">
        <f>649.80718938*Deflactores!$T$5</f>
        <v>983.22489042474911</v>
      </c>
      <c r="E18" s="50">
        <f>729.492084062*Deflactores!$U$5</f>
        <v>1086.3067657899335</v>
      </c>
      <c r="F18" s="50">
        <f>756.860043066*Deflactores!$V$5</f>
        <v>1067.0906530502216</v>
      </c>
      <c r="G18" s="50">
        <f>722.198435191*Deflactores!$W$5</f>
        <v>900.1251251928129</v>
      </c>
      <c r="H18" s="50">
        <f>957.891217249*Deflactores!$X$5</f>
        <v>1092.5010076396218</v>
      </c>
      <c r="I18" s="50">
        <f>957.151438402*Deflactores!$Y$5</f>
        <v>1037.6970244557026</v>
      </c>
      <c r="J18" s="50">
        <f>920.436549416*Deflactores!$Z$5</f>
        <v>949.46957943169286</v>
      </c>
      <c r="K18" s="50">
        <f>1190.811716398*Deflactores!$AA$5</f>
        <v>1190.811716398</v>
      </c>
    </row>
    <row r="19" spans="3:11" x14ac:dyDescent="0.2">
      <c r="C19" s="87" t="s">
        <v>127</v>
      </c>
      <c r="D19" s="42">
        <f>647.367*Deflactores!$T$5</f>
        <v>979.53263374464791</v>
      </c>
      <c r="E19" s="42">
        <f>690.460829558*Deflactores!$U$5</f>
        <v>1028.1842490809511</v>
      </c>
      <c r="F19" s="42">
        <f>776.347897349*Deflactores!$V$5</f>
        <v>1094.5664160316487</v>
      </c>
      <c r="G19" s="42">
        <f>971.637279727*Deflactores!$W$5</f>
        <v>1211.017755563214</v>
      </c>
      <c r="H19" s="42">
        <f>1183.665725483*Deflactores!$X$5</f>
        <v>1350.0029799965382</v>
      </c>
      <c r="I19" s="42">
        <f>1371.608*Deflactores!$Y$5</f>
        <v>1487.0306653834343</v>
      </c>
      <c r="J19" s="42">
        <f>1566.670325863*Deflactores!$Z$5</f>
        <v>1616.0872972167942</v>
      </c>
      <c r="K19" s="42">
        <f>1332.522*Deflactores!$AA$5</f>
        <v>1332.5219999999999</v>
      </c>
    </row>
    <row r="20" spans="3:11" x14ac:dyDescent="0.2">
      <c r="C20" s="88" t="s">
        <v>128</v>
      </c>
      <c r="D20" s="50">
        <f>372.932811057*Deflactores!$T$5</f>
        <v>564.28557313619376</v>
      </c>
      <c r="E20" s="50">
        <f>368.359243969*Deflactores!$U$5</f>
        <v>548.53390147380992</v>
      </c>
      <c r="F20" s="50">
        <f>598.645211057*Deflactores!$V$5</f>
        <v>844.02488288907625</v>
      </c>
      <c r="G20" s="50">
        <f>548.947605809*Deflactores!$W$5</f>
        <v>684.19081006792908</v>
      </c>
      <c r="H20" s="50">
        <f>788.20390568*Deflactores!$X$5</f>
        <v>898.96800980590103</v>
      </c>
      <c r="I20" s="50">
        <f>1305.349852005*Deflactores!$Y$5</f>
        <v>1415.1968047613916</v>
      </c>
      <c r="J20" s="50">
        <f>1056.187262962*Deflactores!$Z$5</f>
        <v>1089.5022334803091</v>
      </c>
      <c r="K20" s="50">
        <f>1111.262561919*Deflactores!$AA$5</f>
        <v>1111.2625619190001</v>
      </c>
    </row>
    <row r="21" spans="3:11" x14ac:dyDescent="0.2">
      <c r="C21" s="87" t="s">
        <v>129</v>
      </c>
      <c r="D21" s="42">
        <f>31357.899513172*Deflactores!$T$5</f>
        <v>47447.716517581808</v>
      </c>
      <c r="E21" s="42">
        <f>33511.759638076*Deflactores!$U$5</f>
        <v>49903.284797363158</v>
      </c>
      <c r="F21" s="42">
        <f>36472.325436507*Deflactores!$V$5</f>
        <v>51422.026998072892</v>
      </c>
      <c r="G21" s="42">
        <f>39645.505738811*Deflactores!$W$5</f>
        <v>49412.895511247916</v>
      </c>
      <c r="H21" s="42">
        <f>45303.012*Deflactores!$X$5</f>
        <v>51669.318360859572</v>
      </c>
      <c r="I21" s="42">
        <f>52970.342283668*Deflactores!$Y$5</f>
        <v>57427.868116598249</v>
      </c>
      <c r="J21" s="42">
        <f>57290.4742089203*Deflactores!$Z$5</f>
        <v>59097.568960183926</v>
      </c>
      <c r="K21" s="42">
        <f>62314.898324886*Deflactores!$AA$5</f>
        <v>62314.898324886002</v>
      </c>
    </row>
    <row r="22" spans="3:11" x14ac:dyDescent="0.2">
      <c r="C22" s="88" t="s">
        <v>130</v>
      </c>
      <c r="D22" s="50">
        <f>499.630371065*Deflactores!$T$5</f>
        <v>755.99196942092385</v>
      </c>
      <c r="E22" s="50">
        <f>461.981328593*Deflactores!$U$5</f>
        <v>687.9491277338459</v>
      </c>
      <c r="F22" s="50">
        <f>767.722084933*Deflactores!$V$5</f>
        <v>1082.4049551533717</v>
      </c>
      <c r="G22" s="50">
        <f>898.135598597*Deflactores!$W$5</f>
        <v>1119.4076014765108</v>
      </c>
      <c r="H22" s="50">
        <f>948.780870577*Deflactores!$X$5</f>
        <v>1082.1104092711653</v>
      </c>
      <c r="I22" s="50">
        <f>1058.666759556*Deflactores!$Y$5</f>
        <v>1147.7549969684362</v>
      </c>
      <c r="J22" s="50">
        <f>449.600696578*Deflactores!$Z$5</f>
        <v>463.78230478022482</v>
      </c>
      <c r="K22" s="50">
        <f>496.087196266*Deflactores!$AA$5</f>
        <v>496.08719626599998</v>
      </c>
    </row>
    <row r="23" spans="3:11" x14ac:dyDescent="0.2">
      <c r="C23" s="87" t="s">
        <v>131</v>
      </c>
      <c r="D23" s="42">
        <f>41436.619001368*Deflactores!$T$5</f>
        <v>62697.852290715346</v>
      </c>
      <c r="E23" s="42">
        <f>44586.195241894*Deflactores!$U$5</f>
        <v>66394.532045372995</v>
      </c>
      <c r="F23" s="42">
        <f>48065.263487952*Deflactores!$V$5</f>
        <v>67766.813526866361</v>
      </c>
      <c r="G23" s="42">
        <f>49722.974844481*Deflactores!$W$5</f>
        <v>61973.132003547864</v>
      </c>
      <c r="H23" s="42">
        <f>59011.675314875*Deflactores!$X$5</f>
        <v>67304.422029421679</v>
      </c>
      <c r="I23" s="42">
        <f>70075.896899264*Deflactores!$Y$5</f>
        <v>75972.878251988543</v>
      </c>
      <c r="J23" s="42">
        <f>80158.0865108663*Deflactores!$Z$5</f>
        <v>82686.486902123113</v>
      </c>
      <c r="K23" s="42">
        <f>88159.15625474*Deflactores!$AA$5</f>
        <v>88159.156254739995</v>
      </c>
    </row>
    <row r="24" spans="3:11" x14ac:dyDescent="0.2">
      <c r="C24" s="88" t="s">
        <v>132</v>
      </c>
      <c r="D24" s="50">
        <f>43.89019714*Deflactores!$T$5</f>
        <v>66.410367535132337</v>
      </c>
      <c r="E24" s="50">
        <f>47.15463742*Deflactores!$U$5</f>
        <v>70.219270074167895</v>
      </c>
      <c r="F24" s="50">
        <f>52.401741241*Deflactores!$V$5</f>
        <v>73.880777290486833</v>
      </c>
      <c r="G24" s="50">
        <f>53.619991985*Deflactores!$W$5</f>
        <v>66.830250034495251</v>
      </c>
      <c r="H24" s="50">
        <f>55.628389568*Deflactores!$X$5</f>
        <v>63.445692540065806</v>
      </c>
      <c r="I24" s="50">
        <f>59.810945242*Deflactores!$Y$5</f>
        <v>64.844117051244538</v>
      </c>
      <c r="J24" s="50">
        <f>63.051262597*Deflactores!$Z$5</f>
        <v>65.040068018370434</v>
      </c>
      <c r="K24" s="50">
        <f>62.315994349*Deflactores!$AA$5</f>
        <v>62.315994349</v>
      </c>
    </row>
    <row r="25" spans="3:11" x14ac:dyDescent="0.2">
      <c r="C25" s="87" t="s">
        <v>133</v>
      </c>
      <c r="D25" s="42">
        <f>3801.364715368*Deflactores!$T$5</f>
        <v>5751.8544990220244</v>
      </c>
      <c r="E25" s="42">
        <f>3938.500071956*Deflactores!$U$5</f>
        <v>5864.9289947145153</v>
      </c>
      <c r="F25" s="42">
        <f>4407.61265739*Deflactores!$V$5</f>
        <v>6214.2562710984294</v>
      </c>
      <c r="G25" s="42">
        <f>4727.547948948*Deflactores!$W$5</f>
        <v>5892.2651753965956</v>
      </c>
      <c r="H25" s="42">
        <f>5408.025041101*Deflactores!$X$5</f>
        <v>6167.999769025253</v>
      </c>
      <c r="I25" s="42">
        <f>5975.962549919*Deflactores!$Y$5</f>
        <v>6478.847868277624</v>
      </c>
      <c r="J25" s="42">
        <f>6814.249144023*Deflactores!$Z$5</f>
        <v>7029.1887833260607</v>
      </c>
      <c r="K25" s="42">
        <f>7157.63184582*Deflactores!$AA$5</f>
        <v>7157.6318458200003</v>
      </c>
    </row>
    <row r="26" spans="3:11" x14ac:dyDescent="0.2">
      <c r="C26" s="88" t="s">
        <v>134</v>
      </c>
      <c r="D26" s="50">
        <f>10278.962512542*Deflactores!$T$5</f>
        <v>15553.123996238253</v>
      </c>
      <c r="E26" s="50">
        <f>40603.961281009*Deflactores!$U$5</f>
        <v>60464.477711431573</v>
      </c>
      <c r="F26" s="50">
        <f>23818.0966236651*Deflactores!$V$5</f>
        <v>33580.935489210031</v>
      </c>
      <c r="G26" s="50">
        <f>17897.698561544*Deflactores!$W$5</f>
        <v>22307.121385706629</v>
      </c>
      <c r="H26" s="50">
        <f>41269.715902469*Deflactores!$X$5</f>
        <v>47069.234372913212</v>
      </c>
      <c r="I26" s="50">
        <f>32340.617698929*Deflactores!$Y$5</f>
        <v>35062.124350214974</v>
      </c>
      <c r="J26" s="50">
        <f>24492.8674779056*Deflactores!$Z$5</f>
        <v>25265.438012080496</v>
      </c>
      <c r="K26" s="50">
        <f>32867.046294851*Deflactores!$AA$5</f>
        <v>32867.046294851003</v>
      </c>
    </row>
    <row r="27" spans="3:11" x14ac:dyDescent="0.2">
      <c r="C27" s="87" t="s">
        <v>135</v>
      </c>
      <c r="D27" s="42">
        <f>0*Deflactores!$T$5</f>
        <v>0</v>
      </c>
      <c r="E27" s="42">
        <f>0*Deflactores!$U$5</f>
        <v>0</v>
      </c>
      <c r="F27" s="42">
        <f>0*Deflactores!$V$5</f>
        <v>0</v>
      </c>
      <c r="G27" s="42">
        <f>0*Deflactores!$W$5</f>
        <v>0</v>
      </c>
      <c r="H27" s="42">
        <f>500*Deflactores!$X$5</f>
        <v>570.26361029659097</v>
      </c>
      <c r="I27" s="42">
        <f>7881.726289979*Deflactores!$Y$5</f>
        <v>8544.9842005569953</v>
      </c>
      <c r="J27" s="42">
        <f>6854.864793304*Deflactores!$Z$5</f>
        <v>7071.0855587916203</v>
      </c>
      <c r="K27" s="42">
        <f>6405.228894339*Deflactores!$AA$5</f>
        <v>6405.2288943390004</v>
      </c>
    </row>
    <row r="28" spans="3:11" x14ac:dyDescent="0.2">
      <c r="C28" s="88" t="s">
        <v>136</v>
      </c>
      <c r="D28" s="50">
        <f>8846.272112976*Deflactores!$T$5</f>
        <v>13385.316554049268</v>
      </c>
      <c r="E28" s="50">
        <f>15516.748561204*Deflactores!$U$5</f>
        <v>23106.417894542254</v>
      </c>
      <c r="F28" s="50">
        <f>20941.657735447*Deflactores!$V$5</f>
        <v>29525.468326148224</v>
      </c>
      <c r="G28" s="50">
        <f>20202.332456994*Deflactores!$W$5</f>
        <v>25179.54366271821</v>
      </c>
      <c r="H28" s="50">
        <f>18011.266579252*Deflactores!$X$5</f>
        <v>20542.339810997149</v>
      </c>
      <c r="I28" s="50">
        <f>13356.452735708*Deflactores!$Y$5</f>
        <v>14480.416269620957</v>
      </c>
      <c r="J28" s="50">
        <f>10911.027645757*Deflactores!$Z$5</f>
        <v>11255.190633789482</v>
      </c>
      <c r="K28" s="50">
        <f>12677.851285468*Deflactores!$AA$5</f>
        <v>12677.851285467999</v>
      </c>
    </row>
    <row r="29" spans="3:11" x14ac:dyDescent="0.2">
      <c r="C29" s="87" t="s">
        <v>137</v>
      </c>
      <c r="D29" s="42">
        <f>339.51981743*Deflactores!$T$5</f>
        <v>513.72828855303089</v>
      </c>
      <c r="E29" s="42">
        <f>341.34847086*Deflactores!$U$5</f>
        <v>508.31141487170771</v>
      </c>
      <c r="F29" s="42">
        <f>501.513935051*Deflactores!$V$5</f>
        <v>707.0803081365608</v>
      </c>
      <c r="G29" s="42">
        <f>584.669015718*Deflactores!$W$5</f>
        <v>728.71283753244256</v>
      </c>
      <c r="H29" s="42">
        <f>972.068612575*Deflactores!$X$5</f>
        <v>1108.6707129260353</v>
      </c>
      <c r="I29" s="42">
        <f>1228.01033096*Deflactores!$Y$5</f>
        <v>1331.349058583196</v>
      </c>
      <c r="J29" s="42">
        <f>967.051821949*Deflactores!$Z$5</f>
        <v>997.55522230961117</v>
      </c>
      <c r="K29" s="42">
        <f>763.939555053*Deflactores!$AA$5</f>
        <v>763.93955505300005</v>
      </c>
    </row>
    <row r="30" spans="3:11" x14ac:dyDescent="0.2">
      <c r="C30" s="88" t="s">
        <v>138</v>
      </c>
      <c r="D30" s="50">
        <f>97.627789965*Deflactores!$T$5</f>
        <v>147.72085421574744</v>
      </c>
      <c r="E30" s="50">
        <f>99.695353307*Deflactores!$U$5</f>
        <v>148.45909802361535</v>
      </c>
      <c r="F30" s="50">
        <f>117.173050941*Deflactores!$V$5</f>
        <v>165.20130583457856</v>
      </c>
      <c r="G30" s="50">
        <f>111.804*Deflactores!$W$5</f>
        <v>139.34894426964746</v>
      </c>
      <c r="H30" s="50">
        <f>143.794*Deflactores!$X$5</f>
        <v>164.00097115797604</v>
      </c>
      <c r="I30" s="50">
        <f>168.585191002*Deflactores!$Y$5</f>
        <v>182.77186247783436</v>
      </c>
      <c r="J30" s="50">
        <f>175.85005386*Deflactores!$Z$5</f>
        <v>181.39683478174621</v>
      </c>
      <c r="K30" s="50">
        <f>177.658336299*Deflactores!$AA$5</f>
        <v>177.65833629900001</v>
      </c>
    </row>
    <row r="31" spans="3:11" x14ac:dyDescent="0.2">
      <c r="C31" s="87" t="s">
        <v>160</v>
      </c>
      <c r="D31" s="42">
        <f>1285.20619975*Deflactores!$T$5</f>
        <v>1944.6487289992656</v>
      </c>
      <c r="E31" s="42">
        <f>1676.087913982*Deflactores!$U$5</f>
        <v>2495.9087025029817</v>
      </c>
      <c r="F31" s="42">
        <f>2109.198288477*Deflactores!$V$5</f>
        <v>2973.7410498588902</v>
      </c>
      <c r="G31" s="42">
        <f>2897.118471822*Deflactores!$W$5</f>
        <v>3610.8761803914895</v>
      </c>
      <c r="H31" s="42">
        <f>3212.847733221*Deflactores!$X$5</f>
        <v>3664.3402953596524</v>
      </c>
      <c r="I31" s="42">
        <f>3888.787990604*Deflactores!$Y$5</f>
        <v>4216.0347513305369</v>
      </c>
      <c r="J31" s="42">
        <f>4257.375653839*Deflactores!$Z$5</f>
        <v>4391.664666182558</v>
      </c>
      <c r="K31" s="42">
        <f>4066.616797682*Deflactores!$AA$5</f>
        <v>4066.6167976820002</v>
      </c>
    </row>
    <row r="32" spans="3:11" x14ac:dyDescent="0.2">
      <c r="C32" s="88" t="s">
        <v>161</v>
      </c>
      <c r="D32" s="50">
        <f>2301.560290903*Deflactores!$T$5</f>
        <v>3482.4966571825776</v>
      </c>
      <c r="E32" s="50">
        <f>2491.243376664*Deflactores!$U$5</f>
        <v>3709.7791661156075</v>
      </c>
      <c r="F32" s="50">
        <f>2946.372463849*Deflactores!$V$5</f>
        <v>4154.0659272240791</v>
      </c>
      <c r="G32" s="50">
        <f>3242.16466669*Deflactores!$W$5</f>
        <v>4040.9307668026627</v>
      </c>
      <c r="H32" s="50">
        <f>3358.93627396*Deflactores!$X$5</f>
        <v>3830.9582526892177</v>
      </c>
      <c r="I32" s="50">
        <f>3988.868321567*Deflactores!$Y$5</f>
        <v>4324.5369772899248</v>
      </c>
      <c r="J32" s="50">
        <f>4292.477049383*Deflactores!$Z$5</f>
        <v>4427.8732536031393</v>
      </c>
      <c r="K32" s="50">
        <f>4636.128941332*Deflactores!$AA$5</f>
        <v>4636.1289413320001</v>
      </c>
    </row>
    <row r="33" spans="1:11" x14ac:dyDescent="0.2">
      <c r="C33" s="87" t="s">
        <v>140</v>
      </c>
      <c r="D33" s="42">
        <f>3203.654942707*Deflactores!$T$5</f>
        <v>4847.4583406921374</v>
      </c>
      <c r="E33" s="42">
        <f>3205.21845397*Deflactores!$U$5</f>
        <v>4772.979129526012</v>
      </c>
      <c r="F33" s="42">
        <f>4618.342935265*Deflactores!$V$5</f>
        <v>6511.363129751132</v>
      </c>
      <c r="G33" s="42">
        <f>4584.405172311*Deflactores!$W$5</f>
        <v>5713.8565781711659</v>
      </c>
      <c r="H33" s="42">
        <f>7044.622799663*Deflactores!$X$5</f>
        <v>8034.5840618270013</v>
      </c>
      <c r="I33" s="42">
        <f>7278.596406651*Deflactores!$Y$5</f>
        <v>7891.1001230961838</v>
      </c>
      <c r="J33" s="42">
        <f>6856.308400891*Deflactores!$Z$5</f>
        <v>7072.5747016221203</v>
      </c>
      <c r="K33" s="42">
        <f>9964.096562025*Deflactores!$AA$5</f>
        <v>9964.0965620250008</v>
      </c>
    </row>
    <row r="34" spans="1:11" x14ac:dyDescent="0.2">
      <c r="C34" s="88" t="s">
        <v>141</v>
      </c>
      <c r="D34" s="50">
        <f>1878.302755191*Deflactores!$T$5</f>
        <v>2842.0646167661757</v>
      </c>
      <c r="E34" s="50">
        <f>2344.760585884*Deflactores!$U$5</f>
        <v>3491.6476055782332</v>
      </c>
      <c r="F34" s="50">
        <f>2842.980710026*Deflactores!$V$5</f>
        <v>4008.2947570879751</v>
      </c>
      <c r="G34" s="50">
        <f>3170.574440704*Deflactores!$W$5</f>
        <v>3951.7029895212186</v>
      </c>
      <c r="H34" s="50">
        <f>3986.415878127*Deflactores!$X$5</f>
        <v>4546.615821608716</v>
      </c>
      <c r="I34" s="50">
        <f>4266.732677902*Deflactores!$Y$5</f>
        <v>4625.7839944312473</v>
      </c>
      <c r="J34" s="50">
        <f>4243.35196867*Deflactores!$Z$5</f>
        <v>4377.1986364839977</v>
      </c>
      <c r="K34" s="50">
        <f>4993.292695965*Deflactores!$AA$5</f>
        <v>4993.2926959650003</v>
      </c>
    </row>
    <row r="35" spans="1:11" x14ac:dyDescent="0.2">
      <c r="C35" s="87" t="s">
        <v>142</v>
      </c>
      <c r="D35" s="42">
        <f>362.193820179*Deflactores!$T$5</f>
        <v>548.03637906469021</v>
      </c>
      <c r="E35" s="42">
        <f>277.053739159*Deflactores!$U$5</f>
        <v>412.56835805533132</v>
      </c>
      <c r="F35" s="42">
        <f>840.748478704*Deflactores!$V$5</f>
        <v>1185.3642577786309</v>
      </c>
      <c r="G35" s="42">
        <f>1541.479384987*Deflactores!$W$5</f>
        <v>1921.2508041873625</v>
      </c>
      <c r="H35" s="42">
        <f>1624.539382176*Deflactores!$X$5</f>
        <v>1852.8313862973582</v>
      </c>
      <c r="I35" s="42">
        <f>1222.976248454*Deflactores!$Y$5</f>
        <v>1325.8913512364231</v>
      </c>
      <c r="J35" s="42">
        <f>886.631702761*Deflactores!$Z$5</f>
        <v>914.59843751904236</v>
      </c>
      <c r="K35" s="42">
        <f>1270.9527011*Deflactores!$AA$5</f>
        <v>1270.9527011</v>
      </c>
    </row>
    <row r="36" spans="1:11" x14ac:dyDescent="0.2">
      <c r="C36" s="88" t="s">
        <v>143</v>
      </c>
      <c r="D36" s="50">
        <f>1581.380102079*Deflactores!$T$5</f>
        <v>2392.7902045374926</v>
      </c>
      <c r="E36" s="50">
        <f>5313.440677923*Deflactores!$U$5</f>
        <v>7912.390941805802</v>
      </c>
      <c r="F36" s="50">
        <f>8718.338260364*Deflactores!$V$5</f>
        <v>12291.912293424224</v>
      </c>
      <c r="G36" s="50">
        <f>5981.66412421076*Deflactores!$W$5</f>
        <v>7455.3556284604729</v>
      </c>
      <c r="H36" s="50">
        <f>5520.030805745*Deflactores!$X$5</f>
        <v>6295.7453924650881</v>
      </c>
      <c r="I36" s="50">
        <f>2881.107216984*Deflactores!$Y$5</f>
        <v>3123.5562798647516</v>
      </c>
      <c r="J36" s="50">
        <f>4070.934755621*Deflactores!$Z$5</f>
        <v>4199.3429234918458</v>
      </c>
      <c r="K36" s="50">
        <f>2752.781381679*Deflactores!$AA$5</f>
        <v>2752.7813816789999</v>
      </c>
    </row>
    <row r="37" spans="1:11" x14ac:dyDescent="0.2">
      <c r="C37" s="87" t="s">
        <v>144</v>
      </c>
      <c r="D37" s="42">
        <f>4676.900083947*Deflactores!$T$5</f>
        <v>7076.6292643727129</v>
      </c>
      <c r="E37" s="42">
        <f>4875.879900141*Deflactores!$U$5</f>
        <v>7260.8071292685099</v>
      </c>
      <c r="F37" s="42">
        <f>5437.736589865*Deflactores!$V$5</f>
        <v>7666.6193993915604</v>
      </c>
      <c r="G37" s="42">
        <f>6036.03122774*Deflactores!$W$5</f>
        <v>7523.1170545257137</v>
      </c>
      <c r="H37" s="42">
        <f>7903.13935*Deflactores!$X$5</f>
        <v>9013.7455568161076</v>
      </c>
      <c r="I37" s="42">
        <f>9329.619831189*Deflactores!$Y$5</f>
        <v>10114.719938457243</v>
      </c>
      <c r="J37" s="42">
        <f>10674.585282309*Deflactores!$Z$5</f>
        <v>11011.29024595151</v>
      </c>
      <c r="K37" s="42">
        <f>10909.093609956*Deflactores!$AA$5</f>
        <v>10909.093609956</v>
      </c>
    </row>
    <row r="38" spans="1:11" x14ac:dyDescent="0.2">
      <c r="C38" s="88" t="s">
        <v>145</v>
      </c>
      <c r="D38" s="50">
        <f>1461.293723561*Deflactores!$T$5</f>
        <v>2211.0872035711272</v>
      </c>
      <c r="E38" s="50">
        <f>644.113059438*Deflactores!$U$5</f>
        <v>959.16650733894005</v>
      </c>
      <c r="F38" s="50">
        <f>1353.943460913*Deflactores!$V$5</f>
        <v>1908.9135767373864</v>
      </c>
      <c r="G38" s="50">
        <f>3219.539810582*Deflactores!$W$5</f>
        <v>4012.7318668267899</v>
      </c>
      <c r="H38" s="50">
        <f>3287.579677065*Deflactores!$X$5</f>
        <v>3749.5741115615751</v>
      </c>
      <c r="I38" s="50">
        <f>1434.743967482*Deflactores!$Y$5</f>
        <v>1555.4796097861977</v>
      </c>
      <c r="J38" s="50">
        <f>2915.768021621*Deflactores!$Z$5</f>
        <v>3007.7391417859162</v>
      </c>
      <c r="K38" s="50">
        <f>6700.420794151*Deflactores!$AA$5</f>
        <v>6700.4207941510003</v>
      </c>
    </row>
    <row r="39" spans="1:11" x14ac:dyDescent="0.2">
      <c r="C39" s="87" t="s">
        <v>146</v>
      </c>
      <c r="D39" s="42">
        <f>736.17901762*Deflactores!$T$5</f>
        <v>1113.9143206818792</v>
      </c>
      <c r="E39" s="42">
        <f>813.606604506999*Deflactores!$U$5</f>
        <v>1211.5640162206485</v>
      </c>
      <c r="F39" s="42">
        <f>947.536223412999*Deflactores!$V$5</f>
        <v>1335.9234070999132</v>
      </c>
      <c r="G39" s="42">
        <f>1202.41594112*Deflactores!$W$5</f>
        <v>1498.6529280532591</v>
      </c>
      <c r="H39" s="42">
        <f>1272.521463919*Deflactores!$X$5</f>
        <v>1451.3453683887044</v>
      </c>
      <c r="I39" s="42">
        <f>1222.96157046*Deflactores!$Y$5</f>
        <v>1325.8754380694074</v>
      </c>
      <c r="J39" s="42">
        <f>1300.070342079*Deflactores!$Z$5</f>
        <v>1341.0780370559544</v>
      </c>
      <c r="K39" s="42">
        <f>1249.480282653*Deflactores!$AA$5</f>
        <v>1249.4802826529999</v>
      </c>
    </row>
    <row r="40" spans="1:11" x14ac:dyDescent="0.2">
      <c r="C40" s="88" t="s">
        <v>162</v>
      </c>
      <c r="D40" s="50">
        <f>28987.696216655*Deflactores!$T$5</f>
        <v>43861.355956188439</v>
      </c>
      <c r="E40" s="50">
        <f>34848.320764675*Deflactores!$U$5</f>
        <v>51893.594804062159</v>
      </c>
      <c r="F40" s="50">
        <f>43181.5796681788*Deflactores!$V$5</f>
        <v>60881.348500305117</v>
      </c>
      <c r="G40" s="50">
        <f>41807.9954097972*Deflactores!$W$5</f>
        <v>52108.153754655526</v>
      </c>
      <c r="H40" s="50">
        <f>53116.799123168*Deflactores!$X$5</f>
        <v>60581.155270753166</v>
      </c>
      <c r="I40" s="50">
        <f>60651.159432722*Deflactores!$Y$5</f>
        <v>65755.036400718978</v>
      </c>
      <c r="J40" s="50">
        <f>66093.289680738*Deflactores!$Z$5</f>
        <v>68178.048770709225</v>
      </c>
      <c r="K40" s="50">
        <f>77042.452901091*Deflactores!$AA$5</f>
        <v>77042.452901091005</v>
      </c>
    </row>
    <row r="41" spans="1:11" x14ac:dyDescent="0.2">
      <c r="C41" s="87" t="s">
        <v>148</v>
      </c>
      <c r="D41" s="42">
        <f>429.800784122*Deflactores!$T$5</f>
        <v>650.33264602078498</v>
      </c>
      <c r="E41" s="42">
        <f>503.025491789*Deflactores!$U$5</f>
        <v>749.06912224801738</v>
      </c>
      <c r="F41" s="42">
        <f>582.429387376*Deflactores!$V$5</f>
        <v>821.16232852379505</v>
      </c>
      <c r="G41" s="42">
        <f>620.080899014*Deflactores!$W$5</f>
        <v>772.84908088596808</v>
      </c>
      <c r="H41" s="42">
        <f>739.291751364*Deflactores!$X$5</f>
        <v>843.18236639064867</v>
      </c>
      <c r="I41" s="42">
        <f>855.471019958*Deflactores!$Y$5</f>
        <v>927.46006149307243</v>
      </c>
      <c r="J41" s="42">
        <f>967.948137067*Deflactores!$Z$5</f>
        <v>998.47980960317932</v>
      </c>
      <c r="K41" s="42">
        <f>940.950692462*Deflactores!$AA$5</f>
        <v>940.95069246200001</v>
      </c>
    </row>
    <row r="42" spans="1:11" x14ac:dyDescent="0.2">
      <c r="C42" s="88" t="s">
        <v>149</v>
      </c>
      <c r="D42" s="50">
        <f>83.518496183*Deflactores!$T$5</f>
        <v>126.3720463547359</v>
      </c>
      <c r="E42" s="50">
        <f>54.421210989*Deflactores!$U$5</f>
        <v>81.040125028701041</v>
      </c>
      <c r="F42" s="50">
        <f>81.8916*Deflactores!$V$5</f>
        <v>115.45828284094959</v>
      </c>
      <c r="G42" s="50">
        <f>106.793*Deflactores!$W$5</f>
        <v>133.103393486713</v>
      </c>
      <c r="H42" s="50">
        <f>108.200203899*Deflactores!$X$5</f>
        <v>123.40527782054205</v>
      </c>
      <c r="I42" s="50">
        <f>926.436055307*Deflactores!$Y$5</f>
        <v>1004.3969003960113</v>
      </c>
      <c r="J42" s="50">
        <f>631.671777708*Deflactores!$Z$5</f>
        <v>651.59639466709234</v>
      </c>
      <c r="K42" s="50">
        <f>305.78732957*Deflactores!$AA$5</f>
        <v>305.78732957</v>
      </c>
    </row>
    <row r="43" spans="1:11" x14ac:dyDescent="0.2">
      <c r="C43" s="87" t="s">
        <v>163</v>
      </c>
      <c r="D43" s="42">
        <f>26383.610593279*Deflactores!$T$5</f>
        <v>39921.10745856334</v>
      </c>
      <c r="E43" s="42">
        <f>30833.183675652*Deflactores!$U$5</f>
        <v>45914.543515262863</v>
      </c>
      <c r="F43" s="42">
        <f>26181.119856046*Deflactores!$V$5</f>
        <v>36912.542207407852</v>
      </c>
      <c r="G43" s="42">
        <f>32827.56258787*Deflactores!$W$5</f>
        <v>40915.228342147515</v>
      </c>
      <c r="H43" s="42">
        <f>32404.528468452*Deflactores!$X$5</f>
        <v>36958.246788756202</v>
      </c>
      <c r="I43" s="42">
        <f>37890.077656283*Deflactores!$Y$5</f>
        <v>41078.578856825356</v>
      </c>
      <c r="J43" s="42">
        <f>48752.785180547*Deflactores!$Z$5</f>
        <v>50290.578390077324</v>
      </c>
      <c r="K43" s="42">
        <f>53737.787544292*Deflactores!$AA$5</f>
        <v>53737.787544291998</v>
      </c>
    </row>
    <row r="44" spans="1:11" x14ac:dyDescent="0.2">
      <c r="C44" s="88" t="s">
        <v>150</v>
      </c>
      <c r="D44" s="50">
        <f>4690.830839722*Deflactores!$T$5</f>
        <v>7097.7079259268839</v>
      </c>
      <c r="E44" s="50">
        <f>5054.289106832*Deflactores!$U$5</f>
        <v>7526.4811955702025</v>
      </c>
      <c r="F44" s="50">
        <f>7939.956777833*Deflactores!$V$5</f>
        <v>11194.478742629981</v>
      </c>
      <c r="G44" s="50">
        <f>9000.564474142*Deflactores!$W$5</f>
        <v>11218.016862568265</v>
      </c>
      <c r="H44" s="50">
        <f>9325.25861041*Deflactores!$X$5</f>
        <v>10635.711284243554</v>
      </c>
      <c r="I44" s="50">
        <f>10153.55116797*Deflactores!$Y$5</f>
        <v>11007.986209843612</v>
      </c>
      <c r="J44" s="50">
        <f>8832.279947778*Deflactores!$Z$5</f>
        <v>9110.8736748453794</v>
      </c>
      <c r="K44" s="50">
        <f>10550.745938111*Deflactores!$AA$5</f>
        <v>10550.745938111</v>
      </c>
    </row>
    <row r="45" spans="1:11" x14ac:dyDescent="0.2">
      <c r="C45" s="87" t="s">
        <v>151</v>
      </c>
      <c r="D45" s="42">
        <f>4150.67212431*Deflactores!$T$5</f>
        <v>6280.3924168761569</v>
      </c>
      <c r="E45" s="42">
        <f>4367.675378358*Deflactores!$U$5</f>
        <v>6504.0257707322189</v>
      </c>
      <c r="F45" s="42">
        <f>5976.574657216*Deflactores!$V$5</f>
        <v>8426.322689908322</v>
      </c>
      <c r="G45" s="42">
        <f>5824.493172477*Deflactores!$W$5</f>
        <v>7259.4627606386139</v>
      </c>
      <c r="H45" s="42">
        <f>7950.394320144*Deflactores!$X$5</f>
        <v>9067.6411365736567</v>
      </c>
      <c r="I45" s="42">
        <f>9141.143100719*Deflactores!$Y$5</f>
        <v>9910.3826366041649</v>
      </c>
      <c r="J45" s="42">
        <f>8343.751804098*Deflactores!$Z$5</f>
        <v>8606.9360471895725</v>
      </c>
      <c r="K45" s="42">
        <f>7276.872469107*Deflactores!$AA$5</f>
        <v>7276.8724691070001</v>
      </c>
    </row>
    <row r="46" spans="1:11" ht="21.75" customHeight="1" x14ac:dyDescent="0.2">
      <c r="C46" s="79" t="s">
        <v>152</v>
      </c>
      <c r="D46" s="44">
        <f t="shared" ref="D46:K46" si="0">SUM(D15:D45)</f>
        <v>277840.22432029067</v>
      </c>
      <c r="E46" s="44">
        <f t="shared" si="0"/>
        <v>358581.21361833869</v>
      </c>
      <c r="F46" s="44">
        <f t="shared" si="0"/>
        <v>359128.93606635928</v>
      </c>
      <c r="G46" s="44">
        <f t="shared" si="0"/>
        <v>326691.14033912402</v>
      </c>
      <c r="H46" s="44">
        <f t="shared" si="0"/>
        <v>368331.92826099857</v>
      </c>
      <c r="I46" s="44">
        <f t="shared" si="0"/>
        <v>383549.48023714841</v>
      </c>
      <c r="J46" s="44">
        <f t="shared" si="0"/>
        <v>383265.69649008731</v>
      </c>
      <c r="K46" s="44">
        <f t="shared" si="0"/>
        <v>416909.45722589892</v>
      </c>
    </row>
    <row r="47" spans="1:11" s="31" customFormat="1" x14ac:dyDescent="0.2">
      <c r="A47" s="5"/>
      <c r="B47" s="5"/>
      <c r="C47" s="72" t="str">
        <f>+'C1 Aprop Resumen 2000-2026'!B20</f>
        <v>* Información con corte a 28 de febrero</v>
      </c>
      <c r="D47" s="123">
        <f>+D46-'C6 Ejec. Nac 19-26'!D33</f>
        <v>1.2223608791828156E-9</v>
      </c>
      <c r="E47" s="123">
        <f>+E46-'C6 Ejec. Nac 19-26'!E33</f>
        <v>7.5669959187507629E-10</v>
      </c>
      <c r="F47" s="123">
        <f>+F46-'C6 Ejec. Nac 19-26'!F33</f>
        <v>0</v>
      </c>
      <c r="G47" s="123">
        <f>+G46-'C6 Ejec. Nac 19-26'!G33</f>
        <v>0</v>
      </c>
      <c r="H47" s="123">
        <f>+H46-'C6 Ejec. Nac 19-26'!H33</f>
        <v>0</v>
      </c>
      <c r="I47" s="123">
        <f>+I46-'C6 Ejec. Nac 19-26'!I33</f>
        <v>0</v>
      </c>
      <c r="J47" s="123">
        <f>+J46-'C6 Ejec. Nac 19-26'!J33</f>
        <v>6.9849193096160889E-10</v>
      </c>
      <c r="K47" s="123">
        <f>+K46-'C6 Ejec. Nac 19-26'!K33</f>
        <v>0</v>
      </c>
    </row>
    <row r="48" spans="1:11" x14ac:dyDescent="0.2">
      <c r="C48" s="1" t="s">
        <v>52</v>
      </c>
      <c r="D48" s="10"/>
    </row>
    <row r="49" spans="3:11" x14ac:dyDescent="0.2">
      <c r="D49" s="10"/>
    </row>
    <row r="50" spans="3:11" x14ac:dyDescent="0.2">
      <c r="D50" s="10"/>
    </row>
    <row r="52" spans="3:11" ht="18" customHeight="1" x14ac:dyDescent="0.2">
      <c r="D52" s="160" t="s">
        <v>153</v>
      </c>
      <c r="E52" s="178"/>
      <c r="F52" s="178"/>
      <c r="G52" s="178"/>
      <c r="H52" s="178"/>
      <c r="I52" s="178"/>
      <c r="J52" s="178"/>
      <c r="K52" s="178"/>
    </row>
    <row r="53" spans="3:11" ht="11.25" hidden="1" customHeight="1" x14ac:dyDescent="0.2">
      <c r="D53" s="28"/>
    </row>
    <row r="54" spans="3:11" x14ac:dyDescent="0.2">
      <c r="C54" s="2"/>
      <c r="D54" s="2"/>
      <c r="E54" s="2"/>
      <c r="F54" s="2"/>
      <c r="G54" s="2"/>
      <c r="H54" s="2"/>
      <c r="I54" s="2"/>
    </row>
    <row r="55" spans="3:11" ht="12" thickBot="1" x14ac:dyDescent="0.25">
      <c r="C55" s="177" t="s">
        <v>120</v>
      </c>
      <c r="D55" s="153">
        <v>2019</v>
      </c>
      <c r="E55" s="153">
        <v>2020</v>
      </c>
      <c r="F55" s="153">
        <v>2021</v>
      </c>
      <c r="G55" s="153">
        <v>2022</v>
      </c>
      <c r="H55" s="153">
        <v>2023</v>
      </c>
      <c r="I55" s="153">
        <v>2024</v>
      </c>
      <c r="J55" s="153">
        <v>2025</v>
      </c>
      <c r="K55" s="153" t="s">
        <v>36</v>
      </c>
    </row>
    <row r="56" spans="3:11" ht="12" customHeight="1" thickBot="1" x14ac:dyDescent="0.25">
      <c r="C56" s="156"/>
      <c r="D56" s="154"/>
      <c r="E56" s="154"/>
      <c r="F56" s="154"/>
      <c r="G56" s="154"/>
      <c r="H56" s="154"/>
      <c r="I56" s="154"/>
      <c r="J56" s="154"/>
      <c r="K56" s="154"/>
    </row>
    <row r="57" spans="3:11" x14ac:dyDescent="0.2">
      <c r="C57" s="87" t="s">
        <v>123</v>
      </c>
      <c r="D57" s="42">
        <f>2109.46148441399*Deflactores!$T$5</f>
        <v>3191.8314705737707</v>
      </c>
      <c r="E57" s="42">
        <f>1605.26097287806*Deflactores!$U$5</f>
        <v>2390.4383526494307</v>
      </c>
      <c r="F57" s="42">
        <f>2151.57635932346*Deflactores!$V$5</f>
        <v>3033.4895379827562</v>
      </c>
      <c r="G57" s="42">
        <f>2251.80277596243*Deflactores!$W$5</f>
        <v>2806.5752525296598</v>
      </c>
      <c r="H57" s="42">
        <f>4813.81641969647*Deflactores!$X$5</f>
        <v>5490.288661602237</v>
      </c>
      <c r="I57" s="42">
        <f>7529.68804314529*Deflactores!$Y$5</f>
        <v>8163.3214598690229</v>
      </c>
      <c r="J57" s="42">
        <f>4689.28010698354*Deflactores!$Z$5</f>
        <v>4837.1925406916807</v>
      </c>
      <c r="K57" s="42">
        <f>1560.10427354903*Deflactores!$AA$5</f>
        <v>1560.10427354903</v>
      </c>
    </row>
    <row r="58" spans="3:11" x14ac:dyDescent="0.2">
      <c r="C58" s="88" t="s">
        <v>124</v>
      </c>
      <c r="D58" s="50">
        <f>476.37925131732*Deflactores!$T$5</f>
        <v>720.81064172896981</v>
      </c>
      <c r="E58" s="50">
        <f>556.352925991079*Deflactores!$U$5</f>
        <v>828.4804741209083</v>
      </c>
      <c r="F58" s="50">
        <f>790.93639237373*Deflactores!$V$5</f>
        <v>1115.1346133167067</v>
      </c>
      <c r="G58" s="50">
        <f>961.8216149836*Deflactores!$W$5</f>
        <v>1198.7838236887051</v>
      </c>
      <c r="H58" s="50">
        <f>1508.05714265367*Deflactores!$X$5</f>
        <v>1719.9802214064862</v>
      </c>
      <c r="I58" s="50">
        <f>1742.36881339849*Deflactores!$Y$5</f>
        <v>1888.991501895076</v>
      </c>
      <c r="J58" s="50">
        <f>1464.82353425646*Deflactores!$Z$5</f>
        <v>1511.0279854646878</v>
      </c>
      <c r="K58" s="50">
        <f>589.67854905814*Deflactores!$AA$5</f>
        <v>589.67854905813999</v>
      </c>
    </row>
    <row r="59" spans="3:11" x14ac:dyDescent="0.2">
      <c r="C59" s="87" t="s">
        <v>125</v>
      </c>
      <c r="D59" s="42">
        <f>350.05227755947*Deflactores!$T$5</f>
        <v>529.6649804301735</v>
      </c>
      <c r="E59" s="42">
        <f>266.59040046537*Deflactores!$U$5</f>
        <v>396.98711205695008</v>
      </c>
      <c r="F59" s="42">
        <f>407.942990848219*Deflactores!$V$5</f>
        <v>575.15541545575593</v>
      </c>
      <c r="G59" s="42">
        <f>327.212574684229*Deflactores!$W$5</f>
        <v>407.8273302744131</v>
      </c>
      <c r="H59" s="42">
        <f>477.96120264284*Deflactores!$X$5</f>
        <v>545.12776200161295</v>
      </c>
      <c r="I59" s="42">
        <f>368.51494771048*Deflactores!$Y$5</f>
        <v>399.52597819322762</v>
      </c>
      <c r="J59" s="42">
        <f>274.46519305375*Deflactores!$Z$5</f>
        <v>283.12255916252559</v>
      </c>
      <c r="K59" s="42">
        <f>171.83689025773*Deflactores!$AA$5</f>
        <v>171.83689025773</v>
      </c>
    </row>
    <row r="60" spans="3:11" x14ac:dyDescent="0.2">
      <c r="C60" s="88" t="s">
        <v>126</v>
      </c>
      <c r="D60" s="50">
        <f>639.75747425612*Deflactores!$T$5</f>
        <v>968.0186412281148</v>
      </c>
      <c r="E60" s="50">
        <f>716.79254142148*Deflactores!$U$5</f>
        <v>1067.3955268687141</v>
      </c>
      <c r="F60" s="50">
        <f>740.33408287456*Deflactores!$V$5</f>
        <v>1043.7908398092841</v>
      </c>
      <c r="G60" s="50">
        <f>706.76809537421*Deflactores!$W$5</f>
        <v>880.89324115296108</v>
      </c>
      <c r="H60" s="50">
        <f>945.01795190465*Deflactores!$X$5</f>
        <v>1077.8186980964717</v>
      </c>
      <c r="I60" s="50">
        <f>935.29392817523*Deflactores!$Y$5</f>
        <v>1014.0001752275419</v>
      </c>
      <c r="J60" s="50">
        <f>906.60455047624*Deflactores!$Z$5</f>
        <v>935.20128225861095</v>
      </c>
      <c r="K60" s="50">
        <f>922.60684095757*Deflactores!$AA$5</f>
        <v>922.60684095756994</v>
      </c>
    </row>
    <row r="61" spans="3:11" x14ac:dyDescent="0.2">
      <c r="C61" s="87" t="s">
        <v>127</v>
      </c>
      <c r="D61" s="42">
        <f>636.93320394978*Deflactores!$T$5</f>
        <v>963.74523073364105</v>
      </c>
      <c r="E61" s="42">
        <f>684.61391961214*Deflactores!$U$5</f>
        <v>1019.4774543508626</v>
      </c>
      <c r="F61" s="42">
        <f>745.77291119638*Deflactores!$V$5</f>
        <v>1051.4589984324405</v>
      </c>
      <c r="G61" s="42">
        <f>918.75331715076*Deflactores!$W$5</f>
        <v>1145.1048691388053</v>
      </c>
      <c r="H61" s="42">
        <f>1160.37816599848*Deflactores!$X$5</f>
        <v>1323.4428845032603</v>
      </c>
      <c r="I61" s="42">
        <f>1303.64901856052*Deflactores!$Y$5</f>
        <v>1413.3528438857977</v>
      </c>
      <c r="J61" s="42">
        <f>1355.00451363828*Deflactores!$Z$5</f>
        <v>1397.7449792801756</v>
      </c>
      <c r="K61" s="42">
        <f>502.01442689749*Deflactores!$AA$5</f>
        <v>502.01442689749001</v>
      </c>
    </row>
    <row r="62" spans="3:11" x14ac:dyDescent="0.2">
      <c r="C62" s="88" t="s">
        <v>128</v>
      </c>
      <c r="D62" s="50">
        <f>370.97818661516*Deflactores!$T$5</f>
        <v>561.32802598365561</v>
      </c>
      <c r="E62" s="50">
        <f>367.53482156345*Deflactores!$U$5</f>
        <v>547.30623135019334</v>
      </c>
      <c r="F62" s="50">
        <f>584.76850981389*Deflactores!$V$5</f>
        <v>824.46023771147134</v>
      </c>
      <c r="G62" s="50">
        <f>536.076814312962*Deflactores!$W$5</f>
        <v>668.1490655249105</v>
      </c>
      <c r="H62" s="50">
        <f>779.016601113635*Deflactores!$X$5</f>
        <v>888.48963886408171</v>
      </c>
      <c r="I62" s="50">
        <f>1291.96489769429*Deflactores!$Y$5</f>
        <v>1400.6854884707443</v>
      </c>
      <c r="J62" s="50">
        <f>1051.92169154398*Deflactores!$Z$5</f>
        <v>1085.1021145336279</v>
      </c>
      <c r="K62" s="50">
        <f>393.51275517215*Deflactores!$AA$5</f>
        <v>393.51275517214998</v>
      </c>
    </row>
    <row r="63" spans="3:11" x14ac:dyDescent="0.2">
      <c r="C63" s="87" t="s">
        <v>129</v>
      </c>
      <c r="D63" s="42">
        <f>31328.0848319591*Deflactores!$T$5</f>
        <v>47402.603848550592</v>
      </c>
      <c r="E63" s="42">
        <f>33428.715498006*Deflactores!$U$5</f>
        <v>49779.621479846493</v>
      </c>
      <c r="F63" s="42">
        <f>35946.5156150983*Deflactores!$V$5</f>
        <v>50680.692122691842</v>
      </c>
      <c r="G63" s="42">
        <f>39018.4015798964*Deflactores!$W$5</f>
        <v>48631.292862936098</v>
      </c>
      <c r="H63" s="42">
        <f>44900.6101253405*Deflactores!$X$5</f>
        <v>51210.368069192686</v>
      </c>
      <c r="I63" s="42">
        <f>52543.7171166216*Deflactores!$Y$5</f>
        <v>56965.341865641472</v>
      </c>
      <c r="J63" s="42">
        <f>57125.446765525*Deflactores!$Z$5</f>
        <v>58927.336109940596</v>
      </c>
      <c r="K63" s="42">
        <f>12893.3636164036*Deflactores!$AA$5</f>
        <v>12893.3636164036</v>
      </c>
    </row>
    <row r="64" spans="3:11" x14ac:dyDescent="0.2">
      <c r="C64" s="88" t="s">
        <v>130</v>
      </c>
      <c r="D64" s="50">
        <f>481.20349976978*Deflactores!$T$5</f>
        <v>728.11022417984657</v>
      </c>
      <c r="E64" s="50">
        <f>442.03751439524*Deflactores!$U$5</f>
        <v>658.25024439840638</v>
      </c>
      <c r="F64" s="50">
        <f>733.24381649454*Deflactores!$V$5</f>
        <v>1033.7943324614973</v>
      </c>
      <c r="G64" s="50">
        <f>878.91889869088*Deflactores!$W$5</f>
        <v>1095.4565188295173</v>
      </c>
      <c r="H64" s="50">
        <f>698.67283655832*Deflactores!$X$5</f>
        <v>796.85538838381524</v>
      </c>
      <c r="I64" s="50">
        <f>992.07376549019*Deflactores!$Y$5</f>
        <v>1075.5581125265576</v>
      </c>
      <c r="J64" s="50">
        <f>442.66369772782*Deflactores!$Z$5</f>
        <v>456.62649443677691</v>
      </c>
      <c r="K64" s="50">
        <f>355.43062890353*Deflactores!$AA$5</f>
        <v>355.43062890353002</v>
      </c>
    </row>
    <row r="65" spans="3:11" x14ac:dyDescent="0.2">
      <c r="C65" s="87" t="s">
        <v>131</v>
      </c>
      <c r="D65" s="42">
        <f>41429.5954202998*Deflactores!$T$5</f>
        <v>62687.224892559345</v>
      </c>
      <c r="E65" s="42">
        <f>44580.3060162541*Deflactores!$U$5</f>
        <v>66385.762237176765</v>
      </c>
      <c r="F65" s="42">
        <f>48053.2547193227*Deflactores!$V$5</f>
        <v>67749.882464279086</v>
      </c>
      <c r="G65" s="42">
        <f>49689.2435639159*Deflactores!$W$5</f>
        <v>61931.09040990533</v>
      </c>
      <c r="H65" s="42">
        <f>58498.9910696492*Deflactores!$X$5</f>
        <v>66719.691692172375</v>
      </c>
      <c r="I65" s="42">
        <f>69982.1293204175*Deflactores!$Y$5</f>
        <v>75871.22000476082</v>
      </c>
      <c r="J65" s="42">
        <f>79842.2684107054*Deflactores!$Z$5</f>
        <v>82360.707054585611</v>
      </c>
      <c r="K65" s="42">
        <f>31709.2845543138*Deflactores!$AA$5</f>
        <v>31709.284554313799</v>
      </c>
    </row>
    <row r="66" spans="3:11" x14ac:dyDescent="0.2">
      <c r="C66" s="88" t="s">
        <v>132</v>
      </c>
      <c r="D66" s="50">
        <f>39.99647523325*Deflactores!$T$5</f>
        <v>60.518767137849096</v>
      </c>
      <c r="E66" s="50">
        <f>43.08739883447*Deflactores!$U$5</f>
        <v>64.162633011101974</v>
      </c>
      <c r="F66" s="50">
        <f>49.49284182321*Deflactores!$V$5</f>
        <v>69.779544297907961</v>
      </c>
      <c r="G66" s="50">
        <f>49.44353830894*Deflactores!$W$5</f>
        <v>61.624851206635348</v>
      </c>
      <c r="H66" s="50">
        <f>53.9701232038699*Deflactores!$X$5</f>
        <v>61.554394612781337</v>
      </c>
      <c r="I66" s="50">
        <f>56.53164470031*Deflactores!$Y$5</f>
        <v>61.288858940689963</v>
      </c>
      <c r="J66" s="50">
        <f>60.97380561627*Deflactores!$Z$5</f>
        <v>62.897082489348733</v>
      </c>
      <c r="K66" s="50">
        <f>13.15460061845*Deflactores!$AA$5</f>
        <v>13.154600618450001</v>
      </c>
    </row>
    <row r="67" spans="3:11" x14ac:dyDescent="0.2">
      <c r="C67" s="87" t="s">
        <v>133</v>
      </c>
      <c r="D67" s="42">
        <f>3776.17322268774*Deflactores!$T$5</f>
        <v>5713.7371881719901</v>
      </c>
      <c r="E67" s="42">
        <f>3896.74692604511*Deflactores!$U$5</f>
        <v>5802.7532345013869</v>
      </c>
      <c r="F67" s="42">
        <f>4209.52690074424*Deflactores!$V$5</f>
        <v>5934.9768173135517</v>
      </c>
      <c r="G67" s="42">
        <f>4683.04628814377*Deflactores!$W$5</f>
        <v>5836.7997228965469</v>
      </c>
      <c r="H67" s="42">
        <f>5368.64045222389*Deflactores!$X$5</f>
        <v>6123.0805733390371</v>
      </c>
      <c r="I67" s="42">
        <f>5900.95665718845*Deflactores!$Y$5</f>
        <v>6397.5301283878098</v>
      </c>
      <c r="J67" s="42">
        <f>6790.3031862481*Deflactores!$Z$5</f>
        <v>7004.4875060114555</v>
      </c>
      <c r="K67" s="42">
        <f>1238.48096771292*Deflactores!$AA$5</f>
        <v>1238.4809677129199</v>
      </c>
    </row>
    <row r="68" spans="3:11" x14ac:dyDescent="0.2">
      <c r="C68" s="88" t="s">
        <v>134</v>
      </c>
      <c r="D68" s="50">
        <f>9381.31700132766*Deflactores!$T$5</f>
        <v>14194.894318530178</v>
      </c>
      <c r="E68" s="50">
        <f>20557.4860423517*Deflactores!$U$5</f>
        <v>30612.718990848956</v>
      </c>
      <c r="F68" s="50">
        <f>21336.1792113233*Deflactores!$V$5</f>
        <v>30081.700859748184</v>
      </c>
      <c r="G68" s="50">
        <f>16616.518723527*Deflactores!$W$5</f>
        <v>20710.299645453804</v>
      </c>
      <c r="H68" s="50">
        <f>36879.4709318675*Deflactores!$X$5</f>
        <v>42062.040478869887</v>
      </c>
      <c r="I68" s="50">
        <f>27525.7246014054*Deflactores!$Y$5</f>
        <v>29842.051496629534</v>
      </c>
      <c r="J68" s="50">
        <f>22551.9363828367*Deflactores!$Z$5</f>
        <v>23263.284760223843</v>
      </c>
      <c r="K68" s="50">
        <f>6024.45130729354*Deflactores!$AA$5</f>
        <v>6024.4513072935397</v>
      </c>
    </row>
    <row r="69" spans="3:11" x14ac:dyDescent="0.2">
      <c r="C69" s="87" t="s">
        <v>135</v>
      </c>
      <c r="D69" s="42">
        <f>0*Deflactores!$T$5</f>
        <v>0</v>
      </c>
      <c r="E69" s="42">
        <f>0*Deflactores!$U$5</f>
        <v>0</v>
      </c>
      <c r="F69" s="42">
        <f>0*Deflactores!$V$5</f>
        <v>0</v>
      </c>
      <c r="G69" s="42">
        <f>0*Deflactores!$W$5</f>
        <v>0</v>
      </c>
      <c r="H69" s="42">
        <f>471.96114025259*Deflactores!$X$5</f>
        <v>538.28452752027545</v>
      </c>
      <c r="I69" s="42">
        <f>7848.14138458895*Deflactores!$Y$5</f>
        <v>8508.573080026199</v>
      </c>
      <c r="J69" s="42">
        <f>6843.82566051525*Deflactores!$Z$5</f>
        <v>7059.6982222360748</v>
      </c>
      <c r="K69" s="42">
        <f>3720.75475924838*Deflactores!$AA$5</f>
        <v>3720.7547592483802</v>
      </c>
    </row>
    <row r="70" spans="3:11" x14ac:dyDescent="0.2">
      <c r="C70" s="88" t="s">
        <v>136</v>
      </c>
      <c r="D70" s="50">
        <f>8776.14877050845*Deflactores!$T$5</f>
        <v>13279.212748427082</v>
      </c>
      <c r="E70" s="50">
        <f>15395.5957675269*Deflactores!$U$5</f>
        <v>22926.005930737312</v>
      </c>
      <c r="F70" s="50">
        <f>20513.9891297609*Deflactores!$V$5</f>
        <v>28922.501931090606</v>
      </c>
      <c r="G70" s="50">
        <f>19955.5047535154*Deflactores!$W$5</f>
        <v>24871.905475388201</v>
      </c>
      <c r="H70" s="50">
        <f>16463.0455528234*Deflactores!$X$5</f>
        <v>18776.55158686062</v>
      </c>
      <c r="I70" s="50">
        <f>12989.1261231777*Deflactores!$Y$5</f>
        <v>14082.178626618017</v>
      </c>
      <c r="J70" s="50">
        <f>10727.7152514365*Deflactores!$Z$5</f>
        <v>11066.096076374815</v>
      </c>
      <c r="K70" s="50">
        <f>2390.43346627293*Deflactores!$AA$5</f>
        <v>2390.4334662729302</v>
      </c>
    </row>
    <row r="71" spans="3:11" x14ac:dyDescent="0.2">
      <c r="C71" s="87" t="s">
        <v>137</v>
      </c>
      <c r="D71" s="42">
        <f>319.239698987329*Deflactores!$T$5</f>
        <v>483.04239039819299</v>
      </c>
      <c r="E71" s="42">
        <f>313.229944314829*Deflactores!$U$5</f>
        <v>466.43934210022712</v>
      </c>
      <c r="F71" s="42">
        <f>365.42320398323*Deflactores!$V$5</f>
        <v>515.20712310104807</v>
      </c>
      <c r="G71" s="42">
        <f>420.412891809299*Deflactores!$W$5</f>
        <v>523.98923679810503</v>
      </c>
      <c r="H71" s="42">
        <f>840.5584357774*Deflactores!$X$5</f>
        <v>958.67977650335069</v>
      </c>
      <c r="I71" s="42">
        <f>1179.05805734666*Deflactores!$Y$5</f>
        <v>1278.2773850414283</v>
      </c>
      <c r="J71" s="42">
        <f>938.976579536959*Deflactores!$Z$5</f>
        <v>968.59441167870295</v>
      </c>
      <c r="K71" s="42">
        <f>304.45586429136*Deflactores!$AA$5</f>
        <v>304.45586429136</v>
      </c>
    </row>
    <row r="72" spans="3:11" x14ac:dyDescent="0.2">
      <c r="C72" s="88" t="s">
        <v>138</v>
      </c>
      <c r="D72" s="50">
        <f>94.5223990089999*Deflactores!$T$5</f>
        <v>143.02207936015918</v>
      </c>
      <c r="E72" s="50">
        <f>98.9260034643899*Deflactores!$U$5</f>
        <v>147.31343797116747</v>
      </c>
      <c r="F72" s="50">
        <f>113.94134567572*Deflactores!$V$5</f>
        <v>160.64495157385727</v>
      </c>
      <c r="G72" s="50">
        <f>107.24716079672*Deflactores!$W$5</f>
        <v>133.66944503720845</v>
      </c>
      <c r="H72" s="50">
        <f>134.17444472116*Deflactores!$X$5</f>
        <v>153.02960651245814</v>
      </c>
      <c r="I72" s="50">
        <f>163.26377849481*Deflactores!$Y$5</f>
        <v>177.00264592226858</v>
      </c>
      <c r="J72" s="50">
        <f>172.35737484458*Deflactores!$Z$5</f>
        <v>177.79398733075701</v>
      </c>
      <c r="K72" s="50">
        <f>32.96532098546*Deflactores!$AA$5</f>
        <v>32.965320985459996</v>
      </c>
    </row>
    <row r="73" spans="3:11" x14ac:dyDescent="0.2">
      <c r="C73" s="87" t="s">
        <v>160</v>
      </c>
      <c r="D73" s="42">
        <f>1262.55101449317*Deflactores!$T$5</f>
        <v>1910.3691112822742</v>
      </c>
      <c r="E73" s="42">
        <f>1631.42376734728*Deflactores!$U$5</f>
        <v>2429.3980908903595</v>
      </c>
      <c r="F73" s="42">
        <f>2040.38636780977*Deflactores!$V$5</f>
        <v>2876.7236976612771</v>
      </c>
      <c r="G73" s="42">
        <f>2488.08585807416*Deflactores!$W$5</f>
        <v>3101.0709596693687</v>
      </c>
      <c r="H73" s="42">
        <f>3078.79725587678*Deflactores!$X$5</f>
        <v>3511.4520770150598</v>
      </c>
      <c r="I73" s="42">
        <f>3500.60392681727*Deflactores!$Y$5</f>
        <v>3795.1844743825845</v>
      </c>
      <c r="J73" s="42">
        <f>4181.83613740413*Deflactores!$Z$5</f>
        <v>4313.7424314066839</v>
      </c>
      <c r="K73" s="42">
        <f>2333.61357786462*Deflactores!$AA$5</f>
        <v>2333.6135778646199</v>
      </c>
    </row>
    <row r="74" spans="3:11" x14ac:dyDescent="0.2">
      <c r="C74" s="88" t="s">
        <v>161</v>
      </c>
      <c r="D74" s="50">
        <f>2225.03082430177*Deflactores!$T$5</f>
        <v>3366.6997290429349</v>
      </c>
      <c r="E74" s="50">
        <f>2394.59860659834*Deflactores!$U$5</f>
        <v>3565.8627756649385</v>
      </c>
      <c r="F74" s="50">
        <f>2563.71247213923*Deflactores!$V$5</f>
        <v>3614.5568010775387</v>
      </c>
      <c r="G74" s="50">
        <f>2866.41884592789*Deflactores!$W$5</f>
        <v>3572.613144562562</v>
      </c>
      <c r="H74" s="50">
        <f>3236.10447559342*Deflactores!$X$5</f>
        <v>3690.8652430977199</v>
      </c>
      <c r="I74" s="50">
        <f>3928.84958786917*Deflactores!$Y$5</f>
        <v>4259.4675861037003</v>
      </c>
      <c r="J74" s="50">
        <f>4255.19767819898*Deflactores!$Z$5</f>
        <v>4389.4179913669459</v>
      </c>
      <c r="K74" s="50">
        <f>1428.23847671419*Deflactores!$AA$5</f>
        <v>1428.23847671419</v>
      </c>
    </row>
    <row r="75" spans="3:11" x14ac:dyDescent="0.2">
      <c r="C75" s="87" t="s">
        <v>140</v>
      </c>
      <c r="D75" s="42">
        <f>3129.34593960251*Deflactores!$T$5</f>
        <v>4735.0212014467324</v>
      </c>
      <c r="E75" s="42">
        <f>3161.3289520747*Deflactores!$U$5</f>
        <v>4707.6220627425946</v>
      </c>
      <c r="F75" s="42">
        <f>4501.80914441736*Deflactores!$V$5</f>
        <v>6347.0631113827649</v>
      </c>
      <c r="G75" s="42">
        <f>4332.67394108354*Deflactores!$W$5</f>
        <v>5400.1067900486923</v>
      </c>
      <c r="H75" s="42">
        <f>6649.23927619015*Deflactores!$X$5</f>
        <v>7583.6383907321733</v>
      </c>
      <c r="I75" s="42">
        <f>7056.04337306585*Deflactores!$Y$5</f>
        <v>7649.8189512050694</v>
      </c>
      <c r="J75" s="42">
        <f>6471.55894019615*Deflactores!$Z$5</f>
        <v>6675.6892141169892</v>
      </c>
      <c r="K75" s="42">
        <f>2860.30917232712*Deflactores!$AA$5</f>
        <v>2860.30917232712</v>
      </c>
    </row>
    <row r="76" spans="3:11" x14ac:dyDescent="0.2">
      <c r="C76" s="88" t="s">
        <v>141</v>
      </c>
      <c r="D76" s="50">
        <f>1799.95076226553*Deflactores!$T$5</f>
        <v>2723.5100194675374</v>
      </c>
      <c r="E76" s="50">
        <f>2033.15458949765*Deflactores!$U$5</f>
        <v>3027.6265290912179</v>
      </c>
      <c r="F76" s="50">
        <f>2533.43707549369*Deflactores!$V$5</f>
        <v>3571.8717722220426</v>
      </c>
      <c r="G76" s="50">
        <f>2886.5636131342*Deflactores!$W$5</f>
        <v>3597.7209407304731</v>
      </c>
      <c r="H76" s="50">
        <f>3706.38987532065*Deflactores!$X$5</f>
        <v>4227.2385429341712</v>
      </c>
      <c r="I76" s="50">
        <f>3889.22123621085*Deflactores!$Y$5</f>
        <v>4216.5044551402461</v>
      </c>
      <c r="J76" s="50">
        <f>4122.59480747749*Deflactores!$Z$5</f>
        <v>4252.6324715228557</v>
      </c>
      <c r="K76" s="50">
        <f>929.00783843826*Deflactores!$AA$5</f>
        <v>929.00783843826002</v>
      </c>
    </row>
    <row r="77" spans="3:11" x14ac:dyDescent="0.2">
      <c r="C77" s="87" t="s">
        <v>142</v>
      </c>
      <c r="D77" s="42">
        <f>348.55154809633*Deflactores!$T$5</f>
        <v>527.39422290999153</v>
      </c>
      <c r="E77" s="42">
        <f>268.542062594899*Deflactores!$U$5</f>
        <v>399.89338591812492</v>
      </c>
      <c r="F77" s="42">
        <f>741.39338348313*Deflactores!$V$5</f>
        <v>1045.2843388895058</v>
      </c>
      <c r="G77" s="42">
        <f>1438.91352813125*Deflactores!$W$5</f>
        <v>1793.4159872670327</v>
      </c>
      <c r="H77" s="42">
        <f>1513.24663421543*Deflactores!$X$5</f>
        <v>1725.898977793712</v>
      </c>
      <c r="I77" s="42">
        <f>1068.64599234911*Deflactores!$Y$5</f>
        <v>1158.5739956767804</v>
      </c>
      <c r="J77" s="42">
        <f>842.911123740589*Deflactores!$Z$5</f>
        <v>869.49879452750974</v>
      </c>
      <c r="K77" s="42">
        <f>508.750171770789*Deflactores!$AA$5</f>
        <v>508.750171770789</v>
      </c>
    </row>
    <row r="78" spans="3:11" x14ac:dyDescent="0.2">
      <c r="C78" s="88" t="s">
        <v>143</v>
      </c>
      <c r="D78" s="50">
        <f>1556.5290810042*Deflactores!$T$5</f>
        <v>2355.1880621288706</v>
      </c>
      <c r="E78" s="50">
        <f>5286.29498937136*Deflactores!$U$5</f>
        <v>7871.967548900052</v>
      </c>
      <c r="F78" s="50">
        <f>8633.81645777572*Deflactores!$V$5</f>
        <v>12172.745709922809</v>
      </c>
      <c r="G78" s="50">
        <f>5920.29487984452*Deflactores!$W$5</f>
        <v>7378.8669570975389</v>
      </c>
      <c r="H78" s="50">
        <f>5402.41678110902*Deflactores!$X$5</f>
        <v>6161.6033958442358</v>
      </c>
      <c r="I78" s="50">
        <f>2735.09259165966*Deflactores!$Y$5</f>
        <v>2965.2543266450516</v>
      </c>
      <c r="J78" s="50">
        <f>4029.72198793832*Deflactores!$Z$5</f>
        <v>4156.830194913523</v>
      </c>
      <c r="K78" s="50">
        <f>1861.10336310838*Deflactores!$AA$5</f>
        <v>1861.1033631083801</v>
      </c>
    </row>
    <row r="79" spans="3:11" x14ac:dyDescent="0.2">
      <c r="C79" s="87" t="s">
        <v>144</v>
      </c>
      <c r="D79" s="42">
        <f>4626.32897868672*Deflactores!$T$5</f>
        <v>7000.1099979798009</v>
      </c>
      <c r="E79" s="42">
        <f>4814.99562553242*Deflactores!$U$5</f>
        <v>7170.142678094162</v>
      </c>
      <c r="F79" s="42">
        <f>5248.11138993475*Deflactores!$V$5</f>
        <v>7399.2684138531367</v>
      </c>
      <c r="G79" s="42">
        <f>5888.869694292*Deflactores!$W$5</f>
        <v>7339.6996068218641</v>
      </c>
      <c r="H79" s="42">
        <f>7248.83290953504*Deflactores!$X$5</f>
        <v>8267.4912508563884</v>
      </c>
      <c r="I79" s="42">
        <f>9048.40157833253*Deflactores!$Y$5</f>
        <v>9809.8367898731558</v>
      </c>
      <c r="J79" s="42">
        <f>10484.8778535153*Deflactores!$Z$5</f>
        <v>10815.598937576036</v>
      </c>
      <c r="K79" s="42">
        <f>1458.7889882616*Deflactores!$AA$5</f>
        <v>1458.7889882616</v>
      </c>
    </row>
    <row r="80" spans="3:11" x14ac:dyDescent="0.2">
      <c r="C80" s="88" t="s">
        <v>145</v>
      </c>
      <c r="D80" s="50">
        <f>1399.94985729061*Deflactores!$T$5</f>
        <v>2118.267645434993</v>
      </c>
      <c r="E80" s="50">
        <f>625.26477317853*Deflactores!$U$5</f>
        <v>931.09900484707271</v>
      </c>
      <c r="F80" s="50">
        <f>1274.58704465004*Deflactores!$V$5</f>
        <v>1797.029628272184</v>
      </c>
      <c r="G80" s="50">
        <f>3134.51912316638*Deflactores!$W$5</f>
        <v>3906.7647902244648</v>
      </c>
      <c r="H80" s="50">
        <f>3132.01089535081*Deflactores!$X$5</f>
        <v>3572.1436813420228</v>
      </c>
      <c r="I80" s="50">
        <f>973.244289906709*Deflactores!$Y$5</f>
        <v>1055.1441111458971</v>
      </c>
      <c r="J80" s="50">
        <f>2779.9624562727*Deflactores!$Z$5</f>
        <v>2867.6499057624815</v>
      </c>
      <c r="K80" s="50">
        <f>2405.21243395214*Deflactores!$AA$5</f>
        <v>2405.2124339521401</v>
      </c>
    </row>
    <row r="81" spans="1:11" x14ac:dyDescent="0.2">
      <c r="C81" s="87" t="s">
        <v>146</v>
      </c>
      <c r="D81" s="42">
        <f>711.020672472754*Deflactores!$T$5</f>
        <v>1075.847165447308</v>
      </c>
      <c r="E81" s="42">
        <f>761.156663979979*Deflactores!$U$5</f>
        <v>1133.4593643613432</v>
      </c>
      <c r="F81" s="42">
        <f>858.84292757712*Deflactores!$V$5</f>
        <v>1210.8754701110774</v>
      </c>
      <c r="G81" s="42">
        <f>1159.08910678208*Deflactores!$W$5</f>
        <v>1444.6517418386777</v>
      </c>
      <c r="H81" s="42">
        <f>1194.24043644937*Deflactores!$X$5</f>
        <v>1362.0637257035885</v>
      </c>
      <c r="I81" s="42">
        <f>1164.85417254854*Deflactores!$Y$5</f>
        <v>1262.8782241569934</v>
      </c>
      <c r="J81" s="42">
        <f>1246.62531000697*Deflactores!$Z$5</f>
        <v>1285.9472057603696</v>
      </c>
      <c r="K81" s="42">
        <f>322.08644545281*Deflactores!$AA$5</f>
        <v>322.08644545280998</v>
      </c>
    </row>
    <row r="82" spans="1:11" x14ac:dyDescent="0.2">
      <c r="C82" s="88" t="s">
        <v>162</v>
      </c>
      <c r="D82" s="50">
        <f>28956.5939454297*Deflactores!$T$5</f>
        <v>43814.295031475318</v>
      </c>
      <c r="E82" s="50">
        <f>34054.627209408*Deflactores!$U$5</f>
        <v>50711.683858230521</v>
      </c>
      <c r="F82" s="50">
        <f>43056.3147320253*Deflactores!$V$5</f>
        <v>60704.738513096847</v>
      </c>
      <c r="G82" s="50">
        <f>41743.7333637966*Deflactores!$W$5</f>
        <v>52028.059587480908</v>
      </c>
      <c r="H82" s="50">
        <f>52625.9340019895*Deflactores!$X$5</f>
        <v>60021.310238409322</v>
      </c>
      <c r="I82" s="50">
        <f>59900.5591686111*Deflactores!$Y$5</f>
        <v>64941.272110792255</v>
      </c>
      <c r="J82" s="50">
        <f>65497.2020690874*Deflactores!$Z$5</f>
        <v>67563.158961849025</v>
      </c>
      <c r="K82" s="50">
        <f>15464.7277356503*Deflactores!$AA$5</f>
        <v>15464.7277356503</v>
      </c>
    </row>
    <row r="83" spans="1:11" x14ac:dyDescent="0.2">
      <c r="C83" s="87" t="s">
        <v>148</v>
      </c>
      <c r="D83" s="42">
        <f>395.93703267237*Deflactores!$T$5</f>
        <v>599.0933186439953</v>
      </c>
      <c r="E83" s="42">
        <f>487.15641910575*Deflactores!$U$5</f>
        <v>725.43804879395429</v>
      </c>
      <c r="F83" s="42">
        <f>555.2356866964*Deflactores!$V$5</f>
        <v>782.82215707083299</v>
      </c>
      <c r="G83" s="42">
        <f>602.38589612996*Deflactores!$W$5</f>
        <v>750.7945929361689</v>
      </c>
      <c r="H83" s="42">
        <f>684.59175392637*Deflactores!$X$5</f>
        <v>780.79553034665435</v>
      </c>
      <c r="I83" s="42">
        <f>840.28836694924*Deflactores!$Y$5</f>
        <v>910.99976773136916</v>
      </c>
      <c r="J83" s="42">
        <f>962.0780591807*Deflactores!$Z$5</f>
        <v>992.42457376375864</v>
      </c>
      <c r="K83" s="42">
        <f>355.1471890926*Deflactores!$AA$5</f>
        <v>355.1471890926</v>
      </c>
    </row>
    <row r="84" spans="1:11" x14ac:dyDescent="0.2">
      <c r="C84" s="88" t="s">
        <v>149</v>
      </c>
      <c r="D84" s="50">
        <f>78.72085952353*Deflactores!$T$5</f>
        <v>119.1127302746754</v>
      </c>
      <c r="E84" s="50">
        <f>53.71154523094*Deflactores!$U$5</f>
        <v>79.98334219133649</v>
      </c>
      <c r="F84" s="50">
        <f>65.78004969265*Deflactores!$V$5</f>
        <v>92.742742634234816</v>
      </c>
      <c r="G84" s="50">
        <f>93.64234653543*Deflactores!$W$5</f>
        <v>116.71283790065335</v>
      </c>
      <c r="H84" s="50">
        <f>94.20563140713*Deflactores!$X$5</f>
        <v>107.44408695299975</v>
      </c>
      <c r="I84" s="50">
        <f>904.26955045929*Deflactores!$Y$5</f>
        <v>980.36505423230039</v>
      </c>
      <c r="J84" s="50">
        <f>607.12201219546*Deflactores!$Z$5</f>
        <v>626.2722639042197</v>
      </c>
      <c r="K84" s="50">
        <f>99.151679191*Deflactores!$AA$5</f>
        <v>99.151679190999999</v>
      </c>
    </row>
    <row r="85" spans="1:11" x14ac:dyDescent="0.2">
      <c r="C85" s="87" t="s">
        <v>163</v>
      </c>
      <c r="D85" s="42">
        <f>26211.2781298117*Deflactores!$T$5</f>
        <v>39660.350775229424</v>
      </c>
      <c r="E85" s="42">
        <f>30515.519866477*Deflactores!$U$5</f>
        <v>45441.501582810481</v>
      </c>
      <c r="F85" s="42">
        <f>25722.2268060704*Deflactores!$V$5</f>
        <v>36265.55272914844</v>
      </c>
      <c r="G85" s="42">
        <f>28207.5201190497*Deflactores!$W$5</f>
        <v>35156.954572773924</v>
      </c>
      <c r="H85" s="42">
        <f>31781.8902211575*Deflactores!$X$5</f>
        <v>36248.110919134393</v>
      </c>
      <c r="I85" s="42">
        <f>34649.1041897659*Deflactores!$Y$5</f>
        <v>37564.873096575357</v>
      </c>
      <c r="J85" s="42">
        <f>48408.3455622162*Deflactores!$Z$5</f>
        <v>49935.274225152913</v>
      </c>
      <c r="K85" s="42">
        <f>3617.78545475843*Deflactores!$AA$5</f>
        <v>3617.7854547584302</v>
      </c>
    </row>
    <row r="86" spans="1:11" x14ac:dyDescent="0.2">
      <c r="C86" s="88" t="s">
        <v>150</v>
      </c>
      <c r="D86" s="50">
        <f>4672.027525428*Deflactores!$T$5</f>
        <v>7069.2565838388109</v>
      </c>
      <c r="E86" s="50">
        <f>4978.1880835465*Deflactores!$U$5</f>
        <v>7413.1570645964257</v>
      </c>
      <c r="F86" s="50">
        <f>7893.25341230116*Deflactores!$V$5</f>
        <v>11128.632057656194</v>
      </c>
      <c r="G86" s="50">
        <f>8818.84699641385*Deflactores!$W$5</f>
        <v>10991.529986635731</v>
      </c>
      <c r="H86" s="50">
        <f>9172.54433115609*Deflactores!$X$5</f>
        <v>10461.536491781204</v>
      </c>
      <c r="I86" s="50">
        <f>10024.2076381672*Deflactores!$Y$5</f>
        <v>10867.758247345799</v>
      </c>
      <c r="J86" s="50">
        <f>8795.64043590807*Deflactores!$Z$5</f>
        <v>9073.0784547970252</v>
      </c>
      <c r="K86" s="50">
        <f>7998.75886700309*Deflactores!$AA$5</f>
        <v>7998.75886700309</v>
      </c>
    </row>
    <row r="87" spans="1:11" x14ac:dyDescent="0.2">
      <c r="C87" s="87" t="s">
        <v>151</v>
      </c>
      <c r="D87" s="42">
        <f>4116.00261322804*Deflactores!$T$5</f>
        <v>6227.9338925757966</v>
      </c>
      <c r="E87" s="42">
        <f>4322.03503306087*Deflactores!$U$5</f>
        <v>6436.0614747892259</v>
      </c>
      <c r="F87" s="42">
        <f>5949.62559731739*Deflactores!$V$5</f>
        <v>8388.3274354491168</v>
      </c>
      <c r="G87" s="42">
        <f>5755.35965229809*Deflactores!$W$5</f>
        <v>7173.2969432208511</v>
      </c>
      <c r="H87" s="42">
        <f>7851.71537372369*Deflactores!$X$5</f>
        <v>8955.0951120818372</v>
      </c>
      <c r="I87" s="42">
        <f>9078.12873302914*Deflactores!$Y$5</f>
        <v>9842.0655247802551</v>
      </c>
      <c r="J87" s="42">
        <f>8330.75467886576*Deflactores!$Z$5</f>
        <v>8593.5289578731972</v>
      </c>
      <c r="K87" s="42">
        <f>1908.45500223585*Deflactores!$AA$5</f>
        <v>1908.4550022358501</v>
      </c>
    </row>
    <row r="88" spans="1:11" x14ac:dyDescent="0.2">
      <c r="C88" s="79" t="s">
        <v>154</v>
      </c>
      <c r="D88" s="44">
        <f t="shared" ref="D88:K88" si="1">SUM(D57:D87)</f>
        <v>274930.21493517206</v>
      </c>
      <c r="E88" s="44">
        <f t="shared" si="1"/>
        <v>325138.00949391059</v>
      </c>
      <c r="F88" s="44">
        <f t="shared" si="1"/>
        <v>350190.90436771401</v>
      </c>
      <c r="G88" s="44">
        <f t="shared" si="1"/>
        <v>314655.72118996974</v>
      </c>
      <c r="H88" s="44">
        <f t="shared" si="1"/>
        <v>355121.97162446694</v>
      </c>
      <c r="I88" s="44">
        <f t="shared" si="1"/>
        <v>369818.89636782306</v>
      </c>
      <c r="J88" s="44">
        <f t="shared" si="1"/>
        <v>377807.65775099274</v>
      </c>
      <c r="K88" s="44">
        <f t="shared" si="1"/>
        <v>106373.66521775727</v>
      </c>
    </row>
    <row r="89" spans="1:11" s="31" customFormat="1" x14ac:dyDescent="0.2">
      <c r="A89" s="5"/>
      <c r="B89" s="5"/>
      <c r="C89" s="72" t="str">
        <f>+'C1 Aprop Resumen 2000-2026'!B20</f>
        <v>* Información con corte a 28 de febrero</v>
      </c>
      <c r="D89" s="123">
        <f>+D88-'C6 Ejec. Nac 19-26'!D66</f>
        <v>0</v>
      </c>
      <c r="E89" s="123">
        <f>+E88-'C6 Ejec. Nac 19-26'!E66</f>
        <v>1.0477378964424133E-9</v>
      </c>
      <c r="F89" s="123">
        <f>+F88-'C6 Ejec. Nac 19-26'!F66</f>
        <v>-5.2386894822120667E-10</v>
      </c>
      <c r="G89" s="123">
        <f>+G88-'C6 Ejec. Nac 19-26'!G66</f>
        <v>0</v>
      </c>
      <c r="H89" s="123">
        <f>+H88-'C6 Ejec. Nac 19-26'!H66</f>
        <v>0</v>
      </c>
      <c r="I89" s="123">
        <f>+I88-'C6 Ejec. Nac 19-26'!I66</f>
        <v>4.6566128730773926E-10</v>
      </c>
      <c r="J89" s="123">
        <f>+J88-'C6 Ejec. Nac 19-26'!J66</f>
        <v>0</v>
      </c>
      <c r="K89" s="123">
        <f>+K88-'C6 Ejec. Nac 19-26'!K66</f>
        <v>0</v>
      </c>
    </row>
    <row r="90" spans="1:11" x14ac:dyDescent="0.2">
      <c r="C90" s="1" t="s">
        <v>52</v>
      </c>
      <c r="D90" s="11"/>
      <c r="E90" s="11"/>
      <c r="F90" s="11"/>
      <c r="G90" s="11"/>
      <c r="H90" s="11"/>
    </row>
    <row r="91" spans="1:11" x14ac:dyDescent="0.2">
      <c r="D91" s="11"/>
      <c r="E91" s="11"/>
      <c r="F91" s="11"/>
      <c r="G91" s="11"/>
      <c r="H91" s="11"/>
      <c r="I91" s="11"/>
    </row>
    <row r="92" spans="1:11" x14ac:dyDescent="0.2">
      <c r="D92" s="11"/>
      <c r="E92" s="11"/>
      <c r="F92" s="11"/>
      <c r="G92" s="11"/>
      <c r="H92" s="11"/>
    </row>
    <row r="93" spans="1:11" x14ac:dyDescent="0.2">
      <c r="D93" s="11"/>
      <c r="E93" s="11"/>
      <c r="F93" s="11"/>
      <c r="G93" s="11"/>
      <c r="H93" s="11"/>
    </row>
    <row r="94" spans="1:11" ht="18" customHeight="1" x14ac:dyDescent="0.2">
      <c r="D94" s="160" t="s">
        <v>155</v>
      </c>
      <c r="E94" s="178"/>
      <c r="F94" s="178"/>
      <c r="G94" s="178"/>
      <c r="H94" s="178"/>
      <c r="I94" s="178"/>
      <c r="J94" s="178"/>
      <c r="K94" s="178"/>
    </row>
    <row r="95" spans="1:11" x14ac:dyDescent="0.2">
      <c r="D95" s="29"/>
      <c r="E95" s="29"/>
      <c r="F95" s="29"/>
      <c r="G95" s="29"/>
      <c r="H95" s="29"/>
    </row>
    <row r="96" spans="1:11" x14ac:dyDescent="0.2">
      <c r="C96" s="177" t="s">
        <v>120</v>
      </c>
      <c r="D96" s="153">
        <v>2019</v>
      </c>
      <c r="E96" s="153">
        <v>2020</v>
      </c>
      <c r="F96" s="153">
        <v>2021</v>
      </c>
      <c r="G96" s="153">
        <v>2022</v>
      </c>
      <c r="H96" s="153">
        <v>2023</v>
      </c>
      <c r="I96" s="153">
        <v>2024</v>
      </c>
      <c r="J96" s="153">
        <v>2025</v>
      </c>
      <c r="K96" s="153" t="s">
        <v>36</v>
      </c>
    </row>
    <row r="97" spans="3:11" ht="12" customHeight="1" thickBot="1" x14ac:dyDescent="0.25">
      <c r="C97" s="156"/>
      <c r="D97" s="154"/>
      <c r="E97" s="154"/>
      <c r="F97" s="154"/>
      <c r="G97" s="154"/>
      <c r="H97" s="154"/>
      <c r="I97" s="154"/>
      <c r="J97" s="154"/>
      <c r="K97" s="154"/>
    </row>
    <row r="98" spans="3:11" x14ac:dyDescent="0.2">
      <c r="C98" s="87" t="s">
        <v>123</v>
      </c>
      <c r="D98" s="47">
        <f t="shared" ref="D98:I107" si="2">+IFERROR(IF(D57&gt;0,+((D57/D15)*100)," "),"0")</f>
        <v>96.158131198247034</v>
      </c>
      <c r="E98" s="47">
        <f t="shared" si="2"/>
        <v>91.498643374294488</v>
      </c>
      <c r="F98" s="47">
        <f t="shared" si="2"/>
        <v>93.316929017181934</v>
      </c>
      <c r="G98" s="47">
        <f t="shared" si="2"/>
        <v>89.703780660769979</v>
      </c>
      <c r="H98" s="47">
        <f t="shared" si="2"/>
        <v>90.839147510610402</v>
      </c>
      <c r="I98" s="47">
        <f t="shared" si="2"/>
        <v>97.062692608514496</v>
      </c>
      <c r="J98" s="47">
        <f t="shared" ref="J98:K129" si="3">+IFERROR(IF(J57&gt;0,+((J57/J15)*100)," "),"")</f>
        <v>95.147286355419965</v>
      </c>
      <c r="K98" s="47">
        <f t="shared" si="3"/>
        <v>39.854066456094046</v>
      </c>
    </row>
    <row r="99" spans="3:11" x14ac:dyDescent="0.2">
      <c r="C99" s="88" t="s">
        <v>124</v>
      </c>
      <c r="D99" s="116">
        <f t="shared" si="2"/>
        <v>96.537631072987239</v>
      </c>
      <c r="E99" s="116">
        <f t="shared" si="2"/>
        <v>96.405530421026256</v>
      </c>
      <c r="F99" s="116">
        <f t="shared" si="2"/>
        <v>81.634315264393649</v>
      </c>
      <c r="G99" s="116">
        <f t="shared" si="2"/>
        <v>85.589759372512262</v>
      </c>
      <c r="H99" s="116">
        <f t="shared" si="2"/>
        <v>85.886004410719153</v>
      </c>
      <c r="I99" s="116">
        <f t="shared" si="2"/>
        <v>98.834919047726373</v>
      </c>
      <c r="J99" s="116">
        <f t="shared" si="3"/>
        <v>97.876969228722615</v>
      </c>
      <c r="K99" s="116">
        <f t="shared" si="3"/>
        <v>39.28078504195507</v>
      </c>
    </row>
    <row r="100" spans="3:11" x14ac:dyDescent="0.2">
      <c r="C100" s="87" t="s">
        <v>125</v>
      </c>
      <c r="D100" s="47">
        <f t="shared" si="2"/>
        <v>99.738807028927127</v>
      </c>
      <c r="E100" s="47">
        <f t="shared" si="2"/>
        <v>98.720520014567327</v>
      </c>
      <c r="F100" s="47">
        <f t="shared" si="2"/>
        <v>99.006860988789001</v>
      </c>
      <c r="G100" s="47">
        <f t="shared" si="2"/>
        <v>99.004093527284837</v>
      </c>
      <c r="H100" s="47">
        <f t="shared" si="2"/>
        <v>98.581978187837265</v>
      </c>
      <c r="I100" s="47">
        <f t="shared" si="2"/>
        <v>98.096547308882947</v>
      </c>
      <c r="J100" s="47">
        <f t="shared" si="3"/>
        <v>97.518195657551331</v>
      </c>
      <c r="K100" s="47">
        <f t="shared" si="3"/>
        <v>45.237404825698199</v>
      </c>
    </row>
    <row r="101" spans="3:11" x14ac:dyDescent="0.2">
      <c r="C101" s="88" t="s">
        <v>126</v>
      </c>
      <c r="D101" s="116">
        <f t="shared" si="2"/>
        <v>98.453431219579343</v>
      </c>
      <c r="E101" s="116">
        <f t="shared" si="2"/>
        <v>98.259125367090235</v>
      </c>
      <c r="F101" s="116">
        <f t="shared" si="2"/>
        <v>97.816510417897845</v>
      </c>
      <c r="G101" s="116">
        <f t="shared" si="2"/>
        <v>97.863421039854629</v>
      </c>
      <c r="H101" s="116">
        <f t="shared" si="2"/>
        <v>98.656082745875764</v>
      </c>
      <c r="I101" s="116">
        <f t="shared" si="2"/>
        <v>97.716400002149925</v>
      </c>
      <c r="J101" s="116">
        <f t="shared" si="3"/>
        <v>98.497234931779261</v>
      </c>
      <c r="K101" s="116">
        <f t="shared" si="3"/>
        <v>77.477138346295121</v>
      </c>
    </row>
    <row r="102" spans="3:11" x14ac:dyDescent="0.2">
      <c r="C102" s="87" t="s">
        <v>127</v>
      </c>
      <c r="D102" s="47">
        <f t="shared" si="2"/>
        <v>98.388271868936798</v>
      </c>
      <c r="E102" s="47">
        <f t="shared" si="2"/>
        <v>99.153187306859522</v>
      </c>
      <c r="F102" s="47">
        <f t="shared" si="2"/>
        <v>96.06169009318829</v>
      </c>
      <c r="G102" s="47">
        <f t="shared" si="2"/>
        <v>94.557232037134398</v>
      </c>
      <c r="H102" s="47">
        <f t="shared" si="2"/>
        <v>98.032589861887118</v>
      </c>
      <c r="I102" s="47">
        <f t="shared" si="2"/>
        <v>95.045305842523518</v>
      </c>
      <c r="J102" s="47">
        <f t="shared" si="3"/>
        <v>86.489447796994313</v>
      </c>
      <c r="K102" s="47">
        <f t="shared" si="3"/>
        <v>37.674006650358493</v>
      </c>
    </row>
    <row r="103" spans="3:11" x14ac:dyDescent="0.2">
      <c r="C103" s="88" t="s">
        <v>128</v>
      </c>
      <c r="D103" s="116">
        <f t="shared" si="2"/>
        <v>99.475877588700229</v>
      </c>
      <c r="E103" s="116">
        <f t="shared" si="2"/>
        <v>99.776190656526779</v>
      </c>
      <c r="F103" s="116">
        <f t="shared" si="2"/>
        <v>97.681982418499842</v>
      </c>
      <c r="G103" s="116">
        <f t="shared" si="2"/>
        <v>97.6553697730278</v>
      </c>
      <c r="H103" s="116">
        <f t="shared" si="2"/>
        <v>98.83440002007616</v>
      </c>
      <c r="I103" s="116">
        <f t="shared" si="2"/>
        <v>98.974607896101503</v>
      </c>
      <c r="J103" s="116">
        <f t="shared" si="3"/>
        <v>99.596134931029425</v>
      </c>
      <c r="K103" s="116">
        <f t="shared" si="3"/>
        <v>35.411321199609816</v>
      </c>
    </row>
    <row r="104" spans="3:11" x14ac:dyDescent="0.2">
      <c r="C104" s="87" t="s">
        <v>129</v>
      </c>
      <c r="D104" s="47">
        <f t="shared" si="2"/>
        <v>99.904921306350957</v>
      </c>
      <c r="E104" s="47">
        <f t="shared" si="2"/>
        <v>99.752194032880183</v>
      </c>
      <c r="F104" s="47">
        <f t="shared" si="2"/>
        <v>98.558332063788868</v>
      </c>
      <c r="G104" s="47">
        <f t="shared" si="2"/>
        <v>98.418221316065356</v>
      </c>
      <c r="H104" s="47">
        <f t="shared" si="2"/>
        <v>99.111754700417038</v>
      </c>
      <c r="I104" s="47">
        <f t="shared" si="2"/>
        <v>99.194596167112309</v>
      </c>
      <c r="J104" s="47">
        <f t="shared" si="3"/>
        <v>99.711946103302452</v>
      </c>
      <c r="K104" s="47">
        <f t="shared" si="3"/>
        <v>20.690659798853467</v>
      </c>
    </row>
    <row r="105" spans="3:11" x14ac:dyDescent="0.2">
      <c r="C105" s="88" t="s">
        <v>130</v>
      </c>
      <c r="D105" s="116">
        <f t="shared" si="2"/>
        <v>96.311899283475967</v>
      </c>
      <c r="E105" s="116">
        <f t="shared" si="2"/>
        <v>95.682982630813157</v>
      </c>
      <c r="F105" s="116">
        <f t="shared" si="2"/>
        <v>95.509016984776608</v>
      </c>
      <c r="G105" s="116">
        <f t="shared" si="2"/>
        <v>97.860378773969231</v>
      </c>
      <c r="H105" s="116">
        <f t="shared" si="2"/>
        <v>73.639009620147903</v>
      </c>
      <c r="I105" s="116">
        <f t="shared" si="2"/>
        <v>93.709730331597584</v>
      </c>
      <c r="J105" s="116">
        <f t="shared" si="3"/>
        <v>98.457075599975965</v>
      </c>
      <c r="K105" s="116">
        <f t="shared" si="3"/>
        <v>71.646805557333821</v>
      </c>
    </row>
    <row r="106" spans="3:11" x14ac:dyDescent="0.2">
      <c r="C106" s="87" t="s">
        <v>131</v>
      </c>
      <c r="D106" s="47">
        <f t="shared" si="2"/>
        <v>99.983049821058103</v>
      </c>
      <c r="E106" s="47">
        <f t="shared" si="2"/>
        <v>99.986791369822086</v>
      </c>
      <c r="F106" s="47">
        <f t="shared" si="2"/>
        <v>99.975015702072866</v>
      </c>
      <c r="G106" s="47">
        <f t="shared" si="2"/>
        <v>99.932161579892181</v>
      </c>
      <c r="H106" s="47">
        <f t="shared" si="2"/>
        <v>99.131215573036656</v>
      </c>
      <c r="I106" s="47">
        <f t="shared" si="2"/>
        <v>99.866191396763284</v>
      </c>
      <c r="J106" s="47">
        <f t="shared" si="3"/>
        <v>99.606005939128679</v>
      </c>
      <c r="K106" s="47">
        <f t="shared" si="3"/>
        <v>35.968225991964289</v>
      </c>
    </row>
    <row r="107" spans="3:11" x14ac:dyDescent="0.2">
      <c r="C107" s="88" t="s">
        <v>132</v>
      </c>
      <c r="D107" s="116">
        <f t="shared" si="2"/>
        <v>91.128493011025014</v>
      </c>
      <c r="E107" s="116">
        <f t="shared" si="2"/>
        <v>91.374679547838227</v>
      </c>
      <c r="F107" s="116">
        <f t="shared" si="2"/>
        <v>94.448849696784436</v>
      </c>
      <c r="G107" s="116">
        <f t="shared" si="2"/>
        <v>92.211013986670594</v>
      </c>
      <c r="H107" s="116">
        <f t="shared" si="2"/>
        <v>97.019028634465414</v>
      </c>
      <c r="I107" s="116">
        <f t="shared" si="2"/>
        <v>94.517223346961515</v>
      </c>
      <c r="J107" s="116">
        <f t="shared" si="3"/>
        <v>96.705130246148542</v>
      </c>
      <c r="K107" s="116">
        <f t="shared" si="3"/>
        <v>21.109509293517508</v>
      </c>
    </row>
    <row r="108" spans="3:11" x14ac:dyDescent="0.2">
      <c r="C108" s="87" t="s">
        <v>133</v>
      </c>
      <c r="D108" s="47">
        <f t="shared" ref="D108:I117" si="4">+IFERROR(IF(D67&gt;0,+((D67/D25)*100)," "),"0")</f>
        <v>99.337303979846581</v>
      </c>
      <c r="E108" s="47">
        <f t="shared" si="4"/>
        <v>98.939871901788393</v>
      </c>
      <c r="F108" s="47">
        <f t="shared" si="4"/>
        <v>95.505826576805902</v>
      </c>
      <c r="G108" s="47">
        <f t="shared" si="4"/>
        <v>99.058673517756006</v>
      </c>
      <c r="H108" s="47">
        <f t="shared" si="4"/>
        <v>99.271738045260747</v>
      </c>
      <c r="I108" s="47">
        <f t="shared" si="4"/>
        <v>98.744873447515729</v>
      </c>
      <c r="J108" s="47">
        <f t="shared" si="3"/>
        <v>99.648589928709853</v>
      </c>
      <c r="K108" s="47">
        <f t="shared" si="3"/>
        <v>17.302943129663522</v>
      </c>
    </row>
    <row r="109" spans="3:11" x14ac:dyDescent="0.2">
      <c r="C109" s="88" t="s">
        <v>134</v>
      </c>
      <c r="D109" s="116">
        <f t="shared" si="4"/>
        <v>91.267158430444056</v>
      </c>
      <c r="E109" s="116">
        <f t="shared" si="4"/>
        <v>50.629262253697163</v>
      </c>
      <c r="F109" s="116">
        <f t="shared" si="4"/>
        <v>89.579698783000865</v>
      </c>
      <c r="G109" s="116">
        <f t="shared" si="4"/>
        <v>92.841650374144663</v>
      </c>
      <c r="H109" s="116">
        <f t="shared" si="4"/>
        <v>89.36206640972091</v>
      </c>
      <c r="I109" s="116">
        <f t="shared" si="4"/>
        <v>85.11193217659833</v>
      </c>
      <c r="J109" s="116">
        <f t="shared" si="3"/>
        <v>92.075525265386901</v>
      </c>
      <c r="K109" s="116">
        <f t="shared" si="3"/>
        <v>18.329761832712478</v>
      </c>
    </row>
    <row r="110" spans="3:11" x14ac:dyDescent="0.2">
      <c r="C110" s="87" t="s">
        <v>135</v>
      </c>
      <c r="D110" s="47" t="str">
        <f t="shared" si="4"/>
        <v xml:space="preserve"> </v>
      </c>
      <c r="E110" s="47" t="str">
        <f t="shared" si="4"/>
        <v xml:space="preserve"> </v>
      </c>
      <c r="F110" s="47" t="str">
        <f t="shared" si="4"/>
        <v xml:space="preserve"> </v>
      </c>
      <c r="G110" s="47" t="str">
        <f t="shared" si="4"/>
        <v xml:space="preserve"> </v>
      </c>
      <c r="H110" s="47">
        <f t="shared" si="4"/>
        <v>94.392228050518014</v>
      </c>
      <c r="I110" s="47">
        <f t="shared" si="4"/>
        <v>99.573888966015616</v>
      </c>
      <c r="J110" s="47">
        <f t="shared" si="3"/>
        <v>99.838959146217832</v>
      </c>
      <c r="K110" s="47">
        <f t="shared" si="3"/>
        <v>58.089333271708952</v>
      </c>
    </row>
    <row r="111" spans="3:11" x14ac:dyDescent="0.2">
      <c r="C111" s="88" t="s">
        <v>136</v>
      </c>
      <c r="D111" s="116">
        <f t="shared" si="4"/>
        <v>99.207311943697832</v>
      </c>
      <c r="E111" s="116">
        <f t="shared" si="4"/>
        <v>99.219212754532776</v>
      </c>
      <c r="F111" s="116">
        <f t="shared" si="4"/>
        <v>97.957809209333959</v>
      </c>
      <c r="G111" s="116">
        <f t="shared" si="4"/>
        <v>98.778221752344507</v>
      </c>
      <c r="H111" s="116">
        <f t="shared" si="4"/>
        <v>91.40415239752177</v>
      </c>
      <c r="I111" s="116">
        <f t="shared" si="4"/>
        <v>97.249819096441186</v>
      </c>
      <c r="J111" s="116">
        <f t="shared" si="3"/>
        <v>98.319934654443074</v>
      </c>
      <c r="K111" s="116">
        <f t="shared" si="3"/>
        <v>18.855194089655928</v>
      </c>
    </row>
    <row r="112" spans="3:11" x14ac:dyDescent="0.2">
      <c r="C112" s="87" t="s">
        <v>137</v>
      </c>
      <c r="D112" s="47">
        <f t="shared" si="4"/>
        <v>94.026823354176599</v>
      </c>
      <c r="E112" s="47">
        <f t="shared" si="4"/>
        <v>91.762515744005341</v>
      </c>
      <c r="F112" s="47">
        <f t="shared" si="4"/>
        <v>72.864018014986826</v>
      </c>
      <c r="G112" s="47">
        <f t="shared" si="4"/>
        <v>71.906135010936566</v>
      </c>
      <c r="H112" s="47">
        <f t="shared" si="4"/>
        <v>86.471101412354955</v>
      </c>
      <c r="I112" s="47">
        <f t="shared" si="4"/>
        <v>96.013692036689008</v>
      </c>
      <c r="J112" s="47">
        <f t="shared" si="3"/>
        <v>97.096821310417681</v>
      </c>
      <c r="K112" s="47">
        <f t="shared" si="3"/>
        <v>39.853397075405752</v>
      </c>
    </row>
    <row r="113" spans="3:11" x14ac:dyDescent="0.2">
      <c r="C113" s="88" t="s">
        <v>138</v>
      </c>
      <c r="D113" s="116">
        <f t="shared" si="4"/>
        <v>96.819152664304482</v>
      </c>
      <c r="E113" s="116">
        <f t="shared" si="4"/>
        <v>99.228299196411911</v>
      </c>
      <c r="F113" s="116">
        <f t="shared" si="4"/>
        <v>97.24193810835628</v>
      </c>
      <c r="G113" s="116">
        <f t="shared" si="4"/>
        <v>95.924261025294257</v>
      </c>
      <c r="H113" s="116">
        <f t="shared" si="4"/>
        <v>93.310183123885537</v>
      </c>
      <c r="I113" s="116">
        <f t="shared" si="4"/>
        <v>96.843487571143271</v>
      </c>
      <c r="J113" s="116">
        <f t="shared" si="3"/>
        <v>98.013831136952263</v>
      </c>
      <c r="K113" s="116">
        <f t="shared" si="3"/>
        <v>18.555459694263472</v>
      </c>
    </row>
    <row r="114" spans="3:11" x14ac:dyDescent="0.2">
      <c r="C114" s="87" t="s">
        <v>160</v>
      </c>
      <c r="D114" s="47">
        <f t="shared" si="4"/>
        <v>98.237233429060893</v>
      </c>
      <c r="E114" s="47">
        <f t="shared" si="4"/>
        <v>97.335214563500543</v>
      </c>
      <c r="F114" s="47">
        <f t="shared" si="4"/>
        <v>96.737531931295209</v>
      </c>
      <c r="G114" s="47">
        <f t="shared" si="4"/>
        <v>85.881398440340647</v>
      </c>
      <c r="H114" s="47">
        <f t="shared" si="4"/>
        <v>95.827674123546785</v>
      </c>
      <c r="I114" s="47">
        <f t="shared" si="4"/>
        <v>90.017865084837439</v>
      </c>
      <c r="J114" s="47">
        <f t="shared" si="3"/>
        <v>98.225678855311884</v>
      </c>
      <c r="K114" s="47">
        <f t="shared" si="3"/>
        <v>57.384644139442784</v>
      </c>
    </row>
    <row r="115" spans="3:11" x14ac:dyDescent="0.2">
      <c r="C115" s="88" t="s">
        <v>161</v>
      </c>
      <c r="D115" s="116">
        <f t="shared" si="4"/>
        <v>96.674887601088898</v>
      </c>
      <c r="E115" s="116">
        <f t="shared" si="4"/>
        <v>96.12062109342861</v>
      </c>
      <c r="F115" s="116">
        <f t="shared" si="4"/>
        <v>87.012504481192408</v>
      </c>
      <c r="G115" s="116">
        <f t="shared" si="4"/>
        <v>88.410649692703075</v>
      </c>
      <c r="H115" s="116">
        <f t="shared" si="4"/>
        <v>96.343134005880728</v>
      </c>
      <c r="I115" s="116">
        <f t="shared" si="4"/>
        <v>98.495344321763625</v>
      </c>
      <c r="J115" s="116">
        <f t="shared" si="3"/>
        <v>99.131518450648954</v>
      </c>
      <c r="K115" s="116">
        <f t="shared" si="3"/>
        <v>30.806703066024838</v>
      </c>
    </row>
    <row r="116" spans="3:11" x14ac:dyDescent="0.2">
      <c r="C116" s="87" t="s">
        <v>140</v>
      </c>
      <c r="D116" s="47">
        <f t="shared" si="4"/>
        <v>97.680492923445101</v>
      </c>
      <c r="E116" s="47">
        <f t="shared" si="4"/>
        <v>98.630686097512694</v>
      </c>
      <c r="F116" s="47">
        <f t="shared" si="4"/>
        <v>97.476718544268209</v>
      </c>
      <c r="G116" s="47">
        <f t="shared" si="4"/>
        <v>94.508966337707847</v>
      </c>
      <c r="H116" s="47">
        <f t="shared" si="4"/>
        <v>94.387442241878958</v>
      </c>
      <c r="I116" s="47">
        <f t="shared" si="4"/>
        <v>96.942363319090106</v>
      </c>
      <c r="J116" s="47">
        <f t="shared" si="3"/>
        <v>94.388387479115579</v>
      </c>
      <c r="K116" s="47">
        <f t="shared" si="3"/>
        <v>28.706156694910835</v>
      </c>
    </row>
    <row r="117" spans="3:11" x14ac:dyDescent="0.2">
      <c r="C117" s="88" t="s">
        <v>141</v>
      </c>
      <c r="D117" s="116">
        <f t="shared" si="4"/>
        <v>95.828574881821837</v>
      </c>
      <c r="E117" s="116">
        <f t="shared" si="4"/>
        <v>86.7105410137696</v>
      </c>
      <c r="F117" s="116">
        <f t="shared" si="4"/>
        <v>89.11200369947359</v>
      </c>
      <c r="G117" s="116">
        <f t="shared" si="4"/>
        <v>91.042291140568906</v>
      </c>
      <c r="H117" s="116">
        <f t="shared" si="4"/>
        <v>92.975494495122305</v>
      </c>
      <c r="I117" s="116">
        <f t="shared" si="4"/>
        <v>91.152212472875675</v>
      </c>
      <c r="J117" s="116">
        <f t="shared" si="3"/>
        <v>97.154203514483413</v>
      </c>
      <c r="K117" s="116">
        <f t="shared" si="3"/>
        <v>18.605114801080585</v>
      </c>
    </row>
    <row r="118" spans="3:11" x14ac:dyDescent="0.2">
      <c r="C118" s="87" t="s">
        <v>142</v>
      </c>
      <c r="D118" s="47">
        <f t="shared" ref="D118:I127" si="5">+IFERROR(IF(D77&gt;0,+((D77/D35)*100)," "),"0")</f>
        <v>96.233433227566437</v>
      </c>
      <c r="E118" s="47">
        <f t="shared" si="5"/>
        <v>96.927788598003318</v>
      </c>
      <c r="F118" s="47">
        <f t="shared" si="5"/>
        <v>88.182542372955083</v>
      </c>
      <c r="G118" s="47">
        <f t="shared" si="5"/>
        <v>93.346271260279295</v>
      </c>
      <c r="H118" s="47">
        <f t="shared" si="5"/>
        <v>93.149273622933165</v>
      </c>
      <c r="I118" s="47">
        <f t="shared" si="5"/>
        <v>87.380764238064032</v>
      </c>
      <c r="J118" s="47">
        <f t="shared" si="3"/>
        <v>95.068913181847236</v>
      </c>
      <c r="K118" s="47">
        <f t="shared" si="3"/>
        <v>40.02904052451909</v>
      </c>
    </row>
    <row r="119" spans="3:11" x14ac:dyDescent="0.2">
      <c r="C119" s="88" t="s">
        <v>143</v>
      </c>
      <c r="D119" s="116">
        <f t="shared" si="5"/>
        <v>98.428523222081225</v>
      </c>
      <c r="E119" s="116">
        <f t="shared" si="5"/>
        <v>99.48911279532247</v>
      </c>
      <c r="F119" s="116">
        <f t="shared" si="5"/>
        <v>99.03052852431135</v>
      </c>
      <c r="G119" s="116">
        <f t="shared" si="5"/>
        <v>98.974043960144016</v>
      </c>
      <c r="H119" s="116">
        <f t="shared" si="5"/>
        <v>97.869323038676299</v>
      </c>
      <c r="I119" s="116">
        <f t="shared" si="5"/>
        <v>94.931996127614056</v>
      </c>
      <c r="J119" s="116">
        <f t="shared" si="3"/>
        <v>98.987633795265936</v>
      </c>
      <c r="K119" s="116">
        <f t="shared" si="3"/>
        <v>67.608106313667378</v>
      </c>
    </row>
    <row r="120" spans="3:11" x14ac:dyDescent="0.2">
      <c r="C120" s="87" t="s">
        <v>144</v>
      </c>
      <c r="D120" s="47">
        <f t="shared" si="5"/>
        <v>98.918704604490898</v>
      </c>
      <c r="E120" s="47">
        <f t="shared" si="5"/>
        <v>98.751317180580699</v>
      </c>
      <c r="F120" s="47">
        <f t="shared" si="5"/>
        <v>96.512791732433712</v>
      </c>
      <c r="G120" s="47">
        <f t="shared" si="5"/>
        <v>97.561948772370755</v>
      </c>
      <c r="H120" s="47">
        <f t="shared" si="5"/>
        <v>91.720929981261691</v>
      </c>
      <c r="I120" s="47">
        <f t="shared" si="5"/>
        <v>96.985747994614371</v>
      </c>
      <c r="J120" s="47">
        <f t="shared" si="3"/>
        <v>98.222812186360969</v>
      </c>
      <c r="K120" s="47">
        <f t="shared" si="3"/>
        <v>13.372229081710884</v>
      </c>
    </row>
    <row r="121" spans="3:11" x14ac:dyDescent="0.2">
      <c r="C121" s="88" t="s">
        <v>145</v>
      </c>
      <c r="D121" s="116">
        <f t="shared" si="5"/>
        <v>95.802085146790176</v>
      </c>
      <c r="E121" s="116">
        <f t="shared" si="5"/>
        <v>97.073761200259554</v>
      </c>
      <c r="F121" s="116">
        <f t="shared" si="5"/>
        <v>94.138867792201026</v>
      </c>
      <c r="G121" s="116">
        <f t="shared" si="5"/>
        <v>97.359228572475686</v>
      </c>
      <c r="H121" s="116">
        <f t="shared" si="5"/>
        <v>95.267984444621149</v>
      </c>
      <c r="I121" s="116">
        <f t="shared" si="5"/>
        <v>67.83400467016908</v>
      </c>
      <c r="J121" s="116">
        <f t="shared" si="3"/>
        <v>95.342374141520352</v>
      </c>
      <c r="K121" s="116">
        <f t="shared" si="3"/>
        <v>35.896438564749886</v>
      </c>
    </row>
    <row r="122" spans="3:11" x14ac:dyDescent="0.2">
      <c r="C122" s="87" t="s">
        <v>146</v>
      </c>
      <c r="D122" s="47">
        <f t="shared" si="5"/>
        <v>96.582577804433967</v>
      </c>
      <c r="E122" s="47">
        <f t="shared" si="5"/>
        <v>93.553402807146341</v>
      </c>
      <c r="F122" s="47">
        <f t="shared" si="5"/>
        <v>90.639587844313922</v>
      </c>
      <c r="G122" s="47">
        <f t="shared" si="5"/>
        <v>96.396684969299159</v>
      </c>
      <c r="H122" s="47">
        <f t="shared" si="5"/>
        <v>93.848353077790364</v>
      </c>
      <c r="I122" s="47">
        <f t="shared" si="5"/>
        <v>95.248632556000615</v>
      </c>
      <c r="J122" s="47">
        <f t="shared" si="3"/>
        <v>95.889066126486384</v>
      </c>
      <c r="K122" s="47">
        <f t="shared" si="3"/>
        <v>25.777633302778447</v>
      </c>
    </row>
    <row r="123" spans="3:11" x14ac:dyDescent="0.2">
      <c r="C123" s="88" t="s">
        <v>162</v>
      </c>
      <c r="D123" s="116">
        <f t="shared" si="5"/>
        <v>99.892705267114565</v>
      </c>
      <c r="E123" s="116">
        <f t="shared" si="5"/>
        <v>97.722433856636343</v>
      </c>
      <c r="F123" s="116">
        <f t="shared" si="5"/>
        <v>99.709911177135993</v>
      </c>
      <c r="G123" s="116">
        <f t="shared" si="5"/>
        <v>99.846292448679463</v>
      </c>
      <c r="H123" s="116">
        <f t="shared" si="5"/>
        <v>99.075875938909135</v>
      </c>
      <c r="I123" s="116">
        <f t="shared" si="5"/>
        <v>98.762430477617642</v>
      </c>
      <c r="J123" s="116">
        <f t="shared" si="3"/>
        <v>99.098111753053914</v>
      </c>
      <c r="K123" s="116">
        <f t="shared" si="3"/>
        <v>20.072995021983917</v>
      </c>
    </row>
    <row r="124" spans="3:11" x14ac:dyDescent="0.2">
      <c r="C124" s="87" t="s">
        <v>148</v>
      </c>
      <c r="D124" s="47">
        <f t="shared" si="5"/>
        <v>92.121058708906943</v>
      </c>
      <c r="E124" s="47">
        <f t="shared" si="5"/>
        <v>96.845274654608076</v>
      </c>
      <c r="F124" s="47">
        <f t="shared" si="5"/>
        <v>95.330987537885932</v>
      </c>
      <c r="G124" s="47">
        <f t="shared" si="5"/>
        <v>97.146339628881137</v>
      </c>
      <c r="H124" s="47">
        <f t="shared" si="5"/>
        <v>92.601026950901584</v>
      </c>
      <c r="I124" s="47">
        <f t="shared" si="5"/>
        <v>98.225228832473434</v>
      </c>
      <c r="J124" s="47">
        <f t="shared" si="3"/>
        <v>99.393554503437869</v>
      </c>
      <c r="K124" s="47">
        <f t="shared" si="3"/>
        <v>37.743443087687886</v>
      </c>
    </row>
    <row r="125" spans="3:11" x14ac:dyDescent="0.2">
      <c r="C125" s="88" t="s">
        <v>149</v>
      </c>
      <c r="D125" s="116">
        <f t="shared" si="5"/>
        <v>94.255599802757757</v>
      </c>
      <c r="E125" s="116">
        <f t="shared" si="5"/>
        <v>98.695975805824233</v>
      </c>
      <c r="F125" s="116">
        <f t="shared" si="5"/>
        <v>80.325759531685804</v>
      </c>
      <c r="G125" s="116">
        <f t="shared" si="5"/>
        <v>87.685846951981858</v>
      </c>
      <c r="H125" s="116">
        <f t="shared" si="5"/>
        <v>87.066038706421196</v>
      </c>
      <c r="I125" s="116">
        <f t="shared" si="5"/>
        <v>97.607335690279839</v>
      </c>
      <c r="J125" s="116">
        <f t="shared" si="3"/>
        <v>96.113525033266797</v>
      </c>
      <c r="K125" s="116">
        <f t="shared" si="3"/>
        <v>32.425044991376097</v>
      </c>
    </row>
    <row r="126" spans="3:11" x14ac:dyDescent="0.2">
      <c r="C126" s="87" t="s">
        <v>163</v>
      </c>
      <c r="D126" s="47">
        <f t="shared" si="5"/>
        <v>99.346820015941262</v>
      </c>
      <c r="E126" s="47">
        <f t="shared" si="5"/>
        <v>98.969733996603637</v>
      </c>
      <c r="F126" s="47">
        <f t="shared" si="5"/>
        <v>98.247236739685803</v>
      </c>
      <c r="G126" s="47">
        <f t="shared" si="5"/>
        <v>85.926331093105773</v>
      </c>
      <c r="H126" s="47">
        <f t="shared" si="5"/>
        <v>98.078545571491091</v>
      </c>
      <c r="I126" s="47">
        <f t="shared" si="5"/>
        <v>91.446379456074624</v>
      </c>
      <c r="J126" s="47">
        <f t="shared" si="3"/>
        <v>99.293497557000634</v>
      </c>
      <c r="K126" s="47">
        <f t="shared" si="3"/>
        <v>6.7322932708693353</v>
      </c>
    </row>
    <row r="127" spans="3:11" x14ac:dyDescent="0.2">
      <c r="C127" s="88" t="s">
        <v>150</v>
      </c>
      <c r="D127" s="116">
        <f t="shared" si="5"/>
        <v>99.599147465843942</v>
      </c>
      <c r="E127" s="116">
        <f t="shared" si="5"/>
        <v>98.494327853493147</v>
      </c>
      <c r="F127" s="116">
        <f t="shared" si="5"/>
        <v>99.411793201919849</v>
      </c>
      <c r="G127" s="116">
        <f t="shared" si="5"/>
        <v>97.981043541766596</v>
      </c>
      <c r="H127" s="116">
        <f t="shared" si="5"/>
        <v>98.362358775943974</v>
      </c>
      <c r="I127" s="116">
        <f t="shared" si="5"/>
        <v>98.726125198336305</v>
      </c>
      <c r="J127" s="116">
        <f t="shared" si="3"/>
        <v>99.585163603434594</v>
      </c>
      <c r="K127" s="116">
        <f t="shared" si="3"/>
        <v>75.812259284059522</v>
      </c>
    </row>
    <row r="128" spans="3:11" x14ac:dyDescent="0.2">
      <c r="C128" s="87" t="s">
        <v>151</v>
      </c>
      <c r="D128" s="47">
        <f t="shared" ref="D128:I128" si="6">+IFERROR(IF(D87&gt;0,+((D87/D45)*100)," "),"0")</f>
        <v>99.164725373538801</v>
      </c>
      <c r="E128" s="47">
        <f t="shared" si="6"/>
        <v>98.955042640685264</v>
      </c>
      <c r="F128" s="47">
        <f t="shared" si="6"/>
        <v>99.549088542446768</v>
      </c>
      <c r="G128" s="47">
        <f t="shared" si="6"/>
        <v>98.813055176962123</v>
      </c>
      <c r="H128" s="47">
        <f t="shared" si="6"/>
        <v>98.758816953641087</v>
      </c>
      <c r="I128" s="47">
        <f t="shared" si="6"/>
        <v>99.310651118841974</v>
      </c>
      <c r="J128" s="47">
        <f t="shared" si="3"/>
        <v>99.844229244380728</v>
      </c>
      <c r="K128" s="47">
        <f t="shared" si="3"/>
        <v>26.226308216035715</v>
      </c>
    </row>
    <row r="129" spans="1:11" x14ac:dyDescent="0.2">
      <c r="C129" s="91" t="s">
        <v>154</v>
      </c>
      <c r="D129" s="74">
        <f t="shared" ref="D129:I129" si="7">+IFERROR(IF(D88&gt;0,+((D88/D46)*100)," "),"")</f>
        <v>98.952632077577078</v>
      </c>
      <c r="E129" s="74">
        <f t="shared" si="7"/>
        <v>90.673464516737383</v>
      </c>
      <c r="F129" s="74">
        <f t="shared" si="7"/>
        <v>97.51119144100555</v>
      </c>
      <c r="G129" s="74">
        <f t="shared" si="7"/>
        <v>96.315964021350311</v>
      </c>
      <c r="H129" s="74">
        <f t="shared" si="7"/>
        <v>96.413572752462798</v>
      </c>
      <c r="I129" s="74">
        <f t="shared" si="7"/>
        <v>96.420127108284504</v>
      </c>
      <c r="J129" s="74">
        <f t="shared" si="3"/>
        <v>98.575912535591158</v>
      </c>
      <c r="K129" s="74">
        <f t="shared" si="3"/>
        <v>25.51481223898444</v>
      </c>
    </row>
    <row r="130" spans="1:11" s="31" customFormat="1" x14ac:dyDescent="0.2">
      <c r="A130" s="5"/>
      <c r="B130" s="5"/>
      <c r="C130" s="72" t="str">
        <f>+'C1 Aprop Resumen 2000-2026'!B20</f>
        <v>* Información con corte a 28 de febrero</v>
      </c>
      <c r="D130" s="69"/>
      <c r="E130" s="69"/>
      <c r="F130" s="69"/>
      <c r="G130" s="69"/>
      <c r="H130" s="69"/>
      <c r="I130" s="69"/>
    </row>
    <row r="131" spans="1:11" x14ac:dyDescent="0.2">
      <c r="C131" s="1" t="s">
        <v>52</v>
      </c>
      <c r="D131" s="11"/>
      <c r="E131" s="11"/>
      <c r="F131" s="11"/>
      <c r="G131" s="11"/>
      <c r="H131" s="11"/>
    </row>
    <row r="132" spans="1:11" x14ac:dyDescent="0.2">
      <c r="D132" s="11"/>
      <c r="E132" s="11"/>
      <c r="F132" s="11"/>
      <c r="G132" s="11"/>
      <c r="H132" s="11"/>
    </row>
    <row r="133" spans="1:11" x14ac:dyDescent="0.2">
      <c r="E133" s="3"/>
      <c r="F133" s="3"/>
      <c r="G133" s="3"/>
      <c r="H133" s="3"/>
    </row>
    <row r="134" spans="1:11" x14ac:dyDescent="0.2">
      <c r="E134" s="3"/>
      <c r="F134" s="3"/>
      <c r="G134" s="3"/>
      <c r="H134" s="3"/>
    </row>
    <row r="135" spans="1:11" x14ac:dyDescent="0.2">
      <c r="E135" s="3"/>
      <c r="F135" s="3"/>
      <c r="G135" s="3"/>
      <c r="H135" s="3"/>
    </row>
    <row r="136" spans="1:11" ht="18" customHeight="1" x14ac:dyDescent="0.2">
      <c r="D136" s="160" t="s">
        <v>156</v>
      </c>
      <c r="E136" s="178"/>
      <c r="F136" s="178"/>
      <c r="G136" s="178"/>
      <c r="H136" s="178"/>
      <c r="I136" s="178"/>
      <c r="J136" s="178"/>
      <c r="K136" s="178"/>
    </row>
    <row r="137" spans="1:11" x14ac:dyDescent="0.2">
      <c r="C137" s="2"/>
      <c r="D137" s="2"/>
      <c r="E137" s="2"/>
      <c r="F137" s="2"/>
      <c r="G137" s="2"/>
      <c r="H137" s="2"/>
      <c r="I137" s="2"/>
    </row>
    <row r="138" spans="1:11" x14ac:dyDescent="0.2">
      <c r="C138" s="177" t="s">
        <v>120</v>
      </c>
      <c r="D138" s="153">
        <v>2019</v>
      </c>
      <c r="E138" s="153">
        <v>2020</v>
      </c>
      <c r="F138" s="153">
        <v>2021</v>
      </c>
      <c r="G138" s="153">
        <v>2022</v>
      </c>
      <c r="H138" s="153">
        <v>2023</v>
      </c>
      <c r="I138" s="153">
        <v>2024</v>
      </c>
      <c r="J138" s="153">
        <v>2025</v>
      </c>
      <c r="K138" s="153" t="s">
        <v>36</v>
      </c>
    </row>
    <row r="139" spans="1:11" ht="12" customHeight="1" thickBot="1" x14ac:dyDescent="0.25">
      <c r="C139" s="156"/>
      <c r="D139" s="154"/>
      <c r="E139" s="154"/>
      <c r="F139" s="154"/>
      <c r="G139" s="154"/>
      <c r="H139" s="154"/>
      <c r="I139" s="154"/>
      <c r="J139" s="154"/>
      <c r="K139" s="154"/>
    </row>
    <row r="140" spans="1:11" x14ac:dyDescent="0.2">
      <c r="C140" s="87" t="s">
        <v>123</v>
      </c>
      <c r="D140" s="42">
        <f>1377.779585587*Deflactores!$T$5</f>
        <v>2084.7217516333758</v>
      </c>
      <c r="E140" s="42">
        <f>1356.09138730611*Deflactores!$U$5</f>
        <v>2019.3930561347693</v>
      </c>
      <c r="F140" s="42">
        <f>1826.79049403707*Deflactores!$V$5</f>
        <v>2575.5766592872783</v>
      </c>
      <c r="G140" s="42">
        <f>1858.10324526012*Deflactores!$W$5</f>
        <v>2315.880698105645</v>
      </c>
      <c r="H140" s="42">
        <f>3935.52023172768*Deflactores!$X$5</f>
        <v>4488.5679514806061</v>
      </c>
      <c r="I140" s="42">
        <f>2942.84695213217*Deflactores!$Y$5</f>
        <v>3190.4914970973578</v>
      </c>
      <c r="J140" s="42">
        <f>2902.27066327869*Deflactores!$Z$5</f>
        <v>2993.8160406695565</v>
      </c>
      <c r="K140" s="42">
        <f>117.46645129483*Deflactores!$AA$5</f>
        <v>117.46645129482999</v>
      </c>
    </row>
    <row r="141" spans="1:11" x14ac:dyDescent="0.2">
      <c r="C141" s="88" t="s">
        <v>124</v>
      </c>
      <c r="D141" s="50">
        <f>432.10044421666*Deflactores!$T$5</f>
        <v>653.81226748625943</v>
      </c>
      <c r="E141" s="50">
        <f>456.19283176687*Deflactores!$U$5</f>
        <v>679.32931759010194</v>
      </c>
      <c r="F141" s="50">
        <f>621.27072631497*Deflactores!$V$5</f>
        <v>875.92440787182079</v>
      </c>
      <c r="G141" s="50">
        <f>662.237670151389*Deflactores!$W$5</f>
        <v>825.3919375978237</v>
      </c>
      <c r="H141" s="50">
        <f>792.18176651453*Deflactores!$X$5</f>
        <v>903.50486836741391</v>
      </c>
      <c r="I141" s="50">
        <f>891.58703115912*Deflactores!$Y$5</f>
        <v>966.61528380687992</v>
      </c>
      <c r="J141" s="50">
        <f>1179.34744149356*Deflactores!$Z$5</f>
        <v>1216.5472133730423</v>
      </c>
      <c r="K141" s="50">
        <f>131.24752386844*Deflactores!$AA$5</f>
        <v>131.24752386844</v>
      </c>
    </row>
    <row r="142" spans="1:11" x14ac:dyDescent="0.2">
      <c r="C142" s="87" t="s">
        <v>125</v>
      </c>
      <c r="D142" s="42">
        <f>156.9631704478*Deflactores!$T$5</f>
        <v>237.50136746180084</v>
      </c>
      <c r="E142" s="42">
        <f>182.164232197009*Deflactores!$U$5</f>
        <v>271.26577826404599</v>
      </c>
      <c r="F142" s="42">
        <f>360.28363559592*Deflactores!$V$5</f>
        <v>507.96088855999085</v>
      </c>
      <c r="G142" s="42">
        <f>289.96073695917*Deflactores!$W$5</f>
        <v>361.39782632919469</v>
      </c>
      <c r="H142" s="42">
        <f>319.52175787501*Deflactores!$X$5</f>
        <v>364.42326242823282</v>
      </c>
      <c r="I142" s="42">
        <f>328.486339277249*Deflactores!$Y$5</f>
        <v>356.12890830675832</v>
      </c>
      <c r="J142" s="42">
        <f>268.60777290051*Deflactores!$Z$5</f>
        <v>277.0803803149123</v>
      </c>
      <c r="K142" s="42">
        <f>3.68756510949*Deflactores!$AA$5</f>
        <v>3.6875651094899999</v>
      </c>
    </row>
    <row r="143" spans="1:11" x14ac:dyDescent="0.2">
      <c r="C143" s="88" t="s">
        <v>126</v>
      </c>
      <c r="D143" s="50">
        <f>528.134674944709*Deflactores!$T$5</f>
        <v>799.1219032179032</v>
      </c>
      <c r="E143" s="50">
        <f>580.97923579246*Deflactores!$U$5</f>
        <v>865.1521907003654</v>
      </c>
      <c r="F143" s="50">
        <f>512.0789720137*Deflactores!$V$5</f>
        <v>721.97586550586982</v>
      </c>
      <c r="G143" s="50">
        <f>548.254746744429*Deflactores!$W$5</f>
        <v>683.32725259972017</v>
      </c>
      <c r="H143" s="50">
        <f>646.57835886373*Deflactores!$X$5</f>
        <v>737.44021853055108</v>
      </c>
      <c r="I143" s="50">
        <f>587.7503110224*Deflactores!$Y$5</f>
        <v>637.21029337752475</v>
      </c>
      <c r="J143" s="50">
        <f>775.78573017155*Deflactores!$Z$5</f>
        <v>800.25608655201688</v>
      </c>
      <c r="K143" s="50">
        <f>106.65136155526*Deflactores!$AA$5</f>
        <v>106.65136155526</v>
      </c>
    </row>
    <row r="144" spans="1:11" x14ac:dyDescent="0.2">
      <c r="C144" s="87" t="s">
        <v>127</v>
      </c>
      <c r="D144" s="42">
        <f>590.74732759686*Deflactores!$T$5</f>
        <v>893.86126521519429</v>
      </c>
      <c r="E144" s="42">
        <f>641.05703782282*Deflactores!$U$5</f>
        <v>954.61570133363705</v>
      </c>
      <c r="F144" s="42">
        <f>722.891786365659*Deflactores!$V$5</f>
        <v>1019.1990916480514</v>
      </c>
      <c r="G144" s="42">
        <f>860.374365491189*Deflactores!$W$5</f>
        <v>1072.3432033546651</v>
      </c>
      <c r="H144" s="42">
        <f>1029.84790740124*Deflactores!$X$5</f>
        <v>1174.569571462041</v>
      </c>
      <c r="I144" s="42">
        <f>1105.41480856526*Deflactores!$Y$5</f>
        <v>1198.4369574291636</v>
      </c>
      <c r="J144" s="42">
        <f>1241.12687203137*Deflactores!$Z$5</f>
        <v>1280.2753323481975</v>
      </c>
      <c r="K144" s="42">
        <f>165.54193888942*Deflactores!$AA$5</f>
        <v>165.54193888942001</v>
      </c>
    </row>
    <row r="145" spans="3:11" x14ac:dyDescent="0.2">
      <c r="C145" s="88" t="s">
        <v>128</v>
      </c>
      <c r="D145" s="50">
        <f>354.34218718658*Deflactores!$T$5</f>
        <v>536.15605346227062</v>
      </c>
      <c r="E145" s="50">
        <f>351.105345203089*Deflactores!$U$5</f>
        <v>522.84064533688559</v>
      </c>
      <c r="F145" s="50">
        <f>497.32687600367*Deflactores!$V$5</f>
        <v>701.17700855811347</v>
      </c>
      <c r="G145" s="50">
        <f>437.25570539451*Deflactores!$W$5</f>
        <v>544.98158315091553</v>
      </c>
      <c r="H145" s="50">
        <f>593.955817070179*Deflactores!$X$5</f>
        <v>677.42277719820379</v>
      </c>
      <c r="I145" s="50">
        <f>844.21138800199*Deflactores!$Y$5</f>
        <v>915.25291630325273</v>
      </c>
      <c r="J145" s="50">
        <f>696.61050948885*Deflactores!$Z$5</f>
        <v>718.58346769446348</v>
      </c>
      <c r="K145" s="50">
        <f>37.27980414179*Deflactores!$AA$5</f>
        <v>37.279804141790002</v>
      </c>
    </row>
    <row r="146" spans="3:11" x14ac:dyDescent="0.2">
      <c r="C146" s="87" t="s">
        <v>129</v>
      </c>
      <c r="D146" s="42">
        <f>30242.2161843504*Deflactores!$T$5</f>
        <v>45759.57327038877</v>
      </c>
      <c r="E146" s="42">
        <f>32462.0754285622*Deflactores!$U$5</f>
        <v>48340.171113677468</v>
      </c>
      <c r="F146" s="42">
        <f>34776.4338434385*Deflactores!$V$5</f>
        <v>49031.003605928985</v>
      </c>
      <c r="G146" s="42">
        <f>37727.2769819125*Deflactores!$W$5</f>
        <v>47022.076290634308</v>
      </c>
      <c r="H146" s="42">
        <f>42972.3794164656*Deflactores!$X$5</f>
        <v>49011.168458137174</v>
      </c>
      <c r="I146" s="42">
        <f>47663.3304184179*Deflactores!$Y$5</f>
        <v>51674.26403643786</v>
      </c>
      <c r="J146" s="42">
        <f>52860.2609563732*Deflactores!$Z$5</f>
        <v>54527.614935262318</v>
      </c>
      <c r="K146" s="42">
        <f>7627.15947716972*Deflactores!$AA$5</f>
        <v>7627.15947716972</v>
      </c>
    </row>
    <row r="147" spans="3:11" x14ac:dyDescent="0.2">
      <c r="C147" s="88" t="s">
        <v>130</v>
      </c>
      <c r="D147" s="50">
        <f>265.50080154778*Deflactores!$T$5</f>
        <v>401.72992970202688</v>
      </c>
      <c r="E147" s="50">
        <f>241.73299196914*Deflactores!$U$5</f>
        <v>359.97126004235321</v>
      </c>
      <c r="F147" s="50">
        <f>671.605856234279*Deflactores!$V$5</f>
        <v>946.891487121213</v>
      </c>
      <c r="G147" s="50">
        <f>556.162676796399*Deflactores!$W$5</f>
        <v>693.18344472254432</v>
      </c>
      <c r="H147" s="50">
        <f>560.386603394199*Deflactores!$X$5</f>
        <v>639.13617522683967</v>
      </c>
      <c r="I147" s="50">
        <f>381.37251859876*Deflactores!$Y$5</f>
        <v>413.46553103428261</v>
      </c>
      <c r="J147" s="50">
        <f>303.56938040264*Deflactores!$Z$5</f>
        <v>313.14477040498957</v>
      </c>
      <c r="K147" s="50">
        <f>12.48335021934*Deflactores!$AA$5</f>
        <v>12.48335021934</v>
      </c>
    </row>
    <row r="148" spans="3:11" x14ac:dyDescent="0.2">
      <c r="C148" s="87" t="s">
        <v>131</v>
      </c>
      <c r="D148" s="42">
        <f>41281.5327756594*Deflactores!$T$5</f>
        <v>62463.190933052902</v>
      </c>
      <c r="E148" s="42">
        <f>44542.6749018904*Deflactores!$U$5</f>
        <v>66329.724707735906</v>
      </c>
      <c r="F148" s="42">
        <f>48010.5696007512*Deflactores!$V$5</f>
        <v>67689.701072132302</v>
      </c>
      <c r="G148" s="42">
        <f>49615.994280471*Deflactores!$W$5</f>
        <v>61839.794836253626</v>
      </c>
      <c r="H148" s="42">
        <f>57855.2995852406*Deflactores!$X$5</f>
        <v>65985.544032540347</v>
      </c>
      <c r="I148" s="42">
        <f>67551.1626605053*Deflactores!$Y$5</f>
        <v>73235.684217703456</v>
      </c>
      <c r="J148" s="42">
        <f>77993.9807822656*Deflactores!$Z$5</f>
        <v>80454.119492024154</v>
      </c>
      <c r="K148" s="42">
        <f>12738.8755984758*Deflactores!$AA$5</f>
        <v>12738.875598475801</v>
      </c>
    </row>
    <row r="149" spans="3:11" x14ac:dyDescent="0.2">
      <c r="C149" s="88" t="s">
        <v>132</v>
      </c>
      <c r="D149" s="50">
        <f>39.17080623979*Deflactores!$T$5</f>
        <v>59.269445309944416</v>
      </c>
      <c r="E149" s="50">
        <f>41.99408569583*Deflactores!$U$5</f>
        <v>62.534550286724226</v>
      </c>
      <c r="F149" s="50">
        <f>48.7608599207*Deflactores!$V$5</f>
        <v>68.74752912743314</v>
      </c>
      <c r="G149" s="50">
        <f>48.62149333392*Deflactores!$W$5</f>
        <v>60.60028053464503</v>
      </c>
      <c r="H149" s="50">
        <f>51.63981058317*Deflactores!$X$5</f>
        <v>58.896609636381264</v>
      </c>
      <c r="I149" s="50">
        <f>55.3584679554*Deflactores!$Y$5</f>
        <v>60.016957788468716</v>
      </c>
      <c r="J149" s="50">
        <f>57.6751532041*Deflactores!$Z$5</f>
        <v>59.494381759503135</v>
      </c>
      <c r="K149" s="50">
        <f>7.13584331574*Deflactores!$AA$5</f>
        <v>7.1358433157399999</v>
      </c>
    </row>
    <row r="150" spans="3:11" x14ac:dyDescent="0.2">
      <c r="C150" s="87" t="s">
        <v>133</v>
      </c>
      <c r="D150" s="42">
        <f>3593.55410590247*Deflactores!$T$5</f>
        <v>5437.4157438648244</v>
      </c>
      <c r="E150" s="42">
        <f>3724.81310945764*Deflactores!$U$5</f>
        <v>5546.7218500522858</v>
      </c>
      <c r="F150" s="42">
        <f>4068.94181844623*Deflactores!$V$5</f>
        <v>5736.7670840175633</v>
      </c>
      <c r="G150" s="42">
        <f>4479.98557479999*Deflactores!$W$5</f>
        <v>5583.7113179459438</v>
      </c>
      <c r="H150" s="42">
        <f>5116.85767177538*Deflactores!$X$5</f>
        <v>5835.9154585608749</v>
      </c>
      <c r="I150" s="42">
        <f>5549.91535021863*Deflactores!$Y$5</f>
        <v>6016.9482213995143</v>
      </c>
      <c r="J150" s="42">
        <f>6286.90434103635*Deflactores!$Z$5</f>
        <v>6485.2101151333354</v>
      </c>
      <c r="K150" s="42">
        <f>788.31724561019*Deflactores!$AA$5</f>
        <v>788.31724561018996</v>
      </c>
    </row>
    <row r="151" spans="3:11" x14ac:dyDescent="0.2">
      <c r="C151" s="88" t="s">
        <v>134</v>
      </c>
      <c r="D151" s="50">
        <f>8283.13178466186*Deflactores!$T$5</f>
        <v>12533.227508791517</v>
      </c>
      <c r="E151" s="50">
        <f>16677.9545756836*Deflactores!$U$5</f>
        <v>24835.60177133117</v>
      </c>
      <c r="F151" s="50">
        <f>18470.078400646*Deflactores!$V$5</f>
        <v>26040.809265862434</v>
      </c>
      <c r="G151" s="50">
        <f>13794.1112068227*Deflactores!$W$5</f>
        <v>17192.540819727878</v>
      </c>
      <c r="H151" s="50">
        <f>33730.3376486072*Deflactores!$X$5</f>
        <v>38470.368248035535</v>
      </c>
      <c r="I151" s="50">
        <f>22528.1669816146*Deflactores!$Y$5</f>
        <v>24423.942654562728</v>
      </c>
      <c r="J151" s="50">
        <f>16841.1183449539*Deflactores!$Z$5</f>
        <v>17372.332250700158</v>
      </c>
      <c r="K151" s="50">
        <f>2363.4171106075*Deflactores!$AA$5</f>
        <v>2363.4171106075</v>
      </c>
    </row>
    <row r="152" spans="3:11" x14ac:dyDescent="0.2">
      <c r="C152" s="87" t="s">
        <v>135</v>
      </c>
      <c r="D152" s="42">
        <f>0*Deflactores!$T$5</f>
        <v>0</v>
      </c>
      <c r="E152" s="42">
        <f>0*Deflactores!$U$5</f>
        <v>0</v>
      </c>
      <c r="F152" s="42">
        <f>0*Deflactores!$V$5</f>
        <v>0</v>
      </c>
      <c r="G152" s="42">
        <f>0*Deflactores!$W$5</f>
        <v>0</v>
      </c>
      <c r="H152" s="42">
        <f>2.91414025259*Deflactores!$X$5</f>
        <v>3.3236562827051861</v>
      </c>
      <c r="I152" s="42">
        <f>6005.12004607376*Deflactores!$Y$5</f>
        <v>6510.4590071073244</v>
      </c>
      <c r="J152" s="42">
        <f>6404.65177944855*Deflactores!$Z$5</f>
        <v>6606.6716226096778</v>
      </c>
      <c r="K152" s="42">
        <f>759.83918144933*Deflactores!$AA$5</f>
        <v>759.83918144933</v>
      </c>
    </row>
    <row r="153" spans="3:11" x14ac:dyDescent="0.2">
      <c r="C153" s="88" t="s">
        <v>136</v>
      </c>
      <c r="D153" s="50">
        <f>7787.016263653*Deflactores!$T$5</f>
        <v>11782.553867819075</v>
      </c>
      <c r="E153" s="50">
        <f>15096.5152304948*Deflactores!$U$5</f>
        <v>22480.636860952527</v>
      </c>
      <c r="F153" s="50">
        <f>19466.8125761489*Deflactores!$V$5</f>
        <v>27446.096454688326</v>
      </c>
      <c r="G153" s="50">
        <f>19559.5804834346*Deflactores!$W$5</f>
        <v>24378.438076668208</v>
      </c>
      <c r="H153" s="50">
        <f>15912.8921342202*Deflactores!$X$5</f>
        <v>18149.086637441273</v>
      </c>
      <c r="I153" s="50">
        <f>9671.1000122994*Deflactores!$Y$5</f>
        <v>10484.936137933955</v>
      </c>
      <c r="J153" s="50">
        <f>7974.29801792114*Deflactores!$Z$5</f>
        <v>8225.8287006773589</v>
      </c>
      <c r="K153" s="50">
        <f>1345.42906603554*Deflactores!$AA$5</f>
        <v>1345.42906603554</v>
      </c>
    </row>
    <row r="154" spans="3:11" x14ac:dyDescent="0.2">
      <c r="C154" s="87" t="s">
        <v>137</v>
      </c>
      <c r="D154" s="42">
        <f>296.376529705529*Deflactores!$T$5</f>
        <v>448.4480715306089</v>
      </c>
      <c r="E154" s="42">
        <f>294.18754924815*Deflactores!$U$5</f>
        <v>438.08278683427557</v>
      </c>
      <c r="F154" s="42">
        <f>332.961600099889*Deflactores!$V$5</f>
        <v>469.43977892125855</v>
      </c>
      <c r="G154" s="42">
        <f>369.440359111959*Deflactores!$W$5</f>
        <v>460.45869568933955</v>
      </c>
      <c r="H154" s="42">
        <f>546.71923308221*Deflactores!$X$5</f>
        <v>623.54816735208908</v>
      </c>
      <c r="I154" s="42">
        <f>764.36639362302*Deflactores!$Y$5</f>
        <v>828.68885782670816</v>
      </c>
      <c r="J154" s="42">
        <f>687.64497830521*Deflactores!$Z$5</f>
        <v>709.33513968346324</v>
      </c>
      <c r="K154" s="42">
        <f>50.77204924298*Deflactores!$AA$5</f>
        <v>50.772049242980003</v>
      </c>
    </row>
    <row r="155" spans="3:11" x14ac:dyDescent="0.2">
      <c r="C155" s="88" t="s">
        <v>138</v>
      </c>
      <c r="D155" s="50">
        <f>91.27763542242*Deflactores!$T$5</f>
        <v>138.11241942716703</v>
      </c>
      <c r="E155" s="50">
        <f>97.64146220211*Deflactores!$U$5</f>
        <v>145.4005921779945</v>
      </c>
      <c r="F155" s="50">
        <f>110.959760434319*Deflactores!$V$5</f>
        <v>156.4412394456771</v>
      </c>
      <c r="G155" s="50">
        <f>106.51005576041*Deflactores!$W$5</f>
        <v>132.75074079920589</v>
      </c>
      <c r="H155" s="50">
        <f>122.721946485169*Deflactores!$X$5</f>
        <v>139.96772053051501</v>
      </c>
      <c r="I155" s="50">
        <f>137.65301361438*Deflactores!$Y$5</f>
        <v>149.23670059304587</v>
      </c>
      <c r="J155" s="50">
        <f>150.50415071102*Deflactores!$Z$5</f>
        <v>155.25145407250844</v>
      </c>
      <c r="K155" s="50">
        <f>18.34312832941*Deflactores!$AA$5</f>
        <v>18.34312832941</v>
      </c>
    </row>
    <row r="156" spans="3:11" x14ac:dyDescent="0.2">
      <c r="C156" s="87" t="s">
        <v>160</v>
      </c>
      <c r="D156" s="42">
        <f>1101.35085533362*Deflactores!$T$5</f>
        <v>1666.4567455583333</v>
      </c>
      <c r="E156" s="42">
        <f>1441.81518426992*Deflactores!$U$5</f>
        <v>2147.0467245782434</v>
      </c>
      <c r="F156" s="42">
        <f>1739.11320851529*Deflactores!$V$5</f>
        <v>2451.9611867540712</v>
      </c>
      <c r="G156" s="42">
        <f>2031.24056989938*Deflactores!$W$5</f>
        <v>2531.6735445346826</v>
      </c>
      <c r="H156" s="42">
        <f>2200.92701256*Deflactores!$X$5</f>
        <v>2510.2171683635124</v>
      </c>
      <c r="I156" s="42">
        <f>2709.4885232417*Deflactores!$Y$5</f>
        <v>2937.4956412946585</v>
      </c>
      <c r="J156" s="42">
        <f>3366.59303680968*Deflactores!$Z$5</f>
        <v>3472.7843834596297</v>
      </c>
      <c r="K156" s="42">
        <f>264.732834216399*Deflactores!$AA$5</f>
        <v>264.732834216399</v>
      </c>
    </row>
    <row r="157" spans="3:11" x14ac:dyDescent="0.2">
      <c r="C157" s="88" t="s">
        <v>161</v>
      </c>
      <c r="D157" s="50">
        <f>1719.35079914496*Deflactores!$T$5</f>
        <v>2601.5540128202829</v>
      </c>
      <c r="E157" s="50">
        <f>1950.90544236698*Deflactores!$U$5</f>
        <v>2905.1470574690079</v>
      </c>
      <c r="F157" s="50">
        <f>1931.0487212112*Deflactores!$V$5</f>
        <v>2722.5694629639274</v>
      </c>
      <c r="G157" s="50">
        <f>2178.59154146719*Deflactores!$W$5</f>
        <v>2715.3271018768273</v>
      </c>
      <c r="H157" s="50">
        <f>2628.41823193799*Deflactores!$X$5</f>
        <v>2997.7825406286815</v>
      </c>
      <c r="I157" s="50">
        <f>3157.48196938839*Deflactores!$Y$5</f>
        <v>3423.1883408931812</v>
      </c>
      <c r="J157" s="50">
        <f>3513.0127806281*Deflactores!$Z$5</f>
        <v>3623.8225975244422</v>
      </c>
      <c r="K157" s="50">
        <f>334.3808073398*Deflactores!$AA$5</f>
        <v>334.38080733980001</v>
      </c>
    </row>
    <row r="158" spans="3:11" x14ac:dyDescent="0.2">
      <c r="C158" s="87" t="s">
        <v>140</v>
      </c>
      <c r="D158" s="42">
        <f>2668.13281722145*Deflactores!$T$5</f>
        <v>4037.1584675052236</v>
      </c>
      <c r="E158" s="42">
        <f>2813.33060918866*Deflactores!$U$5</f>
        <v>4189.4081401790963</v>
      </c>
      <c r="F158" s="42">
        <f>4268.30702520684*Deflactores!$V$5</f>
        <v>6017.8504238327687</v>
      </c>
      <c r="G158" s="42">
        <f>3871.83149089502*Deflactores!$W$5</f>
        <v>4825.7274395030245</v>
      </c>
      <c r="H158" s="42">
        <f>6294.22653559743*Deflactores!$X$5</f>
        <v>7178.7366964287894</v>
      </c>
      <c r="I158" s="42">
        <f>4332.24577573847*Deflactores!$Y$5</f>
        <v>4696.8101079178232</v>
      </c>
      <c r="J158" s="42">
        <f>4639.91181699171*Deflactores!$Z$5</f>
        <v>4786.2670428227138</v>
      </c>
      <c r="K158" s="42">
        <f>79.54654454941*Deflactores!$AA$5</f>
        <v>79.546544549410001</v>
      </c>
    </row>
    <row r="159" spans="3:11" x14ac:dyDescent="0.2">
      <c r="C159" s="88" t="s">
        <v>141</v>
      </c>
      <c r="D159" s="50">
        <f>1674.78236068006*Deflactores!$T$5</f>
        <v>2534.1173966328497</v>
      </c>
      <c r="E159" s="50">
        <f>1911.68713472567*Deflactores!$U$5</f>
        <v>2846.7459947784287</v>
      </c>
      <c r="F159" s="50">
        <f>2333.90491671326*Deflactores!$V$5</f>
        <v>3290.5530481485584</v>
      </c>
      <c r="G159" s="50">
        <f>2690.63397566848*Deflactores!$W$5</f>
        <v>3353.5204816057294</v>
      </c>
      <c r="H159" s="50">
        <f>3257.96976745032*Deflactores!$X$5</f>
        <v>3715.8032036467289</v>
      </c>
      <c r="I159" s="50">
        <f>3723.67253913006*Deflactores!$Y$5</f>
        <v>4037.0246116474941</v>
      </c>
      <c r="J159" s="50">
        <f>3844.76028019594*Deflactores!$Z$5</f>
        <v>3966.0343003213866</v>
      </c>
      <c r="K159" s="50">
        <f>457.904173974649*Deflactores!$AA$5</f>
        <v>457.90417397464898</v>
      </c>
    </row>
    <row r="160" spans="3:11" x14ac:dyDescent="0.2">
      <c r="C160" s="87" t="s">
        <v>142</v>
      </c>
      <c r="D160" s="42">
        <f>220.51112983582*Deflactores!$T$5</f>
        <v>333.65594443042164</v>
      </c>
      <c r="E160" s="42">
        <f>196.99057631175*Deflactores!$U$5</f>
        <v>293.34409587112788</v>
      </c>
      <c r="F160" s="42">
        <f>599.26698136863*Deflactores!$V$5</f>
        <v>844.90151165811096</v>
      </c>
      <c r="G160" s="42">
        <f>650.88456699036*Deflactores!$W$5</f>
        <v>811.24179145212406</v>
      </c>
      <c r="H160" s="42">
        <f>585.245065703659*Deflactores!$X$5</f>
        <v>667.48792815286834</v>
      </c>
      <c r="I160" s="42">
        <f>612.00445429636*Deflactores!$Y$5</f>
        <v>663.50545556014686</v>
      </c>
      <c r="J160" s="42">
        <f>481.48612958059*Deflactores!$Z$5</f>
        <v>496.67348960135672</v>
      </c>
      <c r="K160" s="42">
        <f>68.59215405406*Deflactores!$AA$5</f>
        <v>68.592154054060003</v>
      </c>
    </row>
    <row r="161" spans="1:11" x14ac:dyDescent="0.2">
      <c r="C161" s="88" t="s">
        <v>143</v>
      </c>
      <c r="D161" s="50">
        <f>655.624079112229*Deflactores!$T$5</f>
        <v>992.02644088934267</v>
      </c>
      <c r="E161" s="50">
        <f>1829.40255491063*Deflactores!$U$5</f>
        <v>2724.2137593694661</v>
      </c>
      <c r="F161" s="50">
        <f>3921.93490400729*Deflactores!$V$5</f>
        <v>5529.5032632243865</v>
      </c>
      <c r="G161" s="50">
        <f>1138.15737782787*Deflactores!$W$5</f>
        <v>1418.563101615541</v>
      </c>
      <c r="H161" s="50">
        <f>882.53803081483*Deflactores!$X$5</f>
        <v>1006.558647353018</v>
      </c>
      <c r="I161" s="50">
        <f>804.09958575137*Deflactores!$Y$5</f>
        <v>871.7656517273183</v>
      </c>
      <c r="J161" s="50">
        <f>1664.05786411197*Deflactores!$Z$5</f>
        <v>1716.5466988363908</v>
      </c>
      <c r="K161" s="50">
        <f>76.57419558814*Deflactores!$AA$5</f>
        <v>76.57419558814</v>
      </c>
    </row>
    <row r="162" spans="1:11" x14ac:dyDescent="0.2">
      <c r="C162" s="87" t="s">
        <v>144</v>
      </c>
      <c r="D162" s="42">
        <f>4305.35715077878*Deflactores!$T$5</f>
        <v>6514.4467189611023</v>
      </c>
      <c r="E162" s="42">
        <f>4447.39013902944*Deflactores!$U$5</f>
        <v>6622.7312176351243</v>
      </c>
      <c r="F162" s="42">
        <f>4816.97245128618*Deflactores!$V$5</f>
        <v>6791.4092253376675</v>
      </c>
      <c r="G162" s="42">
        <f>5382.79974625188*Deflactores!$W$5</f>
        <v>6708.9501436006367</v>
      </c>
      <c r="H162" s="42">
        <f>6583.43763757045*Deflactores!$X$5</f>
        <v>7508.5898307267689</v>
      </c>
      <c r="I162" s="42">
        <f>7941.61259140778*Deflactores!$Y$5</f>
        <v>8609.9100151198963</v>
      </c>
      <c r="J162" s="42">
        <f>9210.90295734786*Deflactores!$Z$5</f>
        <v>9501.4394665749078</v>
      </c>
      <c r="K162" s="42">
        <f>1042.17002082581*Deflactores!$AA$5</f>
        <v>1042.1700208258101</v>
      </c>
    </row>
    <row r="163" spans="1:11" x14ac:dyDescent="0.2">
      <c r="C163" s="88" t="s">
        <v>145</v>
      </c>
      <c r="D163" s="50">
        <f>1338.77850526561*Deflactores!$T$5</f>
        <v>2025.7091190368769</v>
      </c>
      <c r="E163" s="50">
        <f>569.51337956188*Deflactores!$U$5</f>
        <v>848.07806821023678</v>
      </c>
      <c r="F163" s="50">
        <f>1150.17060825992*Deflactores!$V$5</f>
        <v>1621.6159337932206</v>
      </c>
      <c r="G163" s="50">
        <f>2975.67326257441*Deflactores!$W$5</f>
        <v>3708.7843693531668</v>
      </c>
      <c r="H163" s="50">
        <f>2548.89737463678*Deflactores!$X$5</f>
        <v>2907.0868382717454</v>
      </c>
      <c r="I163" s="50">
        <f>827.52328561536*Deflactores!$Y$5</f>
        <v>897.16048756561247</v>
      </c>
      <c r="J163" s="50">
        <f>2139.5435793151*Deflactores!$Z$5</f>
        <v>2207.0305049457156</v>
      </c>
      <c r="K163" s="50">
        <f>189.14772362805*Deflactores!$AA$5</f>
        <v>189.14772362804999</v>
      </c>
    </row>
    <row r="164" spans="1:11" x14ac:dyDescent="0.2">
      <c r="C164" s="87" t="s">
        <v>146</v>
      </c>
      <c r="D164" s="42">
        <f>691.871854839797*Deflactores!$T$5</f>
        <v>1046.8730413892292</v>
      </c>
      <c r="E164" s="42">
        <f>735.23203250507*Deflactores!$U$5</f>
        <v>1094.8542811985617</v>
      </c>
      <c r="F164" s="42">
        <f>849.537216787919*Deflactores!$V$5</f>
        <v>1197.7554261952712</v>
      </c>
      <c r="G164" s="42">
        <f>1118.36147168782*Deflactores!$W$5</f>
        <v>1393.8901147682279</v>
      </c>
      <c r="H164" s="42">
        <f>1165.35423611068*Deflactores!$X$5</f>
        <v>1329.1182279178047</v>
      </c>
      <c r="I164" s="42">
        <f>1112.14508944866*Deflactores!$Y$5</f>
        <v>1205.7336005372963</v>
      </c>
      <c r="J164" s="42">
        <f>1192.38208578622*Deflactores!$Z$5</f>
        <v>1229.9930052013285</v>
      </c>
      <c r="K164" s="42">
        <f>187.567226281729*Deflactores!$AA$5</f>
        <v>187.56722628172901</v>
      </c>
    </row>
    <row r="165" spans="1:11" x14ac:dyDescent="0.2">
      <c r="C165" s="88" t="s">
        <v>162</v>
      </c>
      <c r="D165" s="50">
        <f>28841.4576036517*Deflactores!$T$5</f>
        <v>43640.081943533653</v>
      </c>
      <c r="E165" s="50">
        <f>33943.8942501427*Deflactores!$U$5</f>
        <v>50546.788356998994</v>
      </c>
      <c r="F165" s="50">
        <f>42889.5661263738*Deflactores!$V$5</f>
        <v>60469.641046755438</v>
      </c>
      <c r="G165" s="50">
        <f>41675.327169854*Deflactores!$W$5</f>
        <v>51942.800286316313</v>
      </c>
      <c r="H165" s="50">
        <f>49403.8875080793*Deflactores!$X$5</f>
        <v>56346.478506087908</v>
      </c>
      <c r="I165" s="50">
        <f>57115.5036660326*Deflactores!$Y$5</f>
        <v>61921.850426805941</v>
      </c>
      <c r="J165" s="50">
        <f>63577.9194071508*Deflactores!$Z$5</f>
        <v>65583.336992593569</v>
      </c>
      <c r="K165" s="50">
        <f>10295.2501277131*Deflactores!$AA$5</f>
        <v>10295.2501277131</v>
      </c>
    </row>
    <row r="166" spans="1:11" x14ac:dyDescent="0.2">
      <c r="C166" s="87" t="s">
        <v>148</v>
      </c>
      <c r="D166" s="42">
        <f>354.31167624808*Deflactores!$T$5</f>
        <v>536.10988728458949</v>
      </c>
      <c r="E166" s="42">
        <f>454.57663114662*Deflactores!$U$5</f>
        <v>676.92258870707508</v>
      </c>
      <c r="F166" s="42">
        <f>538.07943145689*Deflactores!$V$5</f>
        <v>758.63369610615689</v>
      </c>
      <c r="G166" s="42">
        <f>579.259625078809*Deflactores!$W$5</f>
        <v>721.97074534689125</v>
      </c>
      <c r="H166" s="42">
        <f>652.34916360862*Deflactores!$X$5</f>
        <v>744.02197842682631</v>
      </c>
      <c r="I166" s="42">
        <f>770.89363698376*Deflactores!$Y$5</f>
        <v>835.76537753047251</v>
      </c>
      <c r="J166" s="42">
        <f>849.50019022322*Deflactores!$Z$5</f>
        <v>876.29569778616508</v>
      </c>
      <c r="K166" s="42">
        <f>114.88092206676*Deflactores!$AA$5</f>
        <v>114.88092206675999</v>
      </c>
    </row>
    <row r="167" spans="1:11" x14ac:dyDescent="0.2">
      <c r="C167" s="88" t="s">
        <v>149</v>
      </c>
      <c r="D167" s="50">
        <f>77.5039550683*Deflactores!$T$5</f>
        <v>117.27142908686844</v>
      </c>
      <c r="E167" s="50">
        <f>53.53657371515*Deflactores!$U$5</f>
        <v>79.722787285291702</v>
      </c>
      <c r="F167" s="50">
        <f>65.62099625465*Deflactores!$V$5</f>
        <v>92.518494520491402</v>
      </c>
      <c r="G167" s="50">
        <f>93.64234653543*Deflactores!$W$5</f>
        <v>116.71283790065335</v>
      </c>
      <c r="H167" s="50">
        <f>94.08753600713*Deflactores!$X$5</f>
        <v>107.30939593467291</v>
      </c>
      <c r="I167" s="50">
        <f>285.00499830429*Deflactores!$Y$5</f>
        <v>308.98855377486348</v>
      </c>
      <c r="J167" s="50">
        <f>445.435665317*Deflactores!$Z$5</f>
        <v>459.48589729596029</v>
      </c>
      <c r="K167" s="50">
        <f>10.890866085*Deflactores!$AA$5</f>
        <v>10.890866085000001</v>
      </c>
    </row>
    <row r="168" spans="1:11" x14ac:dyDescent="0.2">
      <c r="C168" s="87" t="s">
        <v>163</v>
      </c>
      <c r="D168" s="42">
        <f>21532.9132789412*Deflactores!$T$5</f>
        <v>32581.505168345586</v>
      </c>
      <c r="E168" s="42">
        <f>26588.2851117734*Deflactores!$U$5</f>
        <v>39593.348082467215</v>
      </c>
      <c r="F168" s="42">
        <f>24456.4148159139*Deflactores!$V$5</f>
        <v>34480.894976913107</v>
      </c>
      <c r="G168" s="42">
        <f>20791.6210137925*Deflactores!$W$5</f>
        <v>25914.014149105595</v>
      </c>
      <c r="H168" s="42">
        <f>24754.4512957481*Deflactores!$X$5</f>
        <v>28233.125533648872</v>
      </c>
      <c r="I168" s="42">
        <f>30329.7227876883*Deflactores!$Y$5</f>
        <v>32882.009916733674</v>
      </c>
      <c r="J168" s="42">
        <f>41492.6695267386*Deflactores!$Z$5</f>
        <v>42801.459275000292</v>
      </c>
      <c r="K168" s="42">
        <f>1945.53546014881*Deflactores!$AA$5</f>
        <v>1945.53546014881</v>
      </c>
    </row>
    <row r="169" spans="1:11" x14ac:dyDescent="0.2">
      <c r="C169" s="88" t="s">
        <v>150</v>
      </c>
      <c r="D169" s="50">
        <f>3693.74226959689*Deflactores!$T$5</f>
        <v>5589.0107060016571</v>
      </c>
      <c r="E169" s="50">
        <f>4254.5619864172*Deflactores!$U$5</f>
        <v>6335.5855016034102</v>
      </c>
      <c r="F169" s="50">
        <f>6780.91804662888*Deflactores!$V$5</f>
        <v>9560.3597163686718</v>
      </c>
      <c r="G169" s="50">
        <f>7204.54741245015*Deflactores!$W$5</f>
        <v>8979.5184060100582</v>
      </c>
      <c r="H169" s="50">
        <f>8133.89692879355*Deflactores!$X$5</f>
        <v>9276.9308567883272</v>
      </c>
      <c r="I169" s="50">
        <f>3698.37552451618*Deflactores!$Y$5</f>
        <v>4009.5988190934313</v>
      </c>
      <c r="J169" s="50">
        <f>2875.68323670499*Deflactores!$Z$5</f>
        <v>2966.3899755669504</v>
      </c>
      <c r="K169" s="50">
        <f>1064.28208175357*Deflactores!$AA$5</f>
        <v>1064.2820817535701</v>
      </c>
    </row>
    <row r="170" spans="1:11" x14ac:dyDescent="0.2">
      <c r="C170" s="87" t="s">
        <v>151</v>
      </c>
      <c r="D170" s="42">
        <f>2870.22447396841*Deflactores!$T$5</f>
        <v>4342.9438609391946</v>
      </c>
      <c r="E170" s="42">
        <f>3325.26543245578*Deflactores!$U$5</f>
        <v>4951.7443934553976</v>
      </c>
      <c r="F170" s="42">
        <f>4634.47821648233*Deflactores!$V$5</f>
        <v>6534.1121279696154</v>
      </c>
      <c r="G170" s="42">
        <f>4681.19939014682*Deflactores!$W$5</f>
        <v>5834.4978080630108</v>
      </c>
      <c r="H170" s="42">
        <f>4982.25223349219*Deflactores!$X$5</f>
        <v>5682.3942921590206</v>
      </c>
      <c r="I170" s="42">
        <f>5369.42881557816*Deflactores!$Y$5</f>
        <v>5821.2735011447703</v>
      </c>
      <c r="J170" s="42">
        <f>5806.97264535231*Deflactores!$Z$5</f>
        <v>5990.1400904301818</v>
      </c>
      <c r="K170" s="42">
        <f>194.986454232259*Deflactores!$AA$5</f>
        <v>194.98645423225901</v>
      </c>
    </row>
    <row r="171" spans="1:11" x14ac:dyDescent="0.2">
      <c r="C171" s="79" t="s">
        <v>152</v>
      </c>
      <c r="D171" s="44">
        <f t="shared" ref="D171:K171" si="8">SUM(D140:D170)</f>
        <v>252787.61668077874</v>
      </c>
      <c r="E171" s="44">
        <f t="shared" si="8"/>
        <v>299707.1232322572</v>
      </c>
      <c r="F171" s="44">
        <f t="shared" si="8"/>
        <v>326351.99097921775</v>
      </c>
      <c r="G171" s="44">
        <f t="shared" si="8"/>
        <v>284144.06932516611</v>
      </c>
      <c r="H171" s="44">
        <f t="shared" si="8"/>
        <v>317474.52545774647</v>
      </c>
      <c r="I171" s="44">
        <f t="shared" si="8"/>
        <v>314183.85868605494</v>
      </c>
      <c r="J171" s="44">
        <f t="shared" si="8"/>
        <v>331873.26080124063</v>
      </c>
      <c r="K171" s="44">
        <f t="shared" si="8"/>
        <v>42600.08828777232</v>
      </c>
    </row>
    <row r="172" spans="1:11" s="31" customFormat="1" x14ac:dyDescent="0.2">
      <c r="A172" s="5"/>
      <c r="B172" s="5"/>
      <c r="C172" s="72" t="str">
        <f>+'C1 Aprop Resumen 2000-2026'!B20</f>
        <v>* Información con corte a 28 de febrero</v>
      </c>
      <c r="D172" s="123">
        <f>+D171-'C6 Ejec. Nac 19-26'!D98</f>
        <v>6.6938810050487518E-10</v>
      </c>
      <c r="E172" s="123">
        <f>+E171-'C6 Ejec. Nac 19-26'!E98</f>
        <v>1.1059455573558807E-9</v>
      </c>
      <c r="F172" s="123">
        <f>+F171-'C6 Ejec. Nac 19-26'!F98</f>
        <v>0</v>
      </c>
      <c r="G172" s="123">
        <f>+G171-'C6 Ejec. Nac 19-26'!G98</f>
        <v>0</v>
      </c>
      <c r="H172" s="123">
        <f>+H171-'C6 Ejec. Nac 19-26'!H98</f>
        <v>7.5669959187507629E-10</v>
      </c>
      <c r="I172" s="123">
        <f>+I171-'C6 Ejec. Nac 19-26'!I98</f>
        <v>8.149072527885437E-10</v>
      </c>
      <c r="J172" s="123">
        <f>+J171-'C6 Ejec. Nac 19-26'!J98</f>
        <v>0</v>
      </c>
      <c r="K172" s="123">
        <f>+K171-'C6 Ejec. Nac 19-26'!K98</f>
        <v>-8.7311491370201111E-11</v>
      </c>
    </row>
    <row r="173" spans="1:11" x14ac:dyDescent="0.2">
      <c r="C173" s="1" t="s">
        <v>52</v>
      </c>
      <c r="D173" s="11"/>
      <c r="E173" s="11"/>
      <c r="F173" s="11"/>
      <c r="G173" s="11"/>
      <c r="H173" s="11"/>
    </row>
    <row r="174" spans="1:11" x14ac:dyDescent="0.2">
      <c r="B174" s="9"/>
      <c r="D174" s="11"/>
      <c r="E174" s="11"/>
      <c r="F174" s="11"/>
      <c r="G174" s="11"/>
      <c r="H174" s="11"/>
    </row>
    <row r="175" spans="1:11" x14ac:dyDescent="0.2">
      <c r="D175" s="11"/>
      <c r="E175" s="11"/>
      <c r="F175" s="11"/>
      <c r="G175" s="11"/>
      <c r="H175" s="11"/>
    </row>
    <row r="176" spans="1:11" x14ac:dyDescent="0.2">
      <c r="D176" s="11"/>
      <c r="E176" s="11"/>
      <c r="F176" s="11"/>
      <c r="G176" s="11"/>
      <c r="H176" s="11"/>
    </row>
    <row r="177" spans="3:11" ht="18" customHeight="1" x14ac:dyDescent="0.2">
      <c r="D177" s="160" t="s">
        <v>157</v>
      </c>
      <c r="E177" s="178"/>
      <c r="F177" s="178"/>
      <c r="G177" s="178"/>
      <c r="H177" s="178"/>
      <c r="I177" s="178"/>
      <c r="J177" s="178"/>
      <c r="K177" s="178"/>
    </row>
    <row r="178" spans="3:11" x14ac:dyDescent="0.2">
      <c r="D178" s="28"/>
      <c r="E178" s="28"/>
      <c r="F178" s="28"/>
      <c r="G178" s="28"/>
      <c r="H178" s="28"/>
    </row>
    <row r="179" spans="3:11" ht="0.75" customHeight="1" x14ac:dyDescent="0.2">
      <c r="D179" s="29"/>
      <c r="E179" s="29"/>
      <c r="F179" s="29"/>
      <c r="G179" s="29"/>
      <c r="H179" s="29"/>
    </row>
    <row r="180" spans="3:11" x14ac:dyDescent="0.2">
      <c r="C180" s="177" t="s">
        <v>120</v>
      </c>
      <c r="D180" s="153">
        <v>2019</v>
      </c>
      <c r="E180" s="153">
        <v>2020</v>
      </c>
      <c r="F180" s="153">
        <v>2021</v>
      </c>
      <c r="G180" s="153">
        <v>2022</v>
      </c>
      <c r="H180" s="153">
        <v>2023</v>
      </c>
      <c r="I180" s="153">
        <v>2024</v>
      </c>
      <c r="J180" s="153">
        <v>2025</v>
      </c>
      <c r="K180" s="153" t="s">
        <v>36</v>
      </c>
    </row>
    <row r="181" spans="3:11" ht="12" customHeight="1" thickBot="1" x14ac:dyDescent="0.25">
      <c r="C181" s="156"/>
      <c r="D181" s="154"/>
      <c r="E181" s="154"/>
      <c r="F181" s="154"/>
      <c r="G181" s="154"/>
      <c r="H181" s="154"/>
      <c r="I181" s="154"/>
      <c r="J181" s="154"/>
      <c r="K181" s="154"/>
    </row>
    <row r="182" spans="3:11" x14ac:dyDescent="0.2">
      <c r="C182" s="87" t="s">
        <v>123</v>
      </c>
      <c r="D182" s="47">
        <f t="shared" ref="D182:D212" si="9">+IFERROR(IF(D140&gt;0,+((D140/D15)*100),""),"0")</f>
        <v>62.80499128901873</v>
      </c>
      <c r="E182" s="47">
        <f t="shared" ref="E182:K191" si="10">+IFERROR(IF(E140&gt;0,+((E140/E15)*100)," "),"0")</f>
        <v>77.296168240863054</v>
      </c>
      <c r="F182" s="47">
        <f t="shared" si="10"/>
        <v>79.230503775809552</v>
      </c>
      <c r="G182" s="47">
        <f t="shared" si="10"/>
        <v>74.020197389018421</v>
      </c>
      <c r="H182" s="47">
        <f t="shared" si="10"/>
        <v>74.26525477750647</v>
      </c>
      <c r="I182" s="47">
        <f t="shared" si="10"/>
        <v>37.935256742640725</v>
      </c>
      <c r="J182" s="47">
        <f t="shared" si="10"/>
        <v>58.888181464925538</v>
      </c>
      <c r="K182" s="47">
        <f t="shared" si="10"/>
        <v>3.0007710610367488</v>
      </c>
    </row>
    <row r="183" spans="3:11" x14ac:dyDescent="0.2">
      <c r="C183" s="88" t="s">
        <v>124</v>
      </c>
      <c r="D183" s="116">
        <f t="shared" si="9"/>
        <v>87.564588833185425</v>
      </c>
      <c r="E183" s="116">
        <f t="shared" si="10"/>
        <v>79.049664100194377</v>
      </c>
      <c r="F183" s="116">
        <f t="shared" si="10"/>
        <v>64.122742139004387</v>
      </c>
      <c r="G183" s="116">
        <f t="shared" si="10"/>
        <v>58.93063947896097</v>
      </c>
      <c r="H183" s="116">
        <f t="shared" si="10"/>
        <v>45.1158810688271</v>
      </c>
      <c r="I183" s="116">
        <f t="shared" si="10"/>
        <v>50.57478724997172</v>
      </c>
      <c r="J183" s="116">
        <f t="shared" si="10"/>
        <v>78.801951594551838</v>
      </c>
      <c r="K183" s="116">
        <f t="shared" si="10"/>
        <v>8.7429087942908126</v>
      </c>
    </row>
    <row r="184" spans="3:11" x14ac:dyDescent="0.2">
      <c r="C184" s="87" t="s">
        <v>125</v>
      </c>
      <c r="D184" s="47">
        <f t="shared" si="9"/>
        <v>44.722803911144545</v>
      </c>
      <c r="E184" s="47">
        <f t="shared" si="10"/>
        <v>67.456846529922771</v>
      </c>
      <c r="F184" s="47">
        <f t="shared" si="10"/>
        <v>87.440040952321453</v>
      </c>
      <c r="G184" s="47">
        <f t="shared" si="10"/>
        <v>87.732875024285349</v>
      </c>
      <c r="H184" s="47">
        <f t="shared" si="10"/>
        <v>65.903020561506921</v>
      </c>
      <c r="I184" s="47">
        <f t="shared" si="10"/>
        <v>87.441163299971208</v>
      </c>
      <c r="J184" s="47">
        <f t="shared" si="10"/>
        <v>95.43703907009187</v>
      </c>
      <c r="K184" s="47">
        <f t="shared" si="10"/>
        <v>0.97078034541314162</v>
      </c>
    </row>
    <row r="185" spans="3:11" x14ac:dyDescent="0.2">
      <c r="C185" s="88" t="s">
        <v>126</v>
      </c>
      <c r="D185" s="116">
        <f t="shared" si="9"/>
        <v>81.275597373525173</v>
      </c>
      <c r="E185" s="116">
        <f t="shared" si="10"/>
        <v>79.641609345151195</v>
      </c>
      <c r="F185" s="116">
        <f t="shared" si="10"/>
        <v>67.658344063097204</v>
      </c>
      <c r="G185" s="116">
        <f t="shared" si="10"/>
        <v>75.914696021105598</v>
      </c>
      <c r="H185" s="116">
        <f t="shared" si="10"/>
        <v>67.500186578666018</v>
      </c>
      <c r="I185" s="116">
        <f t="shared" si="10"/>
        <v>61.406198375846465</v>
      </c>
      <c r="J185" s="116">
        <f t="shared" si="10"/>
        <v>84.284542010394048</v>
      </c>
      <c r="K185" s="116">
        <f t="shared" si="10"/>
        <v>8.9561901421210379</v>
      </c>
    </row>
    <row r="186" spans="3:11" x14ac:dyDescent="0.2">
      <c r="C186" s="87" t="s">
        <v>127</v>
      </c>
      <c r="D186" s="47">
        <f t="shared" si="9"/>
        <v>91.253852543744131</v>
      </c>
      <c r="E186" s="47">
        <f t="shared" si="10"/>
        <v>92.844808913084037</v>
      </c>
      <c r="F186" s="47">
        <f t="shared" si="10"/>
        <v>93.114412859765821</v>
      </c>
      <c r="G186" s="47">
        <f t="shared" si="10"/>
        <v>88.548924937598883</v>
      </c>
      <c r="H186" s="47">
        <f t="shared" si="10"/>
        <v>87.004961386459527</v>
      </c>
      <c r="I186" s="47">
        <f t="shared" si="10"/>
        <v>80.592618923574378</v>
      </c>
      <c r="J186" s="47">
        <f t="shared" si="10"/>
        <v>79.22067913986281</v>
      </c>
      <c r="K186" s="47">
        <f t="shared" si="10"/>
        <v>12.423204936910611</v>
      </c>
    </row>
    <row r="187" spans="3:11" x14ac:dyDescent="0.2">
      <c r="C187" s="88" t="s">
        <v>128</v>
      </c>
      <c r="D187" s="116">
        <f t="shared" si="9"/>
        <v>95.015020583002936</v>
      </c>
      <c r="E187" s="116">
        <f t="shared" si="10"/>
        <v>95.316013090915391</v>
      </c>
      <c r="F187" s="116">
        <f t="shared" si="10"/>
        <v>83.075395379103284</v>
      </c>
      <c r="G187" s="116">
        <f t="shared" si="10"/>
        <v>79.653449758672977</v>
      </c>
      <c r="H187" s="116">
        <f t="shared" si="10"/>
        <v>75.355604405152107</v>
      </c>
      <c r="I187" s="116">
        <f t="shared" si="10"/>
        <v>64.673189850620687</v>
      </c>
      <c r="J187" s="116">
        <f t="shared" si="10"/>
        <v>65.955208315545931</v>
      </c>
      <c r="K187" s="116">
        <f t="shared" si="10"/>
        <v>3.3547251045165081</v>
      </c>
    </row>
    <row r="188" spans="3:11" x14ac:dyDescent="0.2">
      <c r="C188" s="87" t="s">
        <v>129</v>
      </c>
      <c r="D188" s="47">
        <f t="shared" si="9"/>
        <v>96.442098016313395</v>
      </c>
      <c r="E188" s="47">
        <f t="shared" si="10"/>
        <v>96.867713838812705</v>
      </c>
      <c r="F188" s="47">
        <f t="shared" si="10"/>
        <v>95.350196147978536</v>
      </c>
      <c r="G188" s="47">
        <f t="shared" si="10"/>
        <v>95.161548021266256</v>
      </c>
      <c r="H188" s="47">
        <f t="shared" si="10"/>
        <v>94.855457770590618</v>
      </c>
      <c r="I188" s="47">
        <f t="shared" si="10"/>
        <v>89.981163729639761</v>
      </c>
      <c r="J188" s="47">
        <f t="shared" si="10"/>
        <v>92.267103189979707</v>
      </c>
      <c r="K188" s="47">
        <f t="shared" si="10"/>
        <v>12.239704600663284</v>
      </c>
    </row>
    <row r="189" spans="3:11" x14ac:dyDescent="0.2">
      <c r="C189" s="88" t="s">
        <v>130</v>
      </c>
      <c r="D189" s="116">
        <f t="shared" si="9"/>
        <v>53.139444061786101</v>
      </c>
      <c r="E189" s="116">
        <f t="shared" si="10"/>
        <v>52.325273124209716</v>
      </c>
      <c r="F189" s="116">
        <f t="shared" si="10"/>
        <v>87.480335581708687</v>
      </c>
      <c r="G189" s="116">
        <f t="shared" si="10"/>
        <v>61.924132354312036</v>
      </c>
      <c r="H189" s="116">
        <f t="shared" si="10"/>
        <v>59.063859819749595</v>
      </c>
      <c r="I189" s="116">
        <f t="shared" si="10"/>
        <v>36.023849351679459</v>
      </c>
      <c r="J189" s="116">
        <f t="shared" si="10"/>
        <v>67.519775372495346</v>
      </c>
      <c r="K189" s="116">
        <f t="shared" si="10"/>
        <v>2.5163621059565662</v>
      </c>
    </row>
    <row r="190" spans="3:11" x14ac:dyDescent="0.2">
      <c r="C190" s="87" t="s">
        <v>131</v>
      </c>
      <c r="D190" s="47">
        <f t="shared" si="9"/>
        <v>99.625726641202363</v>
      </c>
      <c r="E190" s="47">
        <f t="shared" si="10"/>
        <v>99.902390549883236</v>
      </c>
      <c r="F190" s="47">
        <f t="shared" si="10"/>
        <v>99.886209118120206</v>
      </c>
      <c r="G190" s="47">
        <f t="shared" si="10"/>
        <v>99.784846815089807</v>
      </c>
      <c r="H190" s="47">
        <f t="shared" si="10"/>
        <v>98.040428909255326</v>
      </c>
      <c r="I190" s="47">
        <f t="shared" si="10"/>
        <v>96.397143168373461</v>
      </c>
      <c r="J190" s="47">
        <f t="shared" si="10"/>
        <v>97.30020285812671</v>
      </c>
      <c r="K190" s="47">
        <f t="shared" si="10"/>
        <v>14.449861069071742</v>
      </c>
    </row>
    <row r="191" spans="3:11" x14ac:dyDescent="0.2">
      <c r="C191" s="88" t="s">
        <v>132</v>
      </c>
      <c r="D191" s="116">
        <f t="shared" si="9"/>
        <v>89.247277962420185</v>
      </c>
      <c r="E191" s="116">
        <f t="shared" si="10"/>
        <v>89.056109840892944</v>
      </c>
      <c r="F191" s="116">
        <f t="shared" si="10"/>
        <v>93.051984086644595</v>
      </c>
      <c r="G191" s="116">
        <f t="shared" si="10"/>
        <v>90.67791980931608</v>
      </c>
      <c r="H191" s="116">
        <f t="shared" si="10"/>
        <v>92.829957840224054</v>
      </c>
      <c r="I191" s="116">
        <f t="shared" si="10"/>
        <v>92.555748335718647</v>
      </c>
      <c r="J191" s="116">
        <f t="shared" si="10"/>
        <v>91.473431028237968</v>
      </c>
      <c r="K191" s="116">
        <f t="shared" si="10"/>
        <v>11.451062267859825</v>
      </c>
    </row>
    <row r="192" spans="3:11" x14ac:dyDescent="0.2">
      <c r="C192" s="87" t="s">
        <v>133</v>
      </c>
      <c r="D192" s="47">
        <f t="shared" si="9"/>
        <v>94.533263050887967</v>
      </c>
      <c r="E192" s="47">
        <f t="shared" ref="E192:K201" si="11">+IFERROR(IF(E150&gt;0,+((E150/E25)*100)," "),"0")</f>
        <v>94.574407551242331</v>
      </c>
      <c r="F192" s="47">
        <f t="shared" si="11"/>
        <v>92.31622954943785</v>
      </c>
      <c r="G192" s="47">
        <f t="shared" si="11"/>
        <v>94.763408497991037</v>
      </c>
      <c r="H192" s="47">
        <f t="shared" si="11"/>
        <v>94.616012923151288</v>
      </c>
      <c r="I192" s="47">
        <f t="shared" si="11"/>
        <v>92.870651444993655</v>
      </c>
      <c r="J192" s="47">
        <f t="shared" si="11"/>
        <v>92.261145845405409</v>
      </c>
      <c r="K192" s="47">
        <f t="shared" si="11"/>
        <v>11.013660140547197</v>
      </c>
    </row>
    <row r="193" spans="3:11" x14ac:dyDescent="0.2">
      <c r="C193" s="88" t="s">
        <v>134</v>
      </c>
      <c r="D193" s="116">
        <f t="shared" si="9"/>
        <v>80.583344618244269</v>
      </c>
      <c r="E193" s="116">
        <f t="shared" si="11"/>
        <v>41.074698254832832</v>
      </c>
      <c r="F193" s="116">
        <f t="shared" si="11"/>
        <v>77.546408063079923</v>
      </c>
      <c r="G193" s="116">
        <f t="shared" si="11"/>
        <v>77.071983078659628</v>
      </c>
      <c r="H193" s="116">
        <f t="shared" si="11"/>
        <v>81.731451043473868</v>
      </c>
      <c r="I193" s="116">
        <f t="shared" si="11"/>
        <v>69.659049778633801</v>
      </c>
      <c r="J193" s="116">
        <f t="shared" si="11"/>
        <v>68.759275981654056</v>
      </c>
      <c r="K193" s="116">
        <f t="shared" si="11"/>
        <v>7.1908412134307191</v>
      </c>
    </row>
    <row r="194" spans="3:11" x14ac:dyDescent="0.2">
      <c r="C194" s="87" t="s">
        <v>135</v>
      </c>
      <c r="D194" s="47" t="str">
        <f t="shared" si="9"/>
        <v/>
      </c>
      <c r="E194" s="47" t="str">
        <f t="shared" si="11"/>
        <v xml:space="preserve"> </v>
      </c>
      <c r="F194" s="47" t="str">
        <f t="shared" si="11"/>
        <v xml:space="preserve"> </v>
      </c>
      <c r="G194" s="47" t="str">
        <f t="shared" si="11"/>
        <v xml:space="preserve"> </v>
      </c>
      <c r="H194" s="47">
        <f t="shared" si="11"/>
        <v>0.58282805051800002</v>
      </c>
      <c r="I194" s="47">
        <f t="shared" si="11"/>
        <v>76.19041597154677</v>
      </c>
      <c r="J194" s="47">
        <f t="shared" si="11"/>
        <v>93.432211612762515</v>
      </c>
      <c r="K194" s="47">
        <f t="shared" si="11"/>
        <v>11.862795131660054</v>
      </c>
    </row>
    <row r="195" spans="3:11" x14ac:dyDescent="0.2">
      <c r="C195" s="88" t="s">
        <v>136</v>
      </c>
      <c r="D195" s="116">
        <f t="shared" si="9"/>
        <v>88.025963526836932</v>
      </c>
      <c r="E195" s="116">
        <f t="shared" si="11"/>
        <v>97.29174363397307</v>
      </c>
      <c r="F195" s="116">
        <f t="shared" si="11"/>
        <v>92.957361934142895</v>
      </c>
      <c r="G195" s="116">
        <f t="shared" si="11"/>
        <v>96.818426907251109</v>
      </c>
      <c r="H195" s="116">
        <f t="shared" si="11"/>
        <v>88.349656389800984</v>
      </c>
      <c r="I195" s="116">
        <f t="shared" si="11"/>
        <v>72.407698388690122</v>
      </c>
      <c r="J195" s="116">
        <f t="shared" si="11"/>
        <v>73.084756787525208</v>
      </c>
      <c r="K195" s="116">
        <f t="shared" si="11"/>
        <v>10.612437673706896</v>
      </c>
    </row>
    <row r="196" spans="3:11" x14ac:dyDescent="0.2">
      <c r="C196" s="87" t="s">
        <v>137</v>
      </c>
      <c r="D196" s="47">
        <f t="shared" si="9"/>
        <v>87.292851400826976</v>
      </c>
      <c r="E196" s="47">
        <f t="shared" si="11"/>
        <v>86.183936464390214</v>
      </c>
      <c r="F196" s="47">
        <f t="shared" si="11"/>
        <v>66.391295800390765</v>
      </c>
      <c r="G196" s="47">
        <f t="shared" si="11"/>
        <v>63.187948938643444</v>
      </c>
      <c r="H196" s="47">
        <f t="shared" si="11"/>
        <v>56.242864547797332</v>
      </c>
      <c r="I196" s="47">
        <f t="shared" si="11"/>
        <v>62.244296676679809</v>
      </c>
      <c r="J196" s="47">
        <f t="shared" si="11"/>
        <v>71.107355645049893</v>
      </c>
      <c r="K196" s="47">
        <f t="shared" si="11"/>
        <v>6.646081997869266</v>
      </c>
    </row>
    <row r="197" spans="3:11" x14ac:dyDescent="0.2">
      <c r="C197" s="88" t="s">
        <v>138</v>
      </c>
      <c r="D197" s="116">
        <f t="shared" si="9"/>
        <v>93.495546150479726</v>
      </c>
      <c r="E197" s="116">
        <f t="shared" si="11"/>
        <v>97.939832663448939</v>
      </c>
      <c r="F197" s="116">
        <f t="shared" si="11"/>
        <v>94.697338290005291</v>
      </c>
      <c r="G197" s="116">
        <f t="shared" si="11"/>
        <v>95.264977782914727</v>
      </c>
      <c r="H197" s="116">
        <f t="shared" si="11"/>
        <v>85.345665664192509</v>
      </c>
      <c r="I197" s="116">
        <f t="shared" si="11"/>
        <v>81.65190121162361</v>
      </c>
      <c r="J197" s="116">
        <f t="shared" si="11"/>
        <v>85.586638961646997</v>
      </c>
      <c r="K197" s="116">
        <f t="shared" si="11"/>
        <v>10.324946586541488</v>
      </c>
    </row>
    <row r="198" spans="3:11" x14ac:dyDescent="0.2">
      <c r="C198" s="87" t="s">
        <v>160</v>
      </c>
      <c r="D198" s="47">
        <f t="shared" si="9"/>
        <v>85.694486654970717</v>
      </c>
      <c r="E198" s="47">
        <f t="shared" si="11"/>
        <v>86.022646678747194</v>
      </c>
      <c r="F198" s="47">
        <f t="shared" si="11"/>
        <v>82.453755913630118</v>
      </c>
      <c r="G198" s="47">
        <f t="shared" si="11"/>
        <v>70.112444128732207</v>
      </c>
      <c r="H198" s="47">
        <f t="shared" si="11"/>
        <v>68.503931568318947</v>
      </c>
      <c r="I198" s="47">
        <f t="shared" si="11"/>
        <v>69.674369746777245</v>
      </c>
      <c r="J198" s="47">
        <f t="shared" si="11"/>
        <v>79.076720274235726</v>
      </c>
      <c r="K198" s="47">
        <f t="shared" si="11"/>
        <v>6.5099036222763491</v>
      </c>
    </row>
    <row r="199" spans="3:11" x14ac:dyDescent="0.2">
      <c r="C199" s="88" t="s">
        <v>161</v>
      </c>
      <c r="D199" s="116">
        <f t="shared" si="9"/>
        <v>74.703704523438134</v>
      </c>
      <c r="E199" s="116">
        <f t="shared" si="11"/>
        <v>78.310511957262833</v>
      </c>
      <c r="F199" s="116">
        <f t="shared" si="11"/>
        <v>65.539871313098359</v>
      </c>
      <c r="G199" s="116">
        <f t="shared" si="11"/>
        <v>67.195585833441456</v>
      </c>
      <c r="H199" s="116">
        <f t="shared" si="11"/>
        <v>78.251506356779743</v>
      </c>
      <c r="I199" s="116">
        <f t="shared" si="11"/>
        <v>79.157337742048966</v>
      </c>
      <c r="J199" s="116">
        <f t="shared" si="11"/>
        <v>81.841154657613373</v>
      </c>
      <c r="K199" s="116">
        <f t="shared" si="11"/>
        <v>7.2125001606130805</v>
      </c>
    </row>
    <row r="200" spans="3:11" x14ac:dyDescent="0.2">
      <c r="C200" s="87" t="s">
        <v>140</v>
      </c>
      <c r="D200" s="47">
        <f t="shared" si="9"/>
        <v>83.284026055782121</v>
      </c>
      <c r="E200" s="47">
        <f t="shared" si="11"/>
        <v>87.773443513781544</v>
      </c>
      <c r="F200" s="47">
        <f t="shared" si="11"/>
        <v>92.420746684155134</v>
      </c>
      <c r="G200" s="47">
        <f t="shared" si="11"/>
        <v>84.456572780263855</v>
      </c>
      <c r="H200" s="47">
        <f t="shared" si="11"/>
        <v>89.347956797609271</v>
      </c>
      <c r="I200" s="47">
        <f t="shared" si="11"/>
        <v>59.520346145031091</v>
      </c>
      <c r="J200" s="47">
        <f t="shared" si="11"/>
        <v>67.673615970785946</v>
      </c>
      <c r="K200" s="47">
        <f t="shared" si="11"/>
        <v>0.79833173087238507</v>
      </c>
    </row>
    <row r="201" spans="3:11" x14ac:dyDescent="0.2">
      <c r="C201" s="88" t="s">
        <v>141</v>
      </c>
      <c r="D201" s="116">
        <f t="shared" si="9"/>
        <v>89.164665070714619</v>
      </c>
      <c r="E201" s="116">
        <f t="shared" si="11"/>
        <v>81.530163302576298</v>
      </c>
      <c r="F201" s="116">
        <f t="shared" si="11"/>
        <v>82.093589607645129</v>
      </c>
      <c r="G201" s="116">
        <f t="shared" si="11"/>
        <v>84.862665298943327</v>
      </c>
      <c r="H201" s="116">
        <f t="shared" si="11"/>
        <v>81.726790858084357</v>
      </c>
      <c r="I201" s="116">
        <f t="shared" si="11"/>
        <v>87.272224913819329</v>
      </c>
      <c r="J201" s="116">
        <f t="shared" si="11"/>
        <v>90.606678601799061</v>
      </c>
      <c r="K201" s="116">
        <f t="shared" si="11"/>
        <v>9.1703851918128887</v>
      </c>
    </row>
    <row r="202" spans="3:11" x14ac:dyDescent="0.2">
      <c r="C202" s="87" t="s">
        <v>142</v>
      </c>
      <c r="D202" s="47">
        <f t="shared" si="9"/>
        <v>60.882079580165403</v>
      </c>
      <c r="E202" s="47">
        <f t="shared" ref="E202:K211" si="12">+IFERROR(IF(E160&gt;0,+((E160/E35)*100)," "),"0")</f>
        <v>71.101937447123902</v>
      </c>
      <c r="F202" s="47">
        <f t="shared" si="12"/>
        <v>71.277795505784354</v>
      </c>
      <c r="G202" s="47">
        <f t="shared" si="12"/>
        <v>42.22466893359389</v>
      </c>
      <c r="H202" s="47">
        <f t="shared" si="12"/>
        <v>36.025292592153022</v>
      </c>
      <c r="I202" s="47">
        <f t="shared" si="12"/>
        <v>50.04221914121495</v>
      </c>
      <c r="J202" s="47">
        <f t="shared" si="12"/>
        <v>54.305088356442297</v>
      </c>
      <c r="K202" s="47">
        <f t="shared" si="12"/>
        <v>5.3969084761922304</v>
      </c>
    </row>
    <row r="203" spans="3:11" x14ac:dyDescent="0.2">
      <c r="C203" s="88" t="s">
        <v>143</v>
      </c>
      <c r="D203" s="116">
        <f t="shared" si="9"/>
        <v>41.45898119309183</v>
      </c>
      <c r="E203" s="116">
        <f t="shared" si="12"/>
        <v>34.429716370254745</v>
      </c>
      <c r="F203" s="116">
        <f t="shared" si="12"/>
        <v>44.984890318347716</v>
      </c>
      <c r="G203" s="116">
        <f t="shared" si="12"/>
        <v>19.027437084292028</v>
      </c>
      <c r="H203" s="116">
        <f t="shared" si="12"/>
        <v>15.987918580025386</v>
      </c>
      <c r="I203" s="116">
        <f t="shared" si="12"/>
        <v>27.909394728916659</v>
      </c>
      <c r="J203" s="116">
        <f t="shared" si="12"/>
        <v>40.876554501746774</v>
      </c>
      <c r="K203" s="116">
        <f t="shared" si="12"/>
        <v>2.7817027569924648</v>
      </c>
    </row>
    <row r="204" spans="3:11" x14ac:dyDescent="0.2">
      <c r="C204" s="87" t="s">
        <v>144</v>
      </c>
      <c r="D204" s="47">
        <f t="shared" si="9"/>
        <v>92.055786386296674</v>
      </c>
      <c r="E204" s="47">
        <f t="shared" si="12"/>
        <v>91.212052595898257</v>
      </c>
      <c r="F204" s="47">
        <f t="shared" si="12"/>
        <v>88.584144738900804</v>
      </c>
      <c r="G204" s="47">
        <f t="shared" si="12"/>
        <v>89.177798178279104</v>
      </c>
      <c r="H204" s="47">
        <f t="shared" si="12"/>
        <v>83.301550763753767</v>
      </c>
      <c r="I204" s="47">
        <f t="shared" si="12"/>
        <v>85.122574500398187</v>
      </c>
      <c r="J204" s="47">
        <f t="shared" si="12"/>
        <v>86.288157466998712</v>
      </c>
      <c r="K204" s="47">
        <f t="shared" si="12"/>
        <v>9.5532228257230383</v>
      </c>
    </row>
    <row r="205" spans="3:11" x14ac:dyDescent="0.2">
      <c r="C205" s="88" t="s">
        <v>145</v>
      </c>
      <c r="D205" s="116">
        <f t="shared" si="9"/>
        <v>91.615975876715936</v>
      </c>
      <c r="E205" s="116">
        <f t="shared" si="12"/>
        <v>88.418232050564299</v>
      </c>
      <c r="F205" s="116">
        <f t="shared" si="12"/>
        <v>84.949677845803805</v>
      </c>
      <c r="G205" s="116">
        <f t="shared" si="12"/>
        <v>92.425422192139123</v>
      </c>
      <c r="H205" s="116">
        <f t="shared" si="12"/>
        <v>77.531120916050881</v>
      </c>
      <c r="I205" s="116">
        <f t="shared" si="12"/>
        <v>57.677418715178661</v>
      </c>
      <c r="J205" s="116">
        <f t="shared" si="12"/>
        <v>73.378388247966186</v>
      </c>
      <c r="K205" s="116">
        <f t="shared" si="12"/>
        <v>2.8229230587004737</v>
      </c>
    </row>
    <row r="206" spans="3:11" x14ac:dyDescent="0.2">
      <c r="C206" s="87" t="s">
        <v>146</v>
      </c>
      <c r="D206" s="47">
        <f t="shared" si="9"/>
        <v>93.981468947125947</v>
      </c>
      <c r="E206" s="47">
        <f t="shared" si="12"/>
        <v>90.367018708086846</v>
      </c>
      <c r="F206" s="47">
        <f t="shared" si="12"/>
        <v>89.657492325508116</v>
      </c>
      <c r="G206" s="47">
        <f t="shared" si="12"/>
        <v>93.00953467450816</v>
      </c>
      <c r="H206" s="47">
        <f t="shared" si="12"/>
        <v>91.578355976937644</v>
      </c>
      <c r="I206" s="47">
        <f t="shared" si="12"/>
        <v>90.938678394476611</v>
      </c>
      <c r="J206" s="47">
        <f t="shared" si="12"/>
        <v>91.716736179015442</v>
      </c>
      <c r="K206" s="47">
        <f t="shared" si="12"/>
        <v>15.011619541804274</v>
      </c>
    </row>
    <row r="207" spans="3:11" x14ac:dyDescent="0.2">
      <c r="C207" s="88" t="s">
        <v>162</v>
      </c>
      <c r="D207" s="116">
        <f t="shared" si="9"/>
        <v>99.495514883589536</v>
      </c>
      <c r="E207" s="116">
        <f t="shared" si="12"/>
        <v>97.404676912153832</v>
      </c>
      <c r="F207" s="116">
        <f t="shared" si="12"/>
        <v>99.323754378489809</v>
      </c>
      <c r="G207" s="116">
        <f t="shared" si="12"/>
        <v>99.682672563841436</v>
      </c>
      <c r="H207" s="116">
        <f t="shared" si="12"/>
        <v>93.009910844817384</v>
      </c>
      <c r="I207" s="116">
        <f t="shared" si="12"/>
        <v>94.170505890144824</v>
      </c>
      <c r="J207" s="116">
        <f t="shared" si="12"/>
        <v>96.194212323614636</v>
      </c>
      <c r="K207" s="116">
        <f t="shared" si="12"/>
        <v>13.363087155247245</v>
      </c>
    </row>
    <row r="208" spans="3:11" x14ac:dyDescent="0.2">
      <c r="C208" s="87" t="s">
        <v>148</v>
      </c>
      <c r="D208" s="47">
        <f t="shared" si="9"/>
        <v>82.43625636278685</v>
      </c>
      <c r="E208" s="47">
        <f t="shared" si="12"/>
        <v>90.368507872220832</v>
      </c>
      <c r="F208" s="47">
        <f t="shared" si="12"/>
        <v>92.385350588348842</v>
      </c>
      <c r="G208" s="47">
        <f t="shared" si="12"/>
        <v>93.416782552066749</v>
      </c>
      <c r="H208" s="47">
        <f t="shared" si="12"/>
        <v>88.239746000821711</v>
      </c>
      <c r="I208" s="47">
        <f t="shared" si="12"/>
        <v>90.113354982101853</v>
      </c>
      <c r="J208" s="47">
        <f t="shared" si="12"/>
        <v>87.762986227475821</v>
      </c>
      <c r="K208" s="47">
        <f t="shared" si="12"/>
        <v>12.209026783983095</v>
      </c>
    </row>
    <row r="209" spans="1:11" x14ac:dyDescent="0.2">
      <c r="C209" s="88" t="s">
        <v>149</v>
      </c>
      <c r="D209" s="116">
        <f t="shared" si="9"/>
        <v>92.798551950071811</v>
      </c>
      <c r="E209" s="116">
        <f t="shared" si="12"/>
        <v>98.374462350665439</v>
      </c>
      <c r="F209" s="116">
        <f t="shared" si="12"/>
        <v>80.131535169235917</v>
      </c>
      <c r="G209" s="116">
        <f t="shared" si="12"/>
        <v>87.685846951981858</v>
      </c>
      <c r="H209" s="116">
        <f t="shared" si="12"/>
        <v>86.956893440752154</v>
      </c>
      <c r="I209" s="116">
        <f t="shared" si="12"/>
        <v>30.763590932333241</v>
      </c>
      <c r="J209" s="116">
        <f t="shared" si="12"/>
        <v>70.516948997349289</v>
      </c>
      <c r="K209" s="116">
        <f t="shared" si="12"/>
        <v>3.5615818681286768</v>
      </c>
    </row>
    <row r="210" spans="1:11" x14ac:dyDescent="0.2">
      <c r="C210" s="87" t="s">
        <v>163</v>
      </c>
      <c r="D210" s="47">
        <f t="shared" si="9"/>
        <v>81.614732763022673</v>
      </c>
      <c r="E210" s="47">
        <f t="shared" si="12"/>
        <v>86.232694591215179</v>
      </c>
      <c r="F210" s="47">
        <f t="shared" si="12"/>
        <v>93.412409210854236</v>
      </c>
      <c r="G210" s="47">
        <f t="shared" si="12"/>
        <v>63.33586588446606</v>
      </c>
      <c r="H210" s="47">
        <f t="shared" si="12"/>
        <v>76.391950340669922</v>
      </c>
      <c r="I210" s="47">
        <f t="shared" si="12"/>
        <v>80.046610257234377</v>
      </c>
      <c r="J210" s="47">
        <f t="shared" si="12"/>
        <v>85.108305860020323</v>
      </c>
      <c r="K210" s="47">
        <f t="shared" si="12"/>
        <v>3.6204234469929606</v>
      </c>
    </row>
    <row r="211" spans="1:11" x14ac:dyDescent="0.2">
      <c r="C211" s="88" t="s">
        <v>150</v>
      </c>
      <c r="D211" s="116">
        <f t="shared" si="9"/>
        <v>78.743881325206715</v>
      </c>
      <c r="E211" s="116">
        <f t="shared" si="12"/>
        <v>84.17725809681545</v>
      </c>
      <c r="F211" s="116">
        <f t="shared" si="12"/>
        <v>85.402455408322155</v>
      </c>
      <c r="G211" s="116">
        <f t="shared" si="12"/>
        <v>80.045506402940788</v>
      </c>
      <c r="H211" s="116">
        <f t="shared" si="12"/>
        <v>87.224357721441592</v>
      </c>
      <c r="I211" s="116">
        <f t="shared" si="12"/>
        <v>36.424453507290458</v>
      </c>
      <c r="J211" s="116">
        <f t="shared" si="12"/>
        <v>32.558787240755954</v>
      </c>
      <c r="K211" s="116">
        <f t="shared" si="12"/>
        <v>10.087268596898074</v>
      </c>
    </row>
    <row r="212" spans="1:11" x14ac:dyDescent="0.2">
      <c r="C212" s="87" t="s">
        <v>151</v>
      </c>
      <c r="D212" s="47">
        <f t="shared" si="9"/>
        <v>69.150836009374046</v>
      </c>
      <c r="E212" s="47">
        <f t="shared" ref="E212:K212" si="13">+IFERROR(IF(E170&gt;0,+((E170/E45)*100)," "),"0")</f>
        <v>76.133529724589849</v>
      </c>
      <c r="F212" s="47">
        <f t="shared" si="13"/>
        <v>77.544052944887937</v>
      </c>
      <c r="G212" s="47">
        <f t="shared" si="13"/>
        <v>80.370931023961205</v>
      </c>
      <c r="H212" s="47">
        <f t="shared" si="13"/>
        <v>62.666731143996266</v>
      </c>
      <c r="I212" s="47">
        <f t="shared" si="13"/>
        <v>58.739139694201093</v>
      </c>
      <c r="J212" s="47">
        <f t="shared" si="13"/>
        <v>69.596660851060292</v>
      </c>
      <c r="K212" s="47">
        <f t="shared" si="13"/>
        <v>2.6795365050033269</v>
      </c>
    </row>
    <row r="213" spans="1:11" x14ac:dyDescent="0.2">
      <c r="C213" s="91" t="s">
        <v>154</v>
      </c>
      <c r="D213" s="74">
        <f t="shared" ref="D213:K213" si="14">+IFERROR(IF(D171&gt;0,+((D171/D46)*100)," "),"")</f>
        <v>90.983088319626603</v>
      </c>
      <c r="E213" s="74">
        <f t="shared" si="14"/>
        <v>83.58137901536999</v>
      </c>
      <c r="F213" s="74">
        <f t="shared" si="14"/>
        <v>90.873209648279342</v>
      </c>
      <c r="G213" s="74">
        <f t="shared" si="14"/>
        <v>86.976362147503721</v>
      </c>
      <c r="H213" s="74">
        <f t="shared" si="14"/>
        <v>86.192507653798955</v>
      </c>
      <c r="I213" s="74">
        <f t="shared" si="14"/>
        <v>81.914818002567813</v>
      </c>
      <c r="J213" s="74">
        <f t="shared" si="14"/>
        <v>86.590911694030027</v>
      </c>
      <c r="K213" s="74">
        <f t="shared" si="14"/>
        <v>10.218067148495942</v>
      </c>
    </row>
    <row r="214" spans="1:11" s="31" customFormat="1" x14ac:dyDescent="0.2">
      <c r="A214" s="5"/>
      <c r="B214" s="5"/>
      <c r="C214" s="72" t="str">
        <f>+'C1 Aprop Resumen 2000-2026'!B20</f>
        <v>* Información con corte a 28 de febrero</v>
      </c>
      <c r="D214" s="69"/>
      <c r="E214" s="69"/>
      <c r="F214" s="69"/>
      <c r="G214" s="69"/>
      <c r="H214" s="69"/>
      <c r="I214" s="69"/>
    </row>
    <row r="215" spans="1:11" x14ac:dyDescent="0.2">
      <c r="C215" s="1" t="s">
        <v>52</v>
      </c>
      <c r="D215" s="11"/>
      <c r="E215" s="11"/>
      <c r="F215" s="11"/>
      <c r="G215" s="11"/>
      <c r="H215" s="11"/>
    </row>
    <row r="216" spans="1:11" x14ac:dyDescent="0.2">
      <c r="E216" s="3"/>
      <c r="F216" s="3"/>
      <c r="G216" s="3"/>
      <c r="H216" s="3"/>
    </row>
    <row r="217" spans="1:11" x14ac:dyDescent="0.2">
      <c r="E217" s="3"/>
      <c r="F217" s="3"/>
      <c r="G217" s="3"/>
      <c r="H217" s="3"/>
    </row>
    <row r="218" spans="1:11" x14ac:dyDescent="0.2">
      <c r="E218" s="3"/>
      <c r="F218" s="3"/>
      <c r="G218" s="3"/>
      <c r="H218" s="3"/>
    </row>
    <row r="219" spans="1:11" ht="18" customHeight="1" x14ac:dyDescent="0.2">
      <c r="D219" s="160" t="s">
        <v>158</v>
      </c>
      <c r="E219" s="178"/>
      <c r="F219" s="178"/>
      <c r="G219" s="178"/>
      <c r="H219" s="178"/>
      <c r="I219" s="178"/>
      <c r="J219" s="178"/>
      <c r="K219" s="178"/>
    </row>
    <row r="220" spans="1:11" ht="15.75" customHeight="1" x14ac:dyDescent="0.2">
      <c r="C220" s="2"/>
      <c r="D220" s="2"/>
      <c r="E220" s="2"/>
      <c r="F220" s="2"/>
      <c r="G220" s="2"/>
      <c r="H220" s="2"/>
      <c r="I220" s="2"/>
    </row>
    <row r="221" spans="1:11" x14ac:dyDescent="0.2">
      <c r="C221" s="177" t="s">
        <v>120</v>
      </c>
      <c r="D221" s="153">
        <v>2019</v>
      </c>
      <c r="E221" s="153">
        <v>2020</v>
      </c>
      <c r="F221" s="153">
        <v>2021</v>
      </c>
      <c r="G221" s="153">
        <v>2022</v>
      </c>
      <c r="H221" s="153">
        <v>2023</v>
      </c>
      <c r="I221" s="153">
        <v>2024</v>
      </c>
      <c r="J221" s="153">
        <v>2025</v>
      </c>
      <c r="K221" s="153" t="s">
        <v>36</v>
      </c>
    </row>
    <row r="222" spans="1:11" ht="12" customHeight="1" thickBot="1" x14ac:dyDescent="0.25">
      <c r="C222" s="156"/>
      <c r="D222" s="154"/>
      <c r="E222" s="154"/>
      <c r="F222" s="154"/>
      <c r="G222" s="154"/>
      <c r="H222" s="154"/>
      <c r="I222" s="154"/>
      <c r="J222" s="154"/>
      <c r="K222" s="154"/>
    </row>
    <row r="223" spans="1:11" x14ac:dyDescent="0.2">
      <c r="C223" s="87" t="s">
        <v>123</v>
      </c>
      <c r="D223" s="42">
        <f>1374.5236197029*Deflactores!$T$5</f>
        <v>2079.7951414758686</v>
      </c>
      <c r="E223" s="42">
        <f>1354.66498409864*Deflactores!$U$5</f>
        <v>2017.2689598095685</v>
      </c>
      <c r="F223" s="42">
        <f>1825.468423817*Deflactores!$V$5</f>
        <v>2573.7126835265844</v>
      </c>
      <c r="G223" s="42">
        <f>1848.9534942491*Deflactores!$W$5</f>
        <v>2304.476739895601</v>
      </c>
      <c r="H223" s="42">
        <f>3921.50128442903*Deflactores!$X$5</f>
        <v>4472.5789604824349</v>
      </c>
      <c r="I223" s="42">
        <f>2935.70081774282*Deflactores!$Y$5</f>
        <v>3182.7440058491916</v>
      </c>
      <c r="J223" s="42">
        <f>2899.49578536027*Deflactores!$Z$5</f>
        <v>2990.953635681567</v>
      </c>
      <c r="K223" s="42">
        <f>103.89719596164*Deflactores!$AA$5</f>
        <v>103.89719596163999</v>
      </c>
    </row>
    <row r="224" spans="1:11" x14ac:dyDescent="0.2">
      <c r="C224" s="88" t="s">
        <v>124</v>
      </c>
      <c r="D224" s="50">
        <f>428.39701168164*Deflactores!$T$5</f>
        <v>648.20859441530615</v>
      </c>
      <c r="E224" s="50">
        <f>450.855166770209*Deflactores!$U$5</f>
        <v>671.38085354768725</v>
      </c>
      <c r="F224" s="50">
        <f>616.33638925214*Deflactores!$V$5</f>
        <v>868.96752726095451</v>
      </c>
      <c r="G224" s="50">
        <f>655.125229197739*Deflactores!$W$5</f>
        <v>816.52721774816416</v>
      </c>
      <c r="H224" s="50">
        <f>783.412386774399*Deflactores!$X$5</f>
        <v>893.50315206607615</v>
      </c>
      <c r="I224" s="50">
        <f>882.15436276788*Deflactores!$Y$5</f>
        <v>956.38884363288935</v>
      </c>
      <c r="J224" s="50">
        <f>1173.31400729172*Deflactores!$Z$5</f>
        <v>1210.3234685230746</v>
      </c>
      <c r="K224" s="50">
        <f>130.99975384093*Deflactores!$AA$5</f>
        <v>130.99975384093</v>
      </c>
    </row>
    <row r="225" spans="3:11" x14ac:dyDescent="0.2">
      <c r="C225" s="87" t="s">
        <v>125</v>
      </c>
      <c r="D225" s="42">
        <f>149.694147083799*Deflactores!$T$5</f>
        <v>226.50258995153035</v>
      </c>
      <c r="E225" s="42">
        <f>181.39481218701*Deflactores!$U$5</f>
        <v>270.12001372340563</v>
      </c>
      <c r="F225" s="42">
        <f>359.09389512792*Deflactores!$V$5</f>
        <v>506.28348341145715</v>
      </c>
      <c r="G225" s="42">
        <f>289.95241495917*Deflactores!$W$5</f>
        <v>361.38745405347817</v>
      </c>
      <c r="H225" s="42">
        <f>319.49584403501*Deflactores!$X$5</f>
        <v>364.39370698832272</v>
      </c>
      <c r="I225" s="42">
        <f>325.936003998869*Deflactores!$Y$5</f>
        <v>353.36395887079686</v>
      </c>
      <c r="J225" s="42">
        <f>258.78871391763*Deflactores!$Z$5</f>
        <v>266.95160195555093</v>
      </c>
      <c r="K225" s="42">
        <f>3.68027559148999*Deflactores!$AA$5</f>
        <v>3.6802755914899898</v>
      </c>
    </row>
    <row r="226" spans="3:11" x14ac:dyDescent="0.2">
      <c r="C226" s="88" t="s">
        <v>126</v>
      </c>
      <c r="D226" s="50">
        <f>528.011563687739*Deflactores!$T$5</f>
        <v>798.93562326575329</v>
      </c>
      <c r="E226" s="50">
        <f>580.78696720044*Deflactores!$U$5</f>
        <v>864.86587824143191</v>
      </c>
      <c r="F226" s="50">
        <f>511.653573928369*Deflactores!$V$5</f>
        <v>721.37610029849634</v>
      </c>
      <c r="G226" s="50">
        <f>548.165041677429*Deflactores!$W$5</f>
        <v>683.21544706161706</v>
      </c>
      <c r="H226" s="50">
        <f>646.00912959269*Deflactores!$X$5</f>
        <v>736.79099705217141</v>
      </c>
      <c r="I226" s="50">
        <f>587.47361073326*Deflactores!$Y$5</f>
        <v>636.91030838540485</v>
      </c>
      <c r="J226" s="50">
        <f>775.652538634139*Deflactores!$Z$5</f>
        <v>800.11869379736186</v>
      </c>
      <c r="K226" s="50">
        <f>106.49533751306*Deflactores!$AA$5</f>
        <v>106.49533751305999</v>
      </c>
    </row>
    <row r="227" spans="3:11" x14ac:dyDescent="0.2">
      <c r="C227" s="87" t="s">
        <v>127</v>
      </c>
      <c r="D227" s="42">
        <f>590.718796580859*Deflactores!$T$5</f>
        <v>893.81809486321947</v>
      </c>
      <c r="E227" s="42">
        <f>638.02575551002*Deflactores!$U$5</f>
        <v>950.10173530527618</v>
      </c>
      <c r="F227" s="42">
        <f>721.634458326659*Deflactores!$V$5</f>
        <v>1017.4263953476895</v>
      </c>
      <c r="G227" s="42">
        <f>857.723168894179*Deflactores!$W$5</f>
        <v>1069.0388363656073</v>
      </c>
      <c r="H227" s="42">
        <f>1029.66146273524*Deflactores!$X$5</f>
        <v>1174.3569262453336</v>
      </c>
      <c r="I227" s="42">
        <f>1105.21615243026*Deflactores!$Y$5</f>
        <v>1198.2215841121435</v>
      </c>
      <c r="J227" s="42">
        <f>1240.68824212831*Deflactores!$Z$5</f>
        <v>1279.8228668850986</v>
      </c>
      <c r="K227" s="42">
        <f>162.50425324851*Deflactores!$AA$5</f>
        <v>162.50425324851</v>
      </c>
    </row>
    <row r="228" spans="3:11" x14ac:dyDescent="0.2">
      <c r="C228" s="88" t="s">
        <v>128</v>
      </c>
      <c r="D228" s="50">
        <f>353.19433093369*Deflactores!$T$5</f>
        <v>534.4192292828584</v>
      </c>
      <c r="E228" s="50">
        <f>347.229679142999*Deflactores!$U$5</f>
        <v>517.06928420082647</v>
      </c>
      <c r="F228" s="50">
        <f>466.31876775687*Deflactores!$V$5</f>
        <v>657.45893573597027</v>
      </c>
      <c r="G228" s="50">
        <f>435.90646250568*Deflactores!$W$5</f>
        <v>543.29992979216456</v>
      </c>
      <c r="H228" s="50">
        <f>592.8377686229*Deflactores!$X$5</f>
        <v>676.14761251013999</v>
      </c>
      <c r="I228" s="50">
        <f>829.09424592496*Deflactores!$Y$5</f>
        <v>898.86364630664889</v>
      </c>
      <c r="J228" s="50">
        <f>695.378178799869*Deflactores!$Z$5</f>
        <v>717.31226600030004</v>
      </c>
      <c r="K228" s="50">
        <f>31.0089000287799*Deflactores!$AA$5</f>
        <v>31.008900028779902</v>
      </c>
    </row>
    <row r="229" spans="3:11" x14ac:dyDescent="0.2">
      <c r="C229" s="87" t="s">
        <v>129</v>
      </c>
      <c r="D229" s="42">
        <f>30172.5840187327*Deflactores!$T$5</f>
        <v>45654.212665691819</v>
      </c>
      <c r="E229" s="42">
        <f>32394.7338629646*Deflactores!$U$5</f>
        <v>48239.890932540722</v>
      </c>
      <c r="F229" s="42">
        <f>34703.4178789916*Deflactores!$V$5</f>
        <v>48928.059007520664</v>
      </c>
      <c r="G229" s="42">
        <f>37604.7043569396*Deflactores!$W$5</f>
        <v>46869.305675215059</v>
      </c>
      <c r="H229" s="42">
        <f>42804.9236524632*Deflactores!$X$5</f>
        <v>48820.180601047206</v>
      </c>
      <c r="I229" s="42">
        <f>47511.2336449671*Deflactores!$Y$5</f>
        <v>51509.368114113684</v>
      </c>
      <c r="J229" s="42">
        <f>52779.655422297*Deflactores!$Z$5</f>
        <v>54444.466887102179</v>
      </c>
      <c r="K229" s="42">
        <f>7579.86101867702*Deflactores!$AA$5</f>
        <v>7579.8610186770202</v>
      </c>
    </row>
    <row r="230" spans="3:11" x14ac:dyDescent="0.2">
      <c r="C230" s="88" t="s">
        <v>130</v>
      </c>
      <c r="D230" s="50">
        <f>265.49873125778*Deflactores!$T$5</f>
        <v>401.72679714102776</v>
      </c>
      <c r="E230" s="50">
        <f>241.72499380414*Deflactores!$U$5</f>
        <v>359.95934975443754</v>
      </c>
      <c r="F230" s="50">
        <f>671.405099608279*Deflactores!$V$5</f>
        <v>946.60844203103397</v>
      </c>
      <c r="G230" s="50">
        <f>556.0546970758*Deflactores!$W$5</f>
        <v>693.04886223830408</v>
      </c>
      <c r="H230" s="50">
        <f>560.3728200612*Deflactores!$X$5</f>
        <v>639.12045496036365</v>
      </c>
      <c r="I230" s="50">
        <f>381.16451859876*Deflactores!$Y$5</f>
        <v>413.2400275534049</v>
      </c>
      <c r="J230" s="50">
        <f>303.56938040264*Deflactores!$Z$5</f>
        <v>313.14477040498957</v>
      </c>
      <c r="K230" s="50">
        <f>12.48335021934*Deflactores!$AA$5</f>
        <v>12.48335021934</v>
      </c>
    </row>
    <row r="231" spans="3:11" x14ac:dyDescent="0.2">
      <c r="C231" s="87" t="s">
        <v>131</v>
      </c>
      <c r="D231" s="42">
        <f>40977.6007010194*Deflactores!$T$5</f>
        <v>62003.310547504065</v>
      </c>
      <c r="E231" s="42">
        <f>44542.0803143363*Deflactores!$U$5</f>
        <v>66328.839291023396</v>
      </c>
      <c r="F231" s="42">
        <f>48007.4308988293*Deflactores!$V$5</f>
        <v>67685.275842508592</v>
      </c>
      <c r="G231" s="42">
        <f>49615.1936994321*Deflactores!$W$5</f>
        <v>61838.797017547913</v>
      </c>
      <c r="H231" s="42">
        <f>57835.0534622293*Deflactores!$X$5</f>
        <v>65962.452778134466</v>
      </c>
      <c r="I231" s="42">
        <f>67434.6390814473*Deflactores!$Y$5</f>
        <v>73109.355022117335</v>
      </c>
      <c r="J231" s="42">
        <f>77978.1751343283*Deflactores!$Z$5</f>
        <v>80437.815291686595</v>
      </c>
      <c r="K231" s="42">
        <f>12044.2148024658*Deflactores!$AA$5</f>
        <v>12044.2148024658</v>
      </c>
    </row>
    <row r="232" spans="3:11" x14ac:dyDescent="0.2">
      <c r="C232" s="88" t="s">
        <v>132</v>
      </c>
      <c r="D232" s="50">
        <f>38.27005130279*Deflactores!$T$5</f>
        <v>57.906510752269867</v>
      </c>
      <c r="E232" s="50">
        <f>41.62546077393*Deflactores!$U$5</f>
        <v>61.985620756921783</v>
      </c>
      <c r="F232" s="50">
        <f>48.67735150476*Deflactores!$V$5</f>
        <v>68.629791309302831</v>
      </c>
      <c r="G232" s="50">
        <f>47.4077347732499*Deflactores!$W$5</f>
        <v>59.087490526884793</v>
      </c>
      <c r="H232" s="50">
        <f>50.22890642754*Deflactores!$X$5</f>
        <v>57.28743504123721</v>
      </c>
      <c r="I232" s="50">
        <f>55.1557393394*Deflactores!$Y$5</f>
        <v>59.797169285672908</v>
      </c>
      <c r="J232" s="50">
        <f>57.4865748570999*Deflactores!$Z$5</f>
        <v>59.299855147180203</v>
      </c>
      <c r="K232" s="50">
        <f>7.13584331574*Deflactores!$AA$5</f>
        <v>7.1358433157399999</v>
      </c>
    </row>
    <row r="233" spans="3:11" x14ac:dyDescent="0.2">
      <c r="C233" s="87" t="s">
        <v>133</v>
      </c>
      <c r="D233" s="42">
        <f>3591.84068853191*Deflactores!$T$5</f>
        <v>5434.8231677376998</v>
      </c>
      <c r="E233" s="42">
        <f>3724.14006846164*Deflactores!$U$5</f>
        <v>5545.7196061574132</v>
      </c>
      <c r="F233" s="42">
        <f>4063.76633314423*Deflactores!$V$5</f>
        <v>5729.4702105184797</v>
      </c>
      <c r="G233" s="42">
        <f>4474.61794994299*Deflactores!$W$5</f>
        <v>5577.0212813009357</v>
      </c>
      <c r="H233" s="42">
        <f>5110.05691316257*Deflactores!$X$5</f>
        <v>5828.1590082422808</v>
      </c>
      <c r="I233" s="42">
        <f>5540.84247165307*Deflactores!$Y$5</f>
        <v>6007.1118478508861</v>
      </c>
      <c r="J233" s="42">
        <f>6277.17017625438*Deflactores!$Z$5</f>
        <v>6475.1689087649875</v>
      </c>
      <c r="K233" s="42">
        <f>781.596293209559*Deflactores!$AA$5</f>
        <v>781.59629320955901</v>
      </c>
    </row>
    <row r="234" spans="3:11" x14ac:dyDescent="0.2">
      <c r="C234" s="88" t="s">
        <v>134</v>
      </c>
      <c r="D234" s="50">
        <f>8261.82754716844*Deflactores!$T$5</f>
        <v>12500.992013528627</v>
      </c>
      <c r="E234" s="50">
        <f>16676.8266887735*Deflactores!$U$5</f>
        <v>24833.922203850922</v>
      </c>
      <c r="F234" s="50">
        <f>18427.01631508*Deflactores!$V$5</f>
        <v>25980.096391098716</v>
      </c>
      <c r="G234" s="50">
        <f>13790.6361797094*Deflactores!$W$5</f>
        <v>17188.209656625066</v>
      </c>
      <c r="H234" s="50">
        <f>33717.9644058336*Deflactores!$X$5</f>
        <v>38456.256227845239</v>
      </c>
      <c r="I234" s="50">
        <f>22514.5759077686*Deflactores!$Y$5</f>
        <v>24409.207873499559</v>
      </c>
      <c r="J234" s="50">
        <f>16836.2458360386*Deflactores!$Z$5</f>
        <v>17367.306049824583</v>
      </c>
      <c r="K234" s="50">
        <f>2332.94694060385*Deflactores!$AA$5</f>
        <v>2332.9469406038502</v>
      </c>
    </row>
    <row r="235" spans="3:11" x14ac:dyDescent="0.2">
      <c r="C235" s="87" t="s">
        <v>135</v>
      </c>
      <c r="D235" s="42">
        <f>0*Deflactores!$T$5</f>
        <v>0</v>
      </c>
      <c r="E235" s="42">
        <f>0*Deflactores!$U$5</f>
        <v>0</v>
      </c>
      <c r="F235" s="42">
        <f>0*Deflactores!$V$5</f>
        <v>0</v>
      </c>
      <c r="G235" s="42">
        <f>0*Deflactores!$W$5</f>
        <v>0</v>
      </c>
      <c r="H235" s="42">
        <f>2.127776892*Deflactores!$X$5</f>
        <v>2.4267874646751593</v>
      </c>
      <c r="I235" s="42">
        <f>5975.77673694903*Deflactores!$Y$5</f>
        <v>6478.646418895315</v>
      </c>
      <c r="J235" s="42">
        <f>6396.59127492356*Deflactores!$Z$5</f>
        <v>6598.3568682181831</v>
      </c>
      <c r="K235" s="42">
        <f>756.500358091909*Deflactores!$AA$5</f>
        <v>756.50035809190899</v>
      </c>
    </row>
    <row r="236" spans="3:11" x14ac:dyDescent="0.2">
      <c r="C236" s="88" t="s">
        <v>136</v>
      </c>
      <c r="D236" s="50">
        <f>7786.81706038601*Deflactores!$T$5</f>
        <v>11782.252452855437</v>
      </c>
      <c r="E236" s="50">
        <f>15090.8226641128*Deflactores!$U$5</f>
        <v>22472.159903476797</v>
      </c>
      <c r="F236" s="50">
        <f>19401.6632413681*Deflactores!$V$5</f>
        <v>27354.242951740267</v>
      </c>
      <c r="G236" s="50">
        <f>19544.371627505*Deflactores!$W$5</f>
        <v>24359.482243090344</v>
      </c>
      <c r="H236" s="50">
        <f>15898.5929592737*Deflactores!$X$5</f>
        <v>18132.778039182765</v>
      </c>
      <c r="I236" s="50">
        <f>9494.79262429018*Deflactores!$Y$5</f>
        <v>10293.792245142891</v>
      </c>
      <c r="J236" s="50">
        <f>7953.59132193004*Deflactores!$Z$5</f>
        <v>8204.468860125</v>
      </c>
      <c r="K236" s="50">
        <f>1326.31028117103*Deflactores!$AA$5</f>
        <v>1326.3102811710301</v>
      </c>
    </row>
    <row r="237" spans="3:11" x14ac:dyDescent="0.2">
      <c r="C237" s="87" t="s">
        <v>137</v>
      </c>
      <c r="D237" s="42">
        <f>296.325927645849*Deflactores!$T$5</f>
        <v>448.37150542700579</v>
      </c>
      <c r="E237" s="42">
        <f>293.08952318894*Deflactores!$U$5</f>
        <v>436.44768596999791</v>
      </c>
      <c r="F237" s="42">
        <f>332.728546873749*Deflactores!$V$5</f>
        <v>469.11119912429933</v>
      </c>
      <c r="G237" s="42">
        <f>369.006456644629*Deflactores!$W$5</f>
        <v>459.91789347530039</v>
      </c>
      <c r="H237" s="42">
        <f>544.26986285765*Deflactores!$X$5</f>
        <v>620.75459393766789</v>
      </c>
      <c r="I237" s="42">
        <f>763.82657951088*Deflactores!$Y$5</f>
        <v>828.10361762808077</v>
      </c>
      <c r="J237" s="42">
        <f>687.51153610221*Deflactores!$Z$5</f>
        <v>709.19748835655628</v>
      </c>
      <c r="K237" s="42">
        <f>50.69959446129*Deflactores!$AA$5</f>
        <v>50.699594461289998</v>
      </c>
    </row>
    <row r="238" spans="3:11" x14ac:dyDescent="0.2">
      <c r="C238" s="88" t="s">
        <v>138</v>
      </c>
      <c r="D238" s="50">
        <f>90.91803301492*Deflactores!$T$5</f>
        <v>137.56830412113598</v>
      </c>
      <c r="E238" s="50">
        <f>97.64146220211*Deflactores!$U$5</f>
        <v>145.4005921779945</v>
      </c>
      <c r="F238" s="50">
        <f>110.959760434319*Deflactores!$V$5</f>
        <v>156.4412394456771</v>
      </c>
      <c r="G238" s="50">
        <f>104.84531844711*Deflactores!$W$5</f>
        <v>130.6758652393454</v>
      </c>
      <c r="H238" s="50">
        <f>120.72652510224*Deflactores!$X$5</f>
        <v>137.69188812673082</v>
      </c>
      <c r="I238" s="50">
        <f>137.50576549373*Deflactores!$Y$5</f>
        <v>149.07706134420314</v>
      </c>
      <c r="J238" s="50">
        <f>150.50415071102*Deflactores!$Z$5</f>
        <v>155.25145407250844</v>
      </c>
      <c r="K238" s="50">
        <f>18.04253326841*Deflactores!$AA$5</f>
        <v>18.042533268410001</v>
      </c>
    </row>
    <row r="239" spans="3:11" x14ac:dyDescent="0.2">
      <c r="C239" s="87" t="s">
        <v>160</v>
      </c>
      <c r="D239" s="42">
        <f>1097.96245394162*Deflactores!$T$5</f>
        <v>1661.3297469011732</v>
      </c>
      <c r="E239" s="42">
        <f>1439.59142977107*Deflactores!$U$5</f>
        <v>2143.7352704715645</v>
      </c>
      <c r="F239" s="42">
        <f>1717.38638048212*Deflactores!$V$5</f>
        <v>2421.3287133832932</v>
      </c>
      <c r="G239" s="42">
        <f>2020.18493649506*Deflactores!$W$5</f>
        <v>2517.894155218341</v>
      </c>
      <c r="H239" s="42">
        <f>2184.83586177424*Deflactores!$X$5</f>
        <v>2491.8647728816836</v>
      </c>
      <c r="I239" s="42">
        <f>2702.24361276346*Deflactores!$Y$5</f>
        <v>2929.6410618163377</v>
      </c>
      <c r="J239" s="42">
        <f>3313.44947988915*Deflactores!$Z$5</f>
        <v>3417.9645366479676</v>
      </c>
      <c r="K239" s="42">
        <f>260.508151982999*Deflactores!$AA$5</f>
        <v>260.50815198299898</v>
      </c>
    </row>
    <row r="240" spans="3:11" x14ac:dyDescent="0.2">
      <c r="C240" s="88" t="s">
        <v>161</v>
      </c>
      <c r="D240" s="50">
        <f>1719.20600166329*Deflactores!$T$5</f>
        <v>2601.3349193870681</v>
      </c>
      <c r="E240" s="50">
        <f>1949.46055561898*Deflactores!$U$5</f>
        <v>2902.9954367942323</v>
      </c>
      <c r="F240" s="50">
        <f>1930.31305959053*Deflactores!$V$5</f>
        <v>2721.5322597895538</v>
      </c>
      <c r="G240" s="50">
        <f>2163.75767425189*Deflactores!$W$5</f>
        <v>2696.8386422878302</v>
      </c>
      <c r="H240" s="50">
        <f>2614.09170153964*Deflactores!$X$5</f>
        <v>2981.4427427327073</v>
      </c>
      <c r="I240" s="50">
        <f>3147.44613073082*Deflactores!$Y$5</f>
        <v>3412.3079728604439</v>
      </c>
      <c r="J240" s="50">
        <f>3512.29405163421*Deflactores!$Z$5</f>
        <v>3623.0811978962042</v>
      </c>
      <c r="K240" s="50">
        <f>329.6869768309*Deflactores!$AA$5</f>
        <v>329.68697683089999</v>
      </c>
    </row>
    <row r="241" spans="1:11" x14ac:dyDescent="0.2">
      <c r="C241" s="87" t="s">
        <v>140</v>
      </c>
      <c r="D241" s="42">
        <f>2658.57779432611*Deflactores!$T$5</f>
        <v>4022.7007383621526</v>
      </c>
      <c r="E241" s="42">
        <f>2806.37415424228*Deflactores!$U$5</f>
        <v>4179.0490914117854</v>
      </c>
      <c r="F241" s="42">
        <f>4263.41456946192*Deflactores!$V$5</f>
        <v>6010.9525913422103</v>
      </c>
      <c r="G241" s="42">
        <f>3870.83766876571*Deflactores!$W$5</f>
        <v>4824.4887712576028</v>
      </c>
      <c r="H241" s="42">
        <f>6286.42254781569*Deflactores!$X$5</f>
        <v>7169.8360359345397</v>
      </c>
      <c r="I241" s="42">
        <f>4326.2786665899*Deflactores!$Y$5</f>
        <v>4690.3408584765739</v>
      </c>
      <c r="J241" s="42">
        <f>4637.44124197104*Deflactores!$Z$5</f>
        <v>4783.7185392595738</v>
      </c>
      <c r="K241" s="42">
        <f>75.7109246181*Deflactores!$AA$5</f>
        <v>75.710924618099995</v>
      </c>
    </row>
    <row r="242" spans="1:11" x14ac:dyDescent="0.2">
      <c r="C242" s="88" t="s">
        <v>141</v>
      </c>
      <c r="D242" s="50">
        <f>1672.83205147256*Deflactores!$T$5</f>
        <v>2531.1663788722303</v>
      </c>
      <c r="E242" s="50">
        <f>1889.69121760328*Deflactores!$U$5</f>
        <v>2813.991268425872</v>
      </c>
      <c r="F242" s="50">
        <f>2302.00496950201*Deflactores!$V$5</f>
        <v>3245.5775790195166</v>
      </c>
      <c r="G242" s="50">
        <f>2657.95311838425*Deflactores!$W$5</f>
        <v>3312.7881020809855</v>
      </c>
      <c r="H242" s="50">
        <f>3239.61072399584*Deflactores!$X$5</f>
        <v>3694.8642148428416</v>
      </c>
      <c r="I242" s="50">
        <f>3715.77608011546*Deflactores!$Y$5</f>
        <v>4028.4636549436441</v>
      </c>
      <c r="J242" s="50">
        <f>3829.42274883732*Deflactores!$Z$5</f>
        <v>3950.2129822111601</v>
      </c>
      <c r="K242" s="50">
        <f>456.695700539469*Deflactores!$AA$5</f>
        <v>456.69570053946899</v>
      </c>
    </row>
    <row r="243" spans="1:11" x14ac:dyDescent="0.2">
      <c r="C243" s="87" t="s">
        <v>142</v>
      </c>
      <c r="D243" s="42">
        <f>220.51089401282*Deflactores!$T$5</f>
        <v>333.65558760604802</v>
      </c>
      <c r="E243" s="42">
        <f>195.28724429575*Deflactores!$U$5</f>
        <v>290.80761722551432</v>
      </c>
      <c r="F243" s="42">
        <f>591.64686121763*Deflactores!$V$5</f>
        <v>834.1579679042195</v>
      </c>
      <c r="G243" s="42">
        <f>640.83902079036*Deflactores!$W$5</f>
        <v>798.72134265260024</v>
      </c>
      <c r="H243" s="42">
        <f>575.39055364896*Deflactores!$X$5</f>
        <v>656.24858890882058</v>
      </c>
      <c r="I243" s="42">
        <f>608.29843257647*Deflactores!$Y$5</f>
        <v>659.48756710801365</v>
      </c>
      <c r="J243" s="42">
        <f>480.31906651887*Deflactores!$Z$5</f>
        <v>495.46961424994373</v>
      </c>
      <c r="K243" s="42">
        <f>67.69212571106*Deflactores!$AA$5</f>
        <v>67.692125711060001</v>
      </c>
    </row>
    <row r="244" spans="1:11" x14ac:dyDescent="0.2">
      <c r="C244" s="88" t="s">
        <v>143</v>
      </c>
      <c r="D244" s="50">
        <f>651.625834976689*Deflactores!$T$5</f>
        <v>985.97668764514026</v>
      </c>
      <c r="E244" s="50">
        <f>1826.25670939078*Deflactores!$U$5</f>
        <v>2719.5291941123432</v>
      </c>
      <c r="F244" s="50">
        <f>3914.71937952626*Deflactores!$V$5</f>
        <v>5519.3301555262042</v>
      </c>
      <c r="G244" s="50">
        <f>1129.70880620657*Deflactores!$W$5</f>
        <v>1408.0330710619412</v>
      </c>
      <c r="H244" s="50">
        <f>860.4377369337*Deflactores!$X$5</f>
        <v>981.35266059848038</v>
      </c>
      <c r="I244" s="50">
        <f>802.61166152891*Deflactores!$Y$5</f>
        <v>870.15251667228449</v>
      </c>
      <c r="J244" s="50">
        <f>1662.45518891137*Deflactores!$Z$5</f>
        <v>1714.8934709744108</v>
      </c>
      <c r="K244" s="50">
        <f>75.52180420561*Deflactores!$AA$5</f>
        <v>75.521804205609996</v>
      </c>
    </row>
    <row r="245" spans="1:11" x14ac:dyDescent="0.2">
      <c r="C245" s="87" t="s">
        <v>144</v>
      </c>
      <c r="D245" s="42">
        <f>4232.35534150447*Deflactores!$T$5</f>
        <v>6403.9874979835276</v>
      </c>
      <c r="E245" s="42">
        <f>4421.24411213156*Deflactores!$U$5</f>
        <v>6583.7964484467593</v>
      </c>
      <c r="F245" s="42">
        <f>4785.50039786024*Deflactores!$V$5</f>
        <v>6747.0370400825532</v>
      </c>
      <c r="G245" s="42">
        <f>5346.23046215966*Deflactores!$W$5</f>
        <v>6663.3713527617801</v>
      </c>
      <c r="H245" s="42">
        <f>6570.46967753509*Deflactores!$X$5</f>
        <v>7493.7995193108773</v>
      </c>
      <c r="I245" s="42">
        <f>7916.94243764156*Deflactores!$Y$5</f>
        <v>8583.1638346003219</v>
      </c>
      <c r="J245" s="42">
        <f>9141.72520762009*Deflactores!$Z$5</f>
        <v>9430.0796656394377</v>
      </c>
      <c r="K245" s="42">
        <f>1037.30709363437*Deflactores!$AA$5</f>
        <v>1037.3070936343699</v>
      </c>
    </row>
    <row r="246" spans="1:11" x14ac:dyDescent="0.2">
      <c r="C246" s="88" t="s">
        <v>145</v>
      </c>
      <c r="D246" s="50">
        <f>1333.59996583611*Deflactores!$T$5</f>
        <v>2017.8734580187395</v>
      </c>
      <c r="E246" s="50">
        <f>569.39360321888*Deflactores!$U$5</f>
        <v>847.89970595706745</v>
      </c>
      <c r="F246" s="50">
        <f>1147.51624400191*Deflactores!$V$5</f>
        <v>1617.8735677964123</v>
      </c>
      <c r="G246" s="50">
        <f>2975.62918084341*Deflactores!$W$5</f>
        <v>3708.7294272877984</v>
      </c>
      <c r="H246" s="50">
        <f>2538.75845875478*Deflactores!$X$5</f>
        <v>2895.5231287210195</v>
      </c>
      <c r="I246" s="50">
        <f>823.19798720536*Deflactores!$Y$5</f>
        <v>892.47120945364156</v>
      </c>
      <c r="J246" s="50">
        <f>2137.74130619113*Deflactores!$Z$5</f>
        <v>2205.171383308138</v>
      </c>
      <c r="K246" s="50">
        <f>188.87646616805*Deflactores!$AA$5</f>
        <v>188.87646616805</v>
      </c>
    </row>
    <row r="247" spans="1:11" x14ac:dyDescent="0.2">
      <c r="C247" s="87" t="s">
        <v>146</v>
      </c>
      <c r="D247" s="42">
        <f>686.441248616227*Deflactores!$T$5</f>
        <v>1038.6559774718476</v>
      </c>
      <c r="E247" s="42">
        <f>734.68455077984*Deflactores!$U$5</f>
        <v>1094.0390110739677</v>
      </c>
      <c r="F247" s="42">
        <f>849.167730690979*Deflactores!$V$5</f>
        <v>1197.2344908333257</v>
      </c>
      <c r="G247" s="42">
        <f>1118.18407755045*Deflactores!$W$5</f>
        <v>1393.6690163660048</v>
      </c>
      <c r="H247" s="42">
        <f>1165.03562418147*Deflactores!$X$5</f>
        <v>1328.754842339735</v>
      </c>
      <c r="I247" s="42">
        <f>1109.27376451784*Deflactores!$Y$5</f>
        <v>1202.6206497361859</v>
      </c>
      <c r="J247" s="42">
        <f>1191.28644692404*Deflactores!$Z$5</f>
        <v>1228.8628069596975</v>
      </c>
      <c r="K247" s="42">
        <f>186.38102099827*Deflactores!$AA$5</f>
        <v>186.38102099827</v>
      </c>
    </row>
    <row r="248" spans="1:11" x14ac:dyDescent="0.2">
      <c r="C248" s="88" t="s">
        <v>162</v>
      </c>
      <c r="D248" s="50">
        <f>28839.5270752715*Deflactores!$T$5</f>
        <v>43637.16085619251</v>
      </c>
      <c r="E248" s="50">
        <f>33943.6406658278*Deflactores!$U$5</f>
        <v>50546.410737607373</v>
      </c>
      <c r="F248" s="50">
        <f>42881.9380821954*Deflactores!$V$5</f>
        <v>60458.886330981491</v>
      </c>
      <c r="G248" s="50">
        <f>41675.2722217218*Deflactores!$W$5</f>
        <v>51942.731800714624</v>
      </c>
      <c r="H248" s="50">
        <f>49402.6262663407*Deflactores!$X$5</f>
        <v>56345.040025553288</v>
      </c>
      <c r="I248" s="50">
        <f>57114.0852882323*Deflactores!$Y$5</f>
        <v>61920.31269059841</v>
      </c>
      <c r="J248" s="50">
        <f>63575.7322715495*Deflactores!$Z$5</f>
        <v>65581.080868887002</v>
      </c>
      <c r="K248" s="50">
        <f>10287.9003936874*Deflactores!$AA$5</f>
        <v>10287.9003936874</v>
      </c>
    </row>
    <row r="249" spans="1:11" x14ac:dyDescent="0.2">
      <c r="C249" s="87" t="s">
        <v>148</v>
      </c>
      <c r="D249" s="42">
        <f>352.420446609169*Deflactores!$T$5</f>
        <v>533.24826296759704</v>
      </c>
      <c r="E249" s="42">
        <f>450.87958405192*Deflactores!$U$5</f>
        <v>671.41721399477694</v>
      </c>
      <c r="F249" s="42">
        <f>535.1094240807*Deflactores!$V$5</f>
        <v>754.44630751343379</v>
      </c>
      <c r="G249" s="42">
        <f>576.51937841711*Deflactores!$W$5</f>
        <v>718.55538919374669</v>
      </c>
      <c r="H249" s="42">
        <f>644.01339596486*Deflactores!$X$5</f>
        <v>734.51480852457814</v>
      </c>
      <c r="I249" s="42">
        <f>767.60169333726*Deflactores!$Y$5</f>
        <v>832.19641238076531</v>
      </c>
      <c r="J249" s="42">
        <f>847.94544815153*Deflactores!$Z$5</f>
        <v>874.69191499215401</v>
      </c>
      <c r="K249" s="42">
        <f>114.74774427393*Deflactores!$AA$5</f>
        <v>114.74774427393</v>
      </c>
    </row>
    <row r="250" spans="1:11" x14ac:dyDescent="0.2">
      <c r="C250" s="88" t="s">
        <v>149</v>
      </c>
      <c r="D250" s="50">
        <f>76.85321696477*Deflactores!$T$5</f>
        <v>116.28679562790506</v>
      </c>
      <c r="E250" s="50">
        <f>53.49254585887*Deflactores!$U$5</f>
        <v>79.657224191181243</v>
      </c>
      <c r="F250" s="50">
        <f>65.41212541591*Deflactores!$V$5</f>
        <v>92.224009269544183</v>
      </c>
      <c r="G250" s="50">
        <f>92.25661037743*Deflactores!$W$5</f>
        <v>114.98570049364129</v>
      </c>
      <c r="H250" s="50">
        <f>92.48053646739*Deflactores!$X$5</f>
        <v>105.47656921611872</v>
      </c>
      <c r="I250" s="50">
        <f>282.726079722299*Deflactores!$Y$5</f>
        <v>306.5178611168061</v>
      </c>
      <c r="J250" s="50">
        <f>442.35153891415*Deflactores!$Z$5</f>
        <v>456.30448929941116</v>
      </c>
      <c r="K250" s="50">
        <f>10.802164986*Deflactores!$AA$5</f>
        <v>10.802164985999999</v>
      </c>
    </row>
    <row r="251" spans="1:11" x14ac:dyDescent="0.2">
      <c r="C251" s="87" t="s">
        <v>163</v>
      </c>
      <c r="D251" s="42">
        <f>21531.5833113476*Deflactores!$T$5</f>
        <v>32579.49279103912</v>
      </c>
      <c r="E251" s="42">
        <f>26586.3721218911*Deflactores!$U$5</f>
        <v>39590.499396515122</v>
      </c>
      <c r="F251" s="42">
        <f>24455.6616910438*Deflactores!$V$5</f>
        <v>34479.833152449224</v>
      </c>
      <c r="G251" s="42">
        <f>20777.1404423986*Deflactores!$W$5</f>
        <v>25895.966026174738</v>
      </c>
      <c r="H251" s="42">
        <f>24740.1031414796*Deflactores!$X$5</f>
        <v>28216.76107314038</v>
      </c>
      <c r="I251" s="42">
        <f>30313.9050061192*Deflactores!$Y$5</f>
        <v>32864.861047485618</v>
      </c>
      <c r="J251" s="42">
        <f>41491.9393155908*Deflactores!$Z$5</f>
        <v>42800.706031040303</v>
      </c>
      <c r="K251" s="42">
        <f>1939.69686115586*Deflactores!$AA$5</f>
        <v>1939.69686115586</v>
      </c>
    </row>
    <row r="252" spans="1:11" x14ac:dyDescent="0.2">
      <c r="C252" s="88" t="s">
        <v>150</v>
      </c>
      <c r="D252" s="50">
        <f>3689.63055844923*Deflactores!$T$5</f>
        <v>5582.7892655364121</v>
      </c>
      <c r="E252" s="50">
        <f>4166.98887658157*Deflactores!$U$5</f>
        <v>6205.1779703989669</v>
      </c>
      <c r="F252" s="50">
        <f>6610.99787436704*Deflactores!$V$5</f>
        <v>9320.7906847538252</v>
      </c>
      <c r="G252" s="50">
        <f>7125.41080414208*Deflactores!$W$5</f>
        <v>8880.8850581798379</v>
      </c>
      <c r="H252" s="50">
        <f>8113.54740423082*Deflactores!$X$5</f>
        <v>9253.7216700984027</v>
      </c>
      <c r="I252" s="50">
        <f>3689.90035131081*Deflactores!$Y$5</f>
        <v>4000.4104486181782</v>
      </c>
      <c r="J252" s="50">
        <f>2859.98363380552*Deflactores!$Z$5</f>
        <v>2950.1951652112966</v>
      </c>
      <c r="K252" s="50">
        <f>991.96724211634*Deflactores!$AA$5</f>
        <v>991.96724211634</v>
      </c>
    </row>
    <row r="253" spans="1:11" x14ac:dyDescent="0.2">
      <c r="C253" s="87" t="s">
        <v>151</v>
      </c>
      <c r="D253" s="42">
        <f>2870.07757536141*Deflactores!$T$5</f>
        <v>4342.7215882879646</v>
      </c>
      <c r="E253" s="42">
        <f>3319.86225084878*Deflactores!$U$5</f>
        <v>4943.698366823015</v>
      </c>
      <c r="F253" s="42">
        <f>4630.21356292883*Deflactores!$V$5</f>
        <v>6528.0994285450251</v>
      </c>
      <c r="G253" s="42">
        <f>4675.1983063523*Deflactores!$W$5</f>
        <v>5827.0182483760582</v>
      </c>
      <c r="H253" s="42">
        <f>4971.177049343*Deflactores!$X$5</f>
        <v>5669.7627431637875</v>
      </c>
      <c r="I253" s="42">
        <f>5369.05664420796*Deflactores!$Y$5</f>
        <v>5820.8700110511982</v>
      </c>
      <c r="J253" s="42">
        <f>5806.3741104193*Deflactores!$Z$5</f>
        <v>5989.5226761049025</v>
      </c>
      <c r="K253" s="42">
        <f>194.668118354259*Deflactores!$AA$5</f>
        <v>194.66811835425901</v>
      </c>
    </row>
    <row r="254" spans="1:11" x14ac:dyDescent="0.2">
      <c r="C254" s="79" t="s">
        <v>152</v>
      </c>
      <c r="D254" s="44">
        <f t="shared" ref="D254:K254" si="15">SUM(D223:D253)</f>
        <v>251991.22378991309</v>
      </c>
      <c r="E254" s="44">
        <f t="shared" si="15"/>
        <v>299327.83586398634</v>
      </c>
      <c r="F254" s="44">
        <f t="shared" si="15"/>
        <v>325612.46448006813</v>
      </c>
      <c r="G254" s="44">
        <f t="shared" si="15"/>
        <v>283658.16771428334</v>
      </c>
      <c r="H254" s="44">
        <f t="shared" si="15"/>
        <v>316993.8425652943</v>
      </c>
      <c r="I254" s="44">
        <f t="shared" si="15"/>
        <v>313498.00954150653</v>
      </c>
      <c r="J254" s="44">
        <f t="shared" si="15"/>
        <v>331531.91430922732</v>
      </c>
      <c r="K254" s="44">
        <f t="shared" si="15"/>
        <v>41666.539520930979</v>
      </c>
    </row>
    <row r="255" spans="1:11" s="31" customFormat="1" x14ac:dyDescent="0.2">
      <c r="A255" s="5"/>
      <c r="B255" s="5"/>
      <c r="C255" s="72" t="str">
        <f>+'C1 Aprop Resumen 2000-2026'!B20</f>
        <v>* Información con corte a 28 de febrero</v>
      </c>
      <c r="D255" s="123">
        <f>+D254-'C6 Ejec. Nac 19-26'!D131</f>
        <v>3.7834979593753815E-10</v>
      </c>
      <c r="E255" s="123">
        <f>+E254-'C6 Ejec. Nac 19-26'!E131</f>
        <v>1.0477378964424133E-9</v>
      </c>
      <c r="F255" s="123">
        <f>+F254-'C6 Ejec. Nac 19-26'!F131</f>
        <v>0</v>
      </c>
      <c r="G255" s="123">
        <f>+G254-'C6 Ejec. Nac 19-26'!G131</f>
        <v>0</v>
      </c>
      <c r="H255" s="123">
        <f>+H254-'C6 Ejec. Nac 19-26'!H131</f>
        <v>9.3132257461547852E-10</v>
      </c>
      <c r="I255" s="123">
        <f>+I254-'C6 Ejec. Nac 19-26'!I131</f>
        <v>0</v>
      </c>
      <c r="J255" s="123">
        <f>+J254-'C6 Ejec. Nac 19-26'!J131</f>
        <v>0</v>
      </c>
      <c r="K255" s="123">
        <f>+K254-'C6 Ejec. Nac 19-26'!K131</f>
        <v>0</v>
      </c>
    </row>
    <row r="256" spans="1:11" x14ac:dyDescent="0.2">
      <c r="C256" s="1" t="s">
        <v>52</v>
      </c>
      <c r="E256" s="3"/>
      <c r="F256" s="3"/>
      <c r="G256" s="3"/>
      <c r="H256" s="3"/>
    </row>
    <row r="257" spans="2:11" x14ac:dyDescent="0.2">
      <c r="B257" s="9"/>
      <c r="E257" s="3"/>
      <c r="F257" s="3"/>
      <c r="G257" s="3"/>
      <c r="H257" s="3"/>
    </row>
    <row r="258" spans="2:11" x14ac:dyDescent="0.2">
      <c r="E258" s="3"/>
      <c r="F258" s="3"/>
      <c r="G258" s="3"/>
      <c r="H258" s="3"/>
    </row>
    <row r="259" spans="2:11" x14ac:dyDescent="0.2">
      <c r="E259" s="3"/>
      <c r="F259" s="3"/>
      <c r="G259" s="3"/>
      <c r="H259" s="3"/>
    </row>
    <row r="260" spans="2:11" ht="18" customHeight="1" x14ac:dyDescent="0.2">
      <c r="D260" s="160" t="s">
        <v>159</v>
      </c>
      <c r="E260" s="178"/>
      <c r="F260" s="178"/>
      <c r="G260" s="178"/>
      <c r="H260" s="178"/>
      <c r="I260" s="178"/>
      <c r="J260" s="178"/>
      <c r="K260" s="178"/>
    </row>
    <row r="261" spans="2:11" x14ac:dyDescent="0.2">
      <c r="D261" s="28"/>
      <c r="E261" s="28"/>
      <c r="F261" s="28"/>
      <c r="G261" s="28"/>
      <c r="H261" s="28"/>
    </row>
    <row r="262" spans="2:11" x14ac:dyDescent="0.2">
      <c r="D262" s="29"/>
      <c r="E262" s="29"/>
      <c r="F262" s="29"/>
      <c r="G262" s="29"/>
      <c r="H262" s="29"/>
    </row>
    <row r="263" spans="2:11" ht="13.5" customHeight="1" x14ac:dyDescent="0.2">
      <c r="C263" s="177" t="s">
        <v>120</v>
      </c>
      <c r="D263" s="153">
        <v>2019</v>
      </c>
      <c r="E263" s="153">
        <v>2020</v>
      </c>
      <c r="F263" s="153">
        <v>2021</v>
      </c>
      <c r="G263" s="153">
        <v>2022</v>
      </c>
      <c r="H263" s="153">
        <v>2023</v>
      </c>
      <c r="I263" s="153">
        <v>2024</v>
      </c>
      <c r="J263" s="153">
        <v>2025</v>
      </c>
      <c r="K263" s="153" t="s">
        <v>36</v>
      </c>
    </row>
    <row r="264" spans="2:11" ht="12" customHeight="1" thickBot="1" x14ac:dyDescent="0.25">
      <c r="C264" s="156"/>
      <c r="D264" s="154"/>
      <c r="E264" s="154"/>
      <c r="F264" s="154"/>
      <c r="G264" s="154"/>
      <c r="H264" s="154"/>
      <c r="I264" s="154"/>
      <c r="J264" s="154"/>
      <c r="K264" s="154"/>
    </row>
    <row r="265" spans="2:11" x14ac:dyDescent="0.2">
      <c r="C265" s="87" t="s">
        <v>123</v>
      </c>
      <c r="D265" s="47">
        <f t="shared" ref="D265:K274" si="16">+IFERROR(IF(D223&gt;0,+((D223/D15)*100)," "),"0")</f>
        <v>62.656570662724498</v>
      </c>
      <c r="E265" s="47">
        <f t="shared" si="16"/>
        <v>77.214864352839001</v>
      </c>
      <c r="F265" s="47">
        <f t="shared" si="16"/>
        <v>79.173163708678118</v>
      </c>
      <c r="G265" s="47">
        <f t="shared" si="16"/>
        <v>73.655703985530906</v>
      </c>
      <c r="H265" s="47">
        <f t="shared" si="16"/>
        <v>74.000710160392515</v>
      </c>
      <c r="I265" s="47">
        <f t="shared" si="16"/>
        <v>37.843138312023392</v>
      </c>
      <c r="J265" s="47">
        <f t="shared" si="16"/>
        <v>58.831878130963467</v>
      </c>
      <c r="K265" s="47">
        <f t="shared" si="16"/>
        <v>2.6541339721077906</v>
      </c>
    </row>
    <row r="266" spans="2:11" x14ac:dyDescent="0.2">
      <c r="C266" s="88" t="s">
        <v>124</v>
      </c>
      <c r="D266" s="116">
        <f t="shared" si="16"/>
        <v>86.814093082623614</v>
      </c>
      <c r="E266" s="116">
        <f t="shared" si="16"/>
        <v>78.124746837835801</v>
      </c>
      <c r="F266" s="116">
        <f t="shared" si="16"/>
        <v>63.613458167130297</v>
      </c>
      <c r="G266" s="116">
        <f t="shared" si="16"/>
        <v>58.297723665580662</v>
      </c>
      <c r="H266" s="116">
        <f t="shared" si="16"/>
        <v>44.616452389543213</v>
      </c>
      <c r="I266" s="116">
        <f t="shared" si="16"/>
        <v>50.039724288741461</v>
      </c>
      <c r="J266" s="116">
        <f t="shared" si="16"/>
        <v>78.398807980384831</v>
      </c>
      <c r="K266" s="116">
        <f t="shared" si="16"/>
        <v>8.7264038676557778</v>
      </c>
    </row>
    <row r="267" spans="2:11" x14ac:dyDescent="0.2">
      <c r="C267" s="87" t="s">
        <v>125</v>
      </c>
      <c r="D267" s="47">
        <f t="shared" si="16"/>
        <v>42.651674068352172</v>
      </c>
      <c r="E267" s="47">
        <f t="shared" si="16"/>
        <v>67.171924254536549</v>
      </c>
      <c r="F267" s="47">
        <f t="shared" si="16"/>
        <v>87.151293573960842</v>
      </c>
      <c r="G267" s="47">
        <f t="shared" si="16"/>
        <v>87.730357052391611</v>
      </c>
      <c r="H267" s="47">
        <f t="shared" si="16"/>
        <v>65.897675697539896</v>
      </c>
      <c r="I267" s="47">
        <f t="shared" si="16"/>
        <v>86.762278801951709</v>
      </c>
      <c r="J267" s="47">
        <f t="shared" si="16"/>
        <v>91.948301921268751</v>
      </c>
      <c r="K267" s="47">
        <f t="shared" si="16"/>
        <v>0.96886132280829762</v>
      </c>
    </row>
    <row r="268" spans="2:11" x14ac:dyDescent="0.2">
      <c r="C268" s="88" t="s">
        <v>126</v>
      </c>
      <c r="D268" s="116">
        <f t="shared" si="16"/>
        <v>81.256651560215928</v>
      </c>
      <c r="E268" s="116">
        <f t="shared" si="16"/>
        <v>79.615252843659164</v>
      </c>
      <c r="F268" s="116">
        <f t="shared" si="16"/>
        <v>67.602138415933197</v>
      </c>
      <c r="G268" s="116">
        <f t="shared" si="16"/>
        <v>75.902274910420658</v>
      </c>
      <c r="H268" s="116">
        <f t="shared" si="16"/>
        <v>67.440761326529881</v>
      </c>
      <c r="I268" s="116">
        <f t="shared" si="16"/>
        <v>61.377289649594957</v>
      </c>
      <c r="J268" s="116">
        <f t="shared" si="16"/>
        <v>84.270071535759442</v>
      </c>
      <c r="K268" s="116">
        <f t="shared" si="16"/>
        <v>8.9430878153592595</v>
      </c>
    </row>
    <row r="269" spans="2:11" x14ac:dyDescent="0.2">
      <c r="C269" s="87" t="s">
        <v>127</v>
      </c>
      <c r="D269" s="47">
        <f t="shared" si="16"/>
        <v>91.249445303955724</v>
      </c>
      <c r="E269" s="47">
        <f t="shared" si="16"/>
        <v>92.40578584573052</v>
      </c>
      <c r="F269" s="47">
        <f t="shared" si="16"/>
        <v>92.952458658138781</v>
      </c>
      <c r="G269" s="47">
        <f t="shared" si="16"/>
        <v>88.276066263654755</v>
      </c>
      <c r="H269" s="47">
        <f t="shared" si="16"/>
        <v>86.989209923695498</v>
      </c>
      <c r="I269" s="47">
        <f t="shared" si="16"/>
        <v>80.578135475315122</v>
      </c>
      <c r="J269" s="47">
        <f t="shared" si="16"/>
        <v>79.192681551868759</v>
      </c>
      <c r="K269" s="47">
        <f t="shared" si="16"/>
        <v>12.195239797054757</v>
      </c>
    </row>
    <row r="270" spans="2:11" x14ac:dyDescent="0.2">
      <c r="C270" s="88" t="s">
        <v>128</v>
      </c>
      <c r="D270" s="116">
        <f t="shared" si="16"/>
        <v>94.707228879281132</v>
      </c>
      <c r="E270" s="116">
        <f t="shared" si="16"/>
        <v>94.263870074676547</v>
      </c>
      <c r="F270" s="116">
        <f t="shared" si="16"/>
        <v>77.895681639800074</v>
      </c>
      <c r="G270" s="116">
        <f t="shared" si="16"/>
        <v>79.407662569776932</v>
      </c>
      <c r="H270" s="116">
        <f t="shared" si="16"/>
        <v>75.21375678942448</v>
      </c>
      <c r="I270" s="116">
        <f t="shared" si="16"/>
        <v>63.515098626738443</v>
      </c>
      <c r="J270" s="116">
        <f t="shared" si="16"/>
        <v>65.838531024293147</v>
      </c>
      <c r="K270" s="116">
        <f t="shared" si="16"/>
        <v>2.7904206522742681</v>
      </c>
    </row>
    <row r="271" spans="2:11" x14ac:dyDescent="0.2">
      <c r="C271" s="87" t="s">
        <v>129</v>
      </c>
      <c r="D271" s="47">
        <f t="shared" si="16"/>
        <v>96.220041798586024</v>
      </c>
      <c r="E271" s="47">
        <f t="shared" si="16"/>
        <v>96.666764779960275</v>
      </c>
      <c r="F271" s="47">
        <f t="shared" si="16"/>
        <v>95.150000620073399</v>
      </c>
      <c r="G271" s="47">
        <f t="shared" si="16"/>
        <v>94.852376470320678</v>
      </c>
      <c r="H271" s="47">
        <f t="shared" si="16"/>
        <v>94.485822824458552</v>
      </c>
      <c r="I271" s="47">
        <f t="shared" si="16"/>
        <v>89.694028010115261</v>
      </c>
      <c r="J271" s="47">
        <f t="shared" si="16"/>
        <v>92.126406965713429</v>
      </c>
      <c r="K271" s="47">
        <f t="shared" si="16"/>
        <v>12.163802272706166</v>
      </c>
    </row>
    <row r="272" spans="2:11" x14ac:dyDescent="0.2">
      <c r="C272" s="88" t="s">
        <v>130</v>
      </c>
      <c r="D272" s="116">
        <f t="shared" si="16"/>
        <v>53.139029697464011</v>
      </c>
      <c r="E272" s="116">
        <f t="shared" si="16"/>
        <v>52.323541849696007</v>
      </c>
      <c r="F272" s="116">
        <f t="shared" si="16"/>
        <v>87.454185933295548</v>
      </c>
      <c r="G272" s="116">
        <f t="shared" si="16"/>
        <v>61.912109701967822</v>
      </c>
      <c r="H272" s="116">
        <f t="shared" si="16"/>
        <v>59.062407078297205</v>
      </c>
      <c r="I272" s="116">
        <f t="shared" si="16"/>
        <v>36.00420199823963</v>
      </c>
      <c r="J272" s="116">
        <f t="shared" si="16"/>
        <v>67.519775372495346</v>
      </c>
      <c r="K272" s="116">
        <f t="shared" si="16"/>
        <v>2.5163621059565662</v>
      </c>
    </row>
    <row r="273" spans="3:11" x14ac:dyDescent="0.2">
      <c r="C273" s="87" t="s">
        <v>131</v>
      </c>
      <c r="D273" s="47">
        <f t="shared" si="16"/>
        <v>98.892239976593061</v>
      </c>
      <c r="E273" s="47">
        <f t="shared" si="16"/>
        <v>99.90105698116119</v>
      </c>
      <c r="F273" s="47">
        <f t="shared" si="16"/>
        <v>99.879679034450334</v>
      </c>
      <c r="G273" s="47">
        <f t="shared" si="16"/>
        <v>99.783236732343525</v>
      </c>
      <c r="H273" s="47">
        <f t="shared" si="16"/>
        <v>98.006120235754224</v>
      </c>
      <c r="I273" s="47">
        <f t="shared" si="16"/>
        <v>96.230861202370917</v>
      </c>
      <c r="J273" s="47">
        <f t="shared" si="16"/>
        <v>97.280484762766264</v>
      </c>
      <c r="K273" s="47">
        <f t="shared" si="16"/>
        <v>13.661898904367323</v>
      </c>
    </row>
    <row r="274" spans="3:11" x14ac:dyDescent="0.2">
      <c r="C274" s="88" t="s">
        <v>132</v>
      </c>
      <c r="D274" s="116">
        <f t="shared" si="16"/>
        <v>87.194986116642454</v>
      </c>
      <c r="E274" s="116">
        <f t="shared" si="16"/>
        <v>88.274373532294675</v>
      </c>
      <c r="F274" s="116">
        <f t="shared" si="16"/>
        <v>92.892622176215056</v>
      </c>
      <c r="G274" s="116">
        <f t="shared" si="16"/>
        <v>88.414289182497541</v>
      </c>
      <c r="H274" s="116">
        <f t="shared" si="16"/>
        <v>90.293655483483491</v>
      </c>
      <c r="I274" s="116">
        <f t="shared" si="16"/>
        <v>92.216799310285666</v>
      </c>
      <c r="J274" s="116">
        <f t="shared" si="16"/>
        <v>91.174343683698297</v>
      </c>
      <c r="K274" s="116">
        <f t="shared" si="16"/>
        <v>11.451062267859825</v>
      </c>
    </row>
    <row r="275" spans="3:11" x14ac:dyDescent="0.2">
      <c r="C275" s="87" t="s">
        <v>133</v>
      </c>
      <c r="D275" s="47">
        <f t="shared" ref="D275:K284" si="17">+IFERROR(IF(D233&gt;0,+((D233/D25)*100)," "),"0")</f>
        <v>94.488189307670623</v>
      </c>
      <c r="E275" s="47">
        <f t="shared" si="17"/>
        <v>94.557318786897952</v>
      </c>
      <c r="F275" s="47">
        <f t="shared" si="17"/>
        <v>92.198808040237793</v>
      </c>
      <c r="G275" s="47">
        <f t="shared" si="17"/>
        <v>94.649869197809124</v>
      </c>
      <c r="H275" s="47">
        <f t="shared" si="17"/>
        <v>94.490259832861852</v>
      </c>
      <c r="I275" s="47">
        <f t="shared" si="17"/>
        <v>92.718828563076812</v>
      </c>
      <c r="J275" s="47">
        <f t="shared" si="17"/>
        <v>92.118295700419026</v>
      </c>
      <c r="K275" s="47">
        <f t="shared" si="17"/>
        <v>10.919761033336815</v>
      </c>
    </row>
    <row r="276" spans="3:11" x14ac:dyDescent="0.2">
      <c r="C276" s="88" t="s">
        <v>134</v>
      </c>
      <c r="D276" s="116">
        <f t="shared" si="17"/>
        <v>80.376084036571498</v>
      </c>
      <c r="E276" s="116">
        <f t="shared" si="17"/>
        <v>41.071920479279612</v>
      </c>
      <c r="F276" s="116">
        <f t="shared" si="17"/>
        <v>77.3656124006624</v>
      </c>
      <c r="G276" s="116">
        <f t="shared" si="17"/>
        <v>77.052567023006731</v>
      </c>
      <c r="H276" s="116">
        <f t="shared" si="17"/>
        <v>81.70146963336957</v>
      </c>
      <c r="I276" s="116">
        <f t="shared" si="17"/>
        <v>69.617024997374131</v>
      </c>
      <c r="J276" s="116">
        <f t="shared" si="17"/>
        <v>68.739382398676511</v>
      </c>
      <c r="K276" s="116">
        <f t="shared" si="17"/>
        <v>7.098133856248996</v>
      </c>
    </row>
    <row r="277" spans="3:11" x14ac:dyDescent="0.2">
      <c r="C277" s="87" t="s">
        <v>135</v>
      </c>
      <c r="D277" s="47" t="str">
        <f t="shared" si="17"/>
        <v xml:space="preserve"> </v>
      </c>
      <c r="E277" s="47" t="str">
        <f t="shared" si="17"/>
        <v xml:space="preserve"> </v>
      </c>
      <c r="F277" s="47" t="str">
        <f t="shared" si="17"/>
        <v xml:space="preserve"> </v>
      </c>
      <c r="G277" s="47" t="str">
        <f t="shared" si="17"/>
        <v xml:space="preserve"> </v>
      </c>
      <c r="H277" s="47">
        <f t="shared" si="17"/>
        <v>0.42555537840000007</v>
      </c>
      <c r="I277" s="47">
        <f t="shared" si="17"/>
        <v>75.818120511832092</v>
      </c>
      <c r="J277" s="47">
        <f t="shared" si="17"/>
        <v>93.314623523601909</v>
      </c>
      <c r="K277" s="47">
        <f t="shared" si="17"/>
        <v>11.81066860484113</v>
      </c>
    </row>
    <row r="278" spans="3:11" x14ac:dyDescent="0.2">
      <c r="C278" s="88" t="s">
        <v>136</v>
      </c>
      <c r="D278" s="116">
        <f t="shared" si="17"/>
        <v>88.023711693924184</v>
      </c>
      <c r="E278" s="116">
        <f t="shared" si="17"/>
        <v>97.255057041034178</v>
      </c>
      <c r="F278" s="116">
        <f t="shared" si="17"/>
        <v>92.646262709793888</v>
      </c>
      <c r="G278" s="116">
        <f t="shared" si="17"/>
        <v>96.743144234015332</v>
      </c>
      <c r="H278" s="116">
        <f t="shared" si="17"/>
        <v>88.270266220966477</v>
      </c>
      <c r="I278" s="116">
        <f t="shared" si="17"/>
        <v>71.087681828171256</v>
      </c>
      <c r="J278" s="116">
        <f t="shared" si="17"/>
        <v>72.894979099635719</v>
      </c>
      <c r="K278" s="116">
        <f t="shared" si="17"/>
        <v>10.461633058366244</v>
      </c>
    </row>
    <row r="279" spans="3:11" x14ac:dyDescent="0.2">
      <c r="C279" s="87" t="s">
        <v>137</v>
      </c>
      <c r="D279" s="47">
        <f t="shared" si="17"/>
        <v>87.277947393142526</v>
      </c>
      <c r="E279" s="47">
        <f t="shared" si="17"/>
        <v>85.862263407984372</v>
      </c>
      <c r="F279" s="47">
        <f t="shared" si="17"/>
        <v>66.344825860105601</v>
      </c>
      <c r="G279" s="47">
        <f t="shared" si="17"/>
        <v>63.113735587898802</v>
      </c>
      <c r="H279" s="47">
        <f t="shared" si="17"/>
        <v>55.990889513023632</v>
      </c>
      <c r="I279" s="47">
        <f t="shared" si="17"/>
        <v>62.200338242574617</v>
      </c>
      <c r="J279" s="47">
        <f t="shared" si="17"/>
        <v>71.093556777194905</v>
      </c>
      <c r="K279" s="47">
        <f t="shared" si="17"/>
        <v>6.6365976373317386</v>
      </c>
    </row>
    <row r="280" spans="3:11" x14ac:dyDescent="0.2">
      <c r="C280" s="88" t="s">
        <v>138</v>
      </c>
      <c r="D280" s="116">
        <f t="shared" si="17"/>
        <v>93.127205939532701</v>
      </c>
      <c r="E280" s="116">
        <f t="shared" si="17"/>
        <v>97.939832663448939</v>
      </c>
      <c r="F280" s="116">
        <f t="shared" si="17"/>
        <v>94.697338290005291</v>
      </c>
      <c r="G280" s="116">
        <f t="shared" si="17"/>
        <v>93.775999469705923</v>
      </c>
      <c r="H280" s="116">
        <f t="shared" si="17"/>
        <v>83.9579711964616</v>
      </c>
      <c r="I280" s="116">
        <f t="shared" si="17"/>
        <v>81.564557762430439</v>
      </c>
      <c r="J280" s="116">
        <f t="shared" si="17"/>
        <v>85.586638961646997</v>
      </c>
      <c r="K280" s="116">
        <f t="shared" si="17"/>
        <v>10.155748187377096</v>
      </c>
    </row>
    <row r="281" spans="3:11" x14ac:dyDescent="0.2">
      <c r="C281" s="87" t="s">
        <v>160</v>
      </c>
      <c r="D281" s="47">
        <f t="shared" si="17"/>
        <v>85.430840137185555</v>
      </c>
      <c r="E281" s="47">
        <f t="shared" si="17"/>
        <v>85.889971388847442</v>
      </c>
      <c r="F281" s="47">
        <f t="shared" si="17"/>
        <v>81.423657029524804</v>
      </c>
      <c r="G281" s="47">
        <f t="shared" si="17"/>
        <v>69.730836213424311</v>
      </c>
      <c r="H281" s="47">
        <f t="shared" si="17"/>
        <v>68.003093927637224</v>
      </c>
      <c r="I281" s="47">
        <f t="shared" si="17"/>
        <v>69.488067215095256</v>
      </c>
      <c r="J281" s="47">
        <f t="shared" si="17"/>
        <v>77.828449949003584</v>
      </c>
      <c r="K281" s="47">
        <f t="shared" si="17"/>
        <v>6.4060167196351143</v>
      </c>
    </row>
    <row r="282" spans="3:11" x14ac:dyDescent="0.2">
      <c r="C282" s="88" t="s">
        <v>161</v>
      </c>
      <c r="D282" s="116">
        <f t="shared" si="17"/>
        <v>74.697413248678018</v>
      </c>
      <c r="E282" s="116">
        <f t="shared" si="17"/>
        <v>78.252513338519478</v>
      </c>
      <c r="F282" s="116">
        <f t="shared" si="17"/>
        <v>65.514902928086059</v>
      </c>
      <c r="G282" s="116">
        <f t="shared" si="17"/>
        <v>66.738056104377932</v>
      </c>
      <c r="H282" s="116">
        <f t="shared" si="17"/>
        <v>77.82498649364878</v>
      </c>
      <c r="I282" s="116">
        <f t="shared" si="17"/>
        <v>78.905741603783184</v>
      </c>
      <c r="J282" s="116">
        <f t="shared" si="17"/>
        <v>81.824410735965785</v>
      </c>
      <c r="K282" s="116">
        <f t="shared" si="17"/>
        <v>7.1112555539962621</v>
      </c>
    </row>
    <row r="283" spans="3:11" x14ac:dyDescent="0.2">
      <c r="C283" s="87" t="s">
        <v>140</v>
      </c>
      <c r="D283" s="47">
        <f t="shared" si="17"/>
        <v>82.985772246735323</v>
      </c>
      <c r="E283" s="47">
        <f t="shared" si="17"/>
        <v>87.556408230655563</v>
      </c>
      <c r="F283" s="47">
        <f t="shared" si="17"/>
        <v>92.314811377628587</v>
      </c>
      <c r="G283" s="47">
        <f t="shared" si="17"/>
        <v>84.434894457952552</v>
      </c>
      <c r="H283" s="47">
        <f t="shared" si="17"/>
        <v>89.23717744144399</v>
      </c>
      <c r="I283" s="47">
        <f t="shared" si="17"/>
        <v>59.43836455386721</v>
      </c>
      <c r="J283" s="47">
        <f t="shared" si="17"/>
        <v>67.637582366749854</v>
      </c>
      <c r="K283" s="47">
        <f t="shared" si="17"/>
        <v>0.7598373234021859</v>
      </c>
    </row>
    <row r="284" spans="3:11" x14ac:dyDescent="0.2">
      <c r="C284" s="88" t="s">
        <v>141</v>
      </c>
      <c r="D284" s="116">
        <f t="shared" si="17"/>
        <v>89.060831479345509</v>
      </c>
      <c r="E284" s="116">
        <f t="shared" si="17"/>
        <v>80.592075326566686</v>
      </c>
      <c r="F284" s="116">
        <f t="shared" si="17"/>
        <v>80.971529683047265</v>
      </c>
      <c r="G284" s="116">
        <f t="shared" si="17"/>
        <v>83.831910213534471</v>
      </c>
      <c r="H284" s="116">
        <f t="shared" si="17"/>
        <v>81.266250763529399</v>
      </c>
      <c r="I284" s="116">
        <f t="shared" si="17"/>
        <v>87.08715451895965</v>
      </c>
      <c r="J284" s="116">
        <f t="shared" si="17"/>
        <v>90.245230117867919</v>
      </c>
      <c r="K284" s="116">
        <f t="shared" si="17"/>
        <v>9.1461832571625017</v>
      </c>
    </row>
    <row r="285" spans="3:11" x14ac:dyDescent="0.2">
      <c r="C285" s="87" t="s">
        <v>142</v>
      </c>
      <c r="D285" s="47">
        <f t="shared" ref="D285:K294" si="18">+IFERROR(IF(D243&gt;0,+((D243/D35)*100)," "),"0")</f>
        <v>60.882014470550928</v>
      </c>
      <c r="E285" s="47">
        <f t="shared" si="18"/>
        <v>70.48713541587523</v>
      </c>
      <c r="F285" s="47">
        <f t="shared" si="18"/>
        <v>70.371445944171555</v>
      </c>
      <c r="G285" s="47">
        <f t="shared" si="18"/>
        <v>41.572986770482466</v>
      </c>
      <c r="H285" s="47">
        <f t="shared" si="18"/>
        <v>35.418689135024195</v>
      </c>
      <c r="I285" s="47">
        <f t="shared" si="18"/>
        <v>49.739186132636497</v>
      </c>
      <c r="J285" s="47">
        <f t="shared" si="18"/>
        <v>54.173459512347769</v>
      </c>
      <c r="K285" s="47">
        <f t="shared" si="18"/>
        <v>5.3260932253791173</v>
      </c>
    </row>
    <row r="286" spans="3:11" x14ac:dyDescent="0.2">
      <c r="C286" s="88" t="s">
        <v>143</v>
      </c>
      <c r="D286" s="116">
        <f t="shared" si="18"/>
        <v>41.206148611583842</v>
      </c>
      <c r="E286" s="116">
        <f t="shared" si="18"/>
        <v>34.370510938020963</v>
      </c>
      <c r="F286" s="116">
        <f t="shared" si="18"/>
        <v>44.902127706189923</v>
      </c>
      <c r="G286" s="116">
        <f t="shared" si="18"/>
        <v>18.886195927218289</v>
      </c>
      <c r="H286" s="116">
        <f t="shared" si="18"/>
        <v>15.58755317159091</v>
      </c>
      <c r="I286" s="116">
        <f t="shared" si="18"/>
        <v>27.857750548037565</v>
      </c>
      <c r="J286" s="116">
        <f t="shared" si="18"/>
        <v>40.837185774493484</v>
      </c>
      <c r="K286" s="116">
        <f t="shared" si="18"/>
        <v>2.7434726458207552</v>
      </c>
    </row>
    <row r="287" spans="3:11" x14ac:dyDescent="0.2">
      <c r="C287" s="87" t="s">
        <v>144</v>
      </c>
      <c r="D287" s="47">
        <f t="shared" si="18"/>
        <v>90.494884764196996</v>
      </c>
      <c r="E287" s="47">
        <f t="shared" si="18"/>
        <v>90.675820624780101</v>
      </c>
      <c r="F287" s="47">
        <f t="shared" si="18"/>
        <v>88.005373536842228</v>
      </c>
      <c r="G287" s="47">
        <f t="shared" si="18"/>
        <v>88.57194836219206</v>
      </c>
      <c r="H287" s="47">
        <f t="shared" si="18"/>
        <v>83.137464576467195</v>
      </c>
      <c r="I287" s="47">
        <f t="shared" si="18"/>
        <v>84.858146214866693</v>
      </c>
      <c r="J287" s="47">
        <f t="shared" si="18"/>
        <v>85.640097163968306</v>
      </c>
      <c r="K287" s="47">
        <f t="shared" si="18"/>
        <v>9.5086460041711351</v>
      </c>
    </row>
    <row r="288" spans="3:11" x14ac:dyDescent="0.2">
      <c r="C288" s="88" t="s">
        <v>145</v>
      </c>
      <c r="D288" s="116">
        <f t="shared" si="18"/>
        <v>91.261595416032065</v>
      </c>
      <c r="E288" s="116">
        <f t="shared" si="18"/>
        <v>88.399636504138869</v>
      </c>
      <c r="F288" s="116">
        <f t="shared" si="18"/>
        <v>84.753630940254283</v>
      </c>
      <c r="G288" s="116">
        <f t="shared" si="18"/>
        <v>92.424052998602363</v>
      </c>
      <c r="H288" s="116">
        <f t="shared" si="18"/>
        <v>77.222720302896704</v>
      </c>
      <c r="I288" s="116">
        <f t="shared" si="18"/>
        <v>57.375950403895857</v>
      </c>
      <c r="J288" s="116">
        <f t="shared" si="18"/>
        <v>73.316576982097104</v>
      </c>
      <c r="K288" s="116">
        <f t="shared" si="18"/>
        <v>2.8188746941524325</v>
      </c>
    </row>
    <row r="289" spans="1:11" x14ac:dyDescent="0.2">
      <c r="C289" s="87" t="s">
        <v>146</v>
      </c>
      <c r="D289" s="47">
        <f t="shared" si="18"/>
        <v>93.243794265616188</v>
      </c>
      <c r="E289" s="47">
        <f t="shared" si="18"/>
        <v>90.299727990165295</v>
      </c>
      <c r="F289" s="47">
        <f t="shared" si="18"/>
        <v>89.618497922148094</v>
      </c>
      <c r="G289" s="47">
        <f t="shared" si="18"/>
        <v>92.994781531997035</v>
      </c>
      <c r="H289" s="47">
        <f t="shared" si="18"/>
        <v>91.55331813370718</v>
      </c>
      <c r="I289" s="47">
        <f t="shared" si="18"/>
        <v>90.703893835404969</v>
      </c>
      <c r="J289" s="47">
        <f t="shared" si="18"/>
        <v>91.632460826619678</v>
      </c>
      <c r="K289" s="47">
        <f t="shared" si="18"/>
        <v>14.916683647262557</v>
      </c>
    </row>
    <row r="290" spans="1:11" x14ac:dyDescent="0.2">
      <c r="C290" s="88" t="s">
        <v>162</v>
      </c>
      <c r="D290" s="116">
        <f t="shared" si="18"/>
        <v>99.488855063623959</v>
      </c>
      <c r="E290" s="116">
        <f t="shared" si="18"/>
        <v>97.403949231997842</v>
      </c>
      <c r="F290" s="116">
        <f t="shared" si="18"/>
        <v>99.306089336504257</v>
      </c>
      <c r="G290" s="116">
        <f t="shared" si="18"/>
        <v>99.68254113411929</v>
      </c>
      <c r="H290" s="116">
        <f t="shared" si="18"/>
        <v>93.007536376175793</v>
      </c>
      <c r="I290" s="116">
        <f t="shared" si="18"/>
        <v>94.168167306985723</v>
      </c>
      <c r="J290" s="116">
        <f t="shared" si="18"/>
        <v>96.190903159232192</v>
      </c>
      <c r="K290" s="116">
        <f t="shared" si="18"/>
        <v>13.353547305789004</v>
      </c>
    </row>
    <row r="291" spans="1:11" x14ac:dyDescent="0.2">
      <c r="C291" s="87" t="s">
        <v>148</v>
      </c>
      <c r="D291" s="47">
        <f t="shared" si="18"/>
        <v>81.996231656276734</v>
      </c>
      <c r="E291" s="47">
        <f t="shared" si="18"/>
        <v>89.633545697331542</v>
      </c>
      <c r="F291" s="47">
        <f t="shared" si="18"/>
        <v>91.875416261447754</v>
      </c>
      <c r="G291" s="47">
        <f t="shared" si="18"/>
        <v>92.974864946467832</v>
      </c>
      <c r="H291" s="47">
        <f t="shared" si="18"/>
        <v>87.112211758977352</v>
      </c>
      <c r="I291" s="47">
        <f t="shared" si="18"/>
        <v>89.728544325785109</v>
      </c>
      <c r="J291" s="47">
        <f t="shared" si="18"/>
        <v>87.602363771359421</v>
      </c>
      <c r="K291" s="47">
        <f t="shared" si="18"/>
        <v>12.194873248213698</v>
      </c>
    </row>
    <row r="292" spans="1:11" x14ac:dyDescent="0.2">
      <c r="C292" s="88" t="s">
        <v>149</v>
      </c>
      <c r="D292" s="116">
        <f t="shared" si="18"/>
        <v>92.019397471399031</v>
      </c>
      <c r="E292" s="116">
        <f t="shared" si="18"/>
        <v>98.293560335660842</v>
      </c>
      <c r="F292" s="116">
        <f t="shared" si="18"/>
        <v>79.87647746033781</v>
      </c>
      <c r="G292" s="116">
        <f t="shared" si="18"/>
        <v>86.388256137977208</v>
      </c>
      <c r="H292" s="116">
        <f t="shared" si="18"/>
        <v>85.47168409563848</v>
      </c>
      <c r="I292" s="116">
        <f t="shared" si="18"/>
        <v>30.51760324986596</v>
      </c>
      <c r="J292" s="116">
        <f t="shared" si="18"/>
        <v>70.028700746961931</v>
      </c>
      <c r="K292" s="116">
        <f t="shared" si="18"/>
        <v>3.5325744206570198</v>
      </c>
    </row>
    <row r="293" spans="1:11" x14ac:dyDescent="0.2">
      <c r="C293" s="87" t="s">
        <v>163</v>
      </c>
      <c r="D293" s="47">
        <f t="shared" si="18"/>
        <v>81.609691877549864</v>
      </c>
      <c r="E293" s="47">
        <f t="shared" si="18"/>
        <v>86.226490269590698</v>
      </c>
      <c r="F293" s="47">
        <f t="shared" si="18"/>
        <v>93.409532615528121</v>
      </c>
      <c r="G293" s="47">
        <f t="shared" si="18"/>
        <v>63.291754868440599</v>
      </c>
      <c r="H293" s="47">
        <f t="shared" si="18"/>
        <v>76.347672102575928</v>
      </c>
      <c r="I293" s="47">
        <f t="shared" si="18"/>
        <v>80.00486375644175</v>
      </c>
      <c r="J293" s="47">
        <f t="shared" si="18"/>
        <v>85.106808076570417</v>
      </c>
      <c r="K293" s="47">
        <f t="shared" si="18"/>
        <v>3.6095584686234328</v>
      </c>
    </row>
    <row r="294" spans="1:11" x14ac:dyDescent="0.2">
      <c r="C294" s="88" t="s">
        <v>150</v>
      </c>
      <c r="D294" s="116">
        <f t="shared" si="18"/>
        <v>78.656227105983092</v>
      </c>
      <c r="E294" s="116">
        <f t="shared" si="18"/>
        <v>82.444608697768302</v>
      </c>
      <c r="F294" s="116">
        <f t="shared" si="18"/>
        <v>83.26239121129494</v>
      </c>
      <c r="G294" s="116">
        <f t="shared" si="18"/>
        <v>79.16626590046539</v>
      </c>
      <c r="H294" s="116">
        <f t="shared" si="18"/>
        <v>87.006138308845195</v>
      </c>
      <c r="I294" s="116">
        <f t="shared" si="18"/>
        <v>36.340983467447593</v>
      </c>
      <c r="J294" s="116">
        <f t="shared" si="18"/>
        <v>32.381034689972957</v>
      </c>
      <c r="K294" s="116">
        <f t="shared" si="18"/>
        <v>9.4018683412060362</v>
      </c>
    </row>
    <row r="295" spans="1:11" x14ac:dyDescent="0.2">
      <c r="C295" s="87" t="s">
        <v>151</v>
      </c>
      <c r="D295" s="47">
        <f t="shared" ref="D295:K295" si="19">+IFERROR(IF(D253&gt;0,+((D253/D45)*100)," "),"0")</f>
        <v>69.14729685709699</v>
      </c>
      <c r="E295" s="47">
        <f t="shared" si="19"/>
        <v>76.009821318196543</v>
      </c>
      <c r="F295" s="47">
        <f t="shared" si="19"/>
        <v>77.472696795285572</v>
      </c>
      <c r="G295" s="47">
        <f t="shared" si="19"/>
        <v>80.267899161500154</v>
      </c>
      <c r="H295" s="47">
        <f t="shared" si="19"/>
        <v>62.527427561013859</v>
      </c>
      <c r="I295" s="47">
        <f t="shared" si="19"/>
        <v>58.735068306562823</v>
      </c>
      <c r="J295" s="47">
        <f t="shared" si="19"/>
        <v>69.589487400230709</v>
      </c>
      <c r="K295" s="47">
        <f t="shared" si="19"/>
        <v>2.6751618800617538</v>
      </c>
    </row>
    <row r="296" spans="1:11" x14ac:dyDescent="0.2">
      <c r="C296" s="91" t="s">
        <v>154</v>
      </c>
      <c r="D296" s="74">
        <f t="shared" ref="D296:K296" si="20">+IFERROR(IF(D254&gt;0,+((D254/D46)*100)," "),"")</f>
        <v>90.696451317078129</v>
      </c>
      <c r="E296" s="74">
        <f t="shared" si="20"/>
        <v>83.475604548145796</v>
      </c>
      <c r="F296" s="74">
        <f t="shared" si="20"/>
        <v>90.667287366647059</v>
      </c>
      <c r="G296" s="74">
        <f t="shared" si="20"/>
        <v>86.827627899498594</v>
      </c>
      <c r="H296" s="74">
        <f t="shared" si="20"/>
        <v>86.062005013226468</v>
      </c>
      <c r="I296" s="74">
        <f t="shared" si="20"/>
        <v>81.736001662072624</v>
      </c>
      <c r="J296" s="74">
        <f t="shared" si="20"/>
        <v>86.501849068509571</v>
      </c>
      <c r="K296" s="74">
        <f t="shared" si="20"/>
        <v>9.9941459227571112</v>
      </c>
    </row>
    <row r="297" spans="1:11" s="31" customFormat="1" x14ac:dyDescent="0.2">
      <c r="A297" s="5"/>
      <c r="B297" s="5"/>
      <c r="C297" s="72" t="str">
        <f>+'C1 Aprop Resumen 2000-2026'!B20</f>
        <v>* Información con corte a 28 de febrero</v>
      </c>
      <c r="D297" s="69"/>
      <c r="E297" s="69"/>
      <c r="F297" s="69"/>
      <c r="G297" s="69"/>
      <c r="H297" s="69"/>
      <c r="I297" s="69"/>
    </row>
    <row r="298" spans="1:11" x14ac:dyDescent="0.2">
      <c r="C298" s="1" t="s">
        <v>52</v>
      </c>
      <c r="D298" s="11"/>
    </row>
  </sheetData>
  <mergeCells count="82">
    <mergeCell ref="E221:E222"/>
    <mergeCell ref="D263:D264"/>
    <mergeCell ref="D2:K4"/>
    <mergeCell ref="A7:C8"/>
    <mergeCell ref="F13:F14"/>
    <mergeCell ref="G221:G222"/>
    <mergeCell ref="H13:H14"/>
    <mergeCell ref="D8:D9"/>
    <mergeCell ref="J138:J139"/>
    <mergeCell ref="H8:H9"/>
    <mergeCell ref="J8:J9"/>
    <mergeCell ref="E13:E14"/>
    <mergeCell ref="G13:G14"/>
    <mergeCell ref="D55:D56"/>
    <mergeCell ref="I138:I139"/>
    <mergeCell ref="D177:K177"/>
    <mergeCell ref="C221:C222"/>
    <mergeCell ref="K138:K139"/>
    <mergeCell ref="F263:F264"/>
    <mergeCell ref="D219:K219"/>
    <mergeCell ref="F138:F139"/>
    <mergeCell ref="H138:H139"/>
    <mergeCell ref="G180:G181"/>
    <mergeCell ref="I180:I181"/>
    <mergeCell ref="I221:I222"/>
    <mergeCell ref="J221:J222"/>
    <mergeCell ref="J263:J264"/>
    <mergeCell ref="D260:K260"/>
    <mergeCell ref="H180:H181"/>
    <mergeCell ref="J180:J181"/>
    <mergeCell ref="F221:F222"/>
    <mergeCell ref="F180:F181"/>
    <mergeCell ref="D221:D222"/>
    <mergeCell ref="H263:H264"/>
    <mergeCell ref="D6:K6"/>
    <mergeCell ref="F8:F9"/>
    <mergeCell ref="K180:K181"/>
    <mergeCell ref="D11:K11"/>
    <mergeCell ref="K96:K97"/>
    <mergeCell ref="G55:G56"/>
    <mergeCell ref="I8:I9"/>
    <mergeCell ref="K8:K9"/>
    <mergeCell ref="E96:E97"/>
    <mergeCell ref="J13:J14"/>
    <mergeCell ref="D96:D97"/>
    <mergeCell ref="E138:E139"/>
    <mergeCell ref="I13:I14"/>
    <mergeCell ref="K13:K14"/>
    <mergeCell ref="K55:K56"/>
    <mergeCell ref="E55:E56"/>
    <mergeCell ref="C180:C181"/>
    <mergeCell ref="E180:E181"/>
    <mergeCell ref="D52:K52"/>
    <mergeCell ref="G263:G264"/>
    <mergeCell ref="C55:C56"/>
    <mergeCell ref="I263:I264"/>
    <mergeCell ref="K263:K264"/>
    <mergeCell ref="I55:I56"/>
    <mergeCell ref="C263:C264"/>
    <mergeCell ref="E263:E264"/>
    <mergeCell ref="K221:K222"/>
    <mergeCell ref="H221:H222"/>
    <mergeCell ref="D136:K136"/>
    <mergeCell ref="C138:C139"/>
    <mergeCell ref="I96:I97"/>
    <mergeCell ref="D180:D181"/>
    <mergeCell ref="A9:C9"/>
    <mergeCell ref="C96:C97"/>
    <mergeCell ref="D138:D139"/>
    <mergeCell ref="C13:C14"/>
    <mergeCell ref="J96:J97"/>
    <mergeCell ref="G96:G97"/>
    <mergeCell ref="D94:K94"/>
    <mergeCell ref="D13:D14"/>
    <mergeCell ref="H55:H56"/>
    <mergeCell ref="J55:J56"/>
    <mergeCell ref="E8:E9"/>
    <mergeCell ref="G8:G9"/>
    <mergeCell ref="F55:F56"/>
    <mergeCell ref="F96:F97"/>
    <mergeCell ref="H96:H97"/>
    <mergeCell ref="G138:G139"/>
  </mergeCells>
  <pageMargins left="0.7" right="0.7" top="0.75" bottom="0.75" header="0.3" footer="0.3"/>
  <pageSetup orientation="portrait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14"/>
  <dimension ref="A1:V275"/>
  <sheetViews>
    <sheetView showGridLines="0" zoomScaleNormal="100" workbookViewId="0">
      <pane xSplit="3" ySplit="7" topLeftCell="D8" activePane="bottomRight" state="frozen"/>
      <selection activeCell="O5" sqref="O5:O6"/>
      <selection pane="topRight" activeCell="O5" sqref="O5:O6"/>
      <selection pane="bottomLeft" activeCell="O5" sqref="O5:O6"/>
      <selection pane="bottomRight" activeCell="A5" sqref="A5:C7"/>
    </sheetView>
  </sheetViews>
  <sheetFormatPr baseColWidth="10" defaultColWidth="11.42578125" defaultRowHeight="11.25" x14ac:dyDescent="0.2"/>
  <cols>
    <col min="1" max="2" width="2.7109375" style="3" customWidth="1"/>
    <col min="3" max="3" width="51" style="3" customWidth="1"/>
    <col min="4" max="22" width="10.7109375" style="3" customWidth="1"/>
    <col min="23" max="33" width="10.7109375" style="9" customWidth="1"/>
    <col min="34" max="34" width="11.42578125" style="9" customWidth="1"/>
    <col min="35" max="16384" width="11.42578125" style="9"/>
  </cols>
  <sheetData>
    <row r="1" spans="1:22" ht="16.5" customHeight="1" x14ac:dyDescent="0.2"/>
    <row r="2" spans="1:22" ht="16.5" customHeight="1" x14ac:dyDescent="0.2">
      <c r="D2" s="159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  <c r="Q2" s="158"/>
      <c r="R2" s="158"/>
      <c r="S2" s="158"/>
      <c r="T2" s="158"/>
      <c r="U2" s="158"/>
      <c r="V2" s="158"/>
    </row>
    <row r="3" spans="1:22" s="102" customFormat="1" ht="15" customHeight="1" x14ac:dyDescent="0.25">
      <c r="A3" s="120"/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  <c r="R3" s="98"/>
      <c r="S3" s="98"/>
      <c r="T3" s="98"/>
      <c r="U3" s="98"/>
      <c r="V3" s="98"/>
    </row>
    <row r="4" spans="1:22" s="102" customFormat="1" ht="15" customHeight="1" x14ac:dyDescent="0.25">
      <c r="A4" s="120"/>
      <c r="B4" s="98"/>
      <c r="C4" s="98"/>
      <c r="D4" s="161"/>
      <c r="E4" s="176"/>
      <c r="F4" s="176"/>
      <c r="G4" s="176"/>
      <c r="H4" s="176"/>
      <c r="I4" s="176"/>
      <c r="J4" s="176"/>
      <c r="K4" s="176"/>
      <c r="L4" s="176"/>
      <c r="M4" s="176"/>
      <c r="N4" s="176"/>
      <c r="O4" s="176"/>
      <c r="P4" s="176"/>
      <c r="Q4" s="176"/>
      <c r="R4" s="176"/>
      <c r="S4" s="176"/>
      <c r="T4" s="176"/>
      <c r="U4" s="176"/>
      <c r="V4" s="176"/>
    </row>
    <row r="5" spans="1:22" s="102" customFormat="1" ht="15" customHeight="1" x14ac:dyDescent="0.25">
      <c r="A5" s="165" t="s">
        <v>12</v>
      </c>
      <c r="B5" s="176"/>
      <c r="C5" s="176"/>
      <c r="D5" s="147"/>
      <c r="E5" s="147"/>
      <c r="F5" s="147"/>
      <c r="G5" s="147"/>
      <c r="H5" s="147"/>
      <c r="I5" s="147"/>
      <c r="J5" s="147"/>
      <c r="K5" s="147"/>
      <c r="L5" s="147"/>
      <c r="M5" s="147"/>
      <c r="N5" s="147"/>
      <c r="O5" s="147"/>
      <c r="P5" s="147"/>
      <c r="Q5" s="147"/>
      <c r="R5" s="147"/>
      <c r="S5" s="147"/>
      <c r="T5" s="147"/>
      <c r="U5" s="147"/>
      <c r="V5" s="147"/>
    </row>
    <row r="6" spans="1:22" s="102" customFormat="1" ht="15" customHeight="1" x14ac:dyDescent="0.25">
      <c r="A6" s="176"/>
      <c r="B6" s="176"/>
      <c r="C6" s="176"/>
      <c r="D6" s="151" t="s">
        <v>27</v>
      </c>
      <c r="E6" s="151" t="s">
        <v>28</v>
      </c>
      <c r="F6" s="151" t="s">
        <v>29</v>
      </c>
      <c r="G6" s="151" t="s">
        <v>30</v>
      </c>
      <c r="H6" s="151">
        <v>2004</v>
      </c>
      <c r="I6" s="151" t="s">
        <v>31</v>
      </c>
      <c r="J6" s="151" t="s">
        <v>32</v>
      </c>
      <c r="K6" s="151" t="s">
        <v>33</v>
      </c>
      <c r="L6" s="151" t="s">
        <v>34</v>
      </c>
      <c r="M6" s="151" t="s">
        <v>35</v>
      </c>
      <c r="N6" s="151">
        <v>2010</v>
      </c>
      <c r="O6" s="151">
        <v>2011</v>
      </c>
      <c r="P6" s="151">
        <v>2012</v>
      </c>
      <c r="Q6" s="151">
        <v>2013</v>
      </c>
      <c r="R6" s="151">
        <v>2014</v>
      </c>
      <c r="S6" s="151">
        <v>2015</v>
      </c>
      <c r="T6" s="151">
        <v>2016</v>
      </c>
      <c r="U6" s="151">
        <v>2017</v>
      </c>
      <c r="V6" s="151">
        <v>2018</v>
      </c>
    </row>
    <row r="7" spans="1:22" s="102" customFormat="1" ht="15" customHeight="1" x14ac:dyDescent="0.25">
      <c r="A7" s="162" t="s">
        <v>227</v>
      </c>
      <c r="B7" s="176"/>
      <c r="C7" s="176"/>
      <c r="D7" s="176"/>
      <c r="E7" s="176"/>
      <c r="F7" s="176"/>
      <c r="G7" s="176"/>
      <c r="H7" s="176"/>
      <c r="I7" s="176"/>
      <c r="J7" s="176"/>
      <c r="K7" s="176"/>
      <c r="L7" s="176"/>
      <c r="M7" s="176"/>
      <c r="N7" s="176"/>
      <c r="O7" s="176"/>
      <c r="P7" s="176"/>
      <c r="Q7" s="176"/>
      <c r="R7" s="176"/>
      <c r="S7" s="176"/>
      <c r="T7" s="176"/>
      <c r="U7" s="176"/>
      <c r="V7" s="176"/>
    </row>
    <row r="8" spans="1:22" s="102" customFormat="1" ht="15" customHeight="1" x14ac:dyDescent="0.25">
      <c r="A8" s="99"/>
      <c r="B8" s="98"/>
      <c r="C8" s="98"/>
      <c r="D8" s="132"/>
      <c r="E8" s="132"/>
      <c r="F8" s="132"/>
      <c r="G8" s="132"/>
      <c r="H8" s="132"/>
      <c r="I8" s="132"/>
      <c r="J8" s="132"/>
      <c r="K8" s="132"/>
      <c r="L8" s="132"/>
      <c r="M8" s="132"/>
      <c r="N8" s="132"/>
      <c r="O8" s="132"/>
      <c r="P8" s="132"/>
      <c r="Q8" s="132"/>
      <c r="R8" s="132"/>
      <c r="S8" s="132"/>
      <c r="T8" s="132"/>
      <c r="U8" s="132"/>
      <c r="V8" s="132"/>
    </row>
    <row r="9" spans="1:22" ht="18" customHeight="1" x14ac:dyDescent="0.2">
      <c r="D9" s="160" t="s">
        <v>171</v>
      </c>
      <c r="E9" s="158"/>
      <c r="F9" s="158"/>
      <c r="G9" s="158"/>
      <c r="H9" s="158"/>
      <c r="I9" s="158"/>
      <c r="J9" s="158"/>
      <c r="K9" s="158"/>
      <c r="L9" s="158"/>
      <c r="M9" s="158"/>
      <c r="N9" s="158"/>
      <c r="O9" s="158"/>
      <c r="P9" s="158"/>
      <c r="Q9" s="158"/>
      <c r="R9" s="158"/>
      <c r="S9" s="158"/>
      <c r="T9" s="158"/>
      <c r="U9" s="158"/>
      <c r="V9" s="158"/>
    </row>
    <row r="10" spans="1:22" ht="15.75" customHeight="1" x14ac:dyDescent="0.2"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</row>
    <row r="11" spans="1:22" ht="9.9499999999999993" customHeight="1" x14ac:dyDescent="0.2">
      <c r="C11" s="177" t="s">
        <v>120</v>
      </c>
      <c r="D11" s="153" t="s">
        <v>27</v>
      </c>
      <c r="E11" s="153" t="s">
        <v>28</v>
      </c>
      <c r="F11" s="153" t="s">
        <v>29</v>
      </c>
      <c r="G11" s="153" t="s">
        <v>30</v>
      </c>
      <c r="H11" s="153" t="s">
        <v>121</v>
      </c>
      <c r="I11" s="153" t="s">
        <v>31</v>
      </c>
      <c r="J11" s="153" t="s">
        <v>32</v>
      </c>
      <c r="K11" s="153" t="s">
        <v>33</v>
      </c>
      <c r="L11" s="153" t="s">
        <v>34</v>
      </c>
      <c r="M11" s="153" t="s">
        <v>122</v>
      </c>
      <c r="N11" s="153">
        <v>2010</v>
      </c>
      <c r="O11" s="153">
        <v>2011</v>
      </c>
      <c r="P11" s="153">
        <v>2012</v>
      </c>
      <c r="Q11" s="153">
        <v>2013</v>
      </c>
      <c r="R11" s="153">
        <v>2014</v>
      </c>
      <c r="S11" s="153">
        <v>2015</v>
      </c>
      <c r="T11" s="153">
        <v>2016</v>
      </c>
      <c r="U11" s="153">
        <v>2017</v>
      </c>
      <c r="V11" s="153">
        <v>2018</v>
      </c>
    </row>
    <row r="12" spans="1:22" ht="9.9499999999999993" customHeight="1" thickBot="1" x14ac:dyDescent="0.25">
      <c r="C12" s="156"/>
      <c r="D12" s="154"/>
      <c r="E12" s="154"/>
      <c r="F12" s="154"/>
      <c r="G12" s="154"/>
      <c r="H12" s="154"/>
      <c r="I12" s="154"/>
      <c r="J12" s="154"/>
      <c r="K12" s="154"/>
      <c r="L12" s="154"/>
      <c r="M12" s="154"/>
      <c r="N12" s="154"/>
      <c r="O12" s="154"/>
      <c r="P12" s="154"/>
      <c r="Q12" s="154"/>
      <c r="R12" s="154"/>
      <c r="S12" s="154"/>
      <c r="T12" s="154"/>
      <c r="U12" s="154"/>
      <c r="V12" s="154"/>
    </row>
    <row r="13" spans="1:22" x14ac:dyDescent="0.2">
      <c r="C13" s="87" t="s">
        <v>123</v>
      </c>
      <c r="D13" s="65">
        <f>47.13232725*Deflactores!$A$5</f>
        <v>171.11670094685482</v>
      </c>
      <c r="E13" s="56">
        <f>41.7194158*Deflactores!$B$5</f>
        <v>140.70338335877739</v>
      </c>
      <c r="F13" s="56">
        <f>39.163975848*Deflactores!$C$5</f>
        <v>123.4532246320661</v>
      </c>
      <c r="G13" s="56">
        <f>34.593856299*Deflactores!$D$5</f>
        <v>102.40007165073018</v>
      </c>
      <c r="H13" s="56">
        <f>53.453011*Deflactores!$E$5</f>
        <v>149.98002384020751</v>
      </c>
      <c r="I13" s="56">
        <f>46.1556*Deflactores!$F$5</f>
        <v>123.50820659068279</v>
      </c>
      <c r="J13" s="56">
        <f>66.3650101*Deflactores!$G$5</f>
        <v>169.97534984002544</v>
      </c>
      <c r="K13" s="56">
        <f>62.6792*Deflactores!$H$5</f>
        <v>151.88608724379563</v>
      </c>
      <c r="L13" s="56">
        <f>64.767145*Deflactores!$I$5</f>
        <v>145.75952956522016</v>
      </c>
      <c r="M13" s="56">
        <f>70.8732*Deflactores!$J$5</f>
        <v>156.37105882956698</v>
      </c>
      <c r="N13" s="56">
        <f>86.20832*Deflactores!$K$5</f>
        <v>184.35925360319814</v>
      </c>
      <c r="O13" s="56">
        <f>60.64074*Deflactores!$L$5</f>
        <v>125.02295297129395</v>
      </c>
      <c r="P13" s="56">
        <f>51.109186*Deflactores!$M$5</f>
        <v>102.86192661877482</v>
      </c>
      <c r="Q13" s="56">
        <f>74.415591556*Deflactores!$N$5</f>
        <v>146.91799725601177</v>
      </c>
      <c r="R13" s="56">
        <f>102.812596999*Deflactores!$O$5</f>
        <v>195.81510323711507</v>
      </c>
      <c r="S13" s="56">
        <f>81.447877246*Deflactores!$P$5</f>
        <v>145.28821354289872</v>
      </c>
      <c r="T13" s="56">
        <f>49.001099778*Deflactores!$Q$5</f>
        <v>82.656319879617314</v>
      </c>
      <c r="U13" s="56">
        <f>53.215511664*Deflactores!$R$5</f>
        <v>86.238157966839893</v>
      </c>
      <c r="V13" s="56">
        <f>69.0091*Deflactores!$S$5</f>
        <v>108.38572056254178</v>
      </c>
    </row>
    <row r="14" spans="1:22" x14ac:dyDescent="0.2">
      <c r="C14" s="88" t="s">
        <v>124</v>
      </c>
      <c r="D14" s="57">
        <f>5.7083*Deflactores!$A$5</f>
        <v>20.724320673448844</v>
      </c>
      <c r="E14" s="57">
        <f>3.08*Deflactores!$B$5</f>
        <v>10.387643557200395</v>
      </c>
      <c r="F14" s="57">
        <f>8.724*Deflactores!$C$5</f>
        <v>27.499913080074695</v>
      </c>
      <c r="G14" s="57">
        <f>10.92674909*Deflactores!$D$5</f>
        <v>32.343890199887731</v>
      </c>
      <c r="H14" s="57">
        <f>14.9951*Deflactores!$E$5</f>
        <v>42.073690769006369</v>
      </c>
      <c r="I14" s="57">
        <f>11.939*Deflactores!$F$5</f>
        <v>31.947683021912006</v>
      </c>
      <c r="J14" s="57">
        <f>14.61965052*Deflactores!$G$5</f>
        <v>37.444132200560155</v>
      </c>
      <c r="K14" s="57">
        <f>24.214802963*Deflactores!$H$5</f>
        <v>58.678025173096316</v>
      </c>
      <c r="L14" s="57">
        <f>22.269*Deflactores!$I$5</f>
        <v>50.116752311498175</v>
      </c>
      <c r="M14" s="57">
        <f>25.026*Deflactores!$J$5</f>
        <v>55.21610592253127</v>
      </c>
      <c r="N14" s="57">
        <f>29.688*Deflactores!$K$5</f>
        <v>63.488738917215258</v>
      </c>
      <c r="O14" s="57">
        <f>43.024*Deflactores!$L$5</f>
        <v>88.702537743387552</v>
      </c>
      <c r="P14" s="57">
        <f>44.72*Deflactores!$M$5</f>
        <v>90.003103520208867</v>
      </c>
      <c r="Q14" s="57">
        <f>67.63089*Deflactores!$N$5</f>
        <v>133.52302526499901</v>
      </c>
      <c r="R14" s="57">
        <f>69.230536985*Deflactores!$O$5</f>
        <v>131.85528955182937</v>
      </c>
      <c r="S14" s="57">
        <f>73.351619728*Deflactores!$P$5</f>
        <v>130.8459612590155</v>
      </c>
      <c r="T14" s="57">
        <f>86.163965279*Deflactores!$Q$5</f>
        <v>145.34360062250732</v>
      </c>
      <c r="U14" s="57">
        <f>95.908847712*Deflactores!$R$5</f>
        <v>155.42465158707353</v>
      </c>
      <c r="V14" s="57">
        <f>114.086296021*Deflactores!$S$5</f>
        <v>179.18398298988868</v>
      </c>
    </row>
    <row r="15" spans="1:22" x14ac:dyDescent="0.2">
      <c r="C15" s="87" t="s">
        <v>125</v>
      </c>
      <c r="D15" s="56">
        <f>6.51953034*Deflactores!$A$5</f>
        <v>23.669540389685015</v>
      </c>
      <c r="E15" s="56">
        <f>8.289389762*Deflactores!$B$5</f>
        <v>27.956891608559165</v>
      </c>
      <c r="F15" s="56">
        <f>22.628998285*Deflactores!$C$5</f>
        <v>71.331440385907769</v>
      </c>
      <c r="G15" s="56">
        <f>27.921695724*Deflactores!$D$5</f>
        <v>82.650041037203948</v>
      </c>
      <c r="H15" s="56">
        <f>28.40411311*Deflactores!$E$5</f>
        <v>79.697092487413869</v>
      </c>
      <c r="I15" s="56">
        <f>41.957055098*Deflactores!$F$5</f>
        <v>112.27328057658104</v>
      </c>
      <c r="J15" s="56">
        <f>47.810207978*Deflactores!$G$5</f>
        <v>122.45243110397605</v>
      </c>
      <c r="K15" s="56">
        <f>57.321019563*Deflactores!$H$5</f>
        <v>138.90198627693292</v>
      </c>
      <c r="L15" s="56">
        <f>63.887834553*Deflactores!$I$5</f>
        <v>143.78062688089614</v>
      </c>
      <c r="M15" s="56">
        <f>50.037724616*Deflactores!$J$5</f>
        <v>110.40071535680917</v>
      </c>
      <c r="N15" s="56">
        <f>0*Deflactores!$K$5</f>
        <v>0</v>
      </c>
      <c r="O15" s="56">
        <f>0*Deflactores!$L$5</f>
        <v>0</v>
      </c>
      <c r="P15" s="56">
        <f>0*Deflactores!$M$5</f>
        <v>0</v>
      </c>
      <c r="Q15" s="56">
        <f>0*Deflactores!$N$5</f>
        <v>0</v>
      </c>
      <c r="R15" s="56">
        <f>0*Deflactores!$O$5</f>
        <v>0</v>
      </c>
      <c r="S15" s="56">
        <f>0*Deflactores!$P$5</f>
        <v>0</v>
      </c>
      <c r="T15" s="56">
        <f>0*Deflactores!$Q$5</f>
        <v>0</v>
      </c>
      <c r="U15" s="56">
        <f>0*Deflactores!$R$5</f>
        <v>0</v>
      </c>
      <c r="V15" s="56">
        <f>0*Deflactores!$S$5</f>
        <v>0</v>
      </c>
    </row>
    <row r="16" spans="1:22" x14ac:dyDescent="0.2">
      <c r="C16" s="88" t="s">
        <v>126</v>
      </c>
      <c r="D16" s="57">
        <f>37.509182959*Deflactores!$A$5</f>
        <v>136.1793065959005</v>
      </c>
      <c r="E16" s="57">
        <f>40.249514*Deflactores!$B$5</f>
        <v>135.74597557874907</v>
      </c>
      <c r="F16" s="57">
        <f>47.464169*Deflactores!$C$5</f>
        <v>149.61720792273908</v>
      </c>
      <c r="G16" s="57">
        <f>41.151530816*Deflactores!$D$5</f>
        <v>121.81121606316673</v>
      </c>
      <c r="H16" s="57">
        <f>45.8717*Deflactores!$E$5</f>
        <v>128.70815938864223</v>
      </c>
      <c r="I16" s="57">
        <f>52.7931*Deflactores!$F$5</f>
        <v>141.26955561974225</v>
      </c>
      <c r="J16" s="57">
        <f>56.55579*Deflactores!$G$5</f>
        <v>144.85178524411936</v>
      </c>
      <c r="K16" s="57">
        <f>61.108470825*Deflactores!$H$5</f>
        <v>148.07984995119415</v>
      </c>
      <c r="L16" s="57">
        <f>96.104493985*Deflactores!$I$5</f>
        <v>216.28475104711089</v>
      </c>
      <c r="M16" s="57">
        <f>104.968055568*Deflactores!$J$5</f>
        <v>231.59623090884824</v>
      </c>
      <c r="N16" s="57">
        <f>119.27942231*Deflactores!$K$5</f>
        <v>255.08286517232051</v>
      </c>
      <c r="O16" s="57">
        <f>127.3858376*Deflactores!$L$5</f>
        <v>262.63125389752315</v>
      </c>
      <c r="P16" s="57">
        <f>154.225588*Deflactores!$M$5</f>
        <v>310.39314763481849</v>
      </c>
      <c r="Q16" s="57">
        <f>204.927796704*Deflactores!$N$5</f>
        <v>404.58700716209376</v>
      </c>
      <c r="R16" s="57">
        <f>226.121837304*Deflactores!$O$5</f>
        <v>430.66776064687451</v>
      </c>
      <c r="S16" s="57">
        <f>260.212460657*Deflactores!$P$5</f>
        <v>464.17174797903078</v>
      </c>
      <c r="T16" s="57">
        <f>268.375956059*Deflactores!$Q$5</f>
        <v>452.7034897688215</v>
      </c>
      <c r="U16" s="57">
        <f>305.415361784*Deflactores!$R$5</f>
        <v>494.93949022472657</v>
      </c>
      <c r="V16" s="57">
        <f>320.762714026*Deflactores!$S$5</f>
        <v>503.79004927327753</v>
      </c>
    </row>
    <row r="17" spans="3:22" x14ac:dyDescent="0.2">
      <c r="C17" s="87" t="s">
        <v>127</v>
      </c>
      <c r="D17" s="56">
        <f>0*Deflactores!$A$5</f>
        <v>0</v>
      </c>
      <c r="E17" s="56">
        <f>0*Deflactores!$B$5</f>
        <v>0</v>
      </c>
      <c r="F17" s="56">
        <f>0*Deflactores!$C$5</f>
        <v>0</v>
      </c>
      <c r="G17" s="56">
        <f>0*Deflactores!$D$5</f>
        <v>0</v>
      </c>
      <c r="H17" s="56">
        <f>0*Deflactores!$E$5</f>
        <v>0</v>
      </c>
      <c r="I17" s="56">
        <f>0*Deflactores!$F$5</f>
        <v>0</v>
      </c>
      <c r="J17" s="56">
        <f>0*Deflactores!$G$5</f>
        <v>0</v>
      </c>
      <c r="K17" s="56">
        <f>0*Deflactores!$H$5</f>
        <v>0</v>
      </c>
      <c r="L17" s="56">
        <f>0*Deflactores!$I$5</f>
        <v>0</v>
      </c>
      <c r="M17" s="56">
        <f>0*Deflactores!$J$5</f>
        <v>0</v>
      </c>
      <c r="N17" s="56">
        <f>0*Deflactores!$K$5</f>
        <v>0</v>
      </c>
      <c r="O17" s="56">
        <f>0*Deflactores!$L$5</f>
        <v>0</v>
      </c>
      <c r="P17" s="56">
        <f>0*Deflactores!$M$5</f>
        <v>0</v>
      </c>
      <c r="Q17" s="56">
        <f>0*Deflactores!$N$5</f>
        <v>0</v>
      </c>
      <c r="R17" s="56">
        <f>0*Deflactores!$O$5</f>
        <v>0</v>
      </c>
      <c r="S17" s="56">
        <f>0*Deflactores!$P$5</f>
        <v>0</v>
      </c>
      <c r="T17" s="56">
        <f>0*Deflactores!$Q$5</f>
        <v>0</v>
      </c>
      <c r="U17" s="56">
        <f>0*Deflactores!$R$5</f>
        <v>0</v>
      </c>
      <c r="V17" s="56">
        <f>0*Deflactores!$S$5</f>
        <v>0</v>
      </c>
    </row>
    <row r="18" spans="3:22" x14ac:dyDescent="0.2">
      <c r="C18" s="88" t="s">
        <v>128</v>
      </c>
      <c r="D18" s="57">
        <f>0.756677303*Deflactores!$A$5</f>
        <v>2.7471616897662026</v>
      </c>
      <c r="E18" s="57">
        <f>0.81586548*Deflactores!$B$5</f>
        <v>2.7515973366442235</v>
      </c>
      <c r="F18" s="57">
        <f>0.86711624*Deflactores!$C$5</f>
        <v>2.7333357668868854</v>
      </c>
      <c r="G18" s="57">
        <f>1.078646305*Deflactores!$D$5</f>
        <v>3.1928634368810802</v>
      </c>
      <c r="H18" s="57">
        <f>1.260701999*Deflactores!$E$5</f>
        <v>3.5373145932867516</v>
      </c>
      <c r="I18" s="57">
        <f>1.085898614*Deflactores!$F$5</f>
        <v>2.9057663718909104</v>
      </c>
      <c r="J18" s="57">
        <f>9.089632508*Deflactores!$G$5</f>
        <v>23.28054291164144</v>
      </c>
      <c r="K18" s="57">
        <f>8.086648111*Deflactores!$H$5</f>
        <v>19.595804357701137</v>
      </c>
      <c r="L18" s="57">
        <f>5.085535945*Deflactores!$I$5</f>
        <v>11.445082640746591</v>
      </c>
      <c r="M18" s="57">
        <f>14.378676172*Deflactores!$J$5</f>
        <v>31.72438689918199</v>
      </c>
      <c r="N18" s="57">
        <f>8.666266233*Deflactores!$K$5</f>
        <v>18.533087922864983</v>
      </c>
      <c r="O18" s="57">
        <f>10.529859609*Deflactores!$L$5</f>
        <v>21.709401018033994</v>
      </c>
      <c r="P18" s="57">
        <f>10.90336576*Deflactores!$M$5</f>
        <v>21.944024088013883</v>
      </c>
      <c r="Q18" s="57">
        <f>11.062447476*Deflactores!$N$5</f>
        <v>21.840485225474225</v>
      </c>
      <c r="R18" s="57">
        <f>11.531177149*Deflactores!$O$5</f>
        <v>21.96208159102196</v>
      </c>
      <c r="S18" s="57">
        <f>17.316053343*Deflactores!$P$5</f>
        <v>30.888692755237692</v>
      </c>
      <c r="T18" s="57">
        <f>19.532383844*Deflactores!$Q$5</f>
        <v>32.947729221089517</v>
      </c>
      <c r="U18" s="57">
        <f>12.722409058*Deflactores!$R$5</f>
        <v>20.617242750383618</v>
      </c>
      <c r="V18" s="57">
        <f>13.97876507*Deflactores!$S$5</f>
        <v>21.955054111507607</v>
      </c>
    </row>
    <row r="19" spans="3:22" x14ac:dyDescent="0.2">
      <c r="C19" s="87" t="s">
        <v>129</v>
      </c>
      <c r="D19" s="56">
        <f>684.50313969995*Deflactores!$A$5</f>
        <v>2485.1291223524195</v>
      </c>
      <c r="E19" s="56">
        <f>808.9334368325*Deflactores!$B$5</f>
        <v>2728.2182478302243</v>
      </c>
      <c r="F19" s="56">
        <f>897.24021367584*Deflactores!$C$5</f>
        <v>2828.2929720349889</v>
      </c>
      <c r="G19" s="56">
        <f>1014.93327960091*Deflactores!$D$5</f>
        <v>3004.2687248732086</v>
      </c>
      <c r="H19" s="56">
        <f>1006.19326287045*Deflactores!$E$5</f>
        <v>2823.2065271901388</v>
      </c>
      <c r="I19" s="56">
        <f>1183.25786151562*Deflactores!$F$5</f>
        <v>3166.2909031649624</v>
      </c>
      <c r="J19" s="56">
        <f>1112.50100325516*Deflactores!$G$5</f>
        <v>2849.3591267557886</v>
      </c>
      <c r="K19" s="56">
        <f>1160.5570855953*Deflactores!$H$5</f>
        <v>2812.2961804575184</v>
      </c>
      <c r="L19" s="56">
        <f>1216.39300141556*Deflactores!$I$5</f>
        <v>2737.5125405444105</v>
      </c>
      <c r="M19" s="56">
        <f>1505.16024526132*Deflactores!$J$5</f>
        <v>3320.909755163917</v>
      </c>
      <c r="N19" s="56">
        <f>1748.06901214518*Deflactores!$K$5</f>
        <v>3738.3015737456117</v>
      </c>
      <c r="O19" s="56">
        <f>1938.32990183348*Deflactores!$L$5</f>
        <v>3996.2528188109181</v>
      </c>
      <c r="P19" s="56">
        <f>2057.976673274*Deflactores!$M$5</f>
        <v>4141.8668955021221</v>
      </c>
      <c r="Q19" s="56">
        <f>2116.06660458*Deflactores!$N$5</f>
        <v>4177.7302458352387</v>
      </c>
      <c r="R19" s="56">
        <f>1978.82119289*Deflactores!$O$5</f>
        <v>3768.8287961183919</v>
      </c>
      <c r="S19" s="56">
        <f>2218.30455934*Deflactores!$P$5</f>
        <v>3957.0522574473111</v>
      </c>
      <c r="T19" s="56">
        <f>2244.724298102*Deflactores!$Q$5</f>
        <v>3786.4588849242618</v>
      </c>
      <c r="U19" s="56">
        <f>2200.16931894014*Deflactores!$R$5</f>
        <v>3565.474489441232</v>
      </c>
      <c r="V19" s="56">
        <f>2064.28885827362*Deflactores!$S$5</f>
        <v>3242.1729214438815</v>
      </c>
    </row>
    <row r="20" spans="3:22" x14ac:dyDescent="0.2">
      <c r="C20" s="88" t="s">
        <v>130</v>
      </c>
      <c r="D20" s="57">
        <f>9.058604*Deflactores!$A$5</f>
        <v>32.88779744403525</v>
      </c>
      <c r="E20" s="57">
        <f>13.76501*Deflactores!$B$5</f>
        <v>46.424031636785394</v>
      </c>
      <c r="F20" s="57">
        <f>16.794455041*Deflactores!$C$5</f>
        <v>52.939712729793932</v>
      </c>
      <c r="G20" s="57">
        <f>13.8599082465*Deflactores!$D$5</f>
        <v>41.026232671122365</v>
      </c>
      <c r="H20" s="57">
        <f>15.130305787*Deflactores!$E$5</f>
        <v>42.453055126190918</v>
      </c>
      <c r="I20" s="57">
        <f>13.696129999*Deflactores!$F$5</f>
        <v>36.649603805591092</v>
      </c>
      <c r="J20" s="57">
        <f>23.2497*Deflactores!$G$5</f>
        <v>59.547582155429211</v>
      </c>
      <c r="K20" s="57">
        <f>18.5912115*Deflactores!$H$5</f>
        <v>45.05077237515566</v>
      </c>
      <c r="L20" s="57">
        <f>19.071320382*Deflactores!$I$5</f>
        <v>42.92032151591544</v>
      </c>
      <c r="M20" s="57">
        <f>18.782063339*Deflactores!$J$5</f>
        <v>41.439798560293909</v>
      </c>
      <c r="N20" s="57">
        <f>3.727228289*Deflactores!$K$5</f>
        <v>7.9707970804762844</v>
      </c>
      <c r="O20" s="57">
        <f>6.428307502*Deflactores!$L$5</f>
        <v>13.253235143693201</v>
      </c>
      <c r="P20" s="57">
        <f>0*Deflactores!$M$5</f>
        <v>0</v>
      </c>
      <c r="Q20" s="57">
        <f>0*Deflactores!$N$5</f>
        <v>0</v>
      </c>
      <c r="R20" s="57">
        <f>0*Deflactores!$O$5</f>
        <v>0</v>
      </c>
      <c r="S20" s="57">
        <f>0*Deflactores!$P$5</f>
        <v>0</v>
      </c>
      <c r="T20" s="57">
        <f>0*Deflactores!$Q$5</f>
        <v>0</v>
      </c>
      <c r="U20" s="57">
        <f>0*Deflactores!$R$5</f>
        <v>0</v>
      </c>
      <c r="V20" s="57">
        <f>0*Deflactores!$S$5</f>
        <v>0</v>
      </c>
    </row>
    <row r="21" spans="3:22" x14ac:dyDescent="0.2">
      <c r="C21" s="87" t="s">
        <v>131</v>
      </c>
      <c r="D21" s="56">
        <f>148.687854223*Deflactores!$A$5</f>
        <v>539.82004645244058</v>
      </c>
      <c r="E21" s="56">
        <f>162.32244434*Deflactores!$B$5</f>
        <v>547.45054971994182</v>
      </c>
      <c r="F21" s="56">
        <f>212.741252394*Deflactores!$C$5</f>
        <v>670.60590891577635</v>
      </c>
      <c r="G21" s="56">
        <f>213.429636381*Deflactores!$D$5</f>
        <v>631.76564846965186</v>
      </c>
      <c r="H21" s="56">
        <f>231.428864866*Deflactores!$E$5</f>
        <v>649.34988732280851</v>
      </c>
      <c r="I21" s="56">
        <f>205.281762353*Deflactores!$F$5</f>
        <v>549.31540948430472</v>
      </c>
      <c r="J21" s="56">
        <f>255.615866221*Deflactores!$G$5</f>
        <v>654.68830969974658</v>
      </c>
      <c r="K21" s="56">
        <f>68.866642913*Deflactores!$H$5</f>
        <v>166.87968151589743</v>
      </c>
      <c r="L21" s="56">
        <f>49.808943268*Deflactores!$I$5</f>
        <v>112.09584950648079</v>
      </c>
      <c r="M21" s="56">
        <f>63.401565141*Deflactores!$J$5</f>
        <v>139.88601999839057</v>
      </c>
      <c r="N21" s="56">
        <f>13.088186205*Deflactores!$K$5</f>
        <v>27.98950541865883</v>
      </c>
      <c r="O21" s="56">
        <f>11.655320463*Deflactores!$L$5</f>
        <v>24.029762534411834</v>
      </c>
      <c r="P21" s="56">
        <f>17.046648133*Deflactores!$M$5</f>
        <v>34.30794357305399</v>
      </c>
      <c r="Q21" s="56">
        <f>27.7168870689999*Deflactores!$N$5</f>
        <v>54.721187498511377</v>
      </c>
      <c r="R21" s="56">
        <f>20.234970404*Deflactores!$O$5</f>
        <v>38.539176465873801</v>
      </c>
      <c r="S21" s="56">
        <f>21.90654796*Deflactores!$P$5</f>
        <v>39.077301037413363</v>
      </c>
      <c r="T21" s="56">
        <f>25.887492612*Deflactores!$Q$5</f>
        <v>43.66769072353334</v>
      </c>
      <c r="U21" s="56">
        <f>28.985124678*Deflactores!$R$5</f>
        <v>46.971713369071949</v>
      </c>
      <c r="V21" s="56">
        <f>24.242894007*Deflactores!$S$5</f>
        <v>38.075899199815979</v>
      </c>
    </row>
    <row r="22" spans="3:22" x14ac:dyDescent="0.2">
      <c r="C22" s="88" t="s">
        <v>132</v>
      </c>
      <c r="D22" s="57">
        <f>35.150291*Deflactores!$A$5</f>
        <v>127.6152098609118</v>
      </c>
      <c r="E22" s="57">
        <f>46.396604061*Deflactores!$B$5</f>
        <v>156.47772248383907</v>
      </c>
      <c r="F22" s="57">
        <f>48.16994312*Deflactores!$C$5</f>
        <v>151.84195883449587</v>
      </c>
      <c r="G22" s="57">
        <f>33.85338692584*Deflactores!$D$5</f>
        <v>100.20823399576058</v>
      </c>
      <c r="H22" s="57">
        <f>40.71061*Deflactores!$E$5</f>
        <v>114.22702190432997</v>
      </c>
      <c r="I22" s="57">
        <f>34.829881856*Deflactores!$F$5</f>
        <v>93.20161028780737</v>
      </c>
      <c r="J22" s="57">
        <f>63.265135*Deflactores!$G$5</f>
        <v>162.03588966682665</v>
      </c>
      <c r="K22" s="57">
        <f>109.7593085*Deflactores!$H$5</f>
        <v>265.97199560060881</v>
      </c>
      <c r="L22" s="57">
        <f>101.637882*Deflactores!$I$5</f>
        <v>228.73773216845299</v>
      </c>
      <c r="M22" s="57">
        <f>151.187094*Deflactores!$J$5</f>
        <v>333.57158940396755</v>
      </c>
      <c r="N22" s="57">
        <f>140.65824*Deflactores!$K$5</f>
        <v>300.80215157353155</v>
      </c>
      <c r="O22" s="57">
        <f>148.524437*Deflactores!$L$5</f>
        <v>306.21268312588057</v>
      </c>
      <c r="P22" s="57">
        <f>157.10499*Deflactores!$M$5</f>
        <v>316.18820837458361</v>
      </c>
      <c r="Q22" s="57">
        <f>196.790672*Deflactores!$N$5</f>
        <v>388.52195896538007</v>
      </c>
      <c r="R22" s="57">
        <f>207.7665075*Deflactores!$O$5</f>
        <v>395.70851532641524</v>
      </c>
      <c r="S22" s="57">
        <f>232.154592923*Deflactores!$P$5</f>
        <v>414.12161018865635</v>
      </c>
      <c r="T22" s="57">
        <f>257.444383543*Deflactores!$Q$5</f>
        <v>434.26383109251975</v>
      </c>
      <c r="U22" s="57">
        <f>324.209314048*Deflactores!$R$5</f>
        <v>525.39594499673831</v>
      </c>
      <c r="V22" s="57">
        <f>414.103954892*Deflactores!$S$5</f>
        <v>650.39184018872459</v>
      </c>
    </row>
    <row r="23" spans="3:22" x14ac:dyDescent="0.2">
      <c r="C23" s="87" t="s">
        <v>133</v>
      </c>
      <c r="D23" s="56">
        <f>0.225556897*Deflactores!$A$5</f>
        <v>0.81889765140866311</v>
      </c>
      <c r="E23" s="56">
        <f>0.335156211*Deflactores!$B$5</f>
        <v>1.1303517064447552</v>
      </c>
      <c r="F23" s="56">
        <f>0.3006264*Deflactores!$C$5</f>
        <v>0.94763868289497555</v>
      </c>
      <c r="G23" s="56">
        <f>0.2164611*Deflactores!$D$5</f>
        <v>0.64073897856356088</v>
      </c>
      <c r="H23" s="56">
        <f>1.3211976*Deflactores!$E$5</f>
        <v>3.7070549224182145</v>
      </c>
      <c r="I23" s="56">
        <f>2.838476492*Deflactores!$F$5</f>
        <v>7.5955060919310453</v>
      </c>
      <c r="J23" s="56">
        <f>6.14*Deflactores!$G$5</f>
        <v>15.725886976362505</v>
      </c>
      <c r="K23" s="56">
        <f>2.01262288*Deflactores!$H$5</f>
        <v>4.8770471598319567</v>
      </c>
      <c r="L23" s="56">
        <f>5.259*Deflactores!$I$5</f>
        <v>11.835466361586464</v>
      </c>
      <c r="M23" s="56">
        <f>4.791234*Deflactores!$J$5</f>
        <v>10.571137378871303</v>
      </c>
      <c r="N23" s="56">
        <f>4.177927349*Deflactores!$K$5</f>
        <v>8.9346314563377209</v>
      </c>
      <c r="O23" s="56">
        <f>6.594619169*Deflactores!$L$5</f>
        <v>13.596119741109367</v>
      </c>
      <c r="P23" s="56">
        <f>6.213502078*Deflactores!$M$5</f>
        <v>12.505243084733161</v>
      </c>
      <c r="Q23" s="56">
        <f>6.205*Deflactores!$N$5</f>
        <v>12.25047270218267</v>
      </c>
      <c r="R23" s="56">
        <f>4.723843*Deflactores!$O$5</f>
        <v>8.9969500987308031</v>
      </c>
      <c r="S23" s="56">
        <f>8.071323648*Deflactores!$P$5</f>
        <v>14.397774790405153</v>
      </c>
      <c r="T23" s="56">
        <f>10.167031601*Deflactores!$Q$5</f>
        <v>17.150011327209722</v>
      </c>
      <c r="U23" s="56">
        <f>8.975452402*Deflactores!$R$5</f>
        <v>14.545129002135541</v>
      </c>
      <c r="V23" s="56">
        <f>30.778*Deflactores!$S$5</f>
        <v>48.339939333709765</v>
      </c>
    </row>
    <row r="24" spans="3:22" x14ac:dyDescent="0.2">
      <c r="C24" s="88" t="s">
        <v>134</v>
      </c>
      <c r="D24" s="57">
        <f>132.429589128*Deflactores!$A$5</f>
        <v>480.79345369755384</v>
      </c>
      <c r="E24" s="57">
        <f>123.413481652*Deflactores!$B$5</f>
        <v>416.22573297209965</v>
      </c>
      <c r="F24" s="57">
        <f>134.10720528*Deflactores!$C$5</f>
        <v>422.73458145480669</v>
      </c>
      <c r="G24" s="57">
        <f>120.390481133539*Deflactores!$D$5</f>
        <v>356.36367878699423</v>
      </c>
      <c r="H24" s="57">
        <f>132.380654737*Deflactores!$E$5</f>
        <v>371.43751833619882</v>
      </c>
      <c r="I24" s="57">
        <f>140.81279672802*Deflactores!$F$5</f>
        <v>376.80229460555415</v>
      </c>
      <c r="J24" s="57">
        <f>128.009593717019*Deflactores!$G$5</f>
        <v>327.8606519029193</v>
      </c>
      <c r="K24" s="57">
        <f>163.159364726999*Deflactores!$H$5</f>
        <v>395.37258780532045</v>
      </c>
      <c r="L24" s="57">
        <f>161.894066485*Deflactores!$I$5</f>
        <v>364.34527058826006</v>
      </c>
      <c r="M24" s="57">
        <f>172.642731243*Deflactores!$J$5</f>
        <v>380.91022676690585</v>
      </c>
      <c r="N24" s="57">
        <f>177.480546826*Deflactores!$K$5</f>
        <v>379.54783415253672</v>
      </c>
      <c r="O24" s="57">
        <f>185.267227474*Deflactores!$L$5</f>
        <v>381.96525747548463</v>
      </c>
      <c r="P24" s="57">
        <f>186.094570726*Deflactores!$M$5</f>
        <v>374.53239967801898</v>
      </c>
      <c r="Q24" s="57">
        <f>219.241099406*Deflactores!$N$5</f>
        <v>432.84562505555516</v>
      </c>
      <c r="R24" s="57">
        <f>224.6975625*Deflactores!$O$5</f>
        <v>427.95511136143733</v>
      </c>
      <c r="S24" s="57">
        <f>233.97657284*Deflactores!$P$5</f>
        <v>417.37169129822843</v>
      </c>
      <c r="T24" s="57">
        <f>214.688909586*Deflactores!$Q$5</f>
        <v>362.14279405446729</v>
      </c>
      <c r="U24" s="57">
        <f>232.179862889*Deflactores!$R$5</f>
        <v>376.25803203704038</v>
      </c>
      <c r="V24" s="57">
        <f>251.914611725*Deflactores!$S$5</f>
        <v>395.65719176234813</v>
      </c>
    </row>
    <row r="25" spans="3:22" x14ac:dyDescent="0.2">
      <c r="C25" s="87" t="s">
        <v>135</v>
      </c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</row>
    <row r="26" spans="3:22" x14ac:dyDescent="0.2">
      <c r="C26" s="88" t="s">
        <v>136</v>
      </c>
      <c r="D26" s="57">
        <f>1109.934565231*Deflactores!$A$5</f>
        <v>4029.6830678822535</v>
      </c>
      <c r="E26" s="57">
        <f>1154.053585196*Deflactores!$B$5</f>
        <v>3892.1744444562491</v>
      </c>
      <c r="F26" s="57">
        <f>1139.911253016*Deflactores!$C$5</f>
        <v>3593.2439680122689</v>
      </c>
      <c r="G26" s="57">
        <f>1160.286576072*Deflactores!$D$5</f>
        <v>3434.5239657073935</v>
      </c>
      <c r="H26" s="57">
        <f>1204.12625616*Deflactores!$E$5</f>
        <v>3378.572716988695</v>
      </c>
      <c r="I26" s="57">
        <f>1313.54092530493*Deflactores!$F$5</f>
        <v>3514.9165858070942</v>
      </c>
      <c r="J26" s="57">
        <f>1721.175682426*Deflactores!$G$5</f>
        <v>4408.3085094942808</v>
      </c>
      <c r="K26" s="57">
        <f>2342.250543466*Deflactores!$H$5</f>
        <v>5675.810641994547</v>
      </c>
      <c r="L26" s="57">
        <f>2890.925004623*Deflactores!$I$5</f>
        <v>6506.0744715886485</v>
      </c>
      <c r="M26" s="57">
        <f>3703.735331799*Deflactores!$J$5</f>
        <v>8171.7350910906689</v>
      </c>
      <c r="N26" s="57">
        <f>3135.554449915*Deflactores!$K$5</f>
        <v>6705.4836240691848</v>
      </c>
      <c r="O26" s="57">
        <f>3428.590810724*Deflactores!$L$5</f>
        <v>7068.7222432799672</v>
      </c>
      <c r="P26" s="57">
        <f>3263.887211278*Deflactores!$M$5</f>
        <v>6568.8725079369333</v>
      </c>
      <c r="Q26" s="57">
        <f>3744.054541846*Deflactores!$N$5</f>
        <v>7391.8514037659088</v>
      </c>
      <c r="R26" s="57">
        <f>1562.687347583*Deflactores!$O$5</f>
        <v>2976.2674344008155</v>
      </c>
      <c r="S26" s="57">
        <f>1664.499803037*Deflactores!$P$5</f>
        <v>2969.1652011425399</v>
      </c>
      <c r="T26" s="57">
        <f>2696.164742321*Deflactores!$Q$5</f>
        <v>4547.9602784239087</v>
      </c>
      <c r="U26" s="57">
        <f>2882.593462787*Deflactores!$R$5</f>
        <v>4671.3738649660454</v>
      </c>
      <c r="V26" s="57">
        <f>2987.183218478*Deflactores!$S$5</f>
        <v>4691.6711794106959</v>
      </c>
    </row>
    <row r="27" spans="3:22" x14ac:dyDescent="0.2">
      <c r="C27" s="87" t="s">
        <v>137</v>
      </c>
      <c r="D27" s="56">
        <f>17.710440261*Deflactores!$A$5</f>
        <v>64.298800560048178</v>
      </c>
      <c r="E27" s="56">
        <f>22.556995946*Deflactores!$B$5</f>
        <v>76.075984937747521</v>
      </c>
      <c r="F27" s="56">
        <f>25.139433335*Deflactores!$C$5</f>
        <v>79.244868362543812</v>
      </c>
      <c r="G27" s="56">
        <f>29.0175576287799*Deflactores!$D$5</f>
        <v>85.893863772630283</v>
      </c>
      <c r="H27" s="56">
        <f>34.491713625*Deflactores!$E$5</f>
        <v>96.777860311126545</v>
      </c>
      <c r="I27" s="56">
        <f>82.653571105*Deflactores!$F$5</f>
        <v>221.17347267707555</v>
      </c>
      <c r="J27" s="56">
        <f>56.174831452*Deflactores!$G$5</f>
        <v>143.87606682904976</v>
      </c>
      <c r="K27" s="56">
        <f>37.058533538*Deflactores!$H$5</f>
        <v>89.801332149736979</v>
      </c>
      <c r="L27" s="56">
        <f>60.73508273232*Deflactores!$I$5</f>
        <v>136.68530683524324</v>
      </c>
      <c r="M27" s="56">
        <f>62.60635798*Deflactores!$J$5</f>
        <v>138.13151497033448</v>
      </c>
      <c r="N27" s="56">
        <f>70.7671043*Deflactores!$K$5</f>
        <v>151.33771924110891</v>
      </c>
      <c r="O27" s="56">
        <f>60.974123029*Deflactores!$L$5</f>
        <v>125.7102884285475</v>
      </c>
      <c r="P27" s="56">
        <f>57.998927334*Deflactores!$M$5</f>
        <v>116.72816325811883</v>
      </c>
      <c r="Q27" s="56">
        <f>61.1504*Deflactores!$N$5</f>
        <v>120.72865526632572</v>
      </c>
      <c r="R27" s="56">
        <f>65.421461075*Deflactores!$O$5</f>
        <v>124.60058911310868</v>
      </c>
      <c r="S27" s="56">
        <f>50.701177921*Deflactores!$P$5</f>
        <v>90.441688767579464</v>
      </c>
      <c r="T27" s="56">
        <f>43.59246783177*Deflactores!$Q$5</f>
        <v>73.532899909777811</v>
      </c>
      <c r="U27" s="56">
        <f>70.297016282*Deflactores!$R$5</f>
        <v>113.91951341183353</v>
      </c>
      <c r="V27" s="56">
        <f>56.886194231*Deflactores!$S$5</f>
        <v>89.345479824945429</v>
      </c>
    </row>
    <row r="28" spans="3:22" x14ac:dyDescent="0.2">
      <c r="C28" s="88" t="s">
        <v>138</v>
      </c>
      <c r="D28" s="57">
        <f>14.836020194*Deflactores!$A$5</f>
        <v>53.863048546540774</v>
      </c>
      <c r="E28" s="57">
        <f>17.516699*Deflactores!$B$5</f>
        <v>59.077021269730061</v>
      </c>
      <c r="F28" s="57">
        <f>19.89331668*Deflactores!$C$5</f>
        <v>62.707987113067411</v>
      </c>
      <c r="G28" s="57">
        <f>31.3052490205999*Deflactores!$D$5</f>
        <v>92.665579548182535</v>
      </c>
      <c r="H28" s="57">
        <f>59.096393*Deflactores!$E$5</f>
        <v>165.81439034389049</v>
      </c>
      <c r="I28" s="57">
        <f>39.186800051*Deflactores!$F$5</f>
        <v>104.86032889458022</v>
      </c>
      <c r="J28" s="57">
        <f>67.426603*Deflactores!$G$5</f>
        <v>172.69432214626465</v>
      </c>
      <c r="K28" s="57">
        <f>74.504*Deflactores!$H$5</f>
        <v>180.54029158016934</v>
      </c>
      <c r="L28" s="57">
        <f>102.451176236*Deflactores!$I$5</f>
        <v>230.56806427954825</v>
      </c>
      <c r="M28" s="57">
        <f>112.59505803*Deflactores!$J$5</f>
        <v>248.42406499392774</v>
      </c>
      <c r="N28" s="57">
        <f>110.662352326*Deflactores!$K$5</f>
        <v>236.65498500371541</v>
      </c>
      <c r="O28" s="57">
        <f>84.831953*Deflactores!$L$5</f>
        <v>174.89795260384386</v>
      </c>
      <c r="P28" s="57">
        <f>30.347235*Deflactores!$M$5</f>
        <v>61.076595108611492</v>
      </c>
      <c r="Q28" s="57">
        <f>25.362461*Deflactores!$N$5</f>
        <v>50.072866420736915</v>
      </c>
      <c r="R28" s="57">
        <f>53.7835*Deflactores!$O$5</f>
        <v>102.43512869396552</v>
      </c>
      <c r="S28" s="57">
        <f>0*Deflactores!$P$5</f>
        <v>0</v>
      </c>
      <c r="T28" s="57">
        <f>0*Deflactores!$Q$5</f>
        <v>0</v>
      </c>
      <c r="U28" s="57">
        <f>0*Deflactores!$R$5</f>
        <v>0</v>
      </c>
      <c r="V28" s="57">
        <f>0*Deflactores!$S$5</f>
        <v>0</v>
      </c>
    </row>
    <row r="29" spans="3:22" x14ac:dyDescent="0.2">
      <c r="C29" s="87" t="s">
        <v>139</v>
      </c>
      <c r="D29" s="56">
        <f>204.209931554*Deflactores!$A$5</f>
        <v>741.39623114204505</v>
      </c>
      <c r="E29" s="56">
        <f>235.912327699*Deflactores!$B$5</f>
        <v>795.64063989826809</v>
      </c>
      <c r="F29" s="56">
        <f>198.38415855*Deflactores!$C$5</f>
        <v>625.34927975570338</v>
      </c>
      <c r="G29" s="56">
        <f>203.78504172315*Deflactores!$D$5</f>
        <v>603.21701904048246</v>
      </c>
      <c r="H29" s="56">
        <f>288.119494081*Deflactores!$E$5</f>
        <v>808.41411517672805</v>
      </c>
      <c r="I29" s="56">
        <f>237.51291913804*Deflactores!$F$5</f>
        <v>635.56306677536804</v>
      </c>
      <c r="J29" s="56">
        <f>319.286960527039*Deflactores!$G$5</f>
        <v>817.76395020757855</v>
      </c>
      <c r="K29" s="56">
        <f>384.622981216*Deflactores!$H$5</f>
        <v>932.02975916958326</v>
      </c>
      <c r="L29" s="56">
        <f>482.411783941*Deflactores!$I$5</f>
        <v>1085.6756876338891</v>
      </c>
      <c r="M29" s="56">
        <f>812.111389801*Deflactores!$J$5</f>
        <v>1791.8016670720888</v>
      </c>
      <c r="N29" s="56">
        <f>898.427410886*Deflactores!$K$5</f>
        <v>1921.3157951297133</v>
      </c>
      <c r="O29" s="56">
        <f>866.356882247*Deflactores!$L$5</f>
        <v>1786.167117115054</v>
      </c>
      <c r="P29" s="56">
        <f>852.766454199*Deflactores!$M$5</f>
        <v>1716.2707391733911</v>
      </c>
      <c r="Q29" s="56">
        <f>1099.227713974*Deflactores!$N$5</f>
        <v>2170.194859552159</v>
      </c>
      <c r="R29" s="56">
        <f>1028.836296901*Deflactores!$O$5</f>
        <v>1959.5039087838625</v>
      </c>
      <c r="S29" s="56">
        <f>962.046961514*Deflactores!$P$5</f>
        <v>1716.1169708644231</v>
      </c>
      <c r="T29" s="56">
        <f>1025.501005129*Deflactores!$Q$5</f>
        <v>1729.8415647982706</v>
      </c>
      <c r="U29" s="56">
        <f>1045.15590132826*Deflactores!$R$5</f>
        <v>1693.722692883463</v>
      </c>
      <c r="V29" s="56">
        <f>503.17410668*Deflactores!$S$5</f>
        <v>790.28545685895142</v>
      </c>
    </row>
    <row r="30" spans="3:22" x14ac:dyDescent="0.2">
      <c r="C30" s="88" t="s">
        <v>140</v>
      </c>
      <c r="D30" s="57">
        <f>33.491046494*Deflactores!$A$5</f>
        <v>121.59122457317251</v>
      </c>
      <c r="E30" s="57">
        <f>44.740896411*Deflactores!$B$5</f>
        <v>150.89366374905663</v>
      </c>
      <c r="F30" s="57">
        <f>25.4688899*Deflactores!$C$5</f>
        <v>80.283385889040844</v>
      </c>
      <c r="G30" s="57">
        <f>17.43548485107*Deflactores!$D$5</f>
        <v>51.610172701862055</v>
      </c>
      <c r="H30" s="57">
        <f>2315.646310038*Deflactores!$E$5</f>
        <v>6497.3082392867973</v>
      </c>
      <c r="I30" s="57">
        <f>2278.346484183*Deflactores!$F$5</f>
        <v>6096.6489061702105</v>
      </c>
      <c r="J30" s="57">
        <f>360.978454937*Deflactores!$G$5</f>
        <v>924.54501355720311</v>
      </c>
      <c r="K30" s="57">
        <f>218.115856*Deflactores!$H$5</f>
        <v>528.54477934739373</v>
      </c>
      <c r="L30" s="57">
        <f>322.943177614*Deflactores!$I$5</f>
        <v>726.78895519192611</v>
      </c>
      <c r="M30" s="57">
        <f>417.002730743*Deflactores!$J$5</f>
        <v>920.0538220526762</v>
      </c>
      <c r="N30" s="57">
        <f>1251.424060742*Deflactores!$K$5</f>
        <v>2676.2104374552064</v>
      </c>
      <c r="O30" s="57">
        <f>1218.5541*Deflactores!$L$5</f>
        <v>2512.2917684922286</v>
      </c>
      <c r="P30" s="57">
        <f>692.498042702*Deflactores!$M$5</f>
        <v>1393.7158547596184</v>
      </c>
      <c r="Q30" s="57">
        <f>741.709724*Deflactores!$N$5</f>
        <v>1464.3504797430205</v>
      </c>
      <c r="R30" s="57">
        <f>659.195317098*Deflactores!$O$5</f>
        <v>1255.4920587427937</v>
      </c>
      <c r="S30" s="57">
        <f>856.593229699*Deflactores!$P$5</f>
        <v>1528.0066747475805</v>
      </c>
      <c r="T30" s="57">
        <f>690.088598475*Deflactores!$Q$5</f>
        <v>1164.0592598788101</v>
      </c>
      <c r="U30" s="57">
        <f>724.142286978*Deflactores!$R$5</f>
        <v>1173.505524651822</v>
      </c>
      <c r="V30" s="57">
        <f>711.129321031*Deflactores!$S$5</f>
        <v>1116.9000012041315</v>
      </c>
    </row>
    <row r="31" spans="3:22" x14ac:dyDescent="0.2">
      <c r="C31" s="87" t="s">
        <v>141</v>
      </c>
      <c r="D31" s="56">
        <f>9.184223294*Deflactores!$A$5</f>
        <v>33.343865718587786</v>
      </c>
      <c r="E31" s="56">
        <f>8.382529829*Deflactores!$B$5</f>
        <v>28.271016873783108</v>
      </c>
      <c r="F31" s="56">
        <f>10.845507335*Deflactores!$C$5</f>
        <v>34.187357751239404</v>
      </c>
      <c r="G31" s="56">
        <f>11.930545653*Deflactores!$D$5</f>
        <v>35.315193517029861</v>
      </c>
      <c r="H31" s="56">
        <f>14.276763447*Deflactores!$E$5</f>
        <v>40.058161029358352</v>
      </c>
      <c r="I31" s="56">
        <f>14.562986552*Deflactores!$F$5</f>
        <v>38.969233454699996</v>
      </c>
      <c r="J31" s="56">
        <f>24.913591299*Deflactores!$G$5</f>
        <v>63.809172792078556</v>
      </c>
      <c r="K31" s="56">
        <f>21.600408*Deflactores!$H$5</f>
        <v>52.342746142094683</v>
      </c>
      <c r="L31" s="56">
        <f>28.897*Deflactores!$I$5</f>
        <v>65.033175784514924</v>
      </c>
      <c r="M31" s="56">
        <f>29.61438595*Deflactores!$J$5</f>
        <v>65.339689580672967</v>
      </c>
      <c r="N31" s="56">
        <f>35.497414526*Deflactores!$K$5</f>
        <v>75.912357958682918</v>
      </c>
      <c r="O31" s="56">
        <f>30.894882887*Deflactores!$L$5</f>
        <v>63.695949129826502</v>
      </c>
      <c r="P31" s="56">
        <f>31.203853346*Deflactores!$M$5</f>
        <v>62.800618133485102</v>
      </c>
      <c r="Q31" s="56">
        <f>33.181*Deflactores!$N$5</f>
        <v>65.508933880922342</v>
      </c>
      <c r="R31" s="56">
        <f>33.246*Deflactores!$O$5</f>
        <v>63.319759564914484</v>
      </c>
      <c r="S31" s="56">
        <f>31.3467*Deflactores!$P$5</f>
        <v>55.916816956562855</v>
      </c>
      <c r="T31" s="56">
        <f>45.744085942*Deflactores!$Q$5</f>
        <v>77.162304873823018</v>
      </c>
      <c r="U31" s="56">
        <f>24.299951725*Deflactores!$R$5</f>
        <v>39.379177422525544</v>
      </c>
      <c r="V31" s="56">
        <f>21.823*Deflactores!$S$5</f>
        <v>34.275212686969532</v>
      </c>
    </row>
    <row r="32" spans="3:22" x14ac:dyDescent="0.2">
      <c r="C32" s="88" t="s">
        <v>142</v>
      </c>
      <c r="D32" s="57">
        <f>20.881127588*Deflactores!$A$5</f>
        <v>75.810168378836323</v>
      </c>
      <c r="E32" s="57">
        <f>24.271653333*Deflactores!$B$5</f>
        <v>81.858858236084075</v>
      </c>
      <c r="F32" s="57">
        <f>27.647225905*Deflactores!$C$5</f>
        <v>87.149966677291303</v>
      </c>
      <c r="G32" s="57">
        <f>28.926448644*Deflactores!$D$5</f>
        <v>85.624175233461642</v>
      </c>
      <c r="H32" s="57">
        <f>38.541627703*Deflactores!$E$5</f>
        <v>108.14122784844324</v>
      </c>
      <c r="I32" s="57">
        <f>32.531814913*Deflactores!$F$5</f>
        <v>87.052191219367941</v>
      </c>
      <c r="J32" s="57">
        <f>50.501261194*Deflactores!$G$5</f>
        <v>129.34480874602701</v>
      </c>
      <c r="K32" s="57">
        <f>54.741550448*Deflactores!$H$5</f>
        <v>132.65134059154499</v>
      </c>
      <c r="L32" s="57">
        <f>54.756283643*Deflactores!$I$5</f>
        <v>123.22992073440076</v>
      </c>
      <c r="M32" s="57">
        <f>60.628139826*Deflactores!$J$5</f>
        <v>133.76687407170354</v>
      </c>
      <c r="N32" s="57">
        <f>81.366817333*Deflactores!$K$5</f>
        <v>174.0055450747636</v>
      </c>
      <c r="O32" s="57">
        <f>77.358120576*Deflactores!$L$5</f>
        <v>159.48915977478069</v>
      </c>
      <c r="P32" s="57">
        <f>84.672906755*Deflactores!$M$5</f>
        <v>170.41199445499234</v>
      </c>
      <c r="Q32" s="57">
        <f>120.617562*Deflactores!$N$5</f>
        <v>238.13410969940784</v>
      </c>
      <c r="R32" s="57">
        <f>123.911*Deflactores!$O$5</f>
        <v>235.9987585708993</v>
      </c>
      <c r="S32" s="57">
        <f>126.9779*Deflactores!$P$5</f>
        <v>226.50550111586685</v>
      </c>
      <c r="T32" s="57">
        <f>118.256259817*Deflactores!$Q$5</f>
        <v>199.47771138780845</v>
      </c>
      <c r="U32" s="57">
        <f>124.830664551*Deflactores!$R$5</f>
        <v>202.29377172252794</v>
      </c>
      <c r="V32" s="57">
        <f>112.901301*Deflactores!$S$5</f>
        <v>177.32282932734114</v>
      </c>
    </row>
    <row r="33" spans="3:22" x14ac:dyDescent="0.2">
      <c r="C33" s="87" t="s">
        <v>143</v>
      </c>
      <c r="D33" s="56">
        <f>0.0585*Deflactores!$A$5</f>
        <v>0.21238770901963061</v>
      </c>
      <c r="E33" s="56">
        <f>0*Deflactores!$B$5</f>
        <v>0</v>
      </c>
      <c r="F33" s="56">
        <f>0*Deflactores!$C$5</f>
        <v>0</v>
      </c>
      <c r="G33" s="56">
        <f>0*Deflactores!$D$5</f>
        <v>0</v>
      </c>
      <c r="H33" s="56">
        <f>66.591601911*Deflactores!$E$5</f>
        <v>186.8446670323097</v>
      </c>
      <c r="I33" s="56">
        <f>8.86793114152*Deflactores!$F$5</f>
        <v>23.729780816603004</v>
      </c>
      <c r="J33" s="56">
        <f>0*Deflactores!$G$5</f>
        <v>0</v>
      </c>
      <c r="K33" s="56">
        <f>0*Deflactores!$H$5</f>
        <v>0</v>
      </c>
      <c r="L33" s="56">
        <f>0*Deflactores!$I$5</f>
        <v>0</v>
      </c>
      <c r="M33" s="56">
        <f>0*Deflactores!$J$5</f>
        <v>0</v>
      </c>
      <c r="N33" s="56">
        <f>0*Deflactores!$K$5</f>
        <v>0</v>
      </c>
      <c r="O33" s="56">
        <f>0*Deflactores!$L$5</f>
        <v>0</v>
      </c>
      <c r="P33" s="56">
        <f>48.02174751*Deflactores!$M$5</f>
        <v>96.648173353395848</v>
      </c>
      <c r="Q33" s="56">
        <f>6.856473429*Deflactores!$N$5</f>
        <v>13.53667051977523</v>
      </c>
      <c r="R33" s="56">
        <f>12.826001183*Deflactores!$O$5</f>
        <v>24.428181167264295</v>
      </c>
      <c r="S33" s="56">
        <f>3.309*Deflactores!$P$5</f>
        <v>5.9026547390719442</v>
      </c>
      <c r="T33" s="56">
        <f>11.880739274*Deflactores!$Q$5</f>
        <v>20.040737662769207</v>
      </c>
      <c r="U33" s="56">
        <f>20.546765788*Deflactores!$R$5</f>
        <v>33.296968840983567</v>
      </c>
      <c r="V33" s="56">
        <f>152.863819794*Deflactores!$S$5</f>
        <v>240.08797761911435</v>
      </c>
    </row>
    <row r="34" spans="3:22" x14ac:dyDescent="0.2">
      <c r="C34" s="88" t="s">
        <v>144</v>
      </c>
      <c r="D34" s="57">
        <f>0*Deflactores!$A$5</f>
        <v>0</v>
      </c>
      <c r="E34" s="57">
        <f>0*Deflactores!$B$5</f>
        <v>0</v>
      </c>
      <c r="F34" s="57">
        <f>0*Deflactores!$C$5</f>
        <v>0</v>
      </c>
      <c r="G34" s="57">
        <f>0*Deflactores!$D$5</f>
        <v>0</v>
      </c>
      <c r="H34" s="57">
        <f>0*Deflactores!$E$5</f>
        <v>0</v>
      </c>
      <c r="I34" s="57">
        <f>0*Deflactores!$F$5</f>
        <v>0</v>
      </c>
      <c r="J34" s="57">
        <f>0*Deflactores!$G$5</f>
        <v>0</v>
      </c>
      <c r="K34" s="57">
        <f>0*Deflactores!$H$5</f>
        <v>0</v>
      </c>
      <c r="L34" s="57">
        <f>0*Deflactores!$I$5</f>
        <v>0</v>
      </c>
      <c r="M34" s="57">
        <f>0*Deflactores!$J$5</f>
        <v>0</v>
      </c>
      <c r="N34" s="57">
        <f>0*Deflactores!$K$5</f>
        <v>0</v>
      </c>
      <c r="O34" s="57">
        <f>0*Deflactores!$L$5</f>
        <v>0</v>
      </c>
      <c r="P34" s="57">
        <f>0*Deflactores!$M$5</f>
        <v>0</v>
      </c>
      <c r="Q34" s="57">
        <f>0*Deflactores!$N$5</f>
        <v>0</v>
      </c>
      <c r="R34" s="57">
        <f>0*Deflactores!$O$5</f>
        <v>0</v>
      </c>
      <c r="S34" s="57">
        <f>0*Deflactores!$P$5</f>
        <v>0</v>
      </c>
      <c r="T34" s="57">
        <f>0*Deflactores!$Q$5</f>
        <v>0</v>
      </c>
      <c r="U34" s="57">
        <f>0*Deflactores!$R$5</f>
        <v>0</v>
      </c>
      <c r="V34" s="57">
        <f>0*Deflactores!$S$5</f>
        <v>0</v>
      </c>
    </row>
    <row r="35" spans="3:22" x14ac:dyDescent="0.2">
      <c r="C35" s="87" t="s">
        <v>145</v>
      </c>
      <c r="D35" s="56">
        <f>19.148407319*Deflactores!$A$5</f>
        <v>69.519424989010886</v>
      </c>
      <c r="E35" s="56">
        <f>19.591125569*Deflactores!$B$5</f>
        <v>66.073256264651548</v>
      </c>
      <c r="F35" s="56">
        <f>33.568428695*Deflactores!$C$5</f>
        <v>105.81486374910422</v>
      </c>
      <c r="G35" s="56">
        <f>25.067270199*Deflactores!$D$5</f>
        <v>74.200755252024734</v>
      </c>
      <c r="H35" s="56">
        <f>28.644206908*Deflactores!$E$5</f>
        <v>80.370754697909859</v>
      </c>
      <c r="I35" s="56">
        <f>13.19138481*Deflactores!$F$5</f>
        <v>35.2989513803455</v>
      </c>
      <c r="J35" s="56">
        <f>38.475990297*Deflactores!$G$5</f>
        <v>98.545451907857071</v>
      </c>
      <c r="K35" s="56">
        <f>36.932942188*Deflactores!$H$5</f>
        <v>89.496995483934512</v>
      </c>
      <c r="L35" s="56">
        <f>30.838*Deflactores!$I$5</f>
        <v>69.401428343526021</v>
      </c>
      <c r="M35" s="56">
        <f>37.60481516*Deflactores!$J$5</f>
        <v>82.969370137927342</v>
      </c>
      <c r="N35" s="56">
        <f>44.903290566*Deflactores!$K$5</f>
        <v>96.027125143782982</v>
      </c>
      <c r="O35" s="56">
        <f>49.119953357*Deflactores!$L$5</f>
        <v>101.27055867894032</v>
      </c>
      <c r="P35" s="56">
        <f>54.412927217*Deflactores!$M$5</f>
        <v>109.51100897024243</v>
      </c>
      <c r="Q35" s="56">
        <f>53.261*Deflactores!$N$5</f>
        <v>105.15268760531042</v>
      </c>
      <c r="R35" s="56">
        <f>62.092943088*Deflactores!$O$5</f>
        <v>118.26115102599044</v>
      </c>
      <c r="S35" s="56">
        <f>79.029272362*Deflactores!$P$5</f>
        <v>140.97386190177295</v>
      </c>
      <c r="T35" s="56">
        <f>89.677864288*Deflactores!$Q$5</f>
        <v>151.27093616861634</v>
      </c>
      <c r="U35" s="56">
        <f>92.022257971*Deflactores!$R$5</f>
        <v>149.12625607125253</v>
      </c>
      <c r="V35" s="56">
        <f>99.376388153*Deflactores!$S$5</f>
        <v>156.08059570209934</v>
      </c>
    </row>
    <row r="36" spans="3:22" x14ac:dyDescent="0.2">
      <c r="C36" s="88" t="s">
        <v>146</v>
      </c>
      <c r="D36" s="57">
        <f>55.6351*Deflactores!$A$5</f>
        <v>201.98652017227437</v>
      </c>
      <c r="E36" s="57">
        <f>60.605352745*Deflactores!$B$5</f>
        <v>204.39831232904433</v>
      </c>
      <c r="F36" s="57">
        <f>59.231262245*Deflactores!$C$5</f>
        <v>186.70960148562699</v>
      </c>
      <c r="G36" s="57">
        <f>39.518977535*Deflactores!$D$5</f>
        <v>116.97875183879326</v>
      </c>
      <c r="H36" s="57">
        <f>48.9352049579999*Deflactores!$E$5</f>
        <v>137.30383132628893</v>
      </c>
      <c r="I36" s="57">
        <f>47.351396689*Deflactores!$F$5</f>
        <v>126.70805026090842</v>
      </c>
      <c r="J36" s="57">
        <f>59.2419703099999*Deflactores!$G$5</f>
        <v>151.73168230489929</v>
      </c>
      <c r="K36" s="57">
        <f>57.64480384*Deflactores!$H$5</f>
        <v>139.68658989255965</v>
      </c>
      <c r="L36" s="57">
        <f>59.853*Deflactores!$I$5</f>
        <v>134.7001650770174</v>
      </c>
      <c r="M36" s="57">
        <f>76.089560131*Deflactores!$J$5</f>
        <v>167.88017309166901</v>
      </c>
      <c r="N36" s="57">
        <f>118.705394776*Deflactores!$K$5</f>
        <v>253.85528890455512</v>
      </c>
      <c r="O36" s="57">
        <f>118.6728*Deflactores!$L$5</f>
        <v>244.66759299724526</v>
      </c>
      <c r="P36" s="57">
        <f>233.065941177*Deflactores!$M$5</f>
        <v>469.06659281727286</v>
      </c>
      <c r="Q36" s="57">
        <f>222.298*Deflactores!$N$5</f>
        <v>438.88083493147514</v>
      </c>
      <c r="R36" s="57">
        <f>180.891966222*Deflactores!$O$5</f>
        <v>344.52372641525812</v>
      </c>
      <c r="S36" s="57">
        <f>237.95576086*Deflactores!$P$5</f>
        <v>424.46983968865192</v>
      </c>
      <c r="T36" s="57">
        <f>309.022227539*Deflactores!$Q$5</f>
        <v>521.26666962775687</v>
      </c>
      <c r="U36" s="57">
        <f>309.029419521*Deflactores!$R$5</f>
        <v>500.79623522781048</v>
      </c>
      <c r="V36" s="57">
        <f>268.591*Deflactores!$S$5</f>
        <v>421.84913397818053</v>
      </c>
    </row>
    <row r="37" spans="3:22" x14ac:dyDescent="0.2">
      <c r="C37" s="90" t="s">
        <v>147</v>
      </c>
      <c r="D37" s="58">
        <f>700.609254339*Deflactores!$A$5</f>
        <v>2543.6033238805453</v>
      </c>
      <c r="E37" s="58">
        <f>782.941984801*Deflactores!$B$5</f>
        <v>2640.5591766492848</v>
      </c>
      <c r="F37" s="58">
        <f>752.525672304*Deflactores!$C$5</f>
        <v>2372.1217995053612</v>
      </c>
      <c r="G37" s="58">
        <f>787.546873752*Deflactores!$D$5</f>
        <v>2331.1901281975474</v>
      </c>
      <c r="H37" s="58">
        <f>967.72983466716*Deflactores!$E$5</f>
        <v>2715.2847137883541</v>
      </c>
      <c r="I37" s="58">
        <f>996.961455516*Deflactores!$F$5</f>
        <v>2667.7785883146994</v>
      </c>
      <c r="J37" s="58">
        <f>1200.217786615*Deflactores!$G$5</f>
        <v>3074.0210520077298</v>
      </c>
      <c r="K37" s="58">
        <f>1298.481008955*Deflactores!$H$5</f>
        <v>3146.5175019871172</v>
      </c>
      <c r="L37" s="58">
        <f>1453.925571645*Deflactores!$I$5</f>
        <v>3272.0835131117638</v>
      </c>
      <c r="M37" s="58">
        <f>1713.35904547623*Deflactores!$J$5</f>
        <v>3780.2691016679687</v>
      </c>
      <c r="N37" s="58">
        <f>2199.789243171*Deflactores!$K$5</f>
        <v>4704.3197565542368</v>
      </c>
      <c r="O37" s="58">
        <f>2375.69907458*Deflactores!$L$5</f>
        <v>4897.9764045617167</v>
      </c>
      <c r="P37" s="58">
        <f>2712.933542629*Deflactores!$M$5</f>
        <v>5460.0276941119155</v>
      </c>
      <c r="Q37" s="58">
        <f>2773.33386289641*Deflactores!$N$5</f>
        <v>5475.3667657455744</v>
      </c>
      <c r="R37" s="58">
        <f>1399.74915822052*Deflactores!$O$5</f>
        <v>2665.9381624771331</v>
      </c>
      <c r="S37" s="58">
        <f>1954.582910666*Deflactores!$P$5</f>
        <v>3486.6207556819882</v>
      </c>
      <c r="T37" s="58">
        <f>2250.714120758*Deflactores!$Q$5</f>
        <v>3796.5626723845339</v>
      </c>
      <c r="U37" s="58">
        <f>2361.791039725*Deflactores!$R$5</f>
        <v>3827.3898417903893</v>
      </c>
      <c r="V37" s="58">
        <f>2150.837207*Deflactores!$S$5</f>
        <v>3378.1057931985756</v>
      </c>
    </row>
    <row r="38" spans="3:22" ht="22.5" customHeight="1" x14ac:dyDescent="0.2">
      <c r="C38" s="89" t="s">
        <v>148</v>
      </c>
      <c r="D38" s="59">
        <f>0*Deflactores!$A$5</f>
        <v>0</v>
      </c>
      <c r="E38" s="59">
        <f>0*Deflactores!$B$5</f>
        <v>0</v>
      </c>
      <c r="F38" s="59">
        <f>0*Deflactores!$C$5</f>
        <v>0</v>
      </c>
      <c r="G38" s="59">
        <f>0*Deflactores!$D$5</f>
        <v>0</v>
      </c>
      <c r="H38" s="59">
        <f>0*Deflactores!$E$5</f>
        <v>0</v>
      </c>
      <c r="I38" s="59">
        <f>0*Deflactores!$F$5</f>
        <v>0</v>
      </c>
      <c r="J38" s="59">
        <f>0*Deflactores!$G$5</f>
        <v>0</v>
      </c>
      <c r="K38" s="59">
        <f>0*Deflactores!$H$5</f>
        <v>0</v>
      </c>
      <c r="L38" s="59">
        <f>0*Deflactores!$I$5</f>
        <v>0</v>
      </c>
      <c r="M38" s="59">
        <f>0*Deflactores!$J$5</f>
        <v>0</v>
      </c>
      <c r="N38" s="59">
        <f>0*Deflactores!$K$5</f>
        <v>0</v>
      </c>
      <c r="O38" s="59">
        <f>0*Deflactores!$L$5</f>
        <v>0</v>
      </c>
      <c r="P38" s="59">
        <f>0*Deflactores!$M$5</f>
        <v>0</v>
      </c>
      <c r="Q38" s="59">
        <f>0*Deflactores!$N$5</f>
        <v>0</v>
      </c>
      <c r="R38" s="59">
        <f>0*Deflactores!$O$5</f>
        <v>0</v>
      </c>
      <c r="S38" s="59">
        <f>0*Deflactores!$P$5</f>
        <v>0</v>
      </c>
      <c r="T38" s="59">
        <f>0*Deflactores!$Q$5</f>
        <v>0</v>
      </c>
      <c r="U38" s="59">
        <f>0*Deflactores!$R$5</f>
        <v>0</v>
      </c>
      <c r="V38" s="59">
        <f>0*Deflactores!$S$5</f>
        <v>0</v>
      </c>
    </row>
    <row r="39" spans="3:22" x14ac:dyDescent="0.2">
      <c r="C39" s="87" t="s">
        <v>149</v>
      </c>
      <c r="D39" s="56">
        <f>293.5195484*Deflactores!$A$5</f>
        <v>1065.6400758487621</v>
      </c>
      <c r="E39" s="56">
        <f>299.74387286*Deflactores!$B$5</f>
        <v>1010.9196460144394</v>
      </c>
      <c r="F39" s="56">
        <f>305.804992022*Deflactores!$C$5</f>
        <v>963.96271206532958</v>
      </c>
      <c r="G39" s="56">
        <f>251.090755227*Deflactores!$D$5</f>
        <v>743.24501737679918</v>
      </c>
      <c r="H39" s="56">
        <f>287.161412*Deflactores!$E$5</f>
        <v>805.72590041275043</v>
      </c>
      <c r="I39" s="56">
        <f>246.62958*Deflactores!$F$5</f>
        <v>659.95842580344163</v>
      </c>
      <c r="J39" s="56">
        <f>390.259098926*Deflactores!$G$5</f>
        <v>999.53916632041523</v>
      </c>
      <c r="K39" s="56">
        <f>502.122964559*Deflactores!$H$5</f>
        <v>1216.7591864944284</v>
      </c>
      <c r="L39" s="56">
        <f>663.65407537*Deflactores!$I$5</f>
        <v>1493.5644580284088</v>
      </c>
      <c r="M39" s="56">
        <f>955.280087867*Deflactores!$J$5</f>
        <v>2107.6818715475606</v>
      </c>
      <c r="N39" s="56">
        <f>1046.237221168*Deflactores!$K$5</f>
        <v>2237.4118088186451</v>
      </c>
      <c r="O39" s="56">
        <f>1153.550738668*Deflactores!$L$5</f>
        <v>2378.2744034866782</v>
      </c>
      <c r="P39" s="56">
        <f>1286.179192*Deflactores!$M$5</f>
        <v>2588.5536440768024</v>
      </c>
      <c r="Q39" s="56">
        <f>1433.786343896*Deflactores!$N$5</f>
        <v>2830.7107923707076</v>
      </c>
      <c r="R39" s="56">
        <f>1918.594143757*Deflactores!$O$5</f>
        <v>3654.1213946142757</v>
      </c>
      <c r="S39" s="56">
        <f>1555.619286201*Deflactores!$P$5</f>
        <v>2774.9421432112563</v>
      </c>
      <c r="T39" s="56">
        <f>1196.302911507*Deflactores!$Q$5</f>
        <v>2017.9546290680425</v>
      </c>
      <c r="U39" s="56">
        <f>1254.587728588*Deflactores!$R$5</f>
        <v>2033.1164981435852</v>
      </c>
      <c r="V39" s="56">
        <f>1303.384062301*Deflactores!$S$5</f>
        <v>2047.0955390263998</v>
      </c>
    </row>
    <row r="40" spans="3:22" x14ac:dyDescent="0.2">
      <c r="C40" s="88" t="s">
        <v>150</v>
      </c>
      <c r="D40" s="57">
        <f>517.207429017*Deflactores!$A$5</f>
        <v>1877.7521527667323</v>
      </c>
      <c r="E40" s="57">
        <f>781.02766378417*Deflactores!$B$5</f>
        <v>2634.1029154879579</v>
      </c>
      <c r="F40" s="57">
        <f>1000.89216*Deflactores!$C$5</f>
        <v>3155.0260663145591</v>
      </c>
      <c r="G40" s="57">
        <f>778.5035118503*Deflactores!$D$5</f>
        <v>2304.421186952789</v>
      </c>
      <c r="H40" s="57">
        <f>755.93165207805*Deflactores!$E$5</f>
        <v>2121.0151697578531</v>
      </c>
      <c r="I40" s="57">
        <f>626.46115189392*Deflactores!$F$5</f>
        <v>1676.3533215720602</v>
      </c>
      <c r="J40" s="57">
        <f>854.41259221717*Deflactores!$G$5</f>
        <v>2188.3380873596288</v>
      </c>
      <c r="K40" s="57">
        <f>850.411796239*Deflactores!$H$5</f>
        <v>2060.7429622061177</v>
      </c>
      <c r="L40" s="57">
        <f>850.6261928412*Deflactores!$I$5</f>
        <v>1914.3482965690021</v>
      </c>
      <c r="M40" s="57">
        <f>1050.700260401*Deflactores!$J$5</f>
        <v>2318.2121342257174</v>
      </c>
      <c r="N40" s="57">
        <f>1281.49349921*Deflactores!$K$5</f>
        <v>2740.5148947538496</v>
      </c>
      <c r="O40" s="57">
        <f>888.620551700999*Deflactores!$L$5</f>
        <v>1832.0681021478181</v>
      </c>
      <c r="P40" s="57">
        <f>1212.6112*Deflactores!$M$5</f>
        <v>2440.4913095564557</v>
      </c>
      <c r="Q40" s="57">
        <f>1165.24238422093*Deflactores!$N$5</f>
        <v>2300.5269974737716</v>
      </c>
      <c r="R40" s="57">
        <f>1466.186371851*Deflactores!$O$5</f>
        <v>2792.473336430236</v>
      </c>
      <c r="S40" s="57">
        <f>1587.914225168*Deflactores!$P$5</f>
        <v>2832.5504461854484</v>
      </c>
      <c r="T40" s="57">
        <f>1703.450058804*Deflactores!$Q$5</f>
        <v>2873.4235271729899</v>
      </c>
      <c r="U40" s="57">
        <f>2444.249677335*Deflactores!$R$5</f>
        <v>3961.0178159201992</v>
      </c>
      <c r="V40" s="57">
        <f>2071.890245226*Deflactores!$S$5</f>
        <v>3254.1116628867985</v>
      </c>
    </row>
    <row r="41" spans="3:22" x14ac:dyDescent="0.2">
      <c r="C41" s="87" t="s">
        <v>151</v>
      </c>
      <c r="D41" s="56">
        <f>36.718857568*Deflactores!$A$5</f>
        <v>133.30998353308794</v>
      </c>
      <c r="E41" s="56">
        <f>62.17883846*Deflactores!$B$5</f>
        <v>209.70506841663089</v>
      </c>
      <c r="F41" s="56">
        <f>23.117184*Deflactores!$C$5</f>
        <v>72.870306127475175</v>
      </c>
      <c r="G41" s="56">
        <f>14.6774*Deflactores!$D$5</f>
        <v>43.446061597066681</v>
      </c>
      <c r="H41" s="56">
        <f>36.7336*Deflactores!$E$5</f>
        <v>103.06821076434117</v>
      </c>
      <c r="I41" s="56">
        <f>88.85*Deflactores!$F$5</f>
        <v>237.75455536450971</v>
      </c>
      <c r="J41" s="56">
        <f>43.5783*Deflactores!$G$5</f>
        <v>111.61358638795083</v>
      </c>
      <c r="K41" s="56">
        <f>24.6393235*Deflactores!$H$5</f>
        <v>59.706735866908062</v>
      </c>
      <c r="L41" s="56">
        <f>0*Deflactores!$I$5</f>
        <v>0</v>
      </c>
      <c r="M41" s="56">
        <f>0*Deflactores!$J$5</f>
        <v>0</v>
      </c>
      <c r="N41" s="56">
        <f>0*Deflactores!$K$5</f>
        <v>0</v>
      </c>
      <c r="O41" s="56">
        <f>0*Deflactores!$L$5</f>
        <v>0</v>
      </c>
      <c r="P41" s="56">
        <f>0*Deflactores!$M$5</f>
        <v>0</v>
      </c>
      <c r="Q41" s="56">
        <f>0*Deflactores!$N$5</f>
        <v>0</v>
      </c>
      <c r="R41" s="56">
        <f>0*Deflactores!$O$5</f>
        <v>0</v>
      </c>
      <c r="S41" s="56">
        <f>0*Deflactores!$P$5</f>
        <v>0</v>
      </c>
      <c r="T41" s="56">
        <f>0*Deflactores!$Q$5</f>
        <v>0</v>
      </c>
      <c r="U41" s="56">
        <f>0*Deflactores!$R$5</f>
        <v>0</v>
      </c>
      <c r="V41" s="56">
        <f>0*Deflactores!$S$5</f>
        <v>0</v>
      </c>
    </row>
    <row r="42" spans="3:22" ht="21.75" customHeight="1" x14ac:dyDescent="0.2">
      <c r="C42" s="79" t="s">
        <v>152</v>
      </c>
      <c r="D42" s="44">
        <f t="shared" ref="D42:V42" si="0">+SUM(D13:D41)</f>
        <v>15033.511833455341</v>
      </c>
      <c r="E42" s="44">
        <f t="shared" si="0"/>
        <v>16063.222132372195</v>
      </c>
      <c r="F42" s="44">
        <f t="shared" si="0"/>
        <v>15920.670057249041</v>
      </c>
      <c r="G42" s="44">
        <f t="shared" si="0"/>
        <v>14479.003210899235</v>
      </c>
      <c r="H42" s="44">
        <f t="shared" si="0"/>
        <v>21653.077304645489</v>
      </c>
      <c r="I42" s="44">
        <f t="shared" si="0"/>
        <v>20768.525278131921</v>
      </c>
      <c r="J42" s="44">
        <f t="shared" si="0"/>
        <v>17851.352558518356</v>
      </c>
      <c r="K42" s="44">
        <f t="shared" si="0"/>
        <v>18512.220880823188</v>
      </c>
      <c r="L42" s="44">
        <f t="shared" si="0"/>
        <v>19822.987366308469</v>
      </c>
      <c r="M42" s="44">
        <f t="shared" si="0"/>
        <v>24738.862399692196</v>
      </c>
      <c r="N42" s="44">
        <f t="shared" si="0"/>
        <v>26958.0597771502</v>
      </c>
      <c r="O42" s="44">
        <f t="shared" si="0"/>
        <v>26578.607563158384</v>
      </c>
      <c r="P42" s="44">
        <f t="shared" si="0"/>
        <v>26658.777787785566</v>
      </c>
      <c r="Q42" s="44">
        <f t="shared" si="0"/>
        <v>28437.954061940538</v>
      </c>
      <c r="R42" s="44">
        <f t="shared" si="0"/>
        <v>21737.692374398208</v>
      </c>
      <c r="S42" s="44">
        <f t="shared" si="0"/>
        <v>21864.827805300942</v>
      </c>
      <c r="T42" s="44">
        <f t="shared" si="0"/>
        <v>22529.887542971133</v>
      </c>
      <c r="U42" s="44">
        <f t="shared" si="0"/>
        <v>23684.803012427681</v>
      </c>
      <c r="V42" s="44">
        <f t="shared" si="0"/>
        <v>21585.0834605899</v>
      </c>
    </row>
    <row r="43" spans="3:22" x14ac:dyDescent="0.2">
      <c r="C43" s="1" t="s">
        <v>52</v>
      </c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</row>
    <row r="44" spans="3:22" x14ac:dyDescent="0.2"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</row>
    <row r="45" spans="3:22" x14ac:dyDescent="0.2"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</row>
    <row r="47" spans="3:22" ht="18" customHeight="1" x14ac:dyDescent="0.2">
      <c r="D47" s="160" t="s">
        <v>172</v>
      </c>
      <c r="E47" s="158"/>
      <c r="F47" s="158"/>
      <c r="G47" s="158"/>
      <c r="H47" s="158"/>
      <c r="I47" s="158"/>
      <c r="J47" s="158"/>
      <c r="K47" s="158"/>
      <c r="L47" s="158"/>
      <c r="M47" s="158"/>
      <c r="N47" s="158"/>
      <c r="O47" s="158"/>
      <c r="P47" s="158"/>
      <c r="Q47" s="158"/>
      <c r="R47" s="158"/>
      <c r="S47" s="158"/>
      <c r="T47" s="158"/>
      <c r="U47" s="158"/>
      <c r="V47" s="158"/>
    </row>
    <row r="48" spans="3:22" ht="15" hidden="1" customHeight="1" x14ac:dyDescent="0.2">
      <c r="H48" s="27"/>
      <c r="I48" s="27"/>
      <c r="J48" s="27"/>
      <c r="L48" s="27"/>
      <c r="M48" s="27"/>
      <c r="N48" s="27"/>
      <c r="O48" s="27"/>
      <c r="P48" s="27"/>
      <c r="Q48" s="98"/>
      <c r="R48" s="28"/>
      <c r="S48" s="28"/>
      <c r="T48" s="28"/>
      <c r="U48" s="28"/>
      <c r="V48" s="28"/>
    </row>
    <row r="49" spans="3:22" ht="15.75" customHeight="1" x14ac:dyDescent="0.2"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</row>
    <row r="50" spans="3:22" ht="12" thickBot="1" x14ac:dyDescent="0.25">
      <c r="C50" s="177" t="s">
        <v>120</v>
      </c>
      <c r="D50" s="153">
        <v>2000</v>
      </c>
      <c r="E50" s="153">
        <v>2001</v>
      </c>
      <c r="F50" s="153">
        <v>2002</v>
      </c>
      <c r="G50" s="153">
        <v>2003</v>
      </c>
      <c r="H50" s="153">
        <v>2004</v>
      </c>
      <c r="I50" s="153">
        <v>2005</v>
      </c>
      <c r="J50" s="153">
        <v>2006</v>
      </c>
      <c r="K50" s="153">
        <v>2007</v>
      </c>
      <c r="L50" s="153">
        <v>2008</v>
      </c>
      <c r="M50" s="153">
        <v>2009</v>
      </c>
      <c r="N50" s="153">
        <v>2010</v>
      </c>
      <c r="O50" s="153">
        <v>2011</v>
      </c>
      <c r="P50" s="153">
        <v>2012</v>
      </c>
      <c r="Q50" s="153">
        <v>2013</v>
      </c>
      <c r="R50" s="153">
        <v>2014</v>
      </c>
      <c r="S50" s="153">
        <v>2015</v>
      </c>
      <c r="T50" s="153">
        <v>2016</v>
      </c>
      <c r="U50" s="153">
        <v>2017</v>
      </c>
      <c r="V50" s="153">
        <v>2018</v>
      </c>
    </row>
    <row r="51" spans="3:22" ht="12" customHeight="1" thickBot="1" x14ac:dyDescent="0.25">
      <c r="C51" s="156"/>
      <c r="D51" s="154"/>
      <c r="E51" s="154"/>
      <c r="F51" s="154"/>
      <c r="G51" s="154"/>
      <c r="H51" s="154"/>
      <c r="I51" s="154"/>
      <c r="J51" s="154"/>
      <c r="K51" s="154"/>
      <c r="L51" s="154"/>
      <c r="M51" s="154"/>
      <c r="N51" s="154"/>
      <c r="O51" s="154"/>
      <c r="P51" s="154"/>
      <c r="Q51" s="154"/>
      <c r="R51" s="154"/>
      <c r="S51" s="154"/>
      <c r="T51" s="154"/>
      <c r="U51" s="154"/>
      <c r="V51" s="154"/>
    </row>
    <row r="52" spans="3:22" x14ac:dyDescent="0.2">
      <c r="C52" s="87" t="s">
        <v>123</v>
      </c>
      <c r="D52" s="65">
        <f>36.2100729245*Deflactores!$A$5</f>
        <v>131.46281080116768</v>
      </c>
      <c r="E52" s="56">
        <f>35.8800794855*Deflactores!$B$5</f>
        <v>121.00957029201042</v>
      </c>
      <c r="F52" s="56">
        <f>36.635118942*Deflactores!$C$5</f>
        <v>115.48172702695987</v>
      </c>
      <c r="G52" s="56">
        <f>31.024949061*Deflactores!$D$5</f>
        <v>91.835873380166916</v>
      </c>
      <c r="H52" s="56">
        <f>50.321692589*Deflactores!$E$5</f>
        <v>141.19407892995613</v>
      </c>
      <c r="I52" s="56">
        <f>43.27018847*Deflactores!$F$5</f>
        <v>115.78710658664475</v>
      </c>
      <c r="J52" s="56">
        <f>61.461734706*Deflactores!$G$5</f>
        <v>157.41698588888156</v>
      </c>
      <c r="K52" s="56">
        <f>58.245828229*Deflactores!$H$5</f>
        <v>141.1430099295624</v>
      </c>
      <c r="L52" s="56">
        <f>61.843923815*Deflactores!$I$5</f>
        <v>139.18077200626516</v>
      </c>
      <c r="M52" s="56">
        <f>55.656663964*Deflactores!$J$5</f>
        <v>122.79806012670636</v>
      </c>
      <c r="N52" s="56">
        <f>71.571966388*Deflactores!$K$5</f>
        <v>153.05894259631631</v>
      </c>
      <c r="O52" s="56">
        <f>53.0426706297499*Deflactores!$L$5</f>
        <v>109.35802095447806</v>
      </c>
      <c r="P52" s="56">
        <f>46.93674365471*Deflactores!$M$5</f>
        <v>94.464503534355345</v>
      </c>
      <c r="Q52" s="56">
        <f>60.35755805154*Deflactores!$N$5</f>
        <v>119.16335492035401</v>
      </c>
      <c r="R52" s="56">
        <f>97.16221082378*Deflactores!$O$5</f>
        <v>185.05347494908503</v>
      </c>
      <c r="S52" s="56">
        <f>65.92876250912*Deflactores!$P$5</f>
        <v>117.60493274874763</v>
      </c>
      <c r="T52" s="56">
        <f>46.05019627594*Deflactores!$Q$5</f>
        <v>77.678659686168714</v>
      </c>
      <c r="U52" s="56">
        <f>51.26383021732*Deflactores!$R$5</f>
        <v>83.075369380638989</v>
      </c>
      <c r="V52" s="56">
        <f>60.4902115525799*Deflactores!$S$5</f>
        <v>95.005950897881021</v>
      </c>
    </row>
    <row r="53" spans="3:22" x14ac:dyDescent="0.2">
      <c r="C53" s="88" t="s">
        <v>124</v>
      </c>
      <c r="D53" s="57">
        <f>3.04604505296*Deflactores!$A$5</f>
        <v>11.05884667297015</v>
      </c>
      <c r="E53" s="57">
        <f>1.062717388*Deflactores!$B$5</f>
        <v>3.5841329313581278</v>
      </c>
      <c r="F53" s="57">
        <f>7.36757275538999*Deflactores!$C$5</f>
        <v>23.224164418197056</v>
      </c>
      <c r="G53" s="57">
        <f>8.58197371639*Deflactores!$D$5</f>
        <v>25.403202113908943</v>
      </c>
      <c r="H53" s="57">
        <f>11.4031171549599*Deflactores!$E$5</f>
        <v>31.995200097400787</v>
      </c>
      <c r="I53" s="57">
        <f>8.77429770821999*Deflactores!$F$5</f>
        <v>23.479226226828143</v>
      </c>
      <c r="J53" s="57">
        <f>11.65714183993*Deflactores!$G$5</f>
        <v>29.856497563870626</v>
      </c>
      <c r="K53" s="57">
        <f>20.93919499082*Deflactores!$H$5</f>
        <v>50.740475264370552</v>
      </c>
      <c r="L53" s="57">
        <f>17.04992551237*Deflactores!$I$5</f>
        <v>38.371138974940095</v>
      </c>
      <c r="M53" s="57">
        <f>20.7066014237699*Deflactores!$J$5</f>
        <v>45.686002457864447</v>
      </c>
      <c r="N53" s="57">
        <f>24.02984087722*Deflactores!$K$5</f>
        <v>51.388584400298015</v>
      </c>
      <c r="O53" s="57">
        <f>38.07912427073*Deflactores!$L$5</f>
        <v>78.507692400975557</v>
      </c>
      <c r="P53" s="57">
        <f>39.45450646738*Deflactores!$M$5</f>
        <v>79.405814622592857</v>
      </c>
      <c r="Q53" s="57">
        <f>53.65119612868*Deflactores!$N$5</f>
        <v>105.92304812471278</v>
      </c>
      <c r="R53" s="57">
        <f>58.25105919557*Deflactores!$O$5</f>
        <v>110.94396506843209</v>
      </c>
      <c r="S53" s="57">
        <f>66.01524220171*Deflactores!$P$5</f>
        <v>117.75919680655959</v>
      </c>
      <c r="T53" s="57">
        <f>77.49118911206*Deflactores!$Q$5</f>
        <v>130.71413792990134</v>
      </c>
      <c r="U53" s="57">
        <f>92.93628673117*Deflactores!$R$5</f>
        <v>150.60748126558059</v>
      </c>
      <c r="V53" s="57">
        <f>111.06654468903*Deflactores!$S$5</f>
        <v>174.44116031816475</v>
      </c>
    </row>
    <row r="54" spans="3:22" x14ac:dyDescent="0.2">
      <c r="C54" s="87" t="s">
        <v>125</v>
      </c>
      <c r="D54" s="56">
        <f>6.1498901741*Deflactores!$A$5</f>
        <v>22.327539911101475</v>
      </c>
      <c r="E54" s="56">
        <f>7.86128488419999*Deflactores!$B$5</f>
        <v>26.513060155414571</v>
      </c>
      <c r="F54" s="56">
        <f>22.4451105273699*Deflactores!$C$5</f>
        <v>70.751786860997441</v>
      </c>
      <c r="G54" s="56">
        <f>27.62638395873*Deflactores!$D$5</f>
        <v>81.775898944990132</v>
      </c>
      <c r="H54" s="56">
        <f>27.93207588936*Deflactores!$E$5</f>
        <v>78.372636628321999</v>
      </c>
      <c r="I54" s="56">
        <f>41.44616995361*Deflactores!$F$5</f>
        <v>110.90619818663421</v>
      </c>
      <c r="J54" s="56">
        <f>46.94325704665*Deflactores!$G$5</f>
        <v>120.23197957947077</v>
      </c>
      <c r="K54" s="56">
        <f>53.7968510705*Deflactores!$H$5</f>
        <v>130.36211717978918</v>
      </c>
      <c r="L54" s="56">
        <f>61.65444301615*Deflactores!$I$5</f>
        <v>138.7543423388463</v>
      </c>
      <c r="M54" s="56">
        <f>48.60898774798*Deflactores!$J$5</f>
        <v>107.24842229199587</v>
      </c>
      <c r="N54" s="56">
        <f>0*Deflactores!$K$5</f>
        <v>0</v>
      </c>
      <c r="O54" s="56">
        <f>0*Deflactores!$L$5</f>
        <v>0</v>
      </c>
      <c r="P54" s="56">
        <f>0*Deflactores!$M$5</f>
        <v>0</v>
      </c>
      <c r="Q54" s="56">
        <f>0*Deflactores!$N$5</f>
        <v>0</v>
      </c>
      <c r="R54" s="56">
        <f>0*Deflactores!$O$5</f>
        <v>0</v>
      </c>
      <c r="S54" s="56">
        <f>0*Deflactores!$P$5</f>
        <v>0</v>
      </c>
      <c r="T54" s="56">
        <f>0*Deflactores!$Q$5</f>
        <v>0</v>
      </c>
      <c r="U54" s="56">
        <f>0*Deflactores!$R$5</f>
        <v>0</v>
      </c>
      <c r="V54" s="56">
        <f>0*Deflactores!$S$5</f>
        <v>0</v>
      </c>
    </row>
    <row r="55" spans="3:22" x14ac:dyDescent="0.2">
      <c r="C55" s="88" t="s">
        <v>126</v>
      </c>
      <c r="D55" s="57">
        <f>35.6767520253399*Deflactores!$A$5</f>
        <v>129.52655774228046</v>
      </c>
      <c r="E55" s="57">
        <f>35.786062984*Deflactores!$B$5</f>
        <v>120.69248915367375</v>
      </c>
      <c r="F55" s="57">
        <f>37.261712756*Deflactores!$C$5</f>
        <v>117.45688468646384</v>
      </c>
      <c r="G55" s="57">
        <f>36.653103124*Deflactores!$D$5</f>
        <v>108.49557660409479</v>
      </c>
      <c r="H55" s="57">
        <f>39.965685213*Deflactores!$E$5</f>
        <v>112.13689011898636</v>
      </c>
      <c r="I55" s="57">
        <f>47.63117692*Deflactores!$F$5</f>
        <v>127.45671682726955</v>
      </c>
      <c r="J55" s="57">
        <f>49.548271488*Deflactores!$G$5</f>
        <v>126.90399304469264</v>
      </c>
      <c r="K55" s="57">
        <f>57.889290852*Deflactores!$H$5</f>
        <v>140.27903803539823</v>
      </c>
      <c r="L55" s="57">
        <f>89.92491549418*Deflactores!$I$5</f>
        <v>202.3775075869695</v>
      </c>
      <c r="M55" s="57">
        <f>100.1659768982*Deflactores!$J$5</f>
        <v>221.00116639674064</v>
      </c>
      <c r="N55" s="57">
        <f>110.04350582878*Deflactores!$K$5</f>
        <v>235.33156194753667</v>
      </c>
      <c r="O55" s="57">
        <f>110.76453357878*Deflactores!$L$5</f>
        <v>228.36312803087696</v>
      </c>
      <c r="P55" s="57">
        <f>142.34915984252*Deflactores!$M$5</f>
        <v>286.4907461833875</v>
      </c>
      <c r="Q55" s="57">
        <f>195.91528931969*Deflactores!$N$5</f>
        <v>386.79369923466271</v>
      </c>
      <c r="R55" s="57">
        <f>217.65275413227*Deflactores!$O$5</f>
        <v>414.53769055816588</v>
      </c>
      <c r="S55" s="57">
        <f>248.923691618599*Deflactores!$P$5</f>
        <v>444.03463523717335</v>
      </c>
      <c r="T55" s="57">
        <f>257.670861717879*Deflactores!$Q$5</f>
        <v>434.64586032356476</v>
      </c>
      <c r="U55" s="57">
        <f>298.22643370248*Deflactores!$R$5</f>
        <v>483.28950517110593</v>
      </c>
      <c r="V55" s="57">
        <f>307.92650624502*Deflactores!$S$5</f>
        <v>483.62949610518774</v>
      </c>
    </row>
    <row r="56" spans="3:22" x14ac:dyDescent="0.2">
      <c r="C56" s="87" t="s">
        <v>127</v>
      </c>
      <c r="D56" s="56">
        <f>0*Deflactores!$A$5</f>
        <v>0</v>
      </c>
      <c r="E56" s="56">
        <f>0*Deflactores!$B$5</f>
        <v>0</v>
      </c>
      <c r="F56" s="56">
        <f>0*Deflactores!$C$5</f>
        <v>0</v>
      </c>
      <c r="G56" s="56">
        <f>0*Deflactores!$D$5</f>
        <v>0</v>
      </c>
      <c r="H56" s="56">
        <f>0*Deflactores!$E$5</f>
        <v>0</v>
      </c>
      <c r="I56" s="56">
        <f>0*Deflactores!$F$5</f>
        <v>0</v>
      </c>
      <c r="J56" s="56">
        <f>0*Deflactores!$G$5</f>
        <v>0</v>
      </c>
      <c r="K56" s="56">
        <f>0*Deflactores!$H$5</f>
        <v>0</v>
      </c>
      <c r="L56" s="56">
        <f>0*Deflactores!$I$5</f>
        <v>0</v>
      </c>
      <c r="M56" s="56">
        <f>0*Deflactores!$J$5</f>
        <v>0</v>
      </c>
      <c r="N56" s="56">
        <f>0*Deflactores!$K$5</f>
        <v>0</v>
      </c>
      <c r="O56" s="56">
        <f>0*Deflactores!$L$5</f>
        <v>0</v>
      </c>
      <c r="P56" s="56">
        <f>0*Deflactores!$M$5</f>
        <v>0</v>
      </c>
      <c r="Q56" s="56">
        <f>0*Deflactores!$N$5</f>
        <v>0</v>
      </c>
      <c r="R56" s="56">
        <f>0*Deflactores!$O$5</f>
        <v>0</v>
      </c>
      <c r="S56" s="56">
        <f>0*Deflactores!$P$5</f>
        <v>0</v>
      </c>
      <c r="T56" s="56">
        <f>0*Deflactores!$Q$5</f>
        <v>0</v>
      </c>
      <c r="U56" s="56">
        <f>0*Deflactores!$R$5</f>
        <v>0</v>
      </c>
      <c r="V56" s="56">
        <f>0*Deflactores!$S$5</f>
        <v>0</v>
      </c>
    </row>
    <row r="57" spans="3:22" x14ac:dyDescent="0.2">
      <c r="C57" s="88" t="s">
        <v>128</v>
      </c>
      <c r="D57" s="57">
        <f>0.658158847*Deflactores!$A$5</f>
        <v>2.3894846100056681</v>
      </c>
      <c r="E57" s="57">
        <f>0.727861463309999*Deflactores!$B$5</f>
        <v>2.454793973989144</v>
      </c>
      <c r="F57" s="57">
        <f>0.712697081*Deflactores!$C$5</f>
        <v>2.2465735648696645</v>
      </c>
      <c r="G57" s="57">
        <f>0.985356982*Deflactores!$D$5</f>
        <v>2.9167209543292216</v>
      </c>
      <c r="H57" s="57">
        <f>1.1467912556*Deflactores!$E$5</f>
        <v>3.2177004931420892</v>
      </c>
      <c r="I57" s="57">
        <f>1.009658895*Deflactores!$F$5</f>
        <v>2.7017557867253488</v>
      </c>
      <c r="J57" s="57">
        <f>3.213440944*Deflactores!$G$5</f>
        <v>8.2303272134461931</v>
      </c>
      <c r="K57" s="57">
        <f>4.537906213*Deflactores!$H$5</f>
        <v>10.996388259133496</v>
      </c>
      <c r="L57" s="57">
        <f>4.356919704*Deflactores!$I$5</f>
        <v>9.8053197560040406</v>
      </c>
      <c r="M57" s="57">
        <f>5.040882345*Deflactores!$J$5</f>
        <v>11.121948913311668</v>
      </c>
      <c r="N57" s="57">
        <f>8.095353012*Deflactores!$K$5</f>
        <v>17.312171713202648</v>
      </c>
      <c r="O57" s="57">
        <f>8.54962503598*Deflactores!$L$5</f>
        <v>17.626753380574261</v>
      </c>
      <c r="P57" s="57">
        <f>10.25836944282*Deflactores!$M$5</f>
        <v>20.645909814639442</v>
      </c>
      <c r="Q57" s="57">
        <f>9.79861044866*Deflactores!$N$5</f>
        <v>19.345303758361194</v>
      </c>
      <c r="R57" s="57">
        <f>10.97827321925*Deflactores!$O$5</f>
        <v>20.909030279758458</v>
      </c>
      <c r="S57" s="57">
        <f>16.58156546618*Deflactores!$P$5</f>
        <v>29.578499842906936</v>
      </c>
      <c r="T57" s="57">
        <f>19.11388326173*Deflactores!$Q$5</f>
        <v>32.241791636940718</v>
      </c>
      <c r="U57" s="57">
        <f>12.47707778511*Deflactores!$R$5</f>
        <v>20.219672260048441</v>
      </c>
      <c r="V57" s="57">
        <f>13.7508538011*Deflactores!$S$5</f>
        <v>21.597096579761075</v>
      </c>
    </row>
    <row r="58" spans="3:22" x14ac:dyDescent="0.2">
      <c r="C58" s="87" t="s">
        <v>129</v>
      </c>
      <c r="D58" s="56">
        <f>597.754992283169*Deflactores!$A$5</f>
        <v>2170.1848438644315</v>
      </c>
      <c r="E58" s="56">
        <f>730.48966738077*Deflactores!$B$5</f>
        <v>2463.6578853796477</v>
      </c>
      <c r="F58" s="56">
        <f>801.75497708632*Deflactores!$C$5</f>
        <v>2527.3030927775189</v>
      </c>
      <c r="G58" s="56">
        <f>924.75855567134*Deflactores!$D$5</f>
        <v>2737.3456587754949</v>
      </c>
      <c r="H58" s="56">
        <f>939.87571095315*Deflactores!$E$5</f>
        <v>2637.1307976567573</v>
      </c>
      <c r="I58" s="56">
        <f>1115.4372480153*Deflactores!$F$5</f>
        <v>2984.8090820359034</v>
      </c>
      <c r="J58" s="56">
        <f>1041.38612959485*Deflactores!$G$5</f>
        <v>2667.2183343257666</v>
      </c>
      <c r="K58" s="56">
        <f>1073.17659028713*Deflactores!$H$5</f>
        <v>2600.5531854323308</v>
      </c>
      <c r="L58" s="56">
        <f>1124.72225012072*Deflactores!$I$5</f>
        <v>2531.2060006525226</v>
      </c>
      <c r="M58" s="56">
        <f>1375.4322866259*Deflactores!$J$5</f>
        <v>3034.6845212021531</v>
      </c>
      <c r="N58" s="56">
        <f>1669.37602281604*Deflactores!$K$5</f>
        <v>3570.014095500766</v>
      </c>
      <c r="O58" s="56">
        <f>1680.23656274845*Deflactores!$L$5</f>
        <v>3464.1420399082872</v>
      </c>
      <c r="P58" s="56">
        <f>1776.12253675505*Deflactores!$M$5</f>
        <v>3574.6095827401778</v>
      </c>
      <c r="Q58" s="56">
        <f>1788.35669894742*Deflactores!$N$5</f>
        <v>3530.7356844836227</v>
      </c>
      <c r="R58" s="56">
        <f>1809.69340245213*Deflactores!$O$5</f>
        <v>3446.7109164856188</v>
      </c>
      <c r="S58" s="56">
        <f>1941.15561285381*Deflactores!$P$5</f>
        <v>3462.6688961884693</v>
      </c>
      <c r="T58" s="56">
        <f>2121.98938580668*Deflactores!$Q$5</f>
        <v>3579.4264669369118</v>
      </c>
      <c r="U58" s="56">
        <f>2155.64407849314*Deflactores!$R$5</f>
        <v>3493.3193113904404</v>
      </c>
      <c r="V58" s="56">
        <f>2006.47393312136*Deflactores!$S$5</f>
        <v>3151.3687764557985</v>
      </c>
    </row>
    <row r="59" spans="3:22" x14ac:dyDescent="0.2">
      <c r="C59" s="88" t="s">
        <v>130</v>
      </c>
      <c r="D59" s="57">
        <f>8.003812074*Deflactores!$A$5</f>
        <v>29.058312988384927</v>
      </c>
      <c r="E59" s="57">
        <f>12.9890533624*Deflactores!$B$5</f>
        <v>43.807031322748863</v>
      </c>
      <c r="F59" s="57">
        <f>16.11152975989*Deflactores!$C$5</f>
        <v>50.786986243009139</v>
      </c>
      <c r="G59" s="57">
        <f>12.91172400982*Deflactores!$D$5</f>
        <v>38.219545468200394</v>
      </c>
      <c r="H59" s="57">
        <f>14.5248119237699*Deflactores!$E$5</f>
        <v>40.754142710530189</v>
      </c>
      <c r="I59" s="57">
        <f>13.34073276181*Deflactores!$F$5</f>
        <v>35.698592977162455</v>
      </c>
      <c r="J59" s="57">
        <f>21.8517856500099*Deflactores!$G$5</f>
        <v>55.967216834487914</v>
      </c>
      <c r="K59" s="57">
        <f>17.68570364286*Deflactores!$H$5</f>
        <v>42.856519012165883</v>
      </c>
      <c r="L59" s="57">
        <f>18.20442863826*Deflactores!$I$5</f>
        <v>40.969367328394654</v>
      </c>
      <c r="M59" s="57">
        <f>11.91921765847*Deflactores!$J$5</f>
        <v>26.297961509781214</v>
      </c>
      <c r="N59" s="57">
        <f>3.59107803142*Deflactores!$K$5</f>
        <v>7.679635393700206</v>
      </c>
      <c r="O59" s="57">
        <f>5.45818566797*Deflactores!$L$5</f>
        <v>11.253135929330742</v>
      </c>
      <c r="P59" s="57">
        <f>0*Deflactores!$M$5</f>
        <v>0</v>
      </c>
      <c r="Q59" s="57">
        <f>0*Deflactores!$N$5</f>
        <v>0</v>
      </c>
      <c r="R59" s="57">
        <f>0*Deflactores!$O$5</f>
        <v>0</v>
      </c>
      <c r="S59" s="57">
        <f>0*Deflactores!$P$5</f>
        <v>0</v>
      </c>
      <c r="T59" s="57">
        <f>0*Deflactores!$Q$5</f>
        <v>0</v>
      </c>
      <c r="U59" s="57">
        <f>0*Deflactores!$R$5</f>
        <v>0</v>
      </c>
      <c r="V59" s="57">
        <f>0*Deflactores!$S$5</f>
        <v>0</v>
      </c>
    </row>
    <row r="60" spans="3:22" x14ac:dyDescent="0.2">
      <c r="C60" s="87" t="s">
        <v>131</v>
      </c>
      <c r="D60" s="56">
        <f>141.774643534219*Deflactores!$A$5</f>
        <v>514.72122627876161</v>
      </c>
      <c r="E60" s="56">
        <f>154.557632629009*Deflactores!$B$5</f>
        <v>521.26285610223078</v>
      </c>
      <c r="F60" s="56">
        <f>194.840424600029*Deflactores!$C$5</f>
        <v>614.17867274021603</v>
      </c>
      <c r="G60" s="56">
        <f>203.03770081782*Deflactores!$D$5</f>
        <v>601.00484120197052</v>
      </c>
      <c r="H60" s="56">
        <f>215.42941723129*Deflactores!$E$5</f>
        <v>604.45816854416091</v>
      </c>
      <c r="I60" s="56">
        <f>199.12359370781*Deflactores!$F$5</f>
        <v>532.83670776121164</v>
      </c>
      <c r="J60" s="56">
        <f>137.26194730658*Deflactores!$G$5</f>
        <v>351.55795920174313</v>
      </c>
      <c r="K60" s="56">
        <f>59.76914968907*Deflactores!$H$5</f>
        <v>144.83436744823746</v>
      </c>
      <c r="L60" s="56">
        <f>45.24701120306*Deflactores!$I$5</f>
        <v>101.82914604604343</v>
      </c>
      <c r="M60" s="56">
        <f>58.46750104822*Deflactores!$J$5</f>
        <v>128.99974949669237</v>
      </c>
      <c r="N60" s="56">
        <f>11.59510866678*Deflactores!$K$5</f>
        <v>24.796511279369959</v>
      </c>
      <c r="O60" s="56">
        <f>11.12493472937*Deflactores!$L$5</f>
        <v>22.936266798174632</v>
      </c>
      <c r="P60" s="56">
        <f>16.05164785385*Deflactores!$M$5</f>
        <v>32.305414209749557</v>
      </c>
      <c r="Q60" s="56">
        <f>25.5639256053699*Deflactores!$N$5</f>
        <v>50.470616082064872</v>
      </c>
      <c r="R60" s="56">
        <f>18.22851435884*Deflactores!$O$5</f>
        <v>34.717714805610896</v>
      </c>
      <c r="S60" s="56">
        <f>19.68766792357*Deflactores!$P$5</f>
        <v>35.1192222334044</v>
      </c>
      <c r="T60" s="56">
        <f>23.10830436064*Deflactores!$Q$5</f>
        <v>38.979684247131296</v>
      </c>
      <c r="U60" s="56">
        <f>26.25296005972*Deflactores!$R$5</f>
        <v>42.544116291168912</v>
      </c>
      <c r="V60" s="56">
        <f>22.46956328931*Deflactores!$S$5</f>
        <v>35.290705252459468</v>
      </c>
    </row>
    <row r="61" spans="3:22" x14ac:dyDescent="0.2">
      <c r="C61" s="88" t="s">
        <v>132</v>
      </c>
      <c r="D61" s="57">
        <f>30.5061304197899*Deflactores!$A$5</f>
        <v>110.75431027202117</v>
      </c>
      <c r="E61" s="57">
        <f>36.39949117518*Deflactores!$B$5</f>
        <v>122.76134415299714</v>
      </c>
      <c r="F61" s="57">
        <f>37.9484548098399*Deflactores!$C$5</f>
        <v>119.62164245687067</v>
      </c>
      <c r="G61" s="57">
        <f>29.71692825223*Deflactores!$D$5</f>
        <v>87.964046447054358</v>
      </c>
      <c r="H61" s="57">
        <f>33.8205599143099*Deflactores!$E$5</f>
        <v>94.894717572362111</v>
      </c>
      <c r="I61" s="57">
        <f>32.58751082365*Deflactores!$F$5</f>
        <v>87.201228433461495</v>
      </c>
      <c r="J61" s="57">
        <f>50.45359702978*Deflactores!$G$5</f>
        <v>129.22273036502594</v>
      </c>
      <c r="K61" s="57">
        <f>52.19541685416*Deflactores!$H$5</f>
        <v>126.48147452483801</v>
      </c>
      <c r="L61" s="57">
        <f>59.29509510314*Deflactores!$I$5</f>
        <v>133.44459089185847</v>
      </c>
      <c r="M61" s="57">
        <f>91.7809390404199*Deflactores!$J$5</f>
        <v>202.5008411941665</v>
      </c>
      <c r="N61" s="57">
        <f>101.63206999193*Deflactores!$K$5</f>
        <v>217.34343698914682</v>
      </c>
      <c r="O61" s="57">
        <f>102.13335867444*Deflactores!$L$5</f>
        <v>210.56824336831656</v>
      </c>
      <c r="P61" s="57">
        <f>111.491193539179*Deflactores!$M$5</f>
        <v>224.38625746194921</v>
      </c>
      <c r="Q61" s="57">
        <f>136.50245292901*Deflactores!$N$5</f>
        <v>269.49549933727826</v>
      </c>
      <c r="R61" s="57">
        <f>143.926416696659*Deflactores!$O$5</f>
        <v>274.11977682344167</v>
      </c>
      <c r="S61" s="57">
        <f>171.592670947138*Deflactores!$P$5</f>
        <v>306.09014577096912</v>
      </c>
      <c r="T61" s="57">
        <f>235.37181596516*Deflactores!$Q$5</f>
        <v>397.03125438415918</v>
      </c>
      <c r="U61" s="57">
        <f>303.126796357749*Deflactores!$R$5</f>
        <v>491.23076582134934</v>
      </c>
      <c r="V61" s="57">
        <f>386.73002907984*Deflactores!$S$5</f>
        <v>607.39834116067573</v>
      </c>
    </row>
    <row r="62" spans="3:22" x14ac:dyDescent="0.2">
      <c r="C62" s="87" t="s">
        <v>133</v>
      </c>
      <c r="D62" s="56">
        <f>0.11853800175*Deflactores!$A$5</f>
        <v>0.43035922433243523</v>
      </c>
      <c r="E62" s="56">
        <f>0.214188289*Deflactores!$B$5</f>
        <v>0.72237389618786574</v>
      </c>
      <c r="F62" s="56">
        <f>0.260938646*Deflactores!$C$5</f>
        <v>0.82253439755070834</v>
      </c>
      <c r="G62" s="56">
        <f>0.07390113754*Deflactores!$D$5</f>
        <v>0.21875218864758991</v>
      </c>
      <c r="H62" s="56">
        <f>1.20410662263*Deflactores!$E$5</f>
        <v>3.3785176286551781</v>
      </c>
      <c r="I62" s="56">
        <f>2.83453941795*Deflactores!$F$5</f>
        <v>7.5849708382428638</v>
      </c>
      <c r="J62" s="56">
        <f>6.1395643486*Deflactores!$G$5</f>
        <v>15.724771177555096</v>
      </c>
      <c r="K62" s="56">
        <f>1.67227434244*Deflactores!$H$5</f>
        <v>4.0523045391677428</v>
      </c>
      <c r="L62" s="56">
        <f>5.053744687*Deflactores!$I$5</f>
        <v>11.373535889529341</v>
      </c>
      <c r="M62" s="56">
        <f>4.66139467675*Deflactores!$J$5</f>
        <v>10.284666435632998</v>
      </c>
      <c r="N62" s="56">
        <f>3.78407508428*Deflactores!$K$5</f>
        <v>8.0923657730056675</v>
      </c>
      <c r="O62" s="56">
        <f>6.004542516*Deflactores!$L$5</f>
        <v>12.379559296143203</v>
      </c>
      <c r="P62" s="56">
        <f>5.28679631342999*Deflactores!$M$5</f>
        <v>10.640162698745483</v>
      </c>
      <c r="Q62" s="56">
        <f>3.71746154698999*Deflactores!$N$5</f>
        <v>7.3393491060136382</v>
      </c>
      <c r="R62" s="56">
        <f>4.64879036292*Deflactores!$O$5</f>
        <v>8.8540061375138635</v>
      </c>
      <c r="S62" s="56">
        <f>3.97249314766*Deflactores!$P$5</f>
        <v>7.0862059546588458</v>
      </c>
      <c r="T62" s="56">
        <f>4.14800004867*Deflactores!$Q$5</f>
        <v>6.9969535466930219</v>
      </c>
      <c r="U62" s="56">
        <f>8.95598100564*Deflactores!$R$5</f>
        <v>14.513574718382133</v>
      </c>
      <c r="V62" s="56">
        <f>30.00912429724*Deflactores!$S$5</f>
        <v>47.13234284184604</v>
      </c>
    </row>
    <row r="63" spans="3:22" x14ac:dyDescent="0.2">
      <c r="C63" s="88" t="s">
        <v>134</v>
      </c>
      <c r="D63" s="57">
        <f>95.1793752617999*Deflactores!$A$5</f>
        <v>345.55434970552795</v>
      </c>
      <c r="E63" s="57">
        <f>109.822033842879*Deflactores!$B$5</f>
        <v>370.38705918396943</v>
      </c>
      <c r="F63" s="57">
        <f>124.05390120894*Deflactores!$C$5</f>
        <v>391.04441775447305</v>
      </c>
      <c r="G63" s="57">
        <f>110.564745944939*Deflactores!$D$5</f>
        <v>327.27886156865986</v>
      </c>
      <c r="H63" s="57">
        <f>122.995945236639*Deflactores!$E$5</f>
        <v>345.10562555287999</v>
      </c>
      <c r="I63" s="57">
        <f>122.982474151189*Deflactores!$F$5</f>
        <v>329.08996577876479</v>
      </c>
      <c r="J63" s="57">
        <f>124.86224888279*Deflactores!$G$5</f>
        <v>319.79961132657996</v>
      </c>
      <c r="K63" s="57">
        <f>145.17442639258*Deflactores!$H$5</f>
        <v>351.79095445748175</v>
      </c>
      <c r="L63" s="57">
        <f>149.04338510996*Deflactores!$I$5</f>
        <v>335.42459990224535</v>
      </c>
      <c r="M63" s="57">
        <f>153.39774799646*Deflactores!$J$5</f>
        <v>338.44906503837188</v>
      </c>
      <c r="N63" s="57">
        <f>163.526828228149*Deflactores!$K$5</f>
        <v>349.70735998845515</v>
      </c>
      <c r="O63" s="57">
        <f>171.14833302793*Deflactores!$L$5</f>
        <v>352.85634692561877</v>
      </c>
      <c r="P63" s="57">
        <f>165.36240552697*Deflactores!$M$5</f>
        <v>332.80701482546158</v>
      </c>
      <c r="Q63" s="57">
        <f>173.17642322288*Deflactores!$N$5</f>
        <v>341.90057137043101</v>
      </c>
      <c r="R63" s="57">
        <f>164.672218465898*Deflactores!$O$5</f>
        <v>313.63187391811744</v>
      </c>
      <c r="S63" s="57">
        <f>165.45753935791*Deflactores!$P$5</f>
        <v>295.1461857981717</v>
      </c>
      <c r="T63" s="57">
        <f>169.78626317913*Deflactores!$Q$5</f>
        <v>286.39985110701247</v>
      </c>
      <c r="U63" s="57">
        <f>181.494629489639*Deflactores!$R$5</f>
        <v>294.12030512616303</v>
      </c>
      <c r="V63" s="57">
        <f>201.8691909*Deflactores!$S$5</f>
        <v>317.0558334346311</v>
      </c>
    </row>
    <row r="64" spans="3:22" x14ac:dyDescent="0.2">
      <c r="C64" s="87" t="s">
        <v>135</v>
      </c>
      <c r="D64" s="56"/>
      <c r="E64" s="56"/>
      <c r="F64" s="56"/>
      <c r="G64" s="56"/>
      <c r="H64" s="56"/>
      <c r="I64" s="56"/>
      <c r="J64" s="56"/>
      <c r="K64" s="56"/>
      <c r="L64" s="56"/>
      <c r="M64" s="56"/>
      <c r="N64" s="56"/>
      <c r="O64" s="56"/>
      <c r="P64" s="56"/>
      <c r="Q64" s="56"/>
      <c r="R64" s="56">
        <f>0*Deflactores!$O$5</f>
        <v>0</v>
      </c>
      <c r="S64" s="56"/>
      <c r="T64" s="56"/>
      <c r="U64" s="56"/>
      <c r="V64" s="56"/>
    </row>
    <row r="65" spans="3:22" x14ac:dyDescent="0.2">
      <c r="C65" s="88" t="s">
        <v>136</v>
      </c>
      <c r="D65" s="57">
        <f>901.50422125414*Deflactores!$A$5</f>
        <v>3272.9643798921875</v>
      </c>
      <c r="E65" s="57">
        <f>932.469092945029*Deflactores!$B$5</f>
        <v>3144.8560277983529</v>
      </c>
      <c r="F65" s="57">
        <f>1038.13203410427*Deflactores!$C$5</f>
        <v>3272.4141109019438</v>
      </c>
      <c r="G65" s="57">
        <f>1119.92888966226*Deflactores!$D$5</f>
        <v>3315.062580879518</v>
      </c>
      <c r="H65" s="57">
        <f>1191.32171027494*Deflactores!$E$5</f>
        <v>3342.6453471141654</v>
      </c>
      <c r="I65" s="57">
        <f>1287.49032750673*Deflactores!$F$5</f>
        <v>3445.2075447661182</v>
      </c>
      <c r="J65" s="57">
        <f>1655.29087091817*Deflactores!$G$5</f>
        <v>4239.5630535934524</v>
      </c>
      <c r="K65" s="57">
        <f>2209.504349147*Deflactores!$H$5</f>
        <v>5354.1361462827717</v>
      </c>
      <c r="L65" s="57">
        <f>2769.020696673*Deflactores!$I$5</f>
        <v>6231.7268130842376</v>
      </c>
      <c r="M65" s="57">
        <f>3600.99693686742*Deflactores!$J$5</f>
        <v>7945.0582711093311</v>
      </c>
      <c r="N65" s="57">
        <f>2942.24824650298*Deflactores!$K$5</f>
        <v>6292.0921164060255</v>
      </c>
      <c r="O65" s="57">
        <f>3003.70080757003*Deflactores!$L$5</f>
        <v>6192.7269489894998</v>
      </c>
      <c r="P65" s="57">
        <f>3111.21233563869*Deflactores!$M$5</f>
        <v>6261.6003112218214</v>
      </c>
      <c r="Q65" s="57">
        <f>3586.83309026666*Deflactores!$N$5</f>
        <v>7081.4505817239678</v>
      </c>
      <c r="R65" s="57">
        <f>1463.84673740134*Deflactores!$O$5</f>
        <v>2788.0173089134742</v>
      </c>
      <c r="S65" s="57">
        <f>1575.07497317459*Deflactores!$P$5</f>
        <v>2809.6475535819304</v>
      </c>
      <c r="T65" s="57">
        <f>2633.05563353561*Deflactores!$Q$5</f>
        <v>4441.5062048068758</v>
      </c>
      <c r="U65" s="57">
        <f>2863.86215081322*Deflactores!$R$5</f>
        <v>4641.0189216344788</v>
      </c>
      <c r="V65" s="57">
        <f>2879.89084741872*Deflactores!$S$5</f>
        <v>4523.157737732372</v>
      </c>
    </row>
    <row r="66" spans="3:22" x14ac:dyDescent="0.2">
      <c r="C66" s="87" t="s">
        <v>137</v>
      </c>
      <c r="D66" s="56">
        <f>13.67201399619*Deflactores!$A$5</f>
        <v>49.637055219403734</v>
      </c>
      <c r="E66" s="56">
        <f>16.31033806234*Deflactores!$B$5</f>
        <v>55.008434444489119</v>
      </c>
      <c r="F66" s="56">
        <f>22.97294848556*Deflactores!$C$5</f>
        <v>72.415644950244555</v>
      </c>
      <c r="G66" s="56">
        <f>27.16624647671*Deflactores!$D$5</f>
        <v>80.413861977478177</v>
      </c>
      <c r="H66" s="56">
        <f>26.90616978977*Deflactores!$E$5</f>
        <v>75.49411924649813</v>
      </c>
      <c r="I66" s="56">
        <f>49.7923735626899*Deflactores!$F$5</f>
        <v>133.23988336455722</v>
      </c>
      <c r="J66" s="56">
        <f>51.69605256341*Deflactores!$G$5</f>
        <v>132.40493155314019</v>
      </c>
      <c r="K66" s="56">
        <f>34.06748990493*Deflactores!$H$5</f>
        <v>82.553346945674548</v>
      </c>
      <c r="L66" s="56">
        <f>50.7377852573899*Deflactores!$I$5</f>
        <v>114.18622374505338</v>
      </c>
      <c r="M66" s="56">
        <f>50.60149670534*Deflactores!$J$5</f>
        <v>111.64459369937946</v>
      </c>
      <c r="N66" s="56">
        <f>41.7600112394799*Deflactores!$K$5</f>
        <v>89.30512162366324</v>
      </c>
      <c r="O66" s="56">
        <f>43.78680811979*Deflactores!$L$5</f>
        <v>90.275218480572264</v>
      </c>
      <c r="P66" s="56">
        <f>50.1206771882519*Deflactores!$M$5</f>
        <v>100.87246192927566</v>
      </c>
      <c r="Q66" s="56">
        <f>49.99982356834*Deflactores!$N$5</f>
        <v>98.714177878791105</v>
      </c>
      <c r="R66" s="56">
        <f>61.4377894118559*Deflactores!$O$5</f>
        <v>117.01335660706745</v>
      </c>
      <c r="S66" s="56">
        <f>45.69249390887*Deflactores!$P$5</f>
        <v>81.507106591480024</v>
      </c>
      <c r="T66" s="56">
        <f>39.04748853089*Deflactores!$Q$5</f>
        <v>65.866311513971183</v>
      </c>
      <c r="U66" s="56">
        <f>67.81908243814*Deflactores!$R$5</f>
        <v>109.90390887142395</v>
      </c>
      <c r="V66" s="56">
        <f>44.89951800628*Deflactores!$S$5</f>
        <v>70.519201265071942</v>
      </c>
    </row>
    <row r="67" spans="3:22" x14ac:dyDescent="0.2">
      <c r="C67" s="88" t="s">
        <v>138</v>
      </c>
      <c r="D67" s="57">
        <f>13.5098436569499*Deflactores!$A$5</f>
        <v>49.04828621389705</v>
      </c>
      <c r="E67" s="57">
        <f>15.15026622446*Deflactores!$B$5</f>
        <v>51.095962771552813</v>
      </c>
      <c r="F67" s="57">
        <f>18.7159862645999*Deflactores!$C$5</f>
        <v>58.996789945480174</v>
      </c>
      <c r="G67" s="57">
        <f>29.82478729393*Deflactores!$D$5</f>
        <v>88.283316247529839</v>
      </c>
      <c r="H67" s="57">
        <f>56.27418564343*Deflactores!$E$5</f>
        <v>157.89575828366142</v>
      </c>
      <c r="I67" s="57">
        <f>32.41884819902*Deflactores!$F$5</f>
        <v>86.749902520962706</v>
      </c>
      <c r="J67" s="57">
        <f>60.2798115006799*Deflactores!$G$5</f>
        <v>154.38982127298513</v>
      </c>
      <c r="K67" s="57">
        <f>65.2936911571299*Deflactores!$H$5</f>
        <v>158.22159937525174</v>
      </c>
      <c r="L67" s="57">
        <f>94.48481506579*Deflactores!$I$5</f>
        <v>212.63963688759753</v>
      </c>
      <c r="M67" s="57">
        <f>73.36076872026*Deflactores!$J$5</f>
        <v>161.85950516327799</v>
      </c>
      <c r="N67" s="57">
        <f>77.5019734686099*Deflactores!$K$5</f>
        <v>165.74045267843971</v>
      </c>
      <c r="O67" s="57">
        <f>54.3894944289599*Deflactores!$L$5</f>
        <v>112.13476623346463</v>
      </c>
      <c r="P67" s="57">
        <f>27.7940853175437*Deflactores!$M$5</f>
        <v>55.938147094910626</v>
      </c>
      <c r="Q67" s="57">
        <f>24.48107961143*Deflactores!$N$5</f>
        <v>48.332763497144875</v>
      </c>
      <c r="R67" s="57">
        <f>43.7024991075*Deflactores!$O$5</f>
        <v>83.235027849148466</v>
      </c>
      <c r="S67" s="57">
        <f>0*Deflactores!$P$5</f>
        <v>0</v>
      </c>
      <c r="T67" s="57">
        <f>0*Deflactores!$Q$5</f>
        <v>0</v>
      </c>
      <c r="U67" s="57">
        <f>0*Deflactores!$R$5</f>
        <v>0</v>
      </c>
      <c r="V67" s="57">
        <f>0*Deflactores!$S$5</f>
        <v>0</v>
      </c>
    </row>
    <row r="68" spans="3:22" x14ac:dyDescent="0.2">
      <c r="C68" s="87" t="s">
        <v>139</v>
      </c>
      <c r="D68" s="56">
        <f>166.91388707259*Deflactores!$A$5</f>
        <v>605.99073639160213</v>
      </c>
      <c r="E68" s="56">
        <f>230.29545464953*Deflactores!$B$5</f>
        <v>776.69710900737857</v>
      </c>
      <c r="F68" s="56">
        <f>176.8590107242*Deflactores!$C$5</f>
        <v>557.49741200636151</v>
      </c>
      <c r="G68" s="56">
        <f>179.034568973699*Deflactores!$D$5</f>
        <v>529.95400490792713</v>
      </c>
      <c r="H68" s="56">
        <f>217.13969498702*Deflactores!$E$5</f>
        <v>609.25691596323077</v>
      </c>
      <c r="I68" s="56">
        <f>220.91821457421*Deflactores!$F$5</f>
        <v>591.15713987633819</v>
      </c>
      <c r="J68" s="56">
        <f>310.527447376699*Deflactores!$G$5</f>
        <v>795.32891539158368</v>
      </c>
      <c r="K68" s="56">
        <f>303.314585151759*Deflactores!$H$5</f>
        <v>735.00085423355347</v>
      </c>
      <c r="L68" s="56">
        <f>434.76875776104*Deflactores!$I$5</f>
        <v>978.45427030795247</v>
      </c>
      <c r="M68" s="56">
        <f>711.19210937452*Deflactores!$J$5</f>
        <v>1569.138449711977</v>
      </c>
      <c r="N68" s="56">
        <f>687.20548602533*Deflactores!$K$5</f>
        <v>1469.6109433016773</v>
      </c>
      <c r="O68" s="56">
        <f>739.88676759992*Deflactores!$L$5</f>
        <v>1525.4238083131486</v>
      </c>
      <c r="P68" s="56">
        <f>743.877318361519*Deflactores!$M$5</f>
        <v>1497.1213616016807</v>
      </c>
      <c r="Q68" s="56">
        <f>967.24709011813*Deflactores!$N$5</f>
        <v>1909.6267645056844</v>
      </c>
      <c r="R68" s="56">
        <f>846.352878859199*Deflactores!$O$5</f>
        <v>1611.9491306153425</v>
      </c>
      <c r="S68" s="56">
        <f>902.03891182106*Deflactores!$P$5</f>
        <v>1609.0735139582589</v>
      </c>
      <c r="T68" s="56">
        <f>990.518247371119*Deflactores!$Q$5</f>
        <v>1670.8317460675328</v>
      </c>
      <c r="U68" s="56">
        <f>996.28305824993*Deflactores!$R$5</f>
        <v>1614.5220269519011</v>
      </c>
      <c r="V68" s="56">
        <f>468.842055224949*Deflactores!$S$5</f>
        <v>736.36352286262388</v>
      </c>
    </row>
    <row r="69" spans="3:22" x14ac:dyDescent="0.2">
      <c r="C69" s="88" t="s">
        <v>140</v>
      </c>
      <c r="D69" s="57">
        <f>20.40286374909*Deflactores!$A$5</f>
        <v>74.073803232630709</v>
      </c>
      <c r="E69" s="57">
        <f>37.02605593009*Deflactores!$B$5</f>
        <v>124.87450367881198</v>
      </c>
      <c r="F69" s="57">
        <f>16.63222710139*Deflactores!$C$5</f>
        <v>52.428335581876169</v>
      </c>
      <c r="G69" s="57">
        <f>15.3162871038899*Deflactores!$D$5</f>
        <v>45.337209107468531</v>
      </c>
      <c r="H69" s="57">
        <f>2306.53273684083*Deflactores!$E$5</f>
        <v>6471.7371086842377</v>
      </c>
      <c r="I69" s="57">
        <f>2254.08539536518*Deflactores!$F$5</f>
        <v>6031.7284291354363</v>
      </c>
      <c r="J69" s="57">
        <f>353.380834682029*Deflactores!$G$5</f>
        <v>905.08584133912564</v>
      </c>
      <c r="K69" s="57">
        <f>173.403545318709*Deflactores!$H$5</f>
        <v>420.19658854390138</v>
      </c>
      <c r="L69" s="57">
        <f>304.45532783738*Deflactores!$I$5</f>
        <v>685.18174391045636</v>
      </c>
      <c r="M69" s="57">
        <f>316.79475235962*Deflactores!$J$5</f>
        <v>698.95998569451137</v>
      </c>
      <c r="N69" s="57">
        <f>1183.77604529881*Deflactores!$K$5</f>
        <v>2531.5429896399128</v>
      </c>
      <c r="O69" s="57">
        <f>1137.0082817064*Deflactores!$L$5</f>
        <v>2344.1688365239443</v>
      </c>
      <c r="P69" s="57">
        <f>588.053133570975*Deflactores!$M$5</f>
        <v>1183.5108912381859</v>
      </c>
      <c r="Q69" s="57">
        <f>645.064996508*Deflactores!$N$5</f>
        <v>1273.5457100491237</v>
      </c>
      <c r="R69" s="57">
        <f>626.218822280098*Deflactores!$O$5</f>
        <v>1192.6855941105612</v>
      </c>
      <c r="S69" s="57">
        <f>798.730095784049*Deflactores!$P$5</f>
        <v>1424.7893578480218</v>
      </c>
      <c r="T69" s="57">
        <f>649.175017074519*Deflactores!$Q$5</f>
        <v>1095.0451747464344</v>
      </c>
      <c r="U69" s="57">
        <f>697.873674770709*Deflactores!$R$5</f>
        <v>1130.9360433433387</v>
      </c>
      <c r="V69" s="57">
        <f>641.03894344862*Deflactores!$S$5</f>
        <v>1006.8160256303754</v>
      </c>
    </row>
    <row r="70" spans="3:22" x14ac:dyDescent="0.2">
      <c r="C70" s="87" t="s">
        <v>141</v>
      </c>
      <c r="D70" s="56">
        <f>9.12766304758*Deflactores!$A$5</f>
        <v>33.138520399635141</v>
      </c>
      <c r="E70" s="56">
        <f>8.38083977937*Deflactores!$B$5</f>
        <v>28.265316992890117</v>
      </c>
      <c r="F70" s="56">
        <f>10.83871057821*Deflactores!$C$5</f>
        <v>34.165932920777294</v>
      </c>
      <c r="G70" s="56">
        <f>11.92827706617*Deflactores!$D$5</f>
        <v>35.308478352003732</v>
      </c>
      <c r="H70" s="56">
        <f>14.09637140133*Deflactores!$E$5</f>
        <v>39.552011744144643</v>
      </c>
      <c r="I70" s="56">
        <f>14.4622732668*Deflactores!$F$5</f>
        <v>38.699733822263028</v>
      </c>
      <c r="J70" s="56">
        <f>24.6572096128*Deflactores!$G$5</f>
        <v>63.152523049409098</v>
      </c>
      <c r="K70" s="56">
        <f>20.27944993198*Deflactores!$H$5</f>
        <v>49.14176156723282</v>
      </c>
      <c r="L70" s="56">
        <f>26.0867057836*Deflactores!$I$5</f>
        <v>58.708562233580686</v>
      </c>
      <c r="M70" s="56">
        <f>26.8510619693799*Deflactores!$J$5</f>
        <v>59.242830729390697</v>
      </c>
      <c r="N70" s="56">
        <f>26.8979553883399*Deflactores!$K$5</f>
        <v>57.522139149057367</v>
      </c>
      <c r="O70" s="56">
        <f>29.60803293318*Deflactores!$L$5</f>
        <v>61.042851867861202</v>
      </c>
      <c r="P70" s="56">
        <f>23.0349363154599*Deflactores!$M$5</f>
        <v>46.359923027320121</v>
      </c>
      <c r="Q70" s="56">
        <f>22.98484362756*Deflactores!$N$5</f>
        <v>45.378758972338609</v>
      </c>
      <c r="R70" s="56">
        <f>30.7571634791499*Deflactores!$O$5</f>
        <v>58.579564350554655</v>
      </c>
      <c r="S70" s="56">
        <f>28.51771076153*Deflactores!$P$5</f>
        <v>50.870414195838023</v>
      </c>
      <c r="T70" s="56">
        <f>31.79882428633*Deflactores!$Q$5</f>
        <v>53.639077569983364</v>
      </c>
      <c r="U70" s="56">
        <f>18.49309151377*Deflactores!$R$5</f>
        <v>29.968896237045936</v>
      </c>
      <c r="V70" s="56">
        <f>18.15825791927*Deflactores!$S$5</f>
        <v>28.519367282583882</v>
      </c>
    </row>
    <row r="71" spans="3:22" x14ac:dyDescent="0.2">
      <c r="C71" s="88" t="s">
        <v>142</v>
      </c>
      <c r="D71" s="57">
        <f>18.91902832774*Deflactores!$A$5</f>
        <v>68.686650998396445</v>
      </c>
      <c r="E71" s="57">
        <f>23.25017981721*Deflactores!$B$5</f>
        <v>78.413824864283157</v>
      </c>
      <c r="F71" s="57">
        <f>24.46692505868*Deflactores!$C$5</f>
        <v>77.124978501880037</v>
      </c>
      <c r="G71" s="57">
        <f>23.67554848118*Deflactores!$D$5</f>
        <v>70.081168167228853</v>
      </c>
      <c r="H71" s="57">
        <f>35.0686696121299*Deflactores!$E$5</f>
        <v>98.396700318184202</v>
      </c>
      <c r="I71" s="57">
        <f>30.3152409884*Deflactores!$F$5</f>
        <v>81.120840089645498</v>
      </c>
      <c r="J71" s="57">
        <f>37.2833636618499*Deflactores!$G$5</f>
        <v>95.490873460076926</v>
      </c>
      <c r="K71" s="57">
        <f>41.02654022911*Deflactores!$H$5</f>
        <v>99.416723068413319</v>
      </c>
      <c r="L71" s="57">
        <f>46.30445232787*Deflactores!$I$5</f>
        <v>104.20893476291869</v>
      </c>
      <c r="M71" s="57">
        <f>46.32704400041*Deflactores!$J$5</f>
        <v>102.21365654137318</v>
      </c>
      <c r="N71" s="57">
        <f>72.95133141763*Deflactores!$K$5</f>
        <v>156.0087588937333</v>
      </c>
      <c r="O71" s="57">
        <f>68.3372454495599*Deflactores!$L$5</f>
        <v>140.89083055431215</v>
      </c>
      <c r="P71" s="57">
        <f>75.79003497391*Deflactores!$M$5</f>
        <v>152.5343999006501</v>
      </c>
      <c r="Q71" s="57">
        <f>84.7396817022*Deflactores!$N$5</f>
        <v>167.30075060184518</v>
      </c>
      <c r="R71" s="57">
        <f>109.99704420675*Deflactores!$O$5</f>
        <v>209.4984777724442</v>
      </c>
      <c r="S71" s="57">
        <f>116.47791655346*Deflactores!$P$5</f>
        <v>207.77543854382202</v>
      </c>
      <c r="T71" s="57">
        <f>112.18333491425*Deflactores!$Q$5</f>
        <v>189.23374491275464</v>
      </c>
      <c r="U71" s="57">
        <f>115.4962221707*Deflactores!$R$5</f>
        <v>187.16688312644882</v>
      </c>
      <c r="V71" s="57">
        <f>107.28573986153*Deflactores!$S$5</f>
        <v>168.50302671643797</v>
      </c>
    </row>
    <row r="72" spans="3:22" x14ac:dyDescent="0.2">
      <c r="C72" s="87" t="s">
        <v>143</v>
      </c>
      <c r="D72" s="56">
        <f>0.0585*Deflactores!$A$5</f>
        <v>0.21238770901963061</v>
      </c>
      <c r="E72" s="56">
        <f>0*Deflactores!$B$5</f>
        <v>0</v>
      </c>
      <c r="F72" s="56">
        <f>0*Deflactores!$C$5</f>
        <v>0</v>
      </c>
      <c r="G72" s="56">
        <f>0*Deflactores!$D$5</f>
        <v>0</v>
      </c>
      <c r="H72" s="56">
        <f>51.62513713616*Deflactores!$E$5</f>
        <v>144.85132181674965</v>
      </c>
      <c r="I72" s="56">
        <f>8.41141910152*Deflactores!$F$5</f>
        <v>22.508195930967155</v>
      </c>
      <c r="J72" s="56">
        <f>0*Deflactores!$G$5</f>
        <v>0</v>
      </c>
      <c r="K72" s="56">
        <f>0*Deflactores!$H$5</f>
        <v>0</v>
      </c>
      <c r="L72" s="56">
        <f>0*Deflactores!$I$5</f>
        <v>0</v>
      </c>
      <c r="M72" s="56">
        <f>0*Deflactores!$J$5</f>
        <v>0</v>
      </c>
      <c r="N72" s="56">
        <f>0*Deflactores!$K$5</f>
        <v>0</v>
      </c>
      <c r="O72" s="56">
        <f>0*Deflactores!$L$5</f>
        <v>0</v>
      </c>
      <c r="P72" s="56">
        <f>1.837994*Deflactores!$M$5</f>
        <v>3.6991315798641051</v>
      </c>
      <c r="Q72" s="56">
        <f>3.565116884*Deflactores!$N$5</f>
        <v>7.0385764814718028</v>
      </c>
      <c r="R72" s="56">
        <f>11.10531429688*Deflactores!$O$5</f>
        <v>21.150990530326922</v>
      </c>
      <c r="S72" s="56">
        <f>0.260502065*Deflactores!$P$5</f>
        <v>0.46468834950446586</v>
      </c>
      <c r="T72" s="56">
        <f>11.80826940417*Deflactores!$Q$5</f>
        <v>19.918493615810245</v>
      </c>
      <c r="U72" s="56">
        <f>20.3188699500599*Deflactores!$R$5</f>
        <v>32.927653266300119</v>
      </c>
      <c r="V72" s="56">
        <f>56.06953242524*Deflactores!$S$5</f>
        <v>88.062830460249984</v>
      </c>
    </row>
    <row r="73" spans="3:22" x14ac:dyDescent="0.2">
      <c r="C73" s="88" t="s">
        <v>144</v>
      </c>
      <c r="D73" s="57">
        <f>0*Deflactores!$A$5</f>
        <v>0</v>
      </c>
      <c r="E73" s="57">
        <f>0*Deflactores!$B$5</f>
        <v>0</v>
      </c>
      <c r="F73" s="57">
        <f>0*Deflactores!$C$5</f>
        <v>0</v>
      </c>
      <c r="G73" s="57">
        <f>0*Deflactores!$D$5</f>
        <v>0</v>
      </c>
      <c r="H73" s="57">
        <f>0*Deflactores!$E$5</f>
        <v>0</v>
      </c>
      <c r="I73" s="57">
        <f>0*Deflactores!$F$5</f>
        <v>0</v>
      </c>
      <c r="J73" s="57">
        <f>0*Deflactores!$G$5</f>
        <v>0</v>
      </c>
      <c r="K73" s="57">
        <f>0*Deflactores!$H$5</f>
        <v>0</v>
      </c>
      <c r="L73" s="57">
        <f>0*Deflactores!$I$5</f>
        <v>0</v>
      </c>
      <c r="M73" s="57">
        <f>0*Deflactores!$J$5</f>
        <v>0</v>
      </c>
      <c r="N73" s="57">
        <f>0*Deflactores!$K$5</f>
        <v>0</v>
      </c>
      <c r="O73" s="57">
        <f>0*Deflactores!$L$5</f>
        <v>0</v>
      </c>
      <c r="P73" s="57">
        <f>0*Deflactores!$M$5</f>
        <v>0</v>
      </c>
      <c r="Q73" s="57">
        <f>0*Deflactores!$N$5</f>
        <v>0</v>
      </c>
      <c r="R73" s="57">
        <f>0*Deflactores!$O$5</f>
        <v>0</v>
      </c>
      <c r="S73" s="57">
        <f>0*Deflactores!$P$5</f>
        <v>0</v>
      </c>
      <c r="T73" s="57">
        <f>0*Deflactores!$Q$5</f>
        <v>0</v>
      </c>
      <c r="U73" s="57">
        <f>0*Deflactores!$R$5</f>
        <v>0</v>
      </c>
      <c r="V73" s="57">
        <f>0*Deflactores!$S$5</f>
        <v>0</v>
      </c>
    </row>
    <row r="74" spans="3:22" x14ac:dyDescent="0.2">
      <c r="C74" s="87" t="s">
        <v>145</v>
      </c>
      <c r="D74" s="56">
        <f>15.1657653094499*Deflactores!$A$5</f>
        <v>55.060207685529122</v>
      </c>
      <c r="E74" s="56">
        <f>14.28736353804*Deflactores!$B$5</f>
        <v>48.185727209513324</v>
      </c>
      <c r="F74" s="56">
        <f>32.637759147*Deflactores!$C$5</f>
        <v>102.8811943685136</v>
      </c>
      <c r="G74" s="56">
        <f>23.949605309*Deflactores!$D$5</f>
        <v>70.892394257855543</v>
      </c>
      <c r="H74" s="56">
        <f>28.2032478095*Deflactores!$E$5</f>
        <v>79.133498744160363</v>
      </c>
      <c r="I74" s="56">
        <f>12.863095361*Deflactores!$F$5</f>
        <v>34.420478538726421</v>
      </c>
      <c r="J74" s="56">
        <f>25.0498214018099*Deflactores!$G$5</f>
        <v>64.158087971161081</v>
      </c>
      <c r="K74" s="56">
        <f>30.14841375665*Deflactores!$H$5</f>
        <v>73.056525962433952</v>
      </c>
      <c r="L74" s="56">
        <f>24.79210777*Deflactores!$I$5</f>
        <v>55.795048021422588</v>
      </c>
      <c r="M74" s="56">
        <f>34.82654000942*Deflactores!$J$5</f>
        <v>76.839523778286903</v>
      </c>
      <c r="N74" s="56">
        <f>35.987668924*Deflactores!$K$5</f>
        <v>76.960782691828911</v>
      </c>
      <c r="O74" s="56">
        <f>41.1135668558099*Deflactores!$L$5</f>
        <v>84.763799641892078</v>
      </c>
      <c r="P74" s="56">
        <f>40.97943228817*Deflactores!$M$5</f>
        <v>82.474867764569652</v>
      </c>
      <c r="Q74" s="56">
        <f>38.22253412347*Deflactores!$N$5</f>
        <v>75.462386927931476</v>
      </c>
      <c r="R74" s="56">
        <f>54.07418067229*Deflactores!$O$5</f>
        <v>102.98875410091885</v>
      </c>
      <c r="S74" s="56">
        <f>68.04919394646*Deflactores!$P$5</f>
        <v>121.38739714055542</v>
      </c>
      <c r="T74" s="56">
        <f>86.87126489248*Deflactores!$Q$5</f>
        <v>146.53669186673244</v>
      </c>
      <c r="U74" s="56">
        <f>89.07446920025*Deflactores!$R$5</f>
        <v>144.34923024333423</v>
      </c>
      <c r="V74" s="56">
        <f>94.2997448785899*Deflactores!$S$5</f>
        <v>148.10721770795192</v>
      </c>
    </row>
    <row r="75" spans="3:22" x14ac:dyDescent="0.2">
      <c r="C75" s="88" t="s">
        <v>146</v>
      </c>
      <c r="D75" s="57">
        <f>52.80543624187*Deflactores!$A$5</f>
        <v>191.71325858449472</v>
      </c>
      <c r="E75" s="57">
        <f>55.54113389054*Deflactores!$B$5</f>
        <v>187.31866935638715</v>
      </c>
      <c r="F75" s="57">
        <f>52.2961154513099*Deflactores!$C$5</f>
        <v>164.84853614587041</v>
      </c>
      <c r="G75" s="57">
        <f>39.1749110501499*Deflactores!$D$5</f>
        <v>115.96029259571999</v>
      </c>
      <c r="H75" s="57">
        <f>38.47777006005*Deflactores!$E$5</f>
        <v>107.96205420353816</v>
      </c>
      <c r="I75" s="57">
        <f>43.1427822899899*Deflactores!$F$5</f>
        <v>115.44617918451766</v>
      </c>
      <c r="J75" s="57">
        <f>55.23657172369*Deflactores!$G$5</f>
        <v>141.47297783200162</v>
      </c>
      <c r="K75" s="57">
        <f>52.93431180082*Deflactores!$H$5</f>
        <v>128.2719865660319</v>
      </c>
      <c r="L75" s="57">
        <f>50.3791020424299*Deflactores!$I$5</f>
        <v>113.37900124550502</v>
      </c>
      <c r="M75" s="57">
        <f>72.62991210308*Deflactores!$J$5</f>
        <v>160.24697993398073</v>
      </c>
      <c r="N75" s="57">
        <f>116.966760831559*Deflactores!$K$5</f>
        <v>250.13716452530346</v>
      </c>
      <c r="O75" s="57">
        <f>113.092670704617*Deflactores!$L$5</f>
        <v>233.16304601331325</v>
      </c>
      <c r="P75" s="57">
        <f>226.787108687708*Deflactores!$M$5</f>
        <v>456.42986628507703</v>
      </c>
      <c r="Q75" s="57">
        <f>219.360041314875*Deflactores!$N$5</f>
        <v>433.0804509391682</v>
      </c>
      <c r="R75" s="57">
        <f>177.449381289906*Deflactores!$O$5</f>
        <v>337.96703838716485</v>
      </c>
      <c r="S75" s="57">
        <f>234.460574041864*Deflactores!$P$5</f>
        <v>418.23506149704951</v>
      </c>
      <c r="T75" s="57">
        <f>306.76087092197*Deflactores!$Q$5</f>
        <v>517.4521549179658</v>
      </c>
      <c r="U75" s="57">
        <f>306.50679758984*Deflactores!$R$5</f>
        <v>496.70821160861522</v>
      </c>
      <c r="V75" s="57">
        <f>221.714786127715*Deflactores!$S$5</f>
        <v>348.22533338099225</v>
      </c>
    </row>
    <row r="76" spans="3:22" x14ac:dyDescent="0.2">
      <c r="C76" s="90" t="s">
        <v>147</v>
      </c>
      <c r="D76" s="58">
        <f>506.2880732102*Deflactores!$A$5</f>
        <v>1838.1087858645708</v>
      </c>
      <c r="E76" s="58">
        <f>735.869050176059*Deflactores!$B$5</f>
        <v>2481.8004538975692</v>
      </c>
      <c r="F76" s="58">
        <f>692.77430183596*Deflactores!$C$5</f>
        <v>2183.7727057081993</v>
      </c>
      <c r="G76" s="58">
        <f>733.87525876151*Deflactores!$D$5</f>
        <v>2172.3186461305008</v>
      </c>
      <c r="H76" s="58">
        <f>906.02869294076*Deflactores!$E$5</f>
        <v>2542.1618431778752</v>
      </c>
      <c r="I76" s="58">
        <f>933.44981503486*Deflactores!$F$5</f>
        <v>2497.8271888429599</v>
      </c>
      <c r="J76" s="58">
        <f>1144.12525265454*Deflactores!$G$5</f>
        <v>2930.3557671087119</v>
      </c>
      <c r="K76" s="58">
        <f>1225.45039735193*Deflactores!$H$5</f>
        <v>2969.547568653385</v>
      </c>
      <c r="L76" s="58">
        <f>1406.91710588602*Deflactores!$I$5</f>
        <v>3166.2901844941184</v>
      </c>
      <c r="M76" s="58">
        <f>1661.62003009167*Deflactores!$J$5</f>
        <v>3666.1147440478403</v>
      </c>
      <c r="N76" s="58">
        <f>2137.13063128918*Deflactores!$K$5</f>
        <v>4570.322308067306</v>
      </c>
      <c r="O76" s="58">
        <f>2011.05300355432*Deflactores!$L$5</f>
        <v>4146.185964850547</v>
      </c>
      <c r="P76" s="58">
        <f>2466.99588042161*Deflactores!$M$5</f>
        <v>4965.0555816081169</v>
      </c>
      <c r="Q76" s="58">
        <f>2610.01428086068*Deflactores!$N$5</f>
        <v>5152.9264625287178</v>
      </c>
      <c r="R76" s="58">
        <f>1306.91985909646*Deflactores!$O$5</f>
        <v>2489.1370765986812</v>
      </c>
      <c r="S76" s="58">
        <f>1878.40287259988*Deflactores!$P$5</f>
        <v>3350.7294100447371</v>
      </c>
      <c r="T76" s="58">
        <f>2184.99101395814*Deflactores!$Q$5</f>
        <v>3685.6992394464332</v>
      </c>
      <c r="U76" s="58">
        <f>2282.71665486154*Deflactores!$R$5</f>
        <v>3699.2462032204548</v>
      </c>
      <c r="V76" s="58">
        <f>2018.06129348178*Deflactores!$S$5</f>
        <v>3169.5678893565891</v>
      </c>
    </row>
    <row r="77" spans="3:22" ht="22.5" customHeight="1" x14ac:dyDescent="0.2">
      <c r="C77" s="89" t="s">
        <v>148</v>
      </c>
      <c r="D77" s="59">
        <f>0*Deflactores!$A$5</f>
        <v>0</v>
      </c>
      <c r="E77" s="59">
        <f>0*Deflactores!$B$5</f>
        <v>0</v>
      </c>
      <c r="F77" s="59">
        <f>0*Deflactores!$C$5</f>
        <v>0</v>
      </c>
      <c r="G77" s="59">
        <f>0*Deflactores!$D$5</f>
        <v>0</v>
      </c>
      <c r="H77" s="59">
        <f>0*Deflactores!$E$5</f>
        <v>0</v>
      </c>
      <c r="I77" s="59">
        <f>0*Deflactores!$F$5</f>
        <v>0</v>
      </c>
      <c r="J77" s="59">
        <f>0*Deflactores!$G$5</f>
        <v>0</v>
      </c>
      <c r="K77" s="59">
        <f>0*Deflactores!$H$5</f>
        <v>0</v>
      </c>
      <c r="L77" s="59">
        <f>0*Deflactores!$I$5</f>
        <v>0</v>
      </c>
      <c r="M77" s="59">
        <f>0*Deflactores!$J$5</f>
        <v>0</v>
      </c>
      <c r="N77" s="59">
        <f>0*Deflactores!$K$5</f>
        <v>0</v>
      </c>
      <c r="O77" s="59">
        <f>0*Deflactores!$L$5</f>
        <v>0</v>
      </c>
      <c r="P77" s="59">
        <f>0*Deflactores!$M$5</f>
        <v>0</v>
      </c>
      <c r="Q77" s="59">
        <f>0*Deflactores!$N$5</f>
        <v>0</v>
      </c>
      <c r="R77" s="59">
        <f>0*Deflactores!$O$5</f>
        <v>0</v>
      </c>
      <c r="S77" s="59">
        <f>0*Deflactores!$P$5</f>
        <v>0</v>
      </c>
      <c r="T77" s="59">
        <f>0*Deflactores!$Q$5</f>
        <v>0</v>
      </c>
      <c r="U77" s="59">
        <f>0*Deflactores!$R$5</f>
        <v>0</v>
      </c>
      <c r="V77" s="59">
        <f>0*Deflactores!$S$5</f>
        <v>0</v>
      </c>
    </row>
    <row r="78" spans="3:22" x14ac:dyDescent="0.2">
      <c r="C78" s="87" t="s">
        <v>149</v>
      </c>
      <c r="D78" s="56">
        <f>163.270166460379*Deflactores!$A$5</f>
        <v>592.76199326108758</v>
      </c>
      <c r="E78" s="56">
        <f>185.10368988615*Deflactores!$B$5</f>
        <v>624.28284144801489</v>
      </c>
      <c r="F78" s="56">
        <f>201.39723615737*Deflactores!$C$5</f>
        <v>634.84714453174593</v>
      </c>
      <c r="G78" s="56">
        <f>166.4286155889*Deflactores!$D$5</f>
        <v>492.63956043917045</v>
      </c>
      <c r="H78" s="56">
        <f>199.51577893522*Deflactores!$E$5</f>
        <v>559.80721612112495</v>
      </c>
      <c r="I78" s="56">
        <f>138.06037734842*Deflactores!$F$5</f>
        <v>369.43706955464296</v>
      </c>
      <c r="J78" s="56">
        <f>264.36114345793*Deflactores!$G$5</f>
        <v>677.08688321846273</v>
      </c>
      <c r="K78" s="56">
        <f>390.095259084*Deflactores!$H$5</f>
        <v>945.29034439851625</v>
      </c>
      <c r="L78" s="56">
        <f>533.310213073*Deflactores!$I$5</f>
        <v>1200.2234430720671</v>
      </c>
      <c r="M78" s="56">
        <f>736.95853944888*Deflactores!$J$5</f>
        <v>1625.988203257544</v>
      </c>
      <c r="N78" s="56">
        <f>873.36213722735*Deflactores!$K$5</f>
        <v>1867.7129045610466</v>
      </c>
      <c r="O78" s="56">
        <f>992.46887960147*Deflactores!$L$5</f>
        <v>2046.1720958531737</v>
      </c>
      <c r="P78" s="56">
        <f>1263.5330538589*Deflactores!$M$5</f>
        <v>2542.9762130516151</v>
      </c>
      <c r="Q78" s="56">
        <f>1283.69950593628*Deflactores!$N$5</f>
        <v>2534.3957703912615</v>
      </c>
      <c r="R78" s="56">
        <f>1793.12918937338*Deflactores!$O$5</f>
        <v>3415.1630012618793</v>
      </c>
      <c r="S78" s="56">
        <f>1449.23813363372*Deflactores!$P$5</f>
        <v>2585.1774969890771</v>
      </c>
      <c r="T78" s="56">
        <f>1167.70348217955*Deflactores!$Q$5</f>
        <v>1969.7123734947188</v>
      </c>
      <c r="U78" s="56">
        <f>1233.41612316861*Deflactores!$R$5</f>
        <v>1998.8069482496192</v>
      </c>
      <c r="V78" s="56">
        <f>1177.34050500686*Deflactores!$S$5</f>
        <v>1849.1314766115677</v>
      </c>
    </row>
    <row r="79" spans="3:22" x14ac:dyDescent="0.2">
      <c r="C79" s="88" t="s">
        <v>150</v>
      </c>
      <c r="D79" s="57">
        <f>438.19972326172*Deflactores!$A$5</f>
        <v>1590.9100054118435</v>
      </c>
      <c r="E79" s="57">
        <f>742.11601622589*Deflactores!$B$5</f>
        <v>2502.8690437156138</v>
      </c>
      <c r="F79" s="57">
        <f>851.2214490135*Deflactores!$C$5</f>
        <v>2683.2319875935905</v>
      </c>
      <c r="G79" s="57">
        <f>760.666438336229*Deflactores!$D$5</f>
        <v>2251.6222856076092</v>
      </c>
      <c r="H79" s="57">
        <f>725.04735526043*Deflactores!$E$5</f>
        <v>2034.3591051819083</v>
      </c>
      <c r="I79" s="57">
        <f>619.554418086199*Deflactores!$F$5</f>
        <v>1657.8715272504426</v>
      </c>
      <c r="J79" s="57">
        <f>830.180563765839*Deflactores!$G$5</f>
        <v>2126.2745465398193</v>
      </c>
      <c r="K79" s="57">
        <f>784.906905635939*Deflactores!$H$5</f>
        <v>1902.0095781005164</v>
      </c>
      <c r="L79" s="57">
        <f>795.547989592629*Deflactores!$I$5</f>
        <v>1790.3938904451984</v>
      </c>
      <c r="M79" s="57">
        <f>897.73221565139*Deflactores!$J$5</f>
        <v>1980.7111447884533</v>
      </c>
      <c r="N79" s="57">
        <f>1002.53474641319*Deflactores!$K$5</f>
        <v>2143.9526667496502</v>
      </c>
      <c r="O79" s="57">
        <f>740.385893998199*Deflactores!$L$5</f>
        <v>1526.4528567089758</v>
      </c>
      <c r="P79" s="57">
        <f>1084.98144281714*Deflactores!$M$5</f>
        <v>2183.6247118823039</v>
      </c>
      <c r="Q79" s="57">
        <f>1098.34069992344*Deflactores!$N$5</f>
        <v>2168.4436361173744</v>
      </c>
      <c r="R79" s="57">
        <f>1417.68377141158*Deflactores!$O$5</f>
        <v>2700.0961181754924</v>
      </c>
      <c r="S79" s="57">
        <f>1541.33121096454*Deflactores!$P$5</f>
        <v>2749.4548132001632</v>
      </c>
      <c r="T79" s="57">
        <f>1670.86636678997*Deflactores!$Q$5</f>
        <v>2818.4605144615939</v>
      </c>
      <c r="U79" s="57">
        <f>2348.47137240831*Deflactores!$R$5</f>
        <v>3805.8047148564406</v>
      </c>
      <c r="V79" s="57">
        <f>2015.20138143864*Deflactores!$S$5</f>
        <v>3165.0761103369932</v>
      </c>
    </row>
    <row r="80" spans="3:22" x14ac:dyDescent="0.2">
      <c r="C80" s="87" t="s">
        <v>151</v>
      </c>
      <c r="D80" s="56">
        <f>26.857936547*Deflactores!$A$5</f>
        <v>97.509326704477573</v>
      </c>
      <c r="E80" s="56">
        <f>36.53579006568*Deflactores!$B$5</f>
        <v>123.22102736460617</v>
      </c>
      <c r="F80" s="56">
        <f>10.36058953445*Deflactores!$C$5</f>
        <v>32.658793174656871</v>
      </c>
      <c r="G80" s="56">
        <f>11.26058101111*Deflactores!$D$5</f>
        <v>33.332054466557047</v>
      </c>
      <c r="H80" s="56">
        <f>22.9284455457*Deflactores!$E$5</f>
        <v>64.333304059578353</v>
      </c>
      <c r="I80" s="56">
        <f>88.1926808026499*Deflactores!$F$5</f>
        <v>235.99562870723872</v>
      </c>
      <c r="J80" s="56">
        <f>23.58111021023*Deflactores!$G$5</f>
        <v>60.396396407691348</v>
      </c>
      <c r="K80" s="56">
        <f>13.86999891267*Deflactores!$H$5</f>
        <v>33.610190699963404</v>
      </c>
      <c r="L80" s="56">
        <f>0*Deflactores!$I$5</f>
        <v>0</v>
      </c>
      <c r="M80" s="56">
        <f>0*Deflactores!$J$5</f>
        <v>0</v>
      </c>
      <c r="N80" s="56">
        <f>0*Deflactores!$K$5</f>
        <v>0</v>
      </c>
      <c r="O80" s="56">
        <f>0*Deflactores!$L$5</f>
        <v>0</v>
      </c>
      <c r="P80" s="56">
        <f>0*Deflactores!$M$5</f>
        <v>0</v>
      </c>
      <c r="Q80" s="56">
        <f>0*Deflactores!$N$5</f>
        <v>0</v>
      </c>
      <c r="R80" s="56">
        <f>0*Deflactores!$O$5</f>
        <v>0</v>
      </c>
      <c r="S80" s="56">
        <f>0*Deflactores!$P$5</f>
        <v>0</v>
      </c>
      <c r="T80" s="56">
        <f>0*Deflactores!$Q$5</f>
        <v>0</v>
      </c>
      <c r="U80" s="56">
        <f>0*Deflactores!$R$5</f>
        <v>0</v>
      </c>
      <c r="V80" s="56">
        <f>0*Deflactores!$S$5</f>
        <v>0</v>
      </c>
    </row>
    <row r="81" spans="3:22" x14ac:dyDescent="0.2">
      <c r="C81" s="79" t="s">
        <v>154</v>
      </c>
      <c r="D81" s="44">
        <f t="shared" ref="D81:Q81" si="1">+SUM(D52:D80)</f>
        <v>11987.284039639761</v>
      </c>
      <c r="E81" s="44">
        <f t="shared" si="1"/>
        <v>14023.741539093693</v>
      </c>
      <c r="F81" s="44">
        <f t="shared" si="1"/>
        <v>13960.202049258265</v>
      </c>
      <c r="G81" s="44">
        <f t="shared" si="1"/>
        <v>13403.664830784088</v>
      </c>
      <c r="H81" s="44">
        <f t="shared" si="1"/>
        <v>20420.224780592212</v>
      </c>
      <c r="I81" s="44">
        <f t="shared" si="1"/>
        <v>19698.961293023662</v>
      </c>
      <c r="J81" s="44">
        <f t="shared" si="1"/>
        <v>16367.291025259145</v>
      </c>
      <c r="K81" s="44">
        <f t="shared" si="1"/>
        <v>16694.543048480122</v>
      </c>
      <c r="L81" s="44">
        <f t="shared" si="1"/>
        <v>18393.924073583723</v>
      </c>
      <c r="M81" s="44">
        <f t="shared" si="1"/>
        <v>22407.090293518762</v>
      </c>
      <c r="N81" s="44">
        <f t="shared" si="1"/>
        <v>24305.633013869439</v>
      </c>
      <c r="O81" s="44">
        <f t="shared" si="1"/>
        <v>23011.392211023482</v>
      </c>
      <c r="P81" s="44">
        <f t="shared" si="1"/>
        <v>24187.95327427645</v>
      </c>
      <c r="Q81" s="44">
        <f t="shared" si="1"/>
        <v>25826.863917032319</v>
      </c>
      <c r="R81" s="44">
        <f>10467.8882705937*Deflactores!$O$5</f>
        <v>19936.959888298788</v>
      </c>
      <c r="S81" s="44">
        <f>+SUM(S52:S80)</f>
        <v>20224.200172521498</v>
      </c>
      <c r="T81" s="44">
        <f>+SUM(T52:T80)</f>
        <v>21658.016387219293</v>
      </c>
      <c r="U81" s="44">
        <f>+SUM(U52:U80)</f>
        <v>22964.279743034276</v>
      </c>
      <c r="V81" s="44">
        <f>+SUM(V52:V80)</f>
        <v>20234.969442390218</v>
      </c>
    </row>
    <row r="82" spans="3:22" x14ac:dyDescent="0.2">
      <c r="C82" s="1" t="s">
        <v>52</v>
      </c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</row>
    <row r="83" spans="3:22" x14ac:dyDescent="0.2"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</row>
    <row r="84" spans="3:22" x14ac:dyDescent="0.2"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</row>
    <row r="85" spans="3:22" x14ac:dyDescent="0.2"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</row>
    <row r="86" spans="3:22" ht="18" customHeight="1" x14ac:dyDescent="0.2">
      <c r="D86" s="160" t="s">
        <v>173</v>
      </c>
      <c r="E86" s="158"/>
      <c r="F86" s="158"/>
      <c r="G86" s="158"/>
      <c r="H86" s="158"/>
      <c r="I86" s="158"/>
      <c r="J86" s="158"/>
      <c r="K86" s="158"/>
      <c r="L86" s="158"/>
      <c r="M86" s="158"/>
      <c r="N86" s="158"/>
      <c r="O86" s="158"/>
      <c r="P86" s="158"/>
      <c r="Q86" s="158"/>
      <c r="R86" s="158"/>
      <c r="S86" s="158"/>
      <c r="T86" s="158"/>
      <c r="U86" s="158"/>
      <c r="V86" s="158"/>
    </row>
    <row r="87" spans="3:22" ht="4.5" customHeight="1" x14ac:dyDescent="0.2">
      <c r="H87" s="27"/>
      <c r="I87" s="27"/>
      <c r="J87" s="27"/>
      <c r="L87" s="175"/>
      <c r="M87" s="158"/>
      <c r="N87" s="158"/>
      <c r="O87" s="158"/>
      <c r="P87" s="158"/>
      <c r="Q87" s="158"/>
      <c r="R87" s="28"/>
      <c r="S87" s="28"/>
      <c r="T87" s="28"/>
      <c r="U87" s="28"/>
      <c r="V87" s="28"/>
    </row>
    <row r="88" spans="3:22" x14ac:dyDescent="0.2"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</row>
    <row r="89" spans="3:22" x14ac:dyDescent="0.2">
      <c r="C89" s="177" t="s">
        <v>120</v>
      </c>
      <c r="D89" s="153">
        <v>2000</v>
      </c>
      <c r="E89" s="153">
        <v>2001</v>
      </c>
      <c r="F89" s="153">
        <v>2002</v>
      </c>
      <c r="G89" s="153">
        <v>2003</v>
      </c>
      <c r="H89" s="153">
        <v>2004</v>
      </c>
      <c r="I89" s="153">
        <v>2005</v>
      </c>
      <c r="J89" s="153">
        <v>2006</v>
      </c>
      <c r="K89" s="153">
        <v>2007</v>
      </c>
      <c r="L89" s="153">
        <v>2008</v>
      </c>
      <c r="M89" s="153">
        <v>2009</v>
      </c>
      <c r="N89" s="153">
        <v>2010</v>
      </c>
      <c r="O89" s="153">
        <v>2011</v>
      </c>
      <c r="P89" s="153">
        <v>2012</v>
      </c>
      <c r="Q89" s="153">
        <v>2013</v>
      </c>
      <c r="R89" s="153">
        <v>2014</v>
      </c>
      <c r="S89" s="153">
        <v>2015</v>
      </c>
      <c r="T89" s="153">
        <v>2016</v>
      </c>
      <c r="U89" s="153">
        <v>2017</v>
      </c>
      <c r="V89" s="153">
        <v>2018</v>
      </c>
    </row>
    <row r="90" spans="3:22" ht="12" customHeight="1" thickBot="1" x14ac:dyDescent="0.25">
      <c r="C90" s="156"/>
      <c r="D90" s="154"/>
      <c r="E90" s="154"/>
      <c r="F90" s="154"/>
      <c r="G90" s="154"/>
      <c r="H90" s="154"/>
      <c r="I90" s="154"/>
      <c r="J90" s="154"/>
      <c r="K90" s="154"/>
      <c r="L90" s="154"/>
      <c r="M90" s="154"/>
      <c r="N90" s="154"/>
      <c r="O90" s="154"/>
      <c r="P90" s="154"/>
      <c r="Q90" s="154"/>
      <c r="R90" s="154"/>
      <c r="S90" s="154"/>
      <c r="T90" s="154"/>
      <c r="U90" s="154"/>
      <c r="V90" s="154"/>
    </row>
    <row r="91" spans="3:22" x14ac:dyDescent="0.2">
      <c r="C91" s="87" t="s">
        <v>123</v>
      </c>
      <c r="D91" s="60">
        <f t="shared" ref="D91:V91" si="2">+IFERROR(IF(D52&gt;0,+((D52/D13)*100)," "),"")</f>
        <v>76.82640564815307</v>
      </c>
      <c r="E91" s="60">
        <f t="shared" si="2"/>
        <v>86.003312360620342</v>
      </c>
      <c r="F91" s="60">
        <f t="shared" si="2"/>
        <v>93.542900455728002</v>
      </c>
      <c r="G91" s="60">
        <f t="shared" si="2"/>
        <v>89.683407345069043</v>
      </c>
      <c r="H91" s="60">
        <f t="shared" si="2"/>
        <v>94.141923247317166</v>
      </c>
      <c r="I91" s="60">
        <f t="shared" si="2"/>
        <v>93.748512574855496</v>
      </c>
      <c r="J91" s="60">
        <f t="shared" si="2"/>
        <v>92.611655770696544</v>
      </c>
      <c r="K91" s="60">
        <f t="shared" si="2"/>
        <v>92.926885201151251</v>
      </c>
      <c r="L91" s="60">
        <f t="shared" si="2"/>
        <v>95.486567788343919</v>
      </c>
      <c r="M91" s="60">
        <f t="shared" si="2"/>
        <v>78.529915347409187</v>
      </c>
      <c r="N91" s="60">
        <f t="shared" si="2"/>
        <v>83.022110148997228</v>
      </c>
      <c r="O91" s="60">
        <f t="shared" si="2"/>
        <v>87.470355127180014</v>
      </c>
      <c r="P91" s="60">
        <f t="shared" si="2"/>
        <v>91.836218355561371</v>
      </c>
      <c r="Q91" s="60">
        <f t="shared" si="2"/>
        <v>81.108752600749142</v>
      </c>
      <c r="R91" s="60">
        <f t="shared" si="2"/>
        <v>94.504188844412766</v>
      </c>
      <c r="S91" s="60">
        <f t="shared" si="2"/>
        <v>80.945955546506084</v>
      </c>
      <c r="T91" s="60">
        <f t="shared" si="2"/>
        <v>93.977883118074715</v>
      </c>
      <c r="U91" s="60">
        <f t="shared" si="2"/>
        <v>96.332495196132257</v>
      </c>
      <c r="V91" s="60">
        <f t="shared" si="2"/>
        <v>87.655412913050441</v>
      </c>
    </row>
    <row r="92" spans="3:22" x14ac:dyDescent="0.2">
      <c r="C92" s="88" t="s">
        <v>124</v>
      </c>
      <c r="D92" s="62">
        <f t="shared" ref="D92:V92" si="3">+IFERROR(IF(D53&gt;0,+((D53/D14)*100)," "),"")</f>
        <v>53.361684791619226</v>
      </c>
      <c r="E92" s="62">
        <f t="shared" si="3"/>
        <v>34.503811298701301</v>
      </c>
      <c r="F92" s="62">
        <f t="shared" si="3"/>
        <v>84.451773904057646</v>
      </c>
      <c r="G92" s="62">
        <f t="shared" si="3"/>
        <v>78.540960771617748</v>
      </c>
      <c r="H92" s="62">
        <f t="shared" si="3"/>
        <v>76.045622603116357</v>
      </c>
      <c r="I92" s="62">
        <f t="shared" si="3"/>
        <v>73.492735641343415</v>
      </c>
      <c r="J92" s="62">
        <f t="shared" si="3"/>
        <v>79.736118342793318</v>
      </c>
      <c r="K92" s="62">
        <f t="shared" si="3"/>
        <v>86.472704414794947</v>
      </c>
      <c r="L92" s="62">
        <f t="shared" si="3"/>
        <v>76.563498641025646</v>
      </c>
      <c r="M92" s="62">
        <f t="shared" si="3"/>
        <v>82.740355725125468</v>
      </c>
      <c r="N92" s="62">
        <f t="shared" si="3"/>
        <v>80.94125868101591</v>
      </c>
      <c r="O92" s="62">
        <f t="shared" si="3"/>
        <v>88.506703864656927</v>
      </c>
      <c r="P92" s="62">
        <f t="shared" si="3"/>
        <v>88.225640580008942</v>
      </c>
      <c r="Q92" s="62">
        <f t="shared" si="3"/>
        <v>79.329424954602842</v>
      </c>
      <c r="R92" s="62">
        <f t="shared" si="3"/>
        <v>84.140701101583417</v>
      </c>
      <c r="S92" s="62">
        <f t="shared" si="3"/>
        <v>89.998342840288302</v>
      </c>
      <c r="T92" s="62">
        <f t="shared" si="3"/>
        <v>89.934567032915155</v>
      </c>
      <c r="U92" s="62">
        <f t="shared" si="3"/>
        <v>96.900639459504134</v>
      </c>
      <c r="V92" s="62">
        <f t="shared" si="3"/>
        <v>97.35309898095548</v>
      </c>
    </row>
    <row r="93" spans="3:22" x14ac:dyDescent="0.2">
      <c r="C93" s="87" t="s">
        <v>125</v>
      </c>
      <c r="D93" s="60">
        <f t="shared" ref="D93:V93" si="4">+IFERROR(IF(D54&gt;0,+((D54/D15)*100)," "),"")</f>
        <v>94.330263889837212</v>
      </c>
      <c r="E93" s="60">
        <f t="shared" si="4"/>
        <v>94.835507919261829</v>
      </c>
      <c r="F93" s="60">
        <f t="shared" si="4"/>
        <v>99.187380036384567</v>
      </c>
      <c r="G93" s="60">
        <f t="shared" si="4"/>
        <v>98.942357340366797</v>
      </c>
      <c r="H93" s="60">
        <f t="shared" si="4"/>
        <v>98.338137794297779</v>
      </c>
      <c r="I93" s="60">
        <f t="shared" si="4"/>
        <v>98.782361766819164</v>
      </c>
      <c r="J93" s="60">
        <f t="shared" si="4"/>
        <v>98.186682367604561</v>
      </c>
      <c r="K93" s="60">
        <f t="shared" si="4"/>
        <v>93.851874025676238</v>
      </c>
      <c r="L93" s="60">
        <f t="shared" si="4"/>
        <v>96.504199034955192</v>
      </c>
      <c r="M93" s="60">
        <f t="shared" si="4"/>
        <v>97.144680580533134</v>
      </c>
      <c r="N93" s="60" t="str">
        <f t="shared" si="4"/>
        <v xml:space="preserve"> </v>
      </c>
      <c r="O93" s="60" t="str">
        <f t="shared" si="4"/>
        <v xml:space="preserve"> </v>
      </c>
      <c r="P93" s="60" t="str">
        <f t="shared" si="4"/>
        <v xml:space="preserve"> </v>
      </c>
      <c r="Q93" s="60" t="str">
        <f t="shared" si="4"/>
        <v xml:space="preserve"> </v>
      </c>
      <c r="R93" s="60" t="str">
        <f t="shared" si="4"/>
        <v xml:space="preserve"> </v>
      </c>
      <c r="S93" s="60" t="str">
        <f t="shared" si="4"/>
        <v xml:space="preserve"> </v>
      </c>
      <c r="T93" s="60" t="str">
        <f t="shared" si="4"/>
        <v xml:space="preserve"> </v>
      </c>
      <c r="U93" s="60" t="str">
        <f t="shared" si="4"/>
        <v xml:space="preserve"> </v>
      </c>
      <c r="V93" s="60" t="str">
        <f t="shared" si="4"/>
        <v xml:space="preserve"> </v>
      </c>
    </row>
    <row r="94" spans="3:22" x14ac:dyDescent="0.2">
      <c r="C94" s="88" t="s">
        <v>126</v>
      </c>
      <c r="D94" s="62">
        <f t="shared" ref="D94:V94" si="5">+IFERROR(IF(D55&gt;0,+((D55/D16)*100)," "),"")</f>
        <v>95.114713813779758</v>
      </c>
      <c r="E94" s="62">
        <f t="shared" si="5"/>
        <v>88.910546805608632</v>
      </c>
      <c r="F94" s="62">
        <f t="shared" si="5"/>
        <v>78.504930226419859</v>
      </c>
      <c r="G94" s="62">
        <f t="shared" si="5"/>
        <v>89.068626117182077</v>
      </c>
      <c r="H94" s="62">
        <f t="shared" si="5"/>
        <v>87.124927162062889</v>
      </c>
      <c r="I94" s="62">
        <f t="shared" si="5"/>
        <v>90.222352769585427</v>
      </c>
      <c r="J94" s="62">
        <f t="shared" si="5"/>
        <v>87.60954711798739</v>
      </c>
      <c r="K94" s="62">
        <f t="shared" si="5"/>
        <v>94.732023352017848</v>
      </c>
      <c r="L94" s="62">
        <f t="shared" si="5"/>
        <v>93.569938059520368</v>
      </c>
      <c r="M94" s="62">
        <f t="shared" si="5"/>
        <v>95.425199939338555</v>
      </c>
      <c r="N94" s="62">
        <f t="shared" si="5"/>
        <v>92.256907099016274</v>
      </c>
      <c r="O94" s="62">
        <f t="shared" si="5"/>
        <v>86.952000054031132</v>
      </c>
      <c r="P94" s="62">
        <f t="shared" si="5"/>
        <v>92.299314068765312</v>
      </c>
      <c r="Q94" s="62">
        <f t="shared" si="5"/>
        <v>95.602105946941023</v>
      </c>
      <c r="R94" s="62">
        <f t="shared" si="5"/>
        <v>96.254637202357372</v>
      </c>
      <c r="S94" s="62">
        <f t="shared" si="5"/>
        <v>95.661710815116834</v>
      </c>
      <c r="T94" s="62">
        <f t="shared" si="5"/>
        <v>96.011157445576998</v>
      </c>
      <c r="U94" s="62">
        <f t="shared" si="5"/>
        <v>97.646179930332295</v>
      </c>
      <c r="V94" s="62">
        <f t="shared" si="5"/>
        <v>95.998223228670042</v>
      </c>
    </row>
    <row r="95" spans="3:22" x14ac:dyDescent="0.2">
      <c r="C95" s="87" t="s">
        <v>127</v>
      </c>
      <c r="D95" s="60" t="str">
        <f t="shared" ref="D95:V95" si="6">+IFERROR(IF(D56&gt;0,+((D56/D17)*100)," "),"")</f>
        <v xml:space="preserve"> </v>
      </c>
      <c r="E95" s="60" t="str">
        <f t="shared" si="6"/>
        <v xml:space="preserve"> </v>
      </c>
      <c r="F95" s="60" t="str">
        <f t="shared" si="6"/>
        <v xml:space="preserve"> </v>
      </c>
      <c r="G95" s="60" t="str">
        <f t="shared" si="6"/>
        <v xml:space="preserve"> </v>
      </c>
      <c r="H95" s="60" t="str">
        <f t="shared" si="6"/>
        <v xml:space="preserve"> </v>
      </c>
      <c r="I95" s="60" t="str">
        <f t="shared" si="6"/>
        <v xml:space="preserve"> </v>
      </c>
      <c r="J95" s="60" t="str">
        <f t="shared" si="6"/>
        <v xml:space="preserve"> </v>
      </c>
      <c r="K95" s="60" t="str">
        <f t="shared" si="6"/>
        <v xml:space="preserve"> </v>
      </c>
      <c r="L95" s="60" t="str">
        <f t="shared" si="6"/>
        <v xml:space="preserve"> </v>
      </c>
      <c r="M95" s="60" t="str">
        <f t="shared" si="6"/>
        <v xml:space="preserve"> </v>
      </c>
      <c r="N95" s="60" t="str">
        <f t="shared" si="6"/>
        <v xml:space="preserve"> </v>
      </c>
      <c r="O95" s="60" t="str">
        <f t="shared" si="6"/>
        <v xml:space="preserve"> </v>
      </c>
      <c r="P95" s="60" t="str">
        <f t="shared" si="6"/>
        <v xml:space="preserve"> </v>
      </c>
      <c r="Q95" s="60" t="str">
        <f t="shared" si="6"/>
        <v xml:space="preserve"> </v>
      </c>
      <c r="R95" s="60" t="str">
        <f t="shared" si="6"/>
        <v xml:space="preserve"> </v>
      </c>
      <c r="S95" s="60" t="str">
        <f t="shared" si="6"/>
        <v xml:space="preserve"> </v>
      </c>
      <c r="T95" s="60" t="str">
        <f t="shared" si="6"/>
        <v xml:space="preserve"> </v>
      </c>
      <c r="U95" s="60" t="str">
        <f t="shared" si="6"/>
        <v xml:space="preserve"> </v>
      </c>
      <c r="V95" s="60" t="str">
        <f t="shared" si="6"/>
        <v xml:space="preserve"> </v>
      </c>
    </row>
    <row r="96" spans="3:22" x14ac:dyDescent="0.2">
      <c r="C96" s="88" t="s">
        <v>128</v>
      </c>
      <c r="D96" s="62">
        <f t="shared" ref="D96:V96" si="7">+IFERROR(IF(D57&gt;0,+((D57/D18)*100)," "),"")</f>
        <v>86.980122753860371</v>
      </c>
      <c r="E96" s="62">
        <f t="shared" si="7"/>
        <v>89.213415832962923</v>
      </c>
      <c r="F96" s="62">
        <f t="shared" si="7"/>
        <v>82.191642610683886</v>
      </c>
      <c r="G96" s="62">
        <f t="shared" si="7"/>
        <v>91.351259206325281</v>
      </c>
      <c r="H96" s="62">
        <f t="shared" si="7"/>
        <v>90.964498867269597</v>
      </c>
      <c r="I96" s="62">
        <f t="shared" si="7"/>
        <v>92.97911259697031</v>
      </c>
      <c r="J96" s="62">
        <f t="shared" si="7"/>
        <v>35.352814771903866</v>
      </c>
      <c r="K96" s="62">
        <f t="shared" si="7"/>
        <v>56.116034118354129</v>
      </c>
      <c r="L96" s="62">
        <f t="shared" si="7"/>
        <v>85.672773747349851</v>
      </c>
      <c r="M96" s="62">
        <f t="shared" si="7"/>
        <v>35.058042094419314</v>
      </c>
      <c r="N96" s="62">
        <f t="shared" si="7"/>
        <v>93.412235377375822</v>
      </c>
      <c r="O96" s="62">
        <f t="shared" si="7"/>
        <v>81.194102803351058</v>
      </c>
      <c r="P96" s="62">
        <f t="shared" si="7"/>
        <v>94.084429236096724</v>
      </c>
      <c r="Q96" s="62">
        <f t="shared" si="7"/>
        <v>88.575430255538862</v>
      </c>
      <c r="R96" s="62">
        <f t="shared" si="7"/>
        <v>95.205138880396532</v>
      </c>
      <c r="S96" s="62">
        <f t="shared" si="7"/>
        <v>95.758341336382429</v>
      </c>
      <c r="T96" s="62">
        <f t="shared" si="7"/>
        <v>97.857401402652854</v>
      </c>
      <c r="U96" s="62">
        <f t="shared" si="7"/>
        <v>98.071660235325211</v>
      </c>
      <c r="V96" s="62">
        <f t="shared" si="7"/>
        <v>98.369589389629823</v>
      </c>
    </row>
    <row r="97" spans="3:22" x14ac:dyDescent="0.2">
      <c r="C97" s="87" t="s">
        <v>129</v>
      </c>
      <c r="D97" s="60">
        <f t="shared" ref="D97:V97" si="8">+IFERROR(IF(D58&gt;0,+((D58/D19)*100)," "),"")</f>
        <v>87.3268444824363</v>
      </c>
      <c r="E97" s="60">
        <f t="shared" si="8"/>
        <v>90.302815302222101</v>
      </c>
      <c r="F97" s="60">
        <f t="shared" si="8"/>
        <v>89.357896008881127</v>
      </c>
      <c r="G97" s="60">
        <f t="shared" si="8"/>
        <v>91.115206709447122</v>
      </c>
      <c r="H97" s="60">
        <f t="shared" si="8"/>
        <v>93.409064206203226</v>
      </c>
      <c r="I97" s="60">
        <f t="shared" si="8"/>
        <v>94.268314988125283</v>
      </c>
      <c r="J97" s="60">
        <f t="shared" si="8"/>
        <v>93.607657570444516</v>
      </c>
      <c r="K97" s="60">
        <f t="shared" si="8"/>
        <v>92.470814543056406</v>
      </c>
      <c r="L97" s="60">
        <f t="shared" si="8"/>
        <v>92.46372256432258</v>
      </c>
      <c r="M97" s="60">
        <f t="shared" si="8"/>
        <v>91.3811197815089</v>
      </c>
      <c r="N97" s="60">
        <f t="shared" si="8"/>
        <v>95.498290468946053</v>
      </c>
      <c r="O97" s="60">
        <f t="shared" si="8"/>
        <v>86.684756870288311</v>
      </c>
      <c r="P97" s="60">
        <f t="shared" si="8"/>
        <v>86.30430849002029</v>
      </c>
      <c r="Q97" s="60">
        <f t="shared" si="8"/>
        <v>84.51325185496114</v>
      </c>
      <c r="R97" s="60">
        <f t="shared" si="8"/>
        <v>91.453103946654991</v>
      </c>
      <c r="S97" s="60">
        <f t="shared" si="8"/>
        <v>87.506271610934746</v>
      </c>
      <c r="T97" s="60">
        <f t="shared" si="8"/>
        <v>94.532294571805679</v>
      </c>
      <c r="U97" s="60">
        <f t="shared" si="8"/>
        <v>97.976281186011249</v>
      </c>
      <c r="V97" s="60">
        <f t="shared" si="8"/>
        <v>97.199281247847708</v>
      </c>
    </row>
    <row r="98" spans="3:22" x14ac:dyDescent="0.2">
      <c r="C98" s="88" t="s">
        <v>130</v>
      </c>
      <c r="D98" s="62">
        <f t="shared" ref="D98:V98" si="9">+IFERROR(IF(D59&gt;0,+((D59/D20)*100)," "),"")</f>
        <v>88.355910844540716</v>
      </c>
      <c r="E98" s="62">
        <f t="shared" si="9"/>
        <v>94.362832736045959</v>
      </c>
      <c r="F98" s="62">
        <f t="shared" si="9"/>
        <v>95.933626429420997</v>
      </c>
      <c r="G98" s="62">
        <f t="shared" si="9"/>
        <v>93.158798602296358</v>
      </c>
      <c r="H98" s="62">
        <f t="shared" si="9"/>
        <v>95.998138624862818</v>
      </c>
      <c r="I98" s="62">
        <f t="shared" si="9"/>
        <v>97.405126577975295</v>
      </c>
      <c r="J98" s="62">
        <f t="shared" si="9"/>
        <v>93.987387579237165</v>
      </c>
      <c r="K98" s="62">
        <f t="shared" si="9"/>
        <v>95.129376817965834</v>
      </c>
      <c r="L98" s="62">
        <f t="shared" si="9"/>
        <v>95.454474433987301</v>
      </c>
      <c r="M98" s="62">
        <f t="shared" si="9"/>
        <v>63.460640310590101</v>
      </c>
      <c r="N98" s="62">
        <f t="shared" si="9"/>
        <v>96.34714466023415</v>
      </c>
      <c r="O98" s="62">
        <f t="shared" si="9"/>
        <v>84.908596333822359</v>
      </c>
      <c r="P98" s="62" t="str">
        <f t="shared" si="9"/>
        <v xml:space="preserve"> </v>
      </c>
      <c r="Q98" s="62" t="str">
        <f t="shared" si="9"/>
        <v xml:space="preserve"> </v>
      </c>
      <c r="R98" s="62" t="str">
        <f t="shared" si="9"/>
        <v xml:space="preserve"> </v>
      </c>
      <c r="S98" s="62" t="str">
        <f t="shared" si="9"/>
        <v xml:space="preserve"> </v>
      </c>
      <c r="T98" s="62" t="str">
        <f t="shared" si="9"/>
        <v xml:space="preserve"> </v>
      </c>
      <c r="U98" s="62" t="str">
        <f t="shared" si="9"/>
        <v xml:space="preserve"> </v>
      </c>
      <c r="V98" s="62" t="str">
        <f t="shared" si="9"/>
        <v xml:space="preserve"> </v>
      </c>
    </row>
    <row r="99" spans="3:22" x14ac:dyDescent="0.2">
      <c r="C99" s="87" t="s">
        <v>131</v>
      </c>
      <c r="D99" s="60">
        <f t="shared" ref="D99:V99" si="10">+IFERROR(IF(D60&gt;0,+((D60/D21)*100)," "),"")</f>
        <v>95.35052091180718</v>
      </c>
      <c r="E99" s="60">
        <f t="shared" si="10"/>
        <v>95.216427560241229</v>
      </c>
      <c r="F99" s="60">
        <f t="shared" si="10"/>
        <v>91.585633913248572</v>
      </c>
      <c r="G99" s="60">
        <f t="shared" si="10"/>
        <v>95.130978181198316</v>
      </c>
      <c r="H99" s="60">
        <f t="shared" si="10"/>
        <v>93.086667195134083</v>
      </c>
      <c r="I99" s="60">
        <f t="shared" si="10"/>
        <v>97.000138456235334</v>
      </c>
      <c r="J99" s="60">
        <f t="shared" si="10"/>
        <v>53.698524014118235</v>
      </c>
      <c r="K99" s="60">
        <f t="shared" si="10"/>
        <v>86.789695505525117</v>
      </c>
      <c r="L99" s="60">
        <f t="shared" si="10"/>
        <v>90.84113862766722</v>
      </c>
      <c r="M99" s="60">
        <f t="shared" si="10"/>
        <v>92.217756640854148</v>
      </c>
      <c r="N99" s="60">
        <f t="shared" si="10"/>
        <v>88.592173775388318</v>
      </c>
      <c r="O99" s="60">
        <f t="shared" si="10"/>
        <v>95.449410976611773</v>
      </c>
      <c r="P99" s="60">
        <f t="shared" si="10"/>
        <v>94.163073752758379</v>
      </c>
      <c r="Q99" s="60">
        <f t="shared" si="10"/>
        <v>92.232311448719685</v>
      </c>
      <c r="R99" s="60">
        <f t="shared" si="10"/>
        <v>90.084215567899378</v>
      </c>
      <c r="S99" s="60">
        <f t="shared" si="10"/>
        <v>89.871156147095675</v>
      </c>
      <c r="T99" s="60">
        <f t="shared" si="10"/>
        <v>89.264359074807714</v>
      </c>
      <c r="U99" s="60">
        <f t="shared" si="10"/>
        <v>90.573907655626755</v>
      </c>
      <c r="V99" s="60">
        <f t="shared" si="10"/>
        <v>92.685152535097657</v>
      </c>
    </row>
    <row r="100" spans="3:22" x14ac:dyDescent="0.2">
      <c r="C100" s="88" t="s">
        <v>132</v>
      </c>
      <c r="D100" s="62">
        <f t="shared" ref="D100:V100" si="11">+IFERROR(IF(D61&gt;0,+((D61/D22)*100)," "),"")</f>
        <v>86.787703748426708</v>
      </c>
      <c r="E100" s="62">
        <f t="shared" si="11"/>
        <v>78.452921095957194</v>
      </c>
      <c r="F100" s="62">
        <f t="shared" si="11"/>
        <v>78.780360432030136</v>
      </c>
      <c r="G100" s="62">
        <f t="shared" si="11"/>
        <v>87.78125603009407</v>
      </c>
      <c r="H100" s="62">
        <f t="shared" si="11"/>
        <v>83.075542013027786</v>
      </c>
      <c r="I100" s="62">
        <f t="shared" si="11"/>
        <v>93.561933280104654</v>
      </c>
      <c r="J100" s="62">
        <f t="shared" si="11"/>
        <v>79.749449724212241</v>
      </c>
      <c r="K100" s="62">
        <f t="shared" si="11"/>
        <v>47.554433029395405</v>
      </c>
      <c r="L100" s="62">
        <f t="shared" si="11"/>
        <v>58.339561919580341</v>
      </c>
      <c r="M100" s="62">
        <f t="shared" si="11"/>
        <v>60.706861023745788</v>
      </c>
      <c r="N100" s="62">
        <f t="shared" si="11"/>
        <v>72.25461515225129</v>
      </c>
      <c r="O100" s="62">
        <f t="shared" si="11"/>
        <v>68.765356555056329</v>
      </c>
      <c r="P100" s="62">
        <f t="shared" si="11"/>
        <v>70.966042223852327</v>
      </c>
      <c r="Q100" s="62">
        <f t="shared" si="11"/>
        <v>69.364290259149058</v>
      </c>
      <c r="R100" s="62">
        <f t="shared" si="11"/>
        <v>69.273155923198544</v>
      </c>
      <c r="S100" s="62">
        <f t="shared" si="11"/>
        <v>73.913106256765332</v>
      </c>
      <c r="T100" s="62">
        <f t="shared" si="11"/>
        <v>91.426277289846837</v>
      </c>
      <c r="U100" s="62">
        <f t="shared" si="11"/>
        <v>93.497251073073841</v>
      </c>
      <c r="V100" s="62">
        <f t="shared" si="11"/>
        <v>93.389600488288195</v>
      </c>
    </row>
    <row r="101" spans="3:22" x14ac:dyDescent="0.2">
      <c r="C101" s="87" t="s">
        <v>133</v>
      </c>
      <c r="D101" s="60">
        <f t="shared" ref="D101:V101" si="12">+IFERROR(IF(D62&gt;0,+((D62/D23)*100)," "),"")</f>
        <v>52.553481328482711</v>
      </c>
      <c r="E101" s="60">
        <f t="shared" si="12"/>
        <v>63.907002755798558</v>
      </c>
      <c r="F101" s="60">
        <f t="shared" si="12"/>
        <v>86.798313787478406</v>
      </c>
      <c r="G101" s="60">
        <f t="shared" si="12"/>
        <v>34.140608885384026</v>
      </c>
      <c r="H101" s="60">
        <f t="shared" si="12"/>
        <v>91.137512104926614</v>
      </c>
      <c r="I101" s="60">
        <f t="shared" si="12"/>
        <v>99.861296224890481</v>
      </c>
      <c r="J101" s="60">
        <f t="shared" si="12"/>
        <v>99.992904700325738</v>
      </c>
      <c r="K101" s="60">
        <f t="shared" si="12"/>
        <v>83.089303965380751</v>
      </c>
      <c r="L101" s="60">
        <f t="shared" si="12"/>
        <v>96.097065734930581</v>
      </c>
      <c r="M101" s="60">
        <f t="shared" si="12"/>
        <v>97.290065080311237</v>
      </c>
      <c r="N101" s="60">
        <f t="shared" si="12"/>
        <v>90.573022654061489</v>
      </c>
      <c r="O101" s="60">
        <f t="shared" si="12"/>
        <v>91.052149671146537</v>
      </c>
      <c r="P101" s="60">
        <f t="shared" si="12"/>
        <v>85.085612703805552</v>
      </c>
      <c r="Q101" s="60">
        <f t="shared" si="12"/>
        <v>59.910742094923286</v>
      </c>
      <c r="R101" s="60">
        <f t="shared" si="12"/>
        <v>98.411195353444228</v>
      </c>
      <c r="S101" s="60">
        <f t="shared" si="12"/>
        <v>49.217369057482252</v>
      </c>
      <c r="T101" s="60">
        <f t="shared" si="12"/>
        <v>40.798536007914201</v>
      </c>
      <c r="U101" s="60">
        <f t="shared" si="12"/>
        <v>99.783059443826346</v>
      </c>
      <c r="V101" s="60">
        <f t="shared" si="12"/>
        <v>97.501865934238751</v>
      </c>
    </row>
    <row r="102" spans="3:22" x14ac:dyDescent="0.2">
      <c r="C102" s="88" t="s">
        <v>134</v>
      </c>
      <c r="D102" s="62">
        <f t="shared" ref="D102:V102" si="13">+IFERROR(IF(D63&gt;0,+((D63/D24)*100)," "),"")</f>
        <v>71.871683578059091</v>
      </c>
      <c r="E102" s="62">
        <f t="shared" si="13"/>
        <v>88.98706395185738</v>
      </c>
      <c r="F102" s="62">
        <f t="shared" si="13"/>
        <v>92.503531745315343</v>
      </c>
      <c r="G102" s="62">
        <f t="shared" si="13"/>
        <v>91.838445119509799</v>
      </c>
      <c r="H102" s="62">
        <f t="shared" si="13"/>
        <v>92.910815013715151</v>
      </c>
      <c r="I102" s="62">
        <f t="shared" si="13"/>
        <v>87.337569460203042</v>
      </c>
      <c r="J102" s="62">
        <f t="shared" si="13"/>
        <v>97.541321128487766</v>
      </c>
      <c r="K102" s="62">
        <f t="shared" si="13"/>
        <v>88.977072591259642</v>
      </c>
      <c r="L102" s="62">
        <f t="shared" si="13"/>
        <v>92.062290080142844</v>
      </c>
      <c r="M102" s="62">
        <f t="shared" si="13"/>
        <v>88.852711545989109</v>
      </c>
      <c r="N102" s="62">
        <f t="shared" si="13"/>
        <v>92.1378884348767</v>
      </c>
      <c r="O102" s="62">
        <f t="shared" si="13"/>
        <v>92.379173241499814</v>
      </c>
      <c r="P102" s="62">
        <f t="shared" si="13"/>
        <v>88.859339034906398</v>
      </c>
      <c r="Q102" s="62">
        <f t="shared" si="13"/>
        <v>78.989032481626325</v>
      </c>
      <c r="R102" s="62">
        <f t="shared" si="13"/>
        <v>73.28616146688195</v>
      </c>
      <c r="S102" s="62">
        <f t="shared" si="13"/>
        <v>70.715429903768481</v>
      </c>
      <c r="T102" s="62">
        <f t="shared" si="13"/>
        <v>79.084785286087211</v>
      </c>
      <c r="U102" s="62">
        <f t="shared" si="13"/>
        <v>78.169840929059191</v>
      </c>
      <c r="V102" s="62">
        <f t="shared" si="13"/>
        <v>80.133974570863103</v>
      </c>
    </row>
    <row r="103" spans="3:22" x14ac:dyDescent="0.2">
      <c r="C103" s="87" t="s">
        <v>135</v>
      </c>
      <c r="D103" s="60" t="str">
        <f t="shared" ref="D103:V103" si="14">+IFERROR(IF(D64&gt;0,+((D64/D25)*100)," "),"")</f>
        <v xml:space="preserve"> </v>
      </c>
      <c r="E103" s="60" t="str">
        <f t="shared" si="14"/>
        <v xml:space="preserve"> </v>
      </c>
      <c r="F103" s="60" t="str">
        <f t="shared" si="14"/>
        <v xml:space="preserve"> </v>
      </c>
      <c r="G103" s="60" t="str">
        <f t="shared" si="14"/>
        <v xml:space="preserve"> </v>
      </c>
      <c r="H103" s="60" t="str">
        <f t="shared" si="14"/>
        <v xml:space="preserve"> </v>
      </c>
      <c r="I103" s="60" t="str">
        <f t="shared" si="14"/>
        <v xml:space="preserve"> </v>
      </c>
      <c r="J103" s="60" t="str">
        <f t="shared" si="14"/>
        <v xml:space="preserve"> </v>
      </c>
      <c r="K103" s="60" t="str">
        <f t="shared" si="14"/>
        <v xml:space="preserve"> </v>
      </c>
      <c r="L103" s="60" t="str">
        <f t="shared" si="14"/>
        <v xml:space="preserve"> </v>
      </c>
      <c r="M103" s="60" t="str">
        <f t="shared" si="14"/>
        <v xml:space="preserve"> </v>
      </c>
      <c r="N103" s="60" t="str">
        <f t="shared" si="14"/>
        <v xml:space="preserve"> </v>
      </c>
      <c r="O103" s="60" t="str">
        <f t="shared" si="14"/>
        <v xml:space="preserve"> </v>
      </c>
      <c r="P103" s="60" t="str">
        <f t="shared" si="14"/>
        <v xml:space="preserve"> </v>
      </c>
      <c r="Q103" s="60" t="str">
        <f t="shared" si="14"/>
        <v xml:space="preserve"> </v>
      </c>
      <c r="R103" s="60" t="str">
        <f t="shared" si="14"/>
        <v xml:space="preserve"> </v>
      </c>
      <c r="S103" s="60" t="str">
        <f t="shared" si="14"/>
        <v xml:space="preserve"> </v>
      </c>
      <c r="T103" s="60" t="str">
        <f t="shared" si="14"/>
        <v xml:space="preserve"> </v>
      </c>
      <c r="U103" s="60" t="str">
        <f t="shared" si="14"/>
        <v xml:space="preserve"> </v>
      </c>
      <c r="V103" s="60" t="str">
        <f t="shared" si="14"/>
        <v xml:space="preserve"> </v>
      </c>
    </row>
    <row r="104" spans="3:22" x14ac:dyDescent="0.2">
      <c r="C104" s="88" t="s">
        <v>136</v>
      </c>
      <c r="D104" s="62">
        <f t="shared" ref="D104:V104" si="15">+IFERROR(IF(D65&gt;0,+((D65/D26)*100)," "),"")</f>
        <v>81.221384529683377</v>
      </c>
      <c r="E104" s="62">
        <f t="shared" si="15"/>
        <v>80.799462425885721</v>
      </c>
      <c r="F104" s="62">
        <f t="shared" si="15"/>
        <v>91.07130325782461</v>
      </c>
      <c r="G104" s="62">
        <f t="shared" si="15"/>
        <v>96.521748398885592</v>
      </c>
      <c r="H104" s="62">
        <f t="shared" si="15"/>
        <v>98.936611022344621</v>
      </c>
      <c r="I104" s="62">
        <f t="shared" si="15"/>
        <v>98.016765424179496</v>
      </c>
      <c r="J104" s="62">
        <f t="shared" si="15"/>
        <v>96.172104208736826</v>
      </c>
      <c r="K104" s="62">
        <f t="shared" si="15"/>
        <v>94.332536513255931</v>
      </c>
      <c r="L104" s="62">
        <f t="shared" si="15"/>
        <v>95.783207528557213</v>
      </c>
      <c r="M104" s="62">
        <f t="shared" si="15"/>
        <v>97.226087024915003</v>
      </c>
      <c r="N104" s="62">
        <f t="shared" si="15"/>
        <v>93.835023231146238</v>
      </c>
      <c r="O104" s="62">
        <f t="shared" si="15"/>
        <v>87.607444964707</v>
      </c>
      <c r="P104" s="62">
        <f t="shared" si="15"/>
        <v>95.322299278242255</v>
      </c>
      <c r="Q104" s="62">
        <f t="shared" si="15"/>
        <v>95.800770265974208</v>
      </c>
      <c r="R104" s="62">
        <f t="shared" si="15"/>
        <v>93.674959336265431</v>
      </c>
      <c r="S104" s="62">
        <f t="shared" si="15"/>
        <v>94.627525356311367</v>
      </c>
      <c r="T104" s="62">
        <f t="shared" si="15"/>
        <v>97.659300717245387</v>
      </c>
      <c r="U104" s="62">
        <f t="shared" si="15"/>
        <v>99.350192380035779</v>
      </c>
      <c r="V104" s="62">
        <f t="shared" si="15"/>
        <v>96.408242708529073</v>
      </c>
    </row>
    <row r="105" spans="3:22" x14ac:dyDescent="0.2">
      <c r="C105" s="87" t="s">
        <v>137</v>
      </c>
      <c r="D105" s="60">
        <f t="shared" ref="D105:V105" si="16">+IFERROR(IF(D66&gt;0,+((D66/D27)*100)," "),"")</f>
        <v>77.197482359018593</v>
      </c>
      <c r="E105" s="60">
        <f t="shared" si="16"/>
        <v>72.307226110187287</v>
      </c>
      <c r="F105" s="60">
        <f t="shared" si="16"/>
        <v>91.382125362293891</v>
      </c>
      <c r="G105" s="60">
        <f t="shared" si="16"/>
        <v>93.620031100640404</v>
      </c>
      <c r="H105" s="60">
        <f t="shared" si="16"/>
        <v>78.007634188021598</v>
      </c>
      <c r="I105" s="60">
        <f t="shared" si="16"/>
        <v>60.242253174319046</v>
      </c>
      <c r="J105" s="60">
        <f t="shared" si="16"/>
        <v>92.027071959411217</v>
      </c>
      <c r="K105" s="60">
        <f t="shared" si="16"/>
        <v>91.928866721067166</v>
      </c>
      <c r="L105" s="60">
        <f t="shared" si="16"/>
        <v>83.539501347200655</v>
      </c>
      <c r="M105" s="60">
        <f t="shared" si="16"/>
        <v>80.824852839235533</v>
      </c>
      <c r="N105" s="60">
        <f t="shared" si="16"/>
        <v>59.010484677242758</v>
      </c>
      <c r="O105" s="60">
        <f t="shared" si="16"/>
        <v>71.812116262770189</v>
      </c>
      <c r="P105" s="60">
        <f t="shared" si="16"/>
        <v>86.416558878098897</v>
      </c>
      <c r="Q105" s="60">
        <f t="shared" si="16"/>
        <v>81.765325440782064</v>
      </c>
      <c r="R105" s="60">
        <f t="shared" si="16"/>
        <v>93.910757115960536</v>
      </c>
      <c r="S105" s="60">
        <f t="shared" si="16"/>
        <v>90.121168348525785</v>
      </c>
      <c r="T105" s="60">
        <f t="shared" si="16"/>
        <v>89.573934381462919</v>
      </c>
      <c r="U105" s="60">
        <f t="shared" si="16"/>
        <v>96.475051182941186</v>
      </c>
      <c r="V105" s="60">
        <f t="shared" si="16"/>
        <v>78.928672612470379</v>
      </c>
    </row>
    <row r="106" spans="3:22" x14ac:dyDescent="0.2">
      <c r="C106" s="88" t="s">
        <v>138</v>
      </c>
      <c r="D106" s="62">
        <f t="shared" ref="D106:V106" si="17">+IFERROR(IF(D67&gt;0,+((D67/D28)*100)," "),"")</f>
        <v>91.061103181927223</v>
      </c>
      <c r="E106" s="62">
        <f t="shared" si="17"/>
        <v>86.490418225831263</v>
      </c>
      <c r="F106" s="62">
        <f t="shared" si="17"/>
        <v>94.081779150563932</v>
      </c>
      <c r="G106" s="62">
        <f t="shared" si="17"/>
        <v>95.270883404582733</v>
      </c>
      <c r="H106" s="62">
        <f t="shared" si="17"/>
        <v>95.224399978912416</v>
      </c>
      <c r="I106" s="62">
        <f t="shared" si="17"/>
        <v>82.729000982035288</v>
      </c>
      <c r="J106" s="62">
        <f t="shared" si="17"/>
        <v>89.400635385234963</v>
      </c>
      <c r="K106" s="62">
        <f t="shared" si="17"/>
        <v>87.637833078935216</v>
      </c>
      <c r="L106" s="62">
        <f t="shared" si="17"/>
        <v>92.224236496944485</v>
      </c>
      <c r="M106" s="62">
        <f t="shared" si="17"/>
        <v>65.154519215855487</v>
      </c>
      <c r="N106" s="62">
        <f t="shared" si="17"/>
        <v>70.034634037325532</v>
      </c>
      <c r="O106" s="62">
        <f t="shared" si="17"/>
        <v>64.114396174469661</v>
      </c>
      <c r="P106" s="62">
        <f t="shared" si="17"/>
        <v>91.586878730611545</v>
      </c>
      <c r="Q106" s="62">
        <f t="shared" si="17"/>
        <v>96.524858575159584</v>
      </c>
      <c r="R106" s="62">
        <f t="shared" si="17"/>
        <v>81.256331602629075</v>
      </c>
      <c r="S106" s="62" t="str">
        <f t="shared" si="17"/>
        <v xml:space="preserve"> </v>
      </c>
      <c r="T106" s="62" t="str">
        <f t="shared" si="17"/>
        <v xml:space="preserve"> </v>
      </c>
      <c r="U106" s="62" t="str">
        <f t="shared" si="17"/>
        <v xml:space="preserve"> </v>
      </c>
      <c r="V106" s="62" t="str">
        <f t="shared" si="17"/>
        <v xml:space="preserve"> </v>
      </c>
    </row>
    <row r="107" spans="3:22" x14ac:dyDescent="0.2">
      <c r="C107" s="87" t="s">
        <v>139</v>
      </c>
      <c r="D107" s="60">
        <f t="shared" ref="D107:V107" si="18">+IFERROR(IF(D68&gt;0,+((D68/D29)*100)," "),"")</f>
        <v>81.736419870672307</v>
      </c>
      <c r="E107" s="60">
        <f t="shared" si="18"/>
        <v>97.619084553887078</v>
      </c>
      <c r="F107" s="60">
        <f t="shared" si="18"/>
        <v>89.149764788111924</v>
      </c>
      <c r="G107" s="60">
        <f t="shared" si="18"/>
        <v>87.854617522381517</v>
      </c>
      <c r="H107" s="60">
        <f t="shared" si="18"/>
        <v>75.364457958535354</v>
      </c>
      <c r="I107" s="60">
        <f t="shared" si="18"/>
        <v>93.013136033166546</v>
      </c>
      <c r="J107" s="60">
        <f t="shared" si="18"/>
        <v>97.256539028126639</v>
      </c>
      <c r="K107" s="60">
        <f t="shared" si="18"/>
        <v>78.860234558220768</v>
      </c>
      <c r="L107" s="60">
        <f t="shared" si="18"/>
        <v>90.12399204042103</v>
      </c>
      <c r="M107" s="60">
        <f t="shared" si="18"/>
        <v>87.573221888784332</v>
      </c>
      <c r="N107" s="60">
        <f t="shared" si="18"/>
        <v>76.489817396335923</v>
      </c>
      <c r="O107" s="60">
        <f t="shared" si="18"/>
        <v>85.402076530047893</v>
      </c>
      <c r="P107" s="60">
        <f t="shared" si="18"/>
        <v>87.231071848415979</v>
      </c>
      <c r="Q107" s="60">
        <f t="shared" si="18"/>
        <v>87.993331847618265</v>
      </c>
      <c r="R107" s="60">
        <f t="shared" si="18"/>
        <v>82.263124017740552</v>
      </c>
      <c r="S107" s="60">
        <f t="shared" si="18"/>
        <v>93.762461491640309</v>
      </c>
      <c r="T107" s="60">
        <f t="shared" si="18"/>
        <v>96.588715410037025</v>
      </c>
      <c r="U107" s="60">
        <f t="shared" si="18"/>
        <v>95.32387053297802</v>
      </c>
      <c r="V107" s="60">
        <f t="shared" si="18"/>
        <v>93.176904177049607</v>
      </c>
    </row>
    <row r="108" spans="3:22" x14ac:dyDescent="0.2">
      <c r="C108" s="88" t="s">
        <v>140</v>
      </c>
      <c r="D108" s="62">
        <f t="shared" ref="D108:V108" si="19">+IFERROR(IF(D69&gt;0,+((D69/D30)*100)," "),"")</f>
        <v>60.920353004631309</v>
      </c>
      <c r="E108" s="62">
        <f t="shared" si="19"/>
        <v>82.756625146622625</v>
      </c>
      <c r="F108" s="62">
        <f t="shared" si="19"/>
        <v>65.30409125287396</v>
      </c>
      <c r="G108" s="62">
        <f t="shared" si="19"/>
        <v>87.845490014864453</v>
      </c>
      <c r="H108" s="62">
        <f t="shared" si="19"/>
        <v>99.606435008763469</v>
      </c>
      <c r="I108" s="62">
        <f t="shared" si="19"/>
        <v>98.935144896254883</v>
      </c>
      <c r="J108" s="62">
        <f t="shared" si="19"/>
        <v>97.895270437595244</v>
      </c>
      <c r="K108" s="62">
        <f t="shared" si="19"/>
        <v>79.50066010730967</v>
      </c>
      <c r="L108" s="62">
        <f t="shared" si="19"/>
        <v>94.275200388745262</v>
      </c>
      <c r="M108" s="62">
        <f t="shared" si="19"/>
        <v>75.969467105207414</v>
      </c>
      <c r="N108" s="62">
        <f t="shared" si="19"/>
        <v>94.594317181093686</v>
      </c>
      <c r="O108" s="62">
        <f t="shared" si="19"/>
        <v>93.307985398957683</v>
      </c>
      <c r="P108" s="62">
        <f t="shared" si="19"/>
        <v>84.917660023485368</v>
      </c>
      <c r="Q108" s="62">
        <f t="shared" si="19"/>
        <v>86.970006679863872</v>
      </c>
      <c r="R108" s="62">
        <f t="shared" si="19"/>
        <v>94.997462214526095</v>
      </c>
      <c r="S108" s="62">
        <f t="shared" si="19"/>
        <v>93.244969501418595</v>
      </c>
      <c r="T108" s="62">
        <f t="shared" si="19"/>
        <v>94.071256721108796</v>
      </c>
      <c r="U108" s="62">
        <f t="shared" si="19"/>
        <v>96.372451563778228</v>
      </c>
      <c r="V108" s="62">
        <f t="shared" si="19"/>
        <v>90.143793047267039</v>
      </c>
    </row>
    <row r="109" spans="3:22" x14ac:dyDescent="0.2">
      <c r="C109" s="87" t="s">
        <v>141</v>
      </c>
      <c r="D109" s="60">
        <f t="shared" ref="D109:V109" si="20">+IFERROR(IF(D70&gt;0,+((D70/D31)*100)," "),"")</f>
        <v>99.384158631498522</v>
      </c>
      <c r="E109" s="60">
        <f t="shared" si="20"/>
        <v>99.979838429871705</v>
      </c>
      <c r="F109" s="60">
        <f t="shared" si="20"/>
        <v>99.937331130946106</v>
      </c>
      <c r="G109" s="60">
        <f t="shared" si="20"/>
        <v>99.980985053861048</v>
      </c>
      <c r="H109" s="60">
        <f t="shared" si="20"/>
        <v>98.736464000824313</v>
      </c>
      <c r="I109" s="60">
        <f t="shared" si="20"/>
        <v>99.30842973149511</v>
      </c>
      <c r="J109" s="60">
        <f t="shared" si="20"/>
        <v>98.970916384061042</v>
      </c>
      <c r="K109" s="60">
        <f t="shared" si="20"/>
        <v>93.884568902494806</v>
      </c>
      <c r="L109" s="60">
        <f t="shared" si="20"/>
        <v>90.274789021697771</v>
      </c>
      <c r="M109" s="60">
        <f t="shared" si="20"/>
        <v>90.668980996987045</v>
      </c>
      <c r="N109" s="60">
        <f t="shared" si="20"/>
        <v>75.774407087137433</v>
      </c>
      <c r="O109" s="60">
        <f t="shared" si="20"/>
        <v>95.834747266960889</v>
      </c>
      <c r="P109" s="60">
        <f t="shared" si="20"/>
        <v>73.820806872920173</v>
      </c>
      <c r="Q109" s="60">
        <f t="shared" si="20"/>
        <v>69.271099808806241</v>
      </c>
      <c r="R109" s="60">
        <f t="shared" si="20"/>
        <v>92.513876794651679</v>
      </c>
      <c r="S109" s="60">
        <f t="shared" si="20"/>
        <v>90.975160899010106</v>
      </c>
      <c r="T109" s="60">
        <f t="shared" si="20"/>
        <v>69.514612941765805</v>
      </c>
      <c r="U109" s="60">
        <f t="shared" si="20"/>
        <v>76.10340844728573</v>
      </c>
      <c r="V109" s="60">
        <f t="shared" si="20"/>
        <v>83.206973923246125</v>
      </c>
    </row>
    <row r="110" spans="3:22" x14ac:dyDescent="0.2">
      <c r="C110" s="88" t="s">
        <v>142</v>
      </c>
      <c r="D110" s="62">
        <f t="shared" ref="D110:V110" si="21">+IFERROR(IF(D71&gt;0,+((D71/D32)*100)," "),"")</f>
        <v>90.603480334138752</v>
      </c>
      <c r="E110" s="62">
        <f t="shared" si="21"/>
        <v>95.791495940652737</v>
      </c>
      <c r="F110" s="62">
        <f t="shared" si="21"/>
        <v>88.496853690681348</v>
      </c>
      <c r="G110" s="62">
        <f t="shared" si="21"/>
        <v>81.847408136950278</v>
      </c>
      <c r="H110" s="62">
        <f t="shared" si="21"/>
        <v>90.989072600585132</v>
      </c>
      <c r="I110" s="62">
        <f t="shared" si="21"/>
        <v>93.186442470154844</v>
      </c>
      <c r="J110" s="62">
        <f t="shared" si="21"/>
        <v>73.82659913903197</v>
      </c>
      <c r="K110" s="62">
        <f t="shared" si="21"/>
        <v>74.945886430604219</v>
      </c>
      <c r="L110" s="62">
        <f t="shared" si="21"/>
        <v>84.564636690403887</v>
      </c>
      <c r="M110" s="62">
        <f t="shared" si="21"/>
        <v>76.411785242573004</v>
      </c>
      <c r="N110" s="62">
        <f t="shared" si="21"/>
        <v>89.657349038332228</v>
      </c>
      <c r="O110" s="62">
        <f t="shared" si="21"/>
        <v>88.338812965889474</v>
      </c>
      <c r="P110" s="62">
        <f t="shared" si="21"/>
        <v>89.509192347922493</v>
      </c>
      <c r="Q110" s="62">
        <f t="shared" si="21"/>
        <v>70.254845394901949</v>
      </c>
      <c r="R110" s="62">
        <f t="shared" si="21"/>
        <v>88.771008390498025</v>
      </c>
      <c r="S110" s="62">
        <f t="shared" si="21"/>
        <v>91.730857537776259</v>
      </c>
      <c r="T110" s="62">
        <f t="shared" si="21"/>
        <v>94.864605973376996</v>
      </c>
      <c r="U110" s="62">
        <f t="shared" si="21"/>
        <v>92.52231620021027</v>
      </c>
      <c r="V110" s="62">
        <f t="shared" si="21"/>
        <v>95.026132481440584</v>
      </c>
    </row>
    <row r="111" spans="3:22" x14ac:dyDescent="0.2">
      <c r="C111" s="87" t="s">
        <v>143</v>
      </c>
      <c r="D111" s="60">
        <f t="shared" ref="D111:V111" si="22">+IFERROR(IF(D72&gt;0,+((D72/D33)*100)," "),"")</f>
        <v>100</v>
      </c>
      <c r="E111" s="60" t="str">
        <f t="shared" si="22"/>
        <v xml:space="preserve"> </v>
      </c>
      <c r="F111" s="60" t="str">
        <f t="shared" si="22"/>
        <v xml:space="preserve"> </v>
      </c>
      <c r="G111" s="60" t="str">
        <f t="shared" si="22"/>
        <v xml:space="preserve"> </v>
      </c>
      <c r="H111" s="60">
        <f t="shared" si="22"/>
        <v>77.524996628189314</v>
      </c>
      <c r="I111" s="60">
        <f t="shared" si="22"/>
        <v>94.852102111364033</v>
      </c>
      <c r="J111" s="60" t="str">
        <f t="shared" si="22"/>
        <v xml:space="preserve"> </v>
      </c>
      <c r="K111" s="60" t="str">
        <f t="shared" si="22"/>
        <v xml:space="preserve"> </v>
      </c>
      <c r="L111" s="60" t="str">
        <f t="shared" si="22"/>
        <v xml:space="preserve"> </v>
      </c>
      <c r="M111" s="60" t="str">
        <f t="shared" si="22"/>
        <v xml:space="preserve"> </v>
      </c>
      <c r="N111" s="60" t="str">
        <f t="shared" si="22"/>
        <v xml:space="preserve"> </v>
      </c>
      <c r="O111" s="60" t="str">
        <f t="shared" si="22"/>
        <v xml:space="preserve"> </v>
      </c>
      <c r="P111" s="60">
        <f t="shared" si="22"/>
        <v>3.8274200654969044</v>
      </c>
      <c r="Q111" s="60">
        <f t="shared" si="22"/>
        <v>51.996364033455656</v>
      </c>
      <c r="R111" s="60">
        <f t="shared" si="22"/>
        <v>86.584385409221269</v>
      </c>
      <c r="S111" s="60">
        <f t="shared" si="22"/>
        <v>7.8725314294348747</v>
      </c>
      <c r="T111" s="60">
        <f t="shared" si="22"/>
        <v>99.390022218662835</v>
      </c>
      <c r="U111" s="60">
        <f t="shared" si="22"/>
        <v>98.890843258294197</v>
      </c>
      <c r="V111" s="60">
        <f t="shared" si="22"/>
        <v>36.679400332138478</v>
      </c>
    </row>
    <row r="112" spans="3:22" x14ac:dyDescent="0.2">
      <c r="C112" s="88" t="s">
        <v>144</v>
      </c>
      <c r="D112" s="62" t="str">
        <f t="shared" ref="D112:V112" si="23">+IFERROR(IF(D73&gt;0,+((D73/D34)*100)," "),"")</f>
        <v xml:space="preserve"> </v>
      </c>
      <c r="E112" s="62" t="str">
        <f t="shared" si="23"/>
        <v xml:space="preserve"> </v>
      </c>
      <c r="F112" s="62" t="str">
        <f t="shared" si="23"/>
        <v xml:space="preserve"> </v>
      </c>
      <c r="G112" s="62" t="str">
        <f t="shared" si="23"/>
        <v xml:space="preserve"> </v>
      </c>
      <c r="H112" s="62" t="str">
        <f t="shared" si="23"/>
        <v xml:space="preserve"> </v>
      </c>
      <c r="I112" s="62" t="str">
        <f t="shared" si="23"/>
        <v xml:space="preserve"> </v>
      </c>
      <c r="J112" s="62" t="str">
        <f t="shared" si="23"/>
        <v xml:space="preserve"> </v>
      </c>
      <c r="K112" s="62" t="str">
        <f t="shared" si="23"/>
        <v xml:space="preserve"> </v>
      </c>
      <c r="L112" s="62" t="str">
        <f t="shared" si="23"/>
        <v xml:space="preserve"> </v>
      </c>
      <c r="M112" s="62" t="str">
        <f t="shared" si="23"/>
        <v xml:space="preserve"> </v>
      </c>
      <c r="N112" s="62" t="str">
        <f t="shared" si="23"/>
        <v xml:space="preserve"> </v>
      </c>
      <c r="O112" s="62" t="str">
        <f t="shared" si="23"/>
        <v xml:space="preserve"> </v>
      </c>
      <c r="P112" s="62" t="str">
        <f t="shared" si="23"/>
        <v xml:space="preserve"> </v>
      </c>
      <c r="Q112" s="62" t="str">
        <f t="shared" si="23"/>
        <v xml:space="preserve"> </v>
      </c>
      <c r="R112" s="62" t="str">
        <f t="shared" si="23"/>
        <v xml:space="preserve"> </v>
      </c>
      <c r="S112" s="62" t="str">
        <f t="shared" si="23"/>
        <v xml:space="preserve"> </v>
      </c>
      <c r="T112" s="62" t="str">
        <f t="shared" si="23"/>
        <v xml:space="preserve"> </v>
      </c>
      <c r="U112" s="62" t="str">
        <f t="shared" si="23"/>
        <v xml:space="preserve"> </v>
      </c>
      <c r="V112" s="62" t="str">
        <f t="shared" si="23"/>
        <v xml:space="preserve"> </v>
      </c>
    </row>
    <row r="113" spans="2:22" x14ac:dyDescent="0.2">
      <c r="C113" s="87" t="s">
        <v>145</v>
      </c>
      <c r="D113" s="60">
        <f t="shared" ref="D113:V113" si="24">+IFERROR(IF(D74&gt;0,+((D74/D35)*100)," "),"")</f>
        <v>79.201183977330984</v>
      </c>
      <c r="E113" s="60">
        <f t="shared" si="24"/>
        <v>72.927731935155364</v>
      </c>
      <c r="F113" s="60">
        <f t="shared" si="24"/>
        <v>97.227545094660258</v>
      </c>
      <c r="G113" s="60">
        <f t="shared" si="24"/>
        <v>95.541337843621321</v>
      </c>
      <c r="H113" s="60">
        <f t="shared" si="24"/>
        <v>98.460564469750238</v>
      </c>
      <c r="I113" s="60">
        <f t="shared" si="24"/>
        <v>97.51133445253501</v>
      </c>
      <c r="J113" s="60">
        <f t="shared" si="24"/>
        <v>65.105072561999918</v>
      </c>
      <c r="K113" s="60">
        <f t="shared" si="24"/>
        <v>81.630143634875679</v>
      </c>
      <c r="L113" s="60">
        <f t="shared" si="24"/>
        <v>80.394668169141966</v>
      </c>
      <c r="M113" s="60">
        <f t="shared" si="24"/>
        <v>92.6119164826125</v>
      </c>
      <c r="N113" s="60">
        <f t="shared" si="24"/>
        <v>80.144836760024091</v>
      </c>
      <c r="O113" s="60">
        <f t="shared" si="24"/>
        <v>83.700337736478886</v>
      </c>
      <c r="P113" s="60">
        <f t="shared" si="24"/>
        <v>75.311942187456836</v>
      </c>
      <c r="Q113" s="60">
        <f t="shared" si="24"/>
        <v>71.764582196109728</v>
      </c>
      <c r="R113" s="60">
        <f t="shared" si="24"/>
        <v>87.085871571032527</v>
      </c>
      <c r="S113" s="60">
        <f t="shared" si="24"/>
        <v>86.106314676358309</v>
      </c>
      <c r="T113" s="60">
        <f t="shared" si="24"/>
        <v>96.870354331246546</v>
      </c>
      <c r="U113" s="60">
        <f t="shared" si="24"/>
        <v>96.796656770062114</v>
      </c>
      <c r="V113" s="60">
        <f t="shared" si="24"/>
        <v>94.891499511338566</v>
      </c>
    </row>
    <row r="114" spans="2:22" x14ac:dyDescent="0.2">
      <c r="C114" s="88" t="s">
        <v>146</v>
      </c>
      <c r="D114" s="62">
        <f t="shared" ref="D114:V114" si="25">+IFERROR(IF(D75&gt;0,+((D75/D36)*100)," "),"")</f>
        <v>94.913887531198824</v>
      </c>
      <c r="E114" s="62">
        <f t="shared" si="25"/>
        <v>91.643941293819466</v>
      </c>
      <c r="F114" s="62">
        <f t="shared" si="25"/>
        <v>88.291408065889172</v>
      </c>
      <c r="G114" s="62">
        <f t="shared" si="25"/>
        <v>99.129363899798832</v>
      </c>
      <c r="H114" s="62">
        <f t="shared" si="25"/>
        <v>78.630037603959536</v>
      </c>
      <c r="I114" s="62">
        <f t="shared" si="25"/>
        <v>91.111952987042983</v>
      </c>
      <c r="J114" s="62">
        <f t="shared" si="25"/>
        <v>93.238917332846029</v>
      </c>
      <c r="K114" s="62">
        <f t="shared" si="25"/>
        <v>91.828418651133703</v>
      </c>
      <c r="L114" s="62">
        <f t="shared" si="25"/>
        <v>84.171389976158082</v>
      </c>
      <c r="M114" s="62">
        <f t="shared" si="25"/>
        <v>95.453189607137062</v>
      </c>
      <c r="N114" s="62">
        <f t="shared" si="25"/>
        <v>98.535337043677032</v>
      </c>
      <c r="O114" s="62">
        <f t="shared" si="25"/>
        <v>95.297886882770968</v>
      </c>
      <c r="P114" s="62">
        <f t="shared" si="25"/>
        <v>97.30598453914655</v>
      </c>
      <c r="Q114" s="62">
        <f t="shared" si="25"/>
        <v>98.678369267773434</v>
      </c>
      <c r="R114" s="62">
        <f t="shared" si="25"/>
        <v>98.096883458124907</v>
      </c>
      <c r="S114" s="62">
        <f t="shared" si="25"/>
        <v>98.531161084100674</v>
      </c>
      <c r="T114" s="62">
        <f t="shared" si="25"/>
        <v>99.268222019160547</v>
      </c>
      <c r="U114" s="62">
        <f t="shared" si="25"/>
        <v>99.183695217410005</v>
      </c>
      <c r="V114" s="62">
        <f t="shared" si="25"/>
        <v>82.547362394017298</v>
      </c>
    </row>
    <row r="115" spans="2:22" x14ac:dyDescent="0.2">
      <c r="C115" s="90" t="s">
        <v>147</v>
      </c>
      <c r="D115" s="61">
        <f t="shared" ref="D115:V115" si="26">+IFERROR(IF(D76&gt;0,+((D76/D37)*100)," "),"")</f>
        <v>72.263971689592495</v>
      </c>
      <c r="E115" s="61">
        <f t="shared" si="26"/>
        <v>93.98768548133161</v>
      </c>
      <c r="F115" s="61">
        <f t="shared" si="26"/>
        <v>92.059889427413182</v>
      </c>
      <c r="G115" s="61">
        <f t="shared" si="26"/>
        <v>93.18496247279991</v>
      </c>
      <c r="H115" s="61">
        <f t="shared" si="26"/>
        <v>93.624135630000339</v>
      </c>
      <c r="I115" s="61">
        <f t="shared" si="26"/>
        <v>93.629478839954942</v>
      </c>
      <c r="J115" s="61">
        <f t="shared" si="26"/>
        <v>95.326470363461368</v>
      </c>
      <c r="K115" s="61">
        <f t="shared" si="26"/>
        <v>94.375688893452192</v>
      </c>
      <c r="L115" s="61">
        <f t="shared" si="26"/>
        <v>96.766790083635868</v>
      </c>
      <c r="M115" s="61">
        <f t="shared" si="26"/>
        <v>96.980258427375972</v>
      </c>
      <c r="N115" s="61">
        <f t="shared" si="26"/>
        <v>97.151608406289981</v>
      </c>
      <c r="O115" s="61">
        <f t="shared" si="26"/>
        <v>84.650999155263548</v>
      </c>
      <c r="P115" s="61">
        <f t="shared" si="26"/>
        <v>90.934622675310322</v>
      </c>
      <c r="Q115" s="61">
        <f t="shared" si="26"/>
        <v>94.111073887614722</v>
      </c>
      <c r="R115" s="61">
        <f t="shared" si="26"/>
        <v>93.368147529942249</v>
      </c>
      <c r="S115" s="61">
        <f t="shared" si="26"/>
        <v>96.102491347365643</v>
      </c>
      <c r="T115" s="61">
        <f t="shared" si="26"/>
        <v>97.079899832959427</v>
      </c>
      <c r="U115" s="61">
        <f t="shared" si="26"/>
        <v>96.65193137185129</v>
      </c>
      <c r="V115" s="61">
        <f t="shared" si="26"/>
        <v>93.826779958701906</v>
      </c>
    </row>
    <row r="116" spans="2:22" ht="22.5" customHeight="1" x14ac:dyDescent="0.2">
      <c r="C116" s="89" t="s">
        <v>148</v>
      </c>
      <c r="D116" s="63" t="str">
        <f t="shared" ref="D116:V116" si="27">+IFERROR(IF(D77&gt;0,+((D77/D38)*100)," "),"")</f>
        <v xml:space="preserve"> </v>
      </c>
      <c r="E116" s="63" t="str">
        <f t="shared" si="27"/>
        <v xml:space="preserve"> </v>
      </c>
      <c r="F116" s="63" t="str">
        <f t="shared" si="27"/>
        <v xml:space="preserve"> </v>
      </c>
      <c r="G116" s="63" t="str">
        <f t="shared" si="27"/>
        <v xml:space="preserve"> </v>
      </c>
      <c r="H116" s="63" t="str">
        <f t="shared" si="27"/>
        <v xml:space="preserve"> </v>
      </c>
      <c r="I116" s="63" t="str">
        <f t="shared" si="27"/>
        <v xml:space="preserve"> </v>
      </c>
      <c r="J116" s="63" t="str">
        <f t="shared" si="27"/>
        <v xml:space="preserve"> </v>
      </c>
      <c r="K116" s="63" t="str">
        <f t="shared" si="27"/>
        <v xml:space="preserve"> </v>
      </c>
      <c r="L116" s="63" t="str">
        <f t="shared" si="27"/>
        <v xml:space="preserve"> </v>
      </c>
      <c r="M116" s="63" t="str">
        <f t="shared" si="27"/>
        <v xml:space="preserve"> </v>
      </c>
      <c r="N116" s="63" t="str">
        <f t="shared" si="27"/>
        <v xml:space="preserve"> </v>
      </c>
      <c r="O116" s="63" t="str">
        <f t="shared" si="27"/>
        <v xml:space="preserve"> </v>
      </c>
      <c r="P116" s="63" t="str">
        <f t="shared" si="27"/>
        <v xml:space="preserve"> </v>
      </c>
      <c r="Q116" s="63" t="str">
        <f t="shared" si="27"/>
        <v xml:space="preserve"> </v>
      </c>
      <c r="R116" s="63" t="str">
        <f t="shared" si="27"/>
        <v xml:space="preserve"> </v>
      </c>
      <c r="S116" s="63" t="str">
        <f t="shared" si="27"/>
        <v xml:space="preserve"> </v>
      </c>
      <c r="T116" s="63" t="str">
        <f t="shared" si="27"/>
        <v xml:space="preserve"> </v>
      </c>
      <c r="U116" s="63" t="str">
        <f t="shared" si="27"/>
        <v xml:space="preserve"> </v>
      </c>
      <c r="V116" s="63" t="str">
        <f t="shared" si="27"/>
        <v xml:space="preserve"> </v>
      </c>
    </row>
    <row r="117" spans="2:22" x14ac:dyDescent="0.2">
      <c r="C117" s="87" t="s">
        <v>149</v>
      </c>
      <c r="D117" s="60">
        <f t="shared" ref="D117:V117" si="28">+IFERROR(IF(D78&gt;0,+((D78/D39)*100)," "),"")</f>
        <v>55.624971948334803</v>
      </c>
      <c r="E117" s="60">
        <f t="shared" si="28"/>
        <v>61.753952839798501</v>
      </c>
      <c r="F117" s="60">
        <f t="shared" si="28"/>
        <v>65.858060336333963</v>
      </c>
      <c r="G117" s="60">
        <f t="shared" si="28"/>
        <v>66.282255369553241</v>
      </c>
      <c r="H117" s="60">
        <f t="shared" si="28"/>
        <v>69.478617459653663</v>
      </c>
      <c r="I117" s="60">
        <f t="shared" si="28"/>
        <v>55.978839743561984</v>
      </c>
      <c r="J117" s="60">
        <f t="shared" si="28"/>
        <v>67.739905151592012</v>
      </c>
      <c r="K117" s="60">
        <f t="shared" si="28"/>
        <v>77.689189026956626</v>
      </c>
      <c r="L117" s="60">
        <f t="shared" si="28"/>
        <v>80.359668216558347</v>
      </c>
      <c r="M117" s="60">
        <f t="shared" si="28"/>
        <v>77.145807686036889</v>
      </c>
      <c r="N117" s="60">
        <f t="shared" si="28"/>
        <v>83.476492668875295</v>
      </c>
      <c r="O117" s="60">
        <f t="shared" si="28"/>
        <v>86.035997059606544</v>
      </c>
      <c r="P117" s="60">
        <f t="shared" si="28"/>
        <v>98.239270369015571</v>
      </c>
      <c r="Q117" s="60">
        <f t="shared" si="28"/>
        <v>89.532133668403347</v>
      </c>
      <c r="R117" s="60">
        <f t="shared" si="28"/>
        <v>93.460578685081686</v>
      </c>
      <c r="S117" s="60">
        <f t="shared" si="28"/>
        <v>93.161491792308965</v>
      </c>
      <c r="T117" s="60">
        <f t="shared" si="28"/>
        <v>97.609348848660503</v>
      </c>
      <c r="U117" s="60">
        <f t="shared" si="28"/>
        <v>98.312465128029132</v>
      </c>
      <c r="V117" s="60">
        <f t="shared" si="28"/>
        <v>90.329515225802112</v>
      </c>
    </row>
    <row r="118" spans="2:22" x14ac:dyDescent="0.2">
      <c r="C118" s="89" t="s">
        <v>150</v>
      </c>
      <c r="D118" s="63">
        <f t="shared" ref="D118:V118" si="29">+IFERROR(IF(D79&gt;0,+((D79/D40)*100)," "),"")</f>
        <v>84.724174224364617</v>
      </c>
      <c r="E118" s="63">
        <f t="shared" si="29"/>
        <v>95.017891252436755</v>
      </c>
      <c r="F118" s="63">
        <f t="shared" si="29"/>
        <v>85.046270021087992</v>
      </c>
      <c r="G118" s="63">
        <f t="shared" si="29"/>
        <v>97.708799865054303</v>
      </c>
      <c r="H118" s="63">
        <f t="shared" si="29"/>
        <v>95.914406185702205</v>
      </c>
      <c r="I118" s="63">
        <f t="shared" si="29"/>
        <v>98.89750006255926</v>
      </c>
      <c r="J118" s="63">
        <f t="shared" si="29"/>
        <v>97.163896146655603</v>
      </c>
      <c r="K118" s="63">
        <f t="shared" si="29"/>
        <v>92.29727399211059</v>
      </c>
      <c r="L118" s="63">
        <f t="shared" si="29"/>
        <v>93.524981512196007</v>
      </c>
      <c r="M118" s="63">
        <f t="shared" si="29"/>
        <v>85.441324180196759</v>
      </c>
      <c r="N118" s="63">
        <f t="shared" si="29"/>
        <v>78.23174655440863</v>
      </c>
      <c r="O118" s="63">
        <f t="shared" si="29"/>
        <v>83.318565227976222</v>
      </c>
      <c r="P118" s="63">
        <f t="shared" si="29"/>
        <v>89.474799739367398</v>
      </c>
      <c r="Q118" s="63">
        <f t="shared" si="29"/>
        <v>94.258560690596582</v>
      </c>
      <c r="R118" s="63">
        <f t="shared" si="29"/>
        <v>96.691921206566136</v>
      </c>
      <c r="S118" s="63">
        <f t="shared" si="29"/>
        <v>97.066402361970688</v>
      </c>
      <c r="T118" s="63">
        <f t="shared" si="29"/>
        <v>98.087194171286299</v>
      </c>
      <c r="U118" s="63">
        <f t="shared" si="29"/>
        <v>96.081484399289423</v>
      </c>
      <c r="V118" s="63">
        <f t="shared" si="29"/>
        <v>97.263906043383287</v>
      </c>
    </row>
    <row r="119" spans="2:22" x14ac:dyDescent="0.2">
      <c r="C119" s="87" t="s">
        <v>151</v>
      </c>
      <c r="D119" s="60">
        <f t="shared" ref="D119:V119" si="30">+IFERROR(IF(D80&gt;0,+((D80/D41)*100)," "),"")</f>
        <v>73.144804402646599</v>
      </c>
      <c r="E119" s="60">
        <f t="shared" si="30"/>
        <v>58.759203244337989</v>
      </c>
      <c r="F119" s="60">
        <f t="shared" si="30"/>
        <v>44.817697235312053</v>
      </c>
      <c r="G119" s="60">
        <f t="shared" si="30"/>
        <v>76.720543223663583</v>
      </c>
      <c r="H119" s="60">
        <f t="shared" si="30"/>
        <v>62.418182660289226</v>
      </c>
      <c r="I119" s="60">
        <f t="shared" si="30"/>
        <v>99.26019223708488</v>
      </c>
      <c r="J119" s="60">
        <f t="shared" si="30"/>
        <v>54.112047074415479</v>
      </c>
      <c r="K119" s="60">
        <f t="shared" si="30"/>
        <v>56.29212552312972</v>
      </c>
      <c r="L119" s="60" t="str">
        <f t="shared" si="30"/>
        <v xml:space="preserve"> </v>
      </c>
      <c r="M119" s="60" t="str">
        <f t="shared" si="30"/>
        <v xml:space="preserve"> </v>
      </c>
      <c r="N119" s="60" t="str">
        <f t="shared" si="30"/>
        <v xml:space="preserve"> </v>
      </c>
      <c r="O119" s="60" t="str">
        <f t="shared" si="30"/>
        <v xml:space="preserve"> </v>
      </c>
      <c r="P119" s="60" t="str">
        <f t="shared" si="30"/>
        <v xml:space="preserve"> </v>
      </c>
      <c r="Q119" s="60" t="str">
        <f t="shared" si="30"/>
        <v xml:space="preserve"> </v>
      </c>
      <c r="R119" s="60" t="str">
        <f t="shared" si="30"/>
        <v xml:space="preserve"> </v>
      </c>
      <c r="S119" s="60" t="str">
        <f t="shared" si="30"/>
        <v xml:space="preserve"> </v>
      </c>
      <c r="T119" s="60" t="str">
        <f t="shared" si="30"/>
        <v xml:space="preserve"> </v>
      </c>
      <c r="U119" s="60" t="str">
        <f t="shared" si="30"/>
        <v xml:space="preserve"> </v>
      </c>
      <c r="V119" s="60" t="str">
        <f t="shared" si="30"/>
        <v xml:space="preserve"> </v>
      </c>
    </row>
    <row r="120" spans="2:22" x14ac:dyDescent="0.2">
      <c r="C120" s="79" t="s">
        <v>154</v>
      </c>
      <c r="D120" s="45">
        <f t="shared" ref="D120:V120" si="31">+IFERROR(IF(D81&gt;0,+((D81/D42)*100)," "),"")</f>
        <v>79.737084537782096</v>
      </c>
      <c r="E120" s="45">
        <f t="shared" si="31"/>
        <v>87.303415364166952</v>
      </c>
      <c r="F120" s="45">
        <f t="shared" si="31"/>
        <v>87.686020745727774</v>
      </c>
      <c r="G120" s="45">
        <f t="shared" si="31"/>
        <v>92.573118712304208</v>
      </c>
      <c r="H120" s="45">
        <f t="shared" si="31"/>
        <v>94.306340356579341</v>
      </c>
      <c r="I120" s="45">
        <f t="shared" si="31"/>
        <v>94.850072545909413</v>
      </c>
      <c r="J120" s="45">
        <f t="shared" si="31"/>
        <v>91.686559724848166</v>
      </c>
      <c r="K120" s="45">
        <f t="shared" si="31"/>
        <v>90.181200602322122</v>
      </c>
      <c r="L120" s="45">
        <f t="shared" si="31"/>
        <v>92.790878255042372</v>
      </c>
      <c r="M120" s="45">
        <f t="shared" si="31"/>
        <v>90.574457028377964</v>
      </c>
      <c r="N120" s="45">
        <f t="shared" si="31"/>
        <v>90.160913711123342</v>
      </c>
      <c r="O120" s="45">
        <f t="shared" si="31"/>
        <v>86.578622135647336</v>
      </c>
      <c r="P120" s="45">
        <f t="shared" si="31"/>
        <v>90.731666195735386</v>
      </c>
      <c r="Q120" s="45">
        <f t="shared" si="31"/>
        <v>90.818291149844953</v>
      </c>
      <c r="R120" s="45">
        <f t="shared" si="31"/>
        <v>91.716082576362851</v>
      </c>
      <c r="S120" s="45">
        <f t="shared" si="31"/>
        <v>92.496498726682461</v>
      </c>
      <c r="T120" s="45">
        <f t="shared" si="31"/>
        <v>96.130157533680872</v>
      </c>
      <c r="U120" s="45">
        <f t="shared" si="31"/>
        <v>96.957866742588749</v>
      </c>
      <c r="V120" s="45">
        <f t="shared" si="31"/>
        <v>93.745152662185788</v>
      </c>
    </row>
    <row r="121" spans="2:22" x14ac:dyDescent="0.2">
      <c r="C121" s="1" t="s">
        <v>52</v>
      </c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</row>
    <row r="122" spans="2:22" x14ac:dyDescent="0.2"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</row>
    <row r="126" spans="2:22" ht="18" customHeight="1" x14ac:dyDescent="0.2">
      <c r="C126" s="131"/>
      <c r="D126" s="160" t="s">
        <v>174</v>
      </c>
      <c r="E126" s="158"/>
      <c r="F126" s="158"/>
      <c r="G126" s="158"/>
      <c r="H126" s="158"/>
      <c r="I126" s="158"/>
      <c r="J126" s="158"/>
      <c r="K126" s="158"/>
      <c r="L126" s="158"/>
      <c r="M126" s="158"/>
      <c r="N126" s="158"/>
      <c r="O126" s="158"/>
      <c r="P126" s="158"/>
      <c r="Q126" s="158"/>
      <c r="R126" s="158"/>
      <c r="S126" s="158"/>
      <c r="T126" s="158"/>
      <c r="U126" s="158"/>
      <c r="V126" s="158"/>
    </row>
    <row r="127" spans="2:22" x14ac:dyDescent="0.2"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</row>
    <row r="128" spans="2:22" x14ac:dyDescent="0.2">
      <c r="B128" s="5"/>
      <c r="C128" s="177" t="s">
        <v>120</v>
      </c>
      <c r="D128" s="153">
        <v>2000</v>
      </c>
      <c r="E128" s="153">
        <v>2001</v>
      </c>
      <c r="F128" s="153">
        <v>2002</v>
      </c>
      <c r="G128" s="153">
        <v>2003</v>
      </c>
      <c r="H128" s="153">
        <v>2004</v>
      </c>
      <c r="I128" s="153">
        <v>2005</v>
      </c>
      <c r="J128" s="153">
        <v>2006</v>
      </c>
      <c r="K128" s="153">
        <v>2007</v>
      </c>
      <c r="L128" s="153">
        <v>2008</v>
      </c>
      <c r="M128" s="153">
        <v>2009</v>
      </c>
      <c r="N128" s="153">
        <v>2010</v>
      </c>
      <c r="O128" s="153">
        <v>2011</v>
      </c>
      <c r="P128" s="153">
        <v>2012</v>
      </c>
      <c r="Q128" s="153">
        <v>2013</v>
      </c>
      <c r="R128" s="153">
        <v>2014</v>
      </c>
      <c r="S128" s="153">
        <v>2015</v>
      </c>
      <c r="T128" s="153">
        <v>2016</v>
      </c>
      <c r="U128" s="153">
        <v>2017</v>
      </c>
      <c r="V128" s="153">
        <v>2018</v>
      </c>
    </row>
    <row r="129" spans="2:22" ht="12" customHeight="1" thickBot="1" x14ac:dyDescent="0.25">
      <c r="B129" s="5"/>
      <c r="C129" s="156"/>
      <c r="D129" s="154"/>
      <c r="E129" s="154"/>
      <c r="F129" s="154"/>
      <c r="G129" s="154"/>
      <c r="H129" s="154"/>
      <c r="I129" s="154"/>
      <c r="J129" s="154"/>
      <c r="K129" s="154"/>
      <c r="L129" s="154"/>
      <c r="M129" s="154"/>
      <c r="N129" s="154"/>
      <c r="O129" s="154"/>
      <c r="P129" s="154"/>
      <c r="Q129" s="154"/>
      <c r="R129" s="154"/>
      <c r="S129" s="154"/>
      <c r="T129" s="154"/>
      <c r="U129" s="154"/>
      <c r="V129" s="154"/>
    </row>
    <row r="130" spans="2:22" x14ac:dyDescent="0.2">
      <c r="C130" s="87" t="s">
        <v>123</v>
      </c>
      <c r="D130" s="65">
        <f>36.0782964115*Deflactores!$A$5</f>
        <v>130.98438837896828</v>
      </c>
      <c r="E130" s="56">
        <f>27.4221110945*Deflactores!$B$5</f>
        <v>92.48412845312221</v>
      </c>
      <c r="F130" s="56">
        <f>32.078543537*Deflactores!$C$5</f>
        <v>101.11842721261942</v>
      </c>
      <c r="G130" s="56">
        <f>24.938279186*Deflactores!$D$5</f>
        <v>73.818933437788829</v>
      </c>
      <c r="H130" s="56">
        <f>26.277223574*Deflactores!$E$5</f>
        <v>73.729403533188858</v>
      </c>
      <c r="I130" s="56">
        <f>36.916069471*Deflactores!$F$5</f>
        <v>98.784059458446336</v>
      </c>
      <c r="J130" s="56">
        <f>44.272919982*Deflactores!$G$5</f>
        <v>113.39266054567965</v>
      </c>
      <c r="K130" s="56">
        <f>57.179207367*Deflactores!$H$5</f>
        <v>138.55834277838969</v>
      </c>
      <c r="L130" s="56">
        <f>57.796574213*Deflactores!$I$5</f>
        <v>130.07214487790398</v>
      </c>
      <c r="M130" s="56">
        <f>52.813152939*Deflactores!$J$5</f>
        <v>116.52428061946246</v>
      </c>
      <c r="N130" s="56">
        <f>68.065005406*Deflactores!$K$5</f>
        <v>145.55919420709981</v>
      </c>
      <c r="O130" s="56">
        <f>34.80725519603*Deflactores!$L$5</f>
        <v>71.762083204015738</v>
      </c>
      <c r="P130" s="56">
        <f>40.70644893371*Deflactores!$M$5</f>
        <v>81.92546371468687</v>
      </c>
      <c r="Q130" s="56">
        <f>55.56886178308*Deflactores!$N$5</f>
        <v>109.70907725463067</v>
      </c>
      <c r="R130" s="56">
        <f>91.28188839065*Deflactores!$O$5</f>
        <v>173.85391402055333</v>
      </c>
      <c r="S130" s="56">
        <f>59.5471569709599*Deflactores!$P$5</f>
        <v>106.22130803653592</v>
      </c>
      <c r="T130" s="56">
        <f>44.65430959024*Deflactores!$Q$5</f>
        <v>75.324041995307823</v>
      </c>
      <c r="U130" s="56">
        <f>48.99467717458*Deflactores!$R$5</f>
        <v>79.398103628008272</v>
      </c>
      <c r="V130" s="56">
        <f>57.8872975155799*Deflactores!$S$5</f>
        <v>90.917813051385423</v>
      </c>
    </row>
    <row r="131" spans="2:22" x14ac:dyDescent="0.2">
      <c r="C131" s="88" t="s">
        <v>124</v>
      </c>
      <c r="D131" s="57">
        <f>3.01430505282999*Deflactores!$A$5</f>
        <v>10.943612725758259</v>
      </c>
      <c r="E131" s="57">
        <f>0.843573121*Deflactores!$B$5</f>
        <v>2.8450444465529481</v>
      </c>
      <c r="F131" s="57">
        <f>3.90794659439*Deflactores!$C$5</f>
        <v>12.318683134720187</v>
      </c>
      <c r="G131" s="57">
        <f>3.73701674104*Deflactores!$D$5</f>
        <v>11.061813367523758</v>
      </c>
      <c r="H131" s="57">
        <f>5.99710552096*Deflactores!$E$5</f>
        <v>16.826854318942313</v>
      </c>
      <c r="I131" s="57">
        <f>6.67297877471999*Deflactores!$F$5</f>
        <v>17.856287017899405</v>
      </c>
      <c r="J131" s="57">
        <f>9.79567275493*Deflactores!$G$5</f>
        <v>25.088866873202392</v>
      </c>
      <c r="K131" s="57">
        <f>20.15385024482*Deflactores!$H$5</f>
        <v>48.83740469857819</v>
      </c>
      <c r="L131" s="57">
        <f>15.57408557358*Deflactores!$I$5</f>
        <v>35.049736816614391</v>
      </c>
      <c r="M131" s="57">
        <f>19.37375549537*Deflactores!$J$5</f>
        <v>42.745278332517067</v>
      </c>
      <c r="N131" s="57">
        <f>21.96021879805*Deflactores!$K$5</f>
        <v>46.96263129326055</v>
      </c>
      <c r="O131" s="57">
        <f>33.69185588369*Deflactores!$L$5</f>
        <v>69.462465558009157</v>
      </c>
      <c r="P131" s="57">
        <f>38.28457298398*Deflactores!$M$5</f>
        <v>77.051216133813583</v>
      </c>
      <c r="Q131" s="57">
        <f>52.0172820175*Deflactores!$N$5</f>
        <v>102.69722697777941</v>
      </c>
      <c r="R131" s="57">
        <f>57.39246795338*Deflactores!$O$5</f>
        <v>109.3087069615918</v>
      </c>
      <c r="S131" s="57">
        <f>55.2304452641*Deflactores!$P$5</f>
        <v>98.521078718402379</v>
      </c>
      <c r="T131" s="57">
        <f>75.09693070441*Deflactores!$Q$5</f>
        <v>126.67544104934618</v>
      </c>
      <c r="U131" s="57">
        <f>90.25037649969*Deflactores!$R$5</f>
        <v>146.25484152606984</v>
      </c>
      <c r="V131" s="57">
        <f>109.84327202329*Deflactores!$S$5</f>
        <v>172.51988777120079</v>
      </c>
    </row>
    <row r="132" spans="2:22" x14ac:dyDescent="0.2">
      <c r="C132" s="87" t="s">
        <v>125</v>
      </c>
      <c r="D132" s="56">
        <f>2.9726059746*Deflactores!$A$5</f>
        <v>10.792221756638636</v>
      </c>
      <c r="E132" s="56">
        <f>2.71827533403*Deflactores!$B$5</f>
        <v>9.1676867728030782</v>
      </c>
      <c r="F132" s="56">
        <f>9.12567162721*Deflactores!$C$5</f>
        <v>28.766067921318065</v>
      </c>
      <c r="G132" s="56">
        <f>3.68046191409*Deflactores!$D$5</f>
        <v>10.89440738994727</v>
      </c>
      <c r="H132" s="56">
        <f>2.93473955981999*Deflactores!$E$5</f>
        <v>8.2343782120450086</v>
      </c>
      <c r="I132" s="56">
        <f>11.75271450062*Deflactores!$F$5</f>
        <v>31.449199892188343</v>
      </c>
      <c r="J132" s="56">
        <f>1.812115571*Deflactores!$G$5</f>
        <v>4.6412255142756687</v>
      </c>
      <c r="K132" s="56">
        <f>39.993139754*Deflactores!$H$5</f>
        <v>96.91255653916059</v>
      </c>
      <c r="L132" s="56">
        <f>50.68640857765*Deflactores!$I$5</f>
        <v>114.07059967872297</v>
      </c>
      <c r="M132" s="56">
        <f>45.56367135178*Deflactores!$J$5</f>
        <v>100.5293895780104</v>
      </c>
      <c r="N132" s="56">
        <f>0*Deflactores!$K$5</f>
        <v>0</v>
      </c>
      <c r="O132" s="56">
        <f>0*Deflactores!$L$5</f>
        <v>0</v>
      </c>
      <c r="P132" s="56">
        <f>0*Deflactores!$M$5</f>
        <v>0</v>
      </c>
      <c r="Q132" s="56">
        <f>0*Deflactores!$N$5</f>
        <v>0</v>
      </c>
      <c r="R132" s="56">
        <f>0*Deflactores!$O$5</f>
        <v>0</v>
      </c>
      <c r="S132" s="56">
        <f>0*Deflactores!$P$5</f>
        <v>0</v>
      </c>
      <c r="T132" s="56">
        <f>0*Deflactores!$Q$5</f>
        <v>0</v>
      </c>
      <c r="U132" s="56">
        <f>0*Deflactores!$R$5</f>
        <v>0</v>
      </c>
      <c r="V132" s="56">
        <f>0*Deflactores!$S$5</f>
        <v>0</v>
      </c>
    </row>
    <row r="133" spans="2:22" x14ac:dyDescent="0.2">
      <c r="C133" s="88" t="s">
        <v>126</v>
      </c>
      <c r="D133" s="57">
        <f>35.54998987118*Deflactores!$A$5</f>
        <v>129.06634024634178</v>
      </c>
      <c r="E133" s="57">
        <f>34.008442604*Deflactores!$B$5</f>
        <v>114.69726613826626</v>
      </c>
      <c r="F133" s="57">
        <f>35.925501113*Deflactores!$C$5</f>
        <v>113.24485992269908</v>
      </c>
      <c r="G133" s="57">
        <f>35.98085837*Deflactores!$D$5</f>
        <v>106.50568827301511</v>
      </c>
      <c r="H133" s="57">
        <f>37.864586136*Deflactores!$E$5</f>
        <v>106.24156478999603</v>
      </c>
      <c r="I133" s="57">
        <f>44.839221325*Deflactores!$F$5</f>
        <v>119.98569644362654</v>
      </c>
      <c r="J133" s="57">
        <f>48.544131391*Deflactores!$G$5</f>
        <v>124.33216997077479</v>
      </c>
      <c r="K133" s="57">
        <f>56.85635927*Deflactores!$H$5</f>
        <v>137.77600774176773</v>
      </c>
      <c r="L133" s="57">
        <f>86.3571043233*Deflactores!$I$5</f>
        <v>194.34808961826016</v>
      </c>
      <c r="M133" s="57">
        <f>96.48951958085*Deflactores!$J$5</f>
        <v>212.88961614282621</v>
      </c>
      <c r="N133" s="57">
        <f>104.81890052757*Deflactores!$K$5</f>
        <v>224.1585761649302</v>
      </c>
      <c r="O133" s="57">
        <f>101.984471675269*Deflactores!$L$5</f>
        <v>210.26128319112559</v>
      </c>
      <c r="P133" s="57">
        <f>130.5168955956*Deflactores!$M$5</f>
        <v>262.67722865445171</v>
      </c>
      <c r="Q133" s="57">
        <f>188.02859389081*Deflactores!$N$5</f>
        <v>371.22307118278144</v>
      </c>
      <c r="R133" s="57">
        <f>212.51842263379*Deflactores!$O$5</f>
        <v>404.75893112814964</v>
      </c>
      <c r="S133" s="57">
        <f>246.53510463342*Deflactores!$P$5</f>
        <v>439.77383007315018</v>
      </c>
      <c r="T133" s="57">
        <f>255.549310463069*Deflactores!$Q$5</f>
        <v>431.06717290730171</v>
      </c>
      <c r="U133" s="57">
        <f>288.471607529229*Deflactores!$R$5</f>
        <v>467.48136551101175</v>
      </c>
      <c r="V133" s="57">
        <f>304.9645054727*Deflactores!$S$5</f>
        <v>478.97737648596785</v>
      </c>
    </row>
    <row r="134" spans="2:22" x14ac:dyDescent="0.2">
      <c r="C134" s="87" t="s">
        <v>127</v>
      </c>
      <c r="D134" s="56">
        <f>0*Deflactores!$A$5</f>
        <v>0</v>
      </c>
      <c r="E134" s="56">
        <f>0*Deflactores!$B$5</f>
        <v>0</v>
      </c>
      <c r="F134" s="56">
        <f>0*Deflactores!$C$5</f>
        <v>0</v>
      </c>
      <c r="G134" s="56">
        <f>0*Deflactores!$D$5</f>
        <v>0</v>
      </c>
      <c r="H134" s="56">
        <f>0*Deflactores!$E$5</f>
        <v>0</v>
      </c>
      <c r="I134" s="56">
        <f>0*Deflactores!$F$5</f>
        <v>0</v>
      </c>
      <c r="J134" s="56">
        <f>0*Deflactores!$G$5</f>
        <v>0</v>
      </c>
      <c r="K134" s="56">
        <f>0*Deflactores!$H$5</f>
        <v>0</v>
      </c>
      <c r="L134" s="56">
        <f>0*Deflactores!$I$5</f>
        <v>0</v>
      </c>
      <c r="M134" s="56">
        <f>0*Deflactores!$J$5</f>
        <v>0</v>
      </c>
      <c r="N134" s="56">
        <f>0*Deflactores!$K$5</f>
        <v>0</v>
      </c>
      <c r="O134" s="56">
        <f>0*Deflactores!$L$5</f>
        <v>0</v>
      </c>
      <c r="P134" s="56">
        <f>0*Deflactores!$M$5</f>
        <v>0</v>
      </c>
      <c r="Q134" s="56">
        <f>0*Deflactores!$N$5</f>
        <v>0</v>
      </c>
      <c r="R134" s="56">
        <f>0*Deflactores!$O$5</f>
        <v>0</v>
      </c>
      <c r="S134" s="56">
        <f>0*Deflactores!$P$5</f>
        <v>0</v>
      </c>
      <c r="T134" s="56">
        <f>0*Deflactores!$Q$5</f>
        <v>0</v>
      </c>
      <c r="U134" s="56">
        <f>0*Deflactores!$R$5</f>
        <v>0</v>
      </c>
      <c r="V134" s="56">
        <f>0*Deflactores!$S$5</f>
        <v>0</v>
      </c>
    </row>
    <row r="135" spans="2:22" x14ac:dyDescent="0.2">
      <c r="C135" s="88" t="s">
        <v>128</v>
      </c>
      <c r="D135" s="57">
        <f>0.658158847*Deflactores!$A$5</f>
        <v>2.3894846100056681</v>
      </c>
      <c r="E135" s="57">
        <f>0.676649763309999*Deflactores!$B$5</f>
        <v>2.282076803353339</v>
      </c>
      <c r="F135" s="57">
        <f>0.663397225*Deflactores!$C$5</f>
        <v>2.0911698790764275</v>
      </c>
      <c r="G135" s="57">
        <f>0.630729769*Deflactores!$D$5</f>
        <v>1.8670012669190481</v>
      </c>
      <c r="H135" s="57">
        <f>0.6419189876*Deflactores!$E$5</f>
        <v>1.801115096467248</v>
      </c>
      <c r="I135" s="57">
        <f>0.673179717*Deflactores!$F$5</f>
        <v>1.8013679718147608</v>
      </c>
      <c r="J135" s="57">
        <f>1.264644912*Deflactores!$G$5</f>
        <v>3.2390330539648056</v>
      </c>
      <c r="K135" s="57">
        <f>4.288647367*Deflactores!$H$5</f>
        <v>10.392376867318607</v>
      </c>
      <c r="L135" s="57">
        <f>3.907885293*Deflactores!$I$5</f>
        <v>8.7947603974595854</v>
      </c>
      <c r="M135" s="57">
        <f>4.673120078*Deflactores!$J$5</f>
        <v>10.310536770381027</v>
      </c>
      <c r="N135" s="57">
        <f>6.840475001*Deflactores!$K$5</f>
        <v>14.628574892489448</v>
      </c>
      <c r="O135" s="57">
        <f>8.381727319*Deflactores!$L$5</f>
        <v>17.280598825501578</v>
      </c>
      <c r="P135" s="57">
        <f>10.16730904082*Deflactores!$M$5</f>
        <v>20.462642399885464</v>
      </c>
      <c r="Q135" s="57">
        <f>9.63012635866*Deflactores!$N$5</f>
        <v>19.012667216008722</v>
      </c>
      <c r="R135" s="57">
        <f>10.82690950786*Deflactores!$O$5</f>
        <v>20.620745559429157</v>
      </c>
      <c r="S135" s="57">
        <f>15.96355034472*Deflactores!$P$5</f>
        <v>28.476073162488689</v>
      </c>
      <c r="T135" s="57">
        <f>18.32975209895*Deflactores!$Q$5</f>
        <v>30.919098952246749</v>
      </c>
      <c r="U135" s="57">
        <f>12.39376019511*Deflactores!$R$5</f>
        <v>20.084652314488146</v>
      </c>
      <c r="V135" s="57">
        <f>13.3189786783*Deflactores!$S$5</f>
        <v>20.918793336019103</v>
      </c>
    </row>
    <row r="136" spans="2:22" x14ac:dyDescent="0.2">
      <c r="C136" s="87" t="s">
        <v>129</v>
      </c>
      <c r="D136" s="56">
        <f>556.59638037792*Deflactores!$A$5</f>
        <v>2020.756069693766</v>
      </c>
      <c r="E136" s="56">
        <f>636.20256653244*Deflactores!$B$5</f>
        <v>2145.6641205568362</v>
      </c>
      <c r="F136" s="56">
        <f>690.91043785703*Deflactores!$C$5</f>
        <v>2177.8974079762352</v>
      </c>
      <c r="G136" s="56">
        <f>810.55008323114*Deflactores!$D$5</f>
        <v>2399.2811290533491</v>
      </c>
      <c r="H136" s="56">
        <f>842.52109419924*Deflactores!$E$5</f>
        <v>2363.9703625653519</v>
      </c>
      <c r="I136" s="56">
        <f>971.70204514726*Deflactores!$F$5</f>
        <v>2600.186693199455</v>
      </c>
      <c r="J136" s="56">
        <f>821.252163059439*Deflactores!$G$5</f>
        <v>2103.4069536426659</v>
      </c>
      <c r="K136" s="56">
        <f>1059.34154081861*Deflactores!$H$5</f>
        <v>2567.0276852568677</v>
      </c>
      <c r="L136" s="56">
        <f>1098.22153261719*Deflactores!$I$5</f>
        <v>2471.5656982051114</v>
      </c>
      <c r="M136" s="56">
        <f>1312.45585907946*Deflactores!$J$5</f>
        <v>2895.7365033796145</v>
      </c>
      <c r="N136" s="56">
        <f>1558.80891274921*Deflactores!$K$5</f>
        <v>3333.5627891189292</v>
      </c>
      <c r="O136" s="56">
        <f>1599.4350538138*Deflactores!$L$5</f>
        <v>3297.5536498004763</v>
      </c>
      <c r="P136" s="56">
        <f>1649.08043681589*Deflactores!$M$5</f>
        <v>3318.9256991925718</v>
      </c>
      <c r="Q136" s="56">
        <f>1745.41617854403*Deflactores!$N$5</f>
        <v>3445.958621950303</v>
      </c>
      <c r="R136" s="56">
        <f>1777.41723996674*Deflactores!$O$5</f>
        <v>3385.2382927638778</v>
      </c>
      <c r="S136" s="56">
        <f>1910.77883003005*Deflactores!$P$5</f>
        <v>3408.4822352357869</v>
      </c>
      <c r="T136" s="56">
        <f>2038.47910384387*Deflactores!$Q$5</f>
        <v>3438.5591678267369</v>
      </c>
      <c r="U136" s="56">
        <f>2091.98708053787*Deflactores!$R$5</f>
        <v>3390.160249799098</v>
      </c>
      <c r="V136" s="56">
        <f>1901.49706848499*Deflactores!$S$5</f>
        <v>2986.4920701082392</v>
      </c>
    </row>
    <row r="137" spans="2:22" x14ac:dyDescent="0.2">
      <c r="C137" s="88" t="s">
        <v>130</v>
      </c>
      <c r="D137" s="57">
        <f>8.003812074*Deflactores!$A$5</f>
        <v>29.058312988384927</v>
      </c>
      <c r="E137" s="57">
        <f>11.5333761944*Deflactores!$B$5</f>
        <v>38.89759770082064</v>
      </c>
      <c r="F137" s="57">
        <f>9.08916651889*Deflactores!$C$5</f>
        <v>28.650996015566264</v>
      </c>
      <c r="G137" s="57">
        <f>10.15135930982*Deflactores!$D$5</f>
        <v>30.048685861828115</v>
      </c>
      <c r="H137" s="57">
        <f>9.15765030277*Deflactores!$E$5</f>
        <v>25.694803436418731</v>
      </c>
      <c r="I137" s="57">
        <f>11.08485742065*Deflactores!$F$5</f>
        <v>29.66207481514493</v>
      </c>
      <c r="J137" s="57">
        <f>20.21282159313*Deflactores!$G$5</f>
        <v>51.769470333378152</v>
      </c>
      <c r="K137" s="57">
        <f>16.35162070586*Deflactores!$H$5</f>
        <v>39.623729867447366</v>
      </c>
      <c r="L137" s="57">
        <f>16.6961400174*Deflactores!$I$5</f>
        <v>37.574938875123664</v>
      </c>
      <c r="M137" s="57">
        <f>11.46276526847*Deflactores!$J$5</f>
        <v>25.29086794649373</v>
      </c>
      <c r="N137" s="57">
        <f>3.07543908342*Deflactores!$K$5</f>
        <v>6.5769249873030242</v>
      </c>
      <c r="O137" s="57">
        <f>4.99140356097*Deflactores!$L$5</f>
        <v>10.290771726464774</v>
      </c>
      <c r="P137" s="57">
        <f>0*Deflactores!$M$5</f>
        <v>0</v>
      </c>
      <c r="Q137" s="57">
        <f>0*Deflactores!$N$5</f>
        <v>0</v>
      </c>
      <c r="R137" s="57">
        <f>0*Deflactores!$O$5</f>
        <v>0</v>
      </c>
      <c r="S137" s="57">
        <f>0*Deflactores!$P$5</f>
        <v>0</v>
      </c>
      <c r="T137" s="57">
        <f>0*Deflactores!$Q$5</f>
        <v>0</v>
      </c>
      <c r="U137" s="57">
        <f>0*Deflactores!$R$5</f>
        <v>0</v>
      </c>
      <c r="V137" s="57">
        <f>0*Deflactores!$S$5</f>
        <v>0</v>
      </c>
    </row>
    <row r="138" spans="2:22" x14ac:dyDescent="0.2">
      <c r="C138" s="87" t="s">
        <v>131</v>
      </c>
      <c r="D138" s="56">
        <f>133.77226962981*Deflactores!$A$5</f>
        <v>485.66813465011376</v>
      </c>
      <c r="E138" s="56">
        <f>143.69438863288*Deflactores!$B$5</f>
        <v>484.62535398967066</v>
      </c>
      <c r="F138" s="56">
        <f>183.447162367529*Deflactores!$C$5</f>
        <v>578.26467444903676</v>
      </c>
      <c r="G138" s="56">
        <f>177.02687958488*Deflactores!$D$5</f>
        <v>524.01111332941809</v>
      </c>
      <c r="H138" s="56">
        <f>171.16000064222*Deflactores!$E$5</f>
        <v>480.24574287892017</v>
      </c>
      <c r="I138" s="56">
        <f>133.167161664749*Deflactores!$F$5</f>
        <v>356.3432674255057</v>
      </c>
      <c r="J138" s="56">
        <f>126.47902064543*Deflactores!$G$5</f>
        <v>323.94051849365667</v>
      </c>
      <c r="K138" s="56">
        <f>55.01111400286*Deflactores!$H$5</f>
        <v>133.30455495310693</v>
      </c>
      <c r="L138" s="56">
        <f>40.8528410141999*Deflactores!$I$5</f>
        <v>91.939993458604818</v>
      </c>
      <c r="M138" s="56">
        <f>55.67070529862*Deflactores!$J$5</f>
        <v>122.82904022019599</v>
      </c>
      <c r="N138" s="56">
        <f>9.80864318278*Deflactores!$K$5</f>
        <v>20.976097620710142</v>
      </c>
      <c r="O138" s="56">
        <f>7.92043280209*Deflactores!$L$5</f>
        <v>16.329548381632414</v>
      </c>
      <c r="P138" s="56">
        <f>14.38062393685*Deflactores!$M$5</f>
        <v>28.942325243146339</v>
      </c>
      <c r="Q138" s="56">
        <f>19.9965977884399*Deflactores!$N$5</f>
        <v>39.479093528414076</v>
      </c>
      <c r="R138" s="56">
        <f>16.65115017989*Deflactores!$O$5</f>
        <v>31.713494130720004</v>
      </c>
      <c r="S138" s="56">
        <f>18.79913989039*Deflactores!$P$5</f>
        <v>33.534249671951329</v>
      </c>
      <c r="T138" s="56">
        <f>21.08310970104*Deflactores!$Q$5</f>
        <v>35.563533622741737</v>
      </c>
      <c r="U138" s="56">
        <f>22.08615610046*Deflactores!$R$5</f>
        <v>35.791620884860386</v>
      </c>
      <c r="V138" s="56">
        <f>21.15673730832*Deflactores!$S$5</f>
        <v>33.228780232095097</v>
      </c>
    </row>
    <row r="139" spans="2:22" x14ac:dyDescent="0.2">
      <c r="C139" s="88" t="s">
        <v>132</v>
      </c>
      <c r="D139" s="57">
        <f>30.3561566873599*Deflactores!$A$5</f>
        <v>110.20982176870612</v>
      </c>
      <c r="E139" s="57">
        <f>35.03780508942*Deflactores!$B$5</f>
        <v>118.16890594011586</v>
      </c>
      <c r="F139" s="57">
        <f>37.35196350889*Deflactores!$C$5</f>
        <v>117.74137435403448</v>
      </c>
      <c r="G139" s="57">
        <f>28.84549973715*Deflactores!$D$5</f>
        <v>85.384561187839097</v>
      </c>
      <c r="H139" s="57">
        <f>30.7254472171*Deflactores!$E$5</f>
        <v>86.210359714286184</v>
      </c>
      <c r="I139" s="57">
        <f>30.6495868000199*Deflactores!$F$5</f>
        <v>82.015519209281692</v>
      </c>
      <c r="J139" s="57">
        <f>44.48129129078*Deflactores!$G$5</f>
        <v>113.92634517939155</v>
      </c>
      <c r="K139" s="57">
        <f>49.41532151716*Deflactores!$H$5</f>
        <v>119.74466545736983</v>
      </c>
      <c r="L139" s="57">
        <f>57.58150618414*Deflactores!$I$5</f>
        <v>129.58813072672976</v>
      </c>
      <c r="M139" s="57">
        <f>85.53607856642*Deflactores!$J$5</f>
        <v>188.72249557745559</v>
      </c>
      <c r="N139" s="57">
        <f>90.14791020893*Deflactores!$K$5</f>
        <v>192.78419345147267</v>
      </c>
      <c r="O139" s="57">
        <f>87.8887203112599*Deflactores!$L$5</f>
        <v>181.20008671038403</v>
      </c>
      <c r="P139" s="57">
        <f>105.99637096183*Deflactores!$M$5</f>
        <v>213.32742281851625</v>
      </c>
      <c r="Q139" s="57">
        <f>133.40090977254*Deflactores!$N$5</f>
        <v>263.37215207330127</v>
      </c>
      <c r="R139" s="57">
        <f>137.529250540969*Deflactores!$O$5</f>
        <v>261.93584423380383</v>
      </c>
      <c r="S139" s="57">
        <f>162.9451881083*Deflactores!$P$5</f>
        <v>290.66460767495505</v>
      </c>
      <c r="T139" s="57">
        <f>225.25650061051*Deflactores!$Q$5</f>
        <v>379.96847935614772</v>
      </c>
      <c r="U139" s="57">
        <f>284.385186989959*Deflactores!$R$5</f>
        <v>460.859135094257</v>
      </c>
      <c r="V139" s="57">
        <f>374.98032323102*Deflactores!$S$5</f>
        <v>588.94424836969222</v>
      </c>
    </row>
    <row r="140" spans="2:22" x14ac:dyDescent="0.2">
      <c r="C140" s="87" t="s">
        <v>133</v>
      </c>
      <c r="D140" s="56">
        <f>0.11853800175*Deflactores!$A$5</f>
        <v>0.43035922433243523</v>
      </c>
      <c r="E140" s="56">
        <f>0.119989148*Deflactores!$B$5</f>
        <v>0.40467678576498856</v>
      </c>
      <c r="F140" s="56">
        <f>0.242199602199999*Deflactores!$C$5</f>
        <v>0.7634649253242366</v>
      </c>
      <c r="G140" s="56">
        <f>0.04953657048*Deflactores!$D$5</f>
        <v>0.14663148053344016</v>
      </c>
      <c r="H140" s="56">
        <f>0.64532104635*Deflactores!$E$5</f>
        <v>1.8106606925503348</v>
      </c>
      <c r="I140" s="56">
        <f>2.44357395459999*Deflactores!$F$5</f>
        <v>6.5387826570198913</v>
      </c>
      <c r="J140" s="56">
        <f>3.3276734991*Deflactores!$G$5</f>
        <v>8.5229018470819771</v>
      </c>
      <c r="K140" s="56">
        <f>1.55818601428*Deflactores!$H$5</f>
        <v>3.7758423353679409</v>
      </c>
      <c r="L140" s="56">
        <f>4.793698207*Deflactores!$I$5</f>
        <v>10.788296991166732</v>
      </c>
      <c r="M140" s="56">
        <f>4.27666605815*Deflactores!$J$5</f>
        <v>9.4358205890715521</v>
      </c>
      <c r="N140" s="56">
        <f>3.33058925028*Deflactores!$K$5</f>
        <v>7.1225717916838667</v>
      </c>
      <c r="O140" s="56">
        <f>4.382678886*Deflactores!$L$5</f>
        <v>9.0357646732652164</v>
      </c>
      <c r="P140" s="56">
        <f>4.74091562322999*Deflactores!$M$5</f>
        <v>9.5415277195470551</v>
      </c>
      <c r="Q140" s="56">
        <f>3.1378972714*Deflactores!$N$5</f>
        <v>6.1951208485961615</v>
      </c>
      <c r="R140" s="56">
        <f>3.82235758121*Deflactores!$O$5</f>
        <v>7.2799964811810529</v>
      </c>
      <c r="S140" s="56">
        <f>3.52102841864*Deflactores!$P$5</f>
        <v>6.280874911360649</v>
      </c>
      <c r="T140" s="56">
        <f>3.63299725733*Deflactores!$Q$5</f>
        <v>6.1282335454532397</v>
      </c>
      <c r="U140" s="56">
        <f>6.697478326*Deflactores!$R$5</f>
        <v>10.853568363748401</v>
      </c>
      <c r="V140" s="56">
        <f>23.27386441725*Deflactores!$S$5</f>
        <v>36.553940931537184</v>
      </c>
    </row>
    <row r="141" spans="2:22" x14ac:dyDescent="0.2">
      <c r="C141" s="88" t="s">
        <v>134</v>
      </c>
      <c r="D141" s="57">
        <f>93.6636713916999*Deflactores!$A$5</f>
        <v>340.05149718377191</v>
      </c>
      <c r="E141" s="57">
        <f>107.1596920598*Deflactores!$B$5</f>
        <v>361.40801455083107</v>
      </c>
      <c r="F141" s="57">
        <f>113.26609364092*Deflactores!$C$5</f>
        <v>357.03894200422985</v>
      </c>
      <c r="G141" s="57">
        <f>103.72541785944*Deflactores!$D$5</f>
        <v>307.03400421755282</v>
      </c>
      <c r="H141" s="57">
        <f>114.48055405573*Deflactores!$E$5</f>
        <v>321.21289157160015</v>
      </c>
      <c r="I141" s="57">
        <f>111.316461314529*Deflactores!$F$5</f>
        <v>297.87277168921202</v>
      </c>
      <c r="J141" s="57">
        <f>112.310495271669*Deflactores!$G$5</f>
        <v>287.65181675921207</v>
      </c>
      <c r="K141" s="57">
        <f>136.8902239303*Deflactores!$H$5</f>
        <v>331.71643056548692</v>
      </c>
      <c r="L141" s="57">
        <f>142.72723488812*Deflactores!$I$5</f>
        <v>321.20999950572235</v>
      </c>
      <c r="M141" s="57">
        <f>148.78678932361*Deflactores!$J$5</f>
        <v>328.27567806144788</v>
      </c>
      <c r="N141" s="57">
        <f>157.132179459709*Deflactores!$K$5</f>
        <v>336.03219877426835</v>
      </c>
      <c r="O141" s="57">
        <f>166.11831411185*Deflactores!$L$5</f>
        <v>342.48596196016831</v>
      </c>
      <c r="P141" s="57">
        <f>164.35133285488*Deflactores!$M$5</f>
        <v>330.77213829655796</v>
      </c>
      <c r="Q141" s="57">
        <f>172.54753732197*Deflactores!$N$5</f>
        <v>340.65896789550987</v>
      </c>
      <c r="R141" s="57">
        <f>162.58637162415*Deflactores!$O$5</f>
        <v>309.65920591268156</v>
      </c>
      <c r="S141" s="57">
        <f>165.07668286391*Deflactores!$P$5</f>
        <v>294.46680701629941</v>
      </c>
      <c r="T141" s="57">
        <f>163.26882290659*Deflactores!$Q$5</f>
        <v>275.40606463274992</v>
      </c>
      <c r="U141" s="57">
        <f>178.65605136182*Deflactores!$R$5</f>
        <v>289.52026011421827</v>
      </c>
      <c r="V141" s="57">
        <f>197.88619846367*Deflactores!$S$5</f>
        <v>310.80014389213915</v>
      </c>
    </row>
    <row r="142" spans="2:22" x14ac:dyDescent="0.2">
      <c r="C142" s="87" t="s">
        <v>135</v>
      </c>
      <c r="D142" s="56"/>
      <c r="E142" s="56"/>
      <c r="F142" s="56"/>
      <c r="G142" s="56"/>
      <c r="H142" s="56"/>
      <c r="I142" s="56"/>
      <c r="J142" s="56"/>
      <c r="K142" s="56"/>
      <c r="L142" s="56"/>
      <c r="M142" s="56"/>
      <c r="N142" s="56"/>
      <c r="O142" s="56"/>
      <c r="P142" s="56"/>
      <c r="Q142" s="56"/>
      <c r="R142" s="56">
        <f>0*Deflactores!$O$5</f>
        <v>0</v>
      </c>
      <c r="S142" s="56"/>
      <c r="T142" s="56"/>
      <c r="U142" s="56"/>
      <c r="V142" s="56"/>
    </row>
    <row r="143" spans="2:22" x14ac:dyDescent="0.2">
      <c r="C143" s="88" t="s">
        <v>136</v>
      </c>
      <c r="D143" s="57">
        <f>901.32341700808*Deflactores!$A$5</f>
        <v>3272.3079593861753</v>
      </c>
      <c r="E143" s="57">
        <f>891.986346202829*Deflactores!$B$5</f>
        <v>3008.3234487806944</v>
      </c>
      <c r="F143" s="57">
        <f>934.72685526918*Deflactores!$C$5</f>
        <v>2946.4588805036688</v>
      </c>
      <c r="G143" s="57">
        <f>979.46658026688*Deflactores!$D$5</f>
        <v>2899.2849808919236</v>
      </c>
      <c r="H143" s="57">
        <f>1092.98232639632*Deflactores!$E$5</f>
        <v>3066.7218235815672</v>
      </c>
      <c r="I143" s="57">
        <f>1179.46220864576*Deflactores!$F$5</f>
        <v>3156.1340797503126</v>
      </c>
      <c r="J143" s="57">
        <f>1431.29513193231*Deflactores!$G$5</f>
        <v>3665.8608264797012</v>
      </c>
      <c r="K143" s="57">
        <f>2078.75354845038*Deflactores!$H$5</f>
        <v>5037.2969472852901</v>
      </c>
      <c r="L143" s="57">
        <f>2714.01349685237*Deflactores!$I$5</f>
        <v>6107.9322013477604</v>
      </c>
      <c r="M143" s="57">
        <f>3498.63557385607*Deflactores!$J$5</f>
        <v>7719.2133153669283</v>
      </c>
      <c r="N143" s="57">
        <f>2889.20134620635*Deflactores!$K$5</f>
        <v>6178.6496210105706</v>
      </c>
      <c r="O143" s="57">
        <f>2807.98124158884*Deflactores!$L$5</f>
        <v>5789.2121156740031</v>
      </c>
      <c r="P143" s="57">
        <f>2997.57794489134*Deflactores!$M$5</f>
        <v>6032.9006727180285</v>
      </c>
      <c r="Q143" s="57">
        <f>3467.92659821965*Deflactores!$N$5</f>
        <v>6846.6946212188595</v>
      </c>
      <c r="R143" s="57">
        <f>1437.87025202444*Deflactores!$O$5</f>
        <v>2738.5429418194831</v>
      </c>
      <c r="S143" s="57">
        <f>1497.04875825498*Deflactores!$P$5</f>
        <v>2670.4629638971069</v>
      </c>
      <c r="T143" s="57">
        <f>2577.24542774426*Deflactores!$Q$5</f>
        <v>4347.3641091531726</v>
      </c>
      <c r="U143" s="57">
        <f>2787.17300009169*Deflactores!$R$5</f>
        <v>4516.7406635201232</v>
      </c>
      <c r="V143" s="57">
        <f>2796.67821903097*Deflactores!$S$5</f>
        <v>4392.4639496999334</v>
      </c>
    </row>
    <row r="144" spans="2:22" x14ac:dyDescent="0.2">
      <c r="C144" s="87" t="s">
        <v>137</v>
      </c>
      <c r="D144" s="56">
        <f>13.67201399619*Deflactores!$A$5</f>
        <v>49.637055219403734</v>
      </c>
      <c r="E144" s="56">
        <f>15.42458104093*Deflactores!$B$5</f>
        <v>52.021120088419444</v>
      </c>
      <c r="F144" s="56">
        <f>19.9267932076499*Deflactores!$C$5</f>
        <v>62.813512285075085</v>
      </c>
      <c r="G144" s="56">
        <f>18.67031775892*Deflactores!$D$5</f>
        <v>55.265358673255903</v>
      </c>
      <c r="H144" s="56">
        <f>18.4757552390599*Deflactores!$E$5</f>
        <v>51.839815183096846</v>
      </c>
      <c r="I144" s="56">
        <f>34.83812018793*Deflactores!$F$5</f>
        <v>93.223655318138981</v>
      </c>
      <c r="J144" s="56">
        <f>37.5877591474999*Deflactores!$G$5</f>
        <v>96.2704970762735</v>
      </c>
      <c r="K144" s="56">
        <f>33.93519668246*Deflactores!$H$5</f>
        <v>82.232770104715499</v>
      </c>
      <c r="L144" s="56">
        <f>45.4504154350999*Deflactores!$I$5</f>
        <v>102.28691062982601</v>
      </c>
      <c r="M144" s="56">
        <f>48.94740988965*Deflactores!$J$5</f>
        <v>107.99509986016419</v>
      </c>
      <c r="N144" s="56">
        <f>40.2304947892899*Deflactores!$K$5</f>
        <v>86.034201703975185</v>
      </c>
      <c r="O144" s="56">
        <f>40.95006622929*Deflactores!$L$5</f>
        <v>84.426710563820563</v>
      </c>
      <c r="P144" s="56">
        <f>43.3005003758099*Deflactores!$M$5</f>
        <v>87.14623027282785</v>
      </c>
      <c r="Q144" s="56">
        <f>44.31270973847*Deflactores!$N$5</f>
        <v>87.486162934870407</v>
      </c>
      <c r="R144" s="56">
        <f>56.4729049477499*Deflactores!$O$5</f>
        <v>107.55732308319176</v>
      </c>
      <c r="S144" s="56">
        <f>42.06114742019*Deflactores!$P$5</f>
        <v>75.029444288482367</v>
      </c>
      <c r="T144" s="56">
        <f>36.5221451364099*Deflactores!$Q$5</f>
        <v>61.606497094178472</v>
      </c>
      <c r="U144" s="56">
        <f>58.01645741084*Deflactores!$R$5</f>
        <v>94.018308993486912</v>
      </c>
      <c r="V144" s="56">
        <f>42.06935256679*Deflactores!$S$5</f>
        <v>66.074142273282078</v>
      </c>
    </row>
    <row r="145" spans="2:22" x14ac:dyDescent="0.2">
      <c r="C145" s="88" t="s">
        <v>138</v>
      </c>
      <c r="D145" s="57">
        <f>13.03954966675*Deflactores!$A$5</f>
        <v>47.340856074678975</v>
      </c>
      <c r="E145" s="57">
        <f>13.73692237782*Deflactores!$B$5</f>
        <v>46.329302997962287</v>
      </c>
      <c r="F145" s="57">
        <f>16.1450406656999*Deflactores!$C$5</f>
        <v>50.89261978232674</v>
      </c>
      <c r="G145" s="57">
        <f>12.38040221494*Deflactores!$D$5</f>
        <v>36.646798290347334</v>
      </c>
      <c r="H145" s="57">
        <f>30.58647834268*Deflactores!$E$5</f>
        <v>85.820436776202129</v>
      </c>
      <c r="I145" s="57">
        <f>15.5630341960399*Deflactores!$F$5</f>
        <v>41.64527040407571</v>
      </c>
      <c r="J145" s="57">
        <f>20.37365158718*Deflactores!$G$5</f>
        <v>52.181391230583266</v>
      </c>
      <c r="K145" s="57">
        <f>58.45875639672*Deflactores!$H$5</f>
        <v>141.65898374956939</v>
      </c>
      <c r="L145" s="57">
        <f>78.30200309656*Deflactores!$I$5</f>
        <v>176.21995126339132</v>
      </c>
      <c r="M145" s="57">
        <f>60.9409775589799*Deflactores!$J$5</f>
        <v>134.45710348914071</v>
      </c>
      <c r="N145" s="57">
        <f>52.52067671349*Deflactores!$K$5</f>
        <v>112.31714940778205</v>
      </c>
      <c r="O145" s="57">
        <f>45.22033941254*Deflactores!$L$5</f>
        <v>93.230728512217013</v>
      </c>
      <c r="P145" s="57">
        <f>25.71966475119*Deflactores!$M$5</f>
        <v>51.763185355689188</v>
      </c>
      <c r="Q145" s="57">
        <f>23.67323709319*Deflactores!$N$5</f>
        <v>46.73784766840005</v>
      </c>
      <c r="R145" s="57">
        <f>43.65698847451*Deflactores!$O$5</f>
        <v>83.148349080617692</v>
      </c>
      <c r="S145" s="57">
        <f>0*Deflactores!$P$5</f>
        <v>0</v>
      </c>
      <c r="T145" s="57">
        <f>0*Deflactores!$Q$5</f>
        <v>0</v>
      </c>
      <c r="U145" s="57">
        <f>0*Deflactores!$R$5</f>
        <v>0</v>
      </c>
      <c r="V145" s="57">
        <f>0*Deflactores!$S$5</f>
        <v>0</v>
      </c>
    </row>
    <row r="146" spans="2:22" x14ac:dyDescent="0.2">
      <c r="C146" s="87" t="s">
        <v>139</v>
      </c>
      <c r="D146" s="56">
        <f>166.45901459623*Deflactores!$A$5</f>
        <v>604.33929497023144</v>
      </c>
      <c r="E146" s="56">
        <f>160.44560606399*Deflactores!$B$5</f>
        <v>541.12070328302548</v>
      </c>
      <c r="F146" s="56">
        <f>163.31371043048*Deflactores!$C$5</f>
        <v>514.79972966789182</v>
      </c>
      <c r="G146" s="56">
        <f>150.312133346879*Deflactores!$D$5</f>
        <v>444.93372151573197</v>
      </c>
      <c r="H146" s="56">
        <f>160.07426432001*Deflactores!$E$5</f>
        <v>449.14105921776383</v>
      </c>
      <c r="I146" s="56">
        <f>196.713499057769*Deflactores!$F$5</f>
        <v>526.38751269191641</v>
      </c>
      <c r="J146" s="56">
        <f>241.24275470966*Deflactores!$G$5</f>
        <v>617.8756179854164</v>
      </c>
      <c r="K146" s="56">
        <f>281.160945892529*Deflactores!$H$5</f>
        <v>681.31750177699723</v>
      </c>
      <c r="L146" s="56">
        <f>415.75519276534*Deflactores!$I$5</f>
        <v>935.66392824283639</v>
      </c>
      <c r="M146" s="56">
        <f>598.30109317231*Deflactores!$J$5</f>
        <v>1320.0613975133267</v>
      </c>
      <c r="N146" s="56">
        <f>638.71870752993*Deflactores!$K$5</f>
        <v>1365.9204144404775</v>
      </c>
      <c r="O146" s="56">
        <f>667.320886219739*Deflactores!$L$5</f>
        <v>1375.8148032925164</v>
      </c>
      <c r="P146" s="56">
        <f>672.12269688958*Deflactores!$M$5</f>
        <v>1352.7086016644641</v>
      </c>
      <c r="Q146" s="56">
        <f>945.54476834288*Deflactores!$N$5</f>
        <v>1866.780076273342</v>
      </c>
      <c r="R146" s="56">
        <f>831.260867221519*Deflactores!$O$5</f>
        <v>1583.2051449253711</v>
      </c>
      <c r="S146" s="56">
        <f>874.1238693766*Deflactores!$P$5</f>
        <v>1559.2781505323944</v>
      </c>
      <c r="T146" s="56">
        <f>952.46332188079*Deflactores!$Q$5</f>
        <v>1606.6397155095601</v>
      </c>
      <c r="U146" s="56">
        <f>967.04360617821*Deflactores!$R$5</f>
        <v>1567.1381644693638</v>
      </c>
      <c r="V146" s="56">
        <f>436.04519127923*Deflactores!$S$5</f>
        <v>684.85275499362683</v>
      </c>
    </row>
    <row r="147" spans="2:22" x14ac:dyDescent="0.2">
      <c r="C147" s="88" t="s">
        <v>140</v>
      </c>
      <c r="D147" s="57">
        <f>20.37296039788*Deflactores!$A$5</f>
        <v>73.965237347921288</v>
      </c>
      <c r="E147" s="57">
        <f>22.59223798817*Deflactores!$B$5</f>
        <v>76.194842656023425</v>
      </c>
      <c r="F147" s="57">
        <f>11.9988093355599*Deflactores!$C$5</f>
        <v>37.822812218281292</v>
      </c>
      <c r="G147" s="57">
        <f>10.49189812641*Deflactores!$D$5</f>
        <v>31.056702976695963</v>
      </c>
      <c r="H147" s="57">
        <f>2065.27263932761*Deflactores!$E$5</f>
        <v>5794.8024608545102</v>
      </c>
      <c r="I147" s="57">
        <f>2065.44412407837*Deflactores!$F$5</f>
        <v>5526.9414670848855</v>
      </c>
      <c r="J147" s="57">
        <f>228.36661570437*Deflactores!$G$5</f>
        <v>584.89700126080345</v>
      </c>
      <c r="K147" s="57">
        <f>153.05443534343*Deflactores!$H$5</f>
        <v>370.88602470392226</v>
      </c>
      <c r="L147" s="57">
        <f>256.403517510099*Deflactores!$I$5</f>
        <v>577.04035110918846</v>
      </c>
      <c r="M147" s="57">
        <f>292.80246057224*Deflactores!$J$5</f>
        <v>646.02460150781553</v>
      </c>
      <c r="N147" s="57">
        <f>1078.62094264524*Deflactores!$K$5</f>
        <v>2306.6654344598574</v>
      </c>
      <c r="O147" s="57">
        <f>1069.77878228189*Deflactores!$L$5</f>
        <v>2205.5618448408914</v>
      </c>
      <c r="P147" s="57">
        <f>525.87651132241*Deflactores!$M$5</f>
        <v>1058.3747336180045</v>
      </c>
      <c r="Q147" s="57">
        <f>614.974736035829*Deflactores!$N$5</f>
        <v>1214.1387939305264</v>
      </c>
      <c r="R147" s="57">
        <f>593.17825806511*Deflactores!$O$5</f>
        <v>1129.7571040070252</v>
      </c>
      <c r="S147" s="57">
        <f>763.086688728749*Deflactores!$P$5</f>
        <v>1361.2079962367686</v>
      </c>
      <c r="T147" s="57">
        <f>625.601415107889*Deflactores!$Q$5</f>
        <v>1055.280614487659</v>
      </c>
      <c r="U147" s="57">
        <f>658.149499571629*Deflactores!$R$5</f>
        <v>1066.5612099761313</v>
      </c>
      <c r="V147" s="57">
        <f>606.75419577219*Deflactores!$S$5</f>
        <v>952.96838696801353</v>
      </c>
    </row>
    <row r="148" spans="2:22" x14ac:dyDescent="0.2">
      <c r="C148" s="87" t="s">
        <v>141</v>
      </c>
      <c r="D148" s="56">
        <f>3.68286305779999*Deflactores!$A$5</f>
        <v>13.370852093661046</v>
      </c>
      <c r="E148" s="56">
        <f>4.65984997451*Deflactores!$B$5</f>
        <v>15.715863819882866</v>
      </c>
      <c r="F148" s="56">
        <f>8.73294708119*Deflactores!$C$5</f>
        <v>27.528116192757565</v>
      </c>
      <c r="G148" s="56">
        <f>7.00293782235*Deflactores!$D$5</f>
        <v>20.729152846569971</v>
      </c>
      <c r="H148" s="56">
        <f>11.5302862065499*Deflactores!$E$5</f>
        <v>32.352014746985347</v>
      </c>
      <c r="I148" s="56">
        <f>7.84926038442999*Deflactores!$F$5</f>
        <v>21.003910102874656</v>
      </c>
      <c r="J148" s="56">
        <f>19.31458441802*Deflactores!$G$5</f>
        <v>49.468887875113175</v>
      </c>
      <c r="K148" s="56">
        <f>18.06589686218*Deflactores!$H$5</f>
        <v>43.777814441576872</v>
      </c>
      <c r="L148" s="56">
        <f>22.09185945905*Deflactores!$I$5</f>
        <v>49.718094598304234</v>
      </c>
      <c r="M148" s="56">
        <f>23.9101794073799*Deflactores!$J$5</f>
        <v>52.754215567194699</v>
      </c>
      <c r="N148" s="56">
        <f>22.76976506834*Deflactores!$K$5</f>
        <v>48.69387192233112</v>
      </c>
      <c r="O148" s="56">
        <f>18.68488726618*Deflactores!$L$5</f>
        <v>38.52261337763278</v>
      </c>
      <c r="P148" s="56">
        <f>15.38319837346*Deflactores!$M$5</f>
        <v>30.960098293345911</v>
      </c>
      <c r="Q148" s="56">
        <f>17.84824835976*Deflactores!$N$5</f>
        <v>35.237627608866475</v>
      </c>
      <c r="R148" s="56">
        <f>20.0610059437199*Deflactores!$O$5</f>
        <v>38.207846748079902</v>
      </c>
      <c r="S148" s="56">
        <f>25.75848466228*Deflactores!$P$5</f>
        <v>45.948456199189792</v>
      </c>
      <c r="T148" s="56">
        <f>30.65121074293*Deflactores!$Q$5</f>
        <v>51.703253423766149</v>
      </c>
      <c r="U148" s="56">
        <f>18.02254502016*Deflactores!$R$5</f>
        <v>29.206354234201047</v>
      </c>
      <c r="V148" s="56">
        <f>17.11967456132*Deflactores!$S$5</f>
        <v>26.888167837645824</v>
      </c>
    </row>
    <row r="149" spans="2:22" x14ac:dyDescent="0.2">
      <c r="C149" s="88" t="s">
        <v>142</v>
      </c>
      <c r="D149" s="57">
        <f>18.82872674717*Deflactores!$A$5</f>
        <v>68.358805770736367</v>
      </c>
      <c r="E149" s="57">
        <f>21.89360732676*Deflactores!$B$5</f>
        <v>73.838632821978536</v>
      </c>
      <c r="F149" s="57">
        <f>21.39256919966*Deflactores!$C$5</f>
        <v>67.433951576127114</v>
      </c>
      <c r="G149" s="57">
        <f>19.25445616625*Deflactores!$D$5</f>
        <v>56.994446469873267</v>
      </c>
      <c r="H149" s="57">
        <f>27.661259528*Deflactores!$E$5</f>
        <v>77.612772149722446</v>
      </c>
      <c r="I149" s="57">
        <f>23.46002513673*Deflactores!$F$5</f>
        <v>62.776903153893784</v>
      </c>
      <c r="J149" s="57">
        <f>33.00027547099*Deflactores!$G$5</f>
        <v>84.52094499114277</v>
      </c>
      <c r="K149" s="57">
        <f>40.48951647056*Deflactores!$H$5</f>
        <v>98.115391247919177</v>
      </c>
      <c r="L149" s="57">
        <f>45.09969238761*Deflactores!$I$5</f>
        <v>101.49760261864522</v>
      </c>
      <c r="M149" s="57">
        <f>45.3761708171899*Deflactores!$J$5</f>
        <v>100.11569784227723</v>
      </c>
      <c r="N149" s="57">
        <f>71.91968717427*Deflactores!$K$5</f>
        <v>153.80255463537532</v>
      </c>
      <c r="O149" s="57">
        <f>65.09025266524*Deflactores!$L$5</f>
        <v>134.19650878033383</v>
      </c>
      <c r="P149" s="57">
        <f>74.92590487371*Deflactores!$M$5</f>
        <v>150.79525878116823</v>
      </c>
      <c r="Q149" s="57">
        <f>81.94404748972*Deflactores!$N$5</f>
        <v>161.78135646723211</v>
      </c>
      <c r="R149" s="57">
        <f>107.251974855959*Deflactores!$O$5</f>
        <v>204.270265918955</v>
      </c>
      <c r="S149" s="57">
        <f>114.719496404589*Deflactores!$P$5</f>
        <v>204.63873651148202</v>
      </c>
      <c r="T149" s="57">
        <f>106.63016156759*Deflactores!$Q$5</f>
        <v>179.86650877789194</v>
      </c>
      <c r="U149" s="57">
        <f>112.86249010434*Deflactores!$R$5</f>
        <v>182.89880047763091</v>
      </c>
      <c r="V149" s="57">
        <f>104.60219981059*Deflactores!$S$5</f>
        <v>164.28825761961491</v>
      </c>
    </row>
    <row r="150" spans="2:22" x14ac:dyDescent="0.2">
      <c r="C150" s="87" t="s">
        <v>143</v>
      </c>
      <c r="D150" s="56">
        <f>0.0585*Deflactores!$A$5</f>
        <v>0.21238770901963061</v>
      </c>
      <c r="E150" s="56">
        <f>0*Deflactores!$B$5</f>
        <v>0</v>
      </c>
      <c r="F150" s="56">
        <f>0*Deflactores!$C$5</f>
        <v>0</v>
      </c>
      <c r="G150" s="56">
        <f>0*Deflactores!$D$5</f>
        <v>0</v>
      </c>
      <c r="H150" s="56">
        <f>30.49931686711*Deflactores!$E$5</f>
        <v>85.57587655518978</v>
      </c>
      <c r="I150" s="56">
        <f>4.23428594992999*Deflactores!$F$5</f>
        <v>11.330565822304957</v>
      </c>
      <c r="J150" s="56">
        <f>0*Deflactores!$G$5</f>
        <v>0</v>
      </c>
      <c r="K150" s="56">
        <f>0*Deflactores!$H$5</f>
        <v>0</v>
      </c>
      <c r="L150" s="56">
        <f>0*Deflactores!$I$5</f>
        <v>0</v>
      </c>
      <c r="M150" s="56">
        <f>0*Deflactores!$J$5</f>
        <v>0</v>
      </c>
      <c r="N150" s="56">
        <f>0*Deflactores!$K$5</f>
        <v>0</v>
      </c>
      <c r="O150" s="56">
        <f>0*Deflactores!$L$5</f>
        <v>0</v>
      </c>
      <c r="P150" s="56">
        <f>0.117682621*Deflactores!$M$5</f>
        <v>0.23684707335403637</v>
      </c>
      <c r="Q150" s="56">
        <f>3.523321884*Deflactores!$N$5</f>
        <v>6.9560610090160857</v>
      </c>
      <c r="R150" s="56">
        <f>11.10531429688*Deflactores!$O$5</f>
        <v>21.150990530326922</v>
      </c>
      <c r="S150" s="56">
        <f>0.221295048*Deflactores!$P$5</f>
        <v>0.39475015527662533</v>
      </c>
      <c r="T150" s="56">
        <f>11.68452236617*Deflactores!$Q$5</f>
        <v>19.709753918060127</v>
      </c>
      <c r="U150" s="56">
        <f>19.22252670155*Deflactores!$R$5</f>
        <v>31.150979148275329</v>
      </c>
      <c r="V150" s="56">
        <f>55.42405192524*Deflactores!$S$5</f>
        <v>87.049038524091287</v>
      </c>
    </row>
    <row r="151" spans="2:22" x14ac:dyDescent="0.2">
      <c r="C151" s="88" t="s">
        <v>144</v>
      </c>
      <c r="D151" s="57">
        <f>0*Deflactores!$A$5</f>
        <v>0</v>
      </c>
      <c r="E151" s="57">
        <f>0*Deflactores!$B$5</f>
        <v>0</v>
      </c>
      <c r="F151" s="57">
        <f>0*Deflactores!$C$5</f>
        <v>0</v>
      </c>
      <c r="G151" s="57">
        <f>0*Deflactores!$D$5</f>
        <v>0</v>
      </c>
      <c r="H151" s="57">
        <f>0*Deflactores!$E$5</f>
        <v>0</v>
      </c>
      <c r="I151" s="57">
        <f>0*Deflactores!$F$5</f>
        <v>0</v>
      </c>
      <c r="J151" s="57">
        <f>0*Deflactores!$G$5</f>
        <v>0</v>
      </c>
      <c r="K151" s="57">
        <f>0*Deflactores!$H$5</f>
        <v>0</v>
      </c>
      <c r="L151" s="57">
        <f>0*Deflactores!$I$5</f>
        <v>0</v>
      </c>
      <c r="M151" s="57">
        <f>0*Deflactores!$J$5</f>
        <v>0</v>
      </c>
      <c r="N151" s="57">
        <f>0*Deflactores!$K$5</f>
        <v>0</v>
      </c>
      <c r="O151" s="57">
        <f>0*Deflactores!$L$5</f>
        <v>0</v>
      </c>
      <c r="P151" s="57">
        <f>0*Deflactores!$M$5</f>
        <v>0</v>
      </c>
      <c r="Q151" s="57">
        <f>0*Deflactores!$N$5</f>
        <v>0</v>
      </c>
      <c r="R151" s="57">
        <f>0*Deflactores!$O$5</f>
        <v>0</v>
      </c>
      <c r="S151" s="57">
        <f>0*Deflactores!$P$5</f>
        <v>0</v>
      </c>
      <c r="T151" s="57">
        <f>0*Deflactores!$Q$5</f>
        <v>0</v>
      </c>
      <c r="U151" s="57">
        <f>0*Deflactores!$R$5</f>
        <v>0</v>
      </c>
      <c r="V151" s="57">
        <f>0*Deflactores!$S$5</f>
        <v>0</v>
      </c>
    </row>
    <row r="152" spans="2:22" x14ac:dyDescent="0.2">
      <c r="C152" s="87" t="s">
        <v>145</v>
      </c>
      <c r="D152" s="56">
        <f>14.6897341561699*Deflactores!$A$5</f>
        <v>53.331948436518658</v>
      </c>
      <c r="E152" s="56">
        <f>9.45664079304*Deflactores!$B$5</f>
        <v>31.893575911227401</v>
      </c>
      <c r="F152" s="56">
        <f>25.488321384*Deflactores!$C$5</f>
        <v>80.344638080812601</v>
      </c>
      <c r="G152" s="56">
        <f>15.144749513*Deflactores!$D$5</f>
        <v>44.829446646813714</v>
      </c>
      <c r="H152" s="56">
        <f>8.6644369565*Deflactores!$E$5</f>
        <v>24.310930983810152</v>
      </c>
      <c r="I152" s="56">
        <f>9.976157833*Deflactores!$F$5</f>
        <v>26.695295102206934</v>
      </c>
      <c r="J152" s="56">
        <f>21.19432236332*Deflactores!$G$5</f>
        <v>54.283309124782178</v>
      </c>
      <c r="K152" s="56">
        <f>23.3919494700099*Deflactores!$H$5</f>
        <v>56.684062304630288</v>
      </c>
      <c r="L152" s="56">
        <f>20.775799047*Deflactores!$I$5</f>
        <v>46.756278903945351</v>
      </c>
      <c r="M152" s="56">
        <f>29.39676236142*Deflactores!$J$5</f>
        <v>64.859535855815835</v>
      </c>
      <c r="N152" s="56">
        <f>22.7979757*Deflactores!$K$5</f>
        <v>48.754201261732611</v>
      </c>
      <c r="O152" s="56">
        <f>23.61773152181*Deflactores!$L$5</f>
        <v>48.69265344288177</v>
      </c>
      <c r="P152" s="56">
        <f>32.07514104687*Deflactores!$M$5</f>
        <v>64.554164581098874</v>
      </c>
      <c r="Q152" s="56">
        <f>34.99694127865*Deflactores!$N$5</f>
        <v>69.094129539724676</v>
      </c>
      <c r="R152" s="56">
        <f>50.69225076328*Deflactores!$O$5</f>
        <v>96.547588586152983</v>
      </c>
      <c r="S152" s="56">
        <f>63.75810940135*Deflactores!$P$5</f>
        <v>113.73288202240738</v>
      </c>
      <c r="T152" s="56">
        <f>81.3113750532399*Deflactores!$Q$5</f>
        <v>137.15812617882531</v>
      </c>
      <c r="U152" s="56">
        <f>87.39763254785*Deflactores!$R$5</f>
        <v>141.6318401517515</v>
      </c>
      <c r="V152" s="56">
        <f>80.98064973459*Deflactores!$S$5</f>
        <v>127.18824145085712</v>
      </c>
    </row>
    <row r="153" spans="2:22" x14ac:dyDescent="0.2">
      <c r="C153" s="88" t="s">
        <v>146</v>
      </c>
      <c r="D153" s="57">
        <f>52.80543624187*Deflactores!$A$5</f>
        <v>191.71325858449472</v>
      </c>
      <c r="E153" s="57">
        <f>52.5174562643899*Deflactores!$B$5</f>
        <v>177.1209792874491</v>
      </c>
      <c r="F153" s="57">
        <f>49.98641337938*Deflactores!$C$5</f>
        <v>157.56786143026508</v>
      </c>
      <c r="G153" s="57">
        <f>35.11699548035*Deflactores!$D$5</f>
        <v>103.94859775867647</v>
      </c>
      <c r="H153" s="57">
        <f>37.9345570397699*Deflactores!$E$5</f>
        <v>106.43789120115986</v>
      </c>
      <c r="I153" s="57">
        <f>40.9034073972399*Deflactores!$F$5</f>
        <v>109.45381472846563</v>
      </c>
      <c r="J153" s="57">
        <f>43.29796159702*Deflactores!$G$5</f>
        <v>110.89557823804897</v>
      </c>
      <c r="K153" s="57">
        <f>49.6385735070799*Deflactores!$H$5</f>
        <v>120.28565626801074</v>
      </c>
      <c r="L153" s="57">
        <f>48.5847546822*Deflactores!$I$5</f>
        <v>109.34079287452148</v>
      </c>
      <c r="M153" s="57">
        <f>70.88672660622*Deflactores!$J$5</f>
        <v>156.40090325224003</v>
      </c>
      <c r="N153" s="57">
        <f>104.329960344739*Deflactores!$K$5</f>
        <v>223.11296192301791</v>
      </c>
      <c r="O153" s="57">
        <f>112.11168355651*Deflactores!$L$5</f>
        <v>231.14054579179177</v>
      </c>
      <c r="P153" s="57">
        <f>224.876160975518*Deflactores!$M$5</f>
        <v>452.58390866517664</v>
      </c>
      <c r="Q153" s="57">
        <f>216.127477756183*Deflactores!$N$5</f>
        <v>426.69843133661755</v>
      </c>
      <c r="R153" s="57">
        <f>177.067780833297*Deflactores!$O$5</f>
        <v>337.24024872337543</v>
      </c>
      <c r="S153" s="57">
        <f>234.319669805244*Deflactores!$P$5</f>
        <v>417.98371394188473</v>
      </c>
      <c r="T153" s="57">
        <f>306.150904110669*Deflactores!$Q$5</f>
        <v>516.42324715672646</v>
      </c>
      <c r="U153" s="57">
        <f>295.789435570549*Deflactores!$R$5</f>
        <v>479.34023881445955</v>
      </c>
      <c r="V153" s="57">
        <f>221.2623374725*Deflactores!$S$5</f>
        <v>347.51471733886115</v>
      </c>
    </row>
    <row r="154" spans="2:22" x14ac:dyDescent="0.2">
      <c r="C154" s="90" t="s">
        <v>147</v>
      </c>
      <c r="D154" s="58">
        <f>505.87651100788*Deflactores!$A$5</f>
        <v>1836.6145849539757</v>
      </c>
      <c r="E154" s="58">
        <f>627.570115876439*Deflactores!$B$5</f>
        <v>2116.5502178166871</v>
      </c>
      <c r="F154" s="58">
        <f>584.13617059439*Deflactores!$C$5</f>
        <v>1841.3220905861313</v>
      </c>
      <c r="G154" s="58">
        <f>570.14983301681*Deflactores!$D$5</f>
        <v>1687.6807039942776</v>
      </c>
      <c r="H154" s="58">
        <f>703.11075966658*Deflactores!$E$5</f>
        <v>1972.8087627673599</v>
      </c>
      <c r="I154" s="58">
        <f>748.778834744779*Deflactores!$F$5</f>
        <v>2003.6643660225172</v>
      </c>
      <c r="J154" s="58">
        <f>907.29235722222*Deflactores!$G$5</f>
        <v>2323.7747661553985</v>
      </c>
      <c r="K154" s="58">
        <f>1109.13814417736*Deflactores!$H$5</f>
        <v>2687.6962841252607</v>
      </c>
      <c r="L154" s="58">
        <f>1335.15928395929*Deflactores!$I$5</f>
        <v>3004.7980210420315</v>
      </c>
      <c r="M154" s="58">
        <f>1510.87871108286*Deflactores!$J$5</f>
        <v>3333.5266901322111</v>
      </c>
      <c r="N154" s="58">
        <f>1941.32541049065*Deflactores!$K$5</f>
        <v>4151.5865716786784</v>
      </c>
      <c r="O154" s="58">
        <f>1877.07059778376*Deflactores!$L$5</f>
        <v>3869.9545729573488</v>
      </c>
      <c r="P154" s="58">
        <f>2359.30304236864*Deflactores!$M$5</f>
        <v>4748.3138631003676</v>
      </c>
      <c r="Q154" s="58">
        <f>2499.79049544307*Deflactores!$N$5</f>
        <v>4935.312687445773</v>
      </c>
      <c r="R154" s="58">
        <f>1236.91960060659*Deflactores!$O$5</f>
        <v>2355.8157887126067</v>
      </c>
      <c r="S154" s="58">
        <f>1788.9598716186*Deflactores!$P$5</f>
        <v>3191.1793485098415</v>
      </c>
      <c r="T154" s="58">
        <f>2045.78558848011*Deflactores!$Q$5</f>
        <v>3450.8839346998202</v>
      </c>
      <c r="U154" s="58">
        <f>2157.35286269986*Deflactores!$R$5</f>
        <v>3496.0884739474182</v>
      </c>
      <c r="V154" s="58">
        <f>1862.53577629238*Deflactores!$S$5</f>
        <v>2925.2994487243382</v>
      </c>
    </row>
    <row r="155" spans="2:22" ht="22.5" customHeight="1" x14ac:dyDescent="0.2">
      <c r="C155" s="89" t="s">
        <v>148</v>
      </c>
      <c r="D155" s="59">
        <f>0*Deflactores!$A$5</f>
        <v>0</v>
      </c>
      <c r="E155" s="59">
        <f>0*Deflactores!$B$5</f>
        <v>0</v>
      </c>
      <c r="F155" s="59">
        <f>0*Deflactores!$C$5</f>
        <v>0</v>
      </c>
      <c r="G155" s="59">
        <f>0*Deflactores!$D$5</f>
        <v>0</v>
      </c>
      <c r="H155" s="59">
        <f>0*Deflactores!$E$5</f>
        <v>0</v>
      </c>
      <c r="I155" s="59">
        <f>0*Deflactores!$F$5</f>
        <v>0</v>
      </c>
      <c r="J155" s="59">
        <f>0*Deflactores!$G$5</f>
        <v>0</v>
      </c>
      <c r="K155" s="59">
        <f>0*Deflactores!$H$5</f>
        <v>0</v>
      </c>
      <c r="L155" s="59">
        <f>0*Deflactores!$I$5</f>
        <v>0</v>
      </c>
      <c r="M155" s="59">
        <f>0*Deflactores!$J$5</f>
        <v>0</v>
      </c>
      <c r="N155" s="59">
        <f>0*Deflactores!$K$5</f>
        <v>0</v>
      </c>
      <c r="O155" s="59">
        <f>0*Deflactores!$L$5</f>
        <v>0</v>
      </c>
      <c r="P155" s="59">
        <f>0*Deflactores!$M$5</f>
        <v>0</v>
      </c>
      <c r="Q155" s="59">
        <f>0*Deflactores!$N$5</f>
        <v>0</v>
      </c>
      <c r="R155" s="59">
        <f>0*Deflactores!$O$5</f>
        <v>0</v>
      </c>
      <c r="S155" s="59">
        <f>0*Deflactores!$P$5</f>
        <v>0</v>
      </c>
      <c r="T155" s="59">
        <f>0*Deflactores!$Q$5</f>
        <v>0</v>
      </c>
      <c r="U155" s="59">
        <f>0*Deflactores!$R$5</f>
        <v>0</v>
      </c>
      <c r="V155" s="59">
        <f>0*Deflactores!$S$5</f>
        <v>0</v>
      </c>
    </row>
    <row r="156" spans="2:22" x14ac:dyDescent="0.2">
      <c r="C156" s="87" t="s">
        <v>149</v>
      </c>
      <c r="D156" s="56">
        <f>162.744166460379*Deflactores!$A$5</f>
        <v>590.8523191594752</v>
      </c>
      <c r="E156" s="56">
        <f>142.97264803984*Deflactores!$B$5</f>
        <v>482.19120333341681</v>
      </c>
      <c r="F156" s="56">
        <f>110.311292706939*Deflactores!$C$5</f>
        <v>347.72477776151993</v>
      </c>
      <c r="G156" s="56">
        <f>110.77473220121*Deflactores!$D$5</f>
        <v>327.90043458734755</v>
      </c>
      <c r="H156" s="56">
        <f>193.63342363922*Deflactores!$E$5</f>
        <v>543.30233134427579</v>
      </c>
      <c r="I156" s="56">
        <f>55.2194709734199*Deflactores!$F$5</f>
        <v>147.76230465671244</v>
      </c>
      <c r="J156" s="56">
        <f>257.14176034593*Deflactores!$G$5</f>
        <v>658.59645930016097</v>
      </c>
      <c r="K156" s="56">
        <f>390.095259084*Deflactores!$H$5</f>
        <v>945.29034439851625</v>
      </c>
      <c r="L156" s="56">
        <f>531.026338973*Deflactores!$I$5</f>
        <v>1195.0835466878402</v>
      </c>
      <c r="M156" s="56">
        <f>736.78384344888*Deflactores!$J$5</f>
        <v>1625.6027628020081</v>
      </c>
      <c r="N156" s="56">
        <f>873.36213722735*Deflactores!$K$5</f>
        <v>1867.7129045610466</v>
      </c>
      <c r="O156" s="56">
        <f>992.46887960147*Deflactores!$L$5</f>
        <v>2046.1720958531737</v>
      </c>
      <c r="P156" s="56">
        <f>1263.5330538589*Deflactores!$M$5</f>
        <v>2542.9762130516151</v>
      </c>
      <c r="Q156" s="56">
        <f>1264.70378100869*Deflactores!$N$5</f>
        <v>2496.8926906678748</v>
      </c>
      <c r="R156" s="56">
        <f>1792.88704701338*Deflactores!$O$5</f>
        <v>3414.7018210893566</v>
      </c>
      <c r="S156" s="56">
        <f>1395.70400485788*Deflactores!$P$5</f>
        <v>2489.6823386570131</v>
      </c>
      <c r="T156" s="56">
        <f>1151.81004911144*Deflactores!$Q$5</f>
        <v>1942.9029203678567</v>
      </c>
      <c r="U156" s="56">
        <f>1133.53981922845*Deflactores!$R$5</f>
        <v>1836.952853324842</v>
      </c>
      <c r="V156" s="56">
        <f>1154.35771481728*Deflactores!$S$5</f>
        <v>1813.0346969805432</v>
      </c>
    </row>
    <row r="157" spans="2:22" x14ac:dyDescent="0.2">
      <c r="C157" s="88" t="s">
        <v>150</v>
      </c>
      <c r="D157" s="57">
        <f>430.9178647299*Deflactores!$A$5</f>
        <v>1564.4727874464022</v>
      </c>
      <c r="E157" s="57">
        <f>641.44979975068*Deflactores!$B$5</f>
        <v>2163.3609998855954</v>
      </c>
      <c r="F157" s="57">
        <f>540.11181696091*Deflactores!$C$5</f>
        <v>1702.5479160873724</v>
      </c>
      <c r="G157" s="57">
        <f>550.45207101995*Deflactores!$D$5</f>
        <v>1629.3740433432126</v>
      </c>
      <c r="H157" s="57">
        <f>501.64732944723*Deflactores!$E$5</f>
        <v>1407.5367696287865</v>
      </c>
      <c r="I157" s="57">
        <f>471.164968922989*Deflactores!$F$5</f>
        <v>1260.7947967317759</v>
      </c>
      <c r="J157" s="57">
        <f>593.06808596589*Deflactores!$G$5</f>
        <v>1518.9774738089948</v>
      </c>
      <c r="K157" s="57">
        <f>716.683832383239*Deflactores!$H$5</f>
        <v>1736.6894135786422</v>
      </c>
      <c r="L157" s="57">
        <f>690.369946836379*Deflactores!$I$5</f>
        <v>1553.6889680228558</v>
      </c>
      <c r="M157" s="57">
        <f>735.63740477629*Deflactores!$J$5</f>
        <v>1623.0733182571582</v>
      </c>
      <c r="N157" s="57">
        <f>806.51250116723*Deflactores!$K$5</f>
        <v>1724.7528166288241</v>
      </c>
      <c r="O157" s="57">
        <f>576.328194459379*Deflactores!$L$5</f>
        <v>1188.2152617518468</v>
      </c>
      <c r="P157" s="57">
        <f>908.292986285011*Deflactores!$M$5</f>
        <v>1828.0229801272251</v>
      </c>
      <c r="Q157" s="57">
        <f>991.883205269099*Deflactores!$N$5</f>
        <v>1958.2656131994434</v>
      </c>
      <c r="R157" s="57">
        <f>1204.72184567593*Deflactores!$O$5</f>
        <v>2294.4924986705137</v>
      </c>
      <c r="S157" s="57">
        <f>1377.84162272005*Deflactores!$P$5</f>
        <v>2457.819094602321</v>
      </c>
      <c r="T157" s="57">
        <f>1462.18578074831*Deflactores!$Q$5</f>
        <v>2466.4527156433796</v>
      </c>
      <c r="U157" s="57">
        <f>1794.54993780037*Deflactores!$R$5</f>
        <v>2908.1498265496225</v>
      </c>
      <c r="V157" s="57">
        <f>1660.52285063432*Deflactores!$S$5</f>
        <v>2608.017865420165</v>
      </c>
    </row>
    <row r="158" spans="2:22" x14ac:dyDescent="0.2">
      <c r="C158" s="87" t="s">
        <v>151</v>
      </c>
      <c r="D158" s="56">
        <f>25.959703113*Deflactores!$A$5</f>
        <v>94.248237111108423</v>
      </c>
      <c r="E158" s="56">
        <f>17.53717020454*Deflactores!$B$5</f>
        <v>59.146062690492428</v>
      </c>
      <c r="F158" s="56">
        <f>6.47549838309*Deflactores!$C$5</f>
        <v>20.412155282569831</v>
      </c>
      <c r="G158" s="56">
        <f>6.86572750265999*Deflactores!$D$5</f>
        <v>20.323001348279714</v>
      </c>
      <c r="H158" s="56">
        <f>11.78665927104*Deflactores!$E$5</f>
        <v>33.071353800199994</v>
      </c>
      <c r="I158" s="56">
        <f>7.23139535564*Deflactores!$F$5</f>
        <v>19.350559228420586</v>
      </c>
      <c r="J158" s="56">
        <f>10.67626502224*Deflactores!$G$5</f>
        <v>27.344256851700095</v>
      </c>
      <c r="K158" s="56">
        <f>13.86999891267*Deflactores!$H$5</f>
        <v>33.610190699963404</v>
      </c>
      <c r="L158" s="56">
        <f>0*Deflactores!$I$5</f>
        <v>0</v>
      </c>
      <c r="M158" s="56">
        <f>0*Deflactores!$J$5</f>
        <v>0</v>
      </c>
      <c r="N158" s="56">
        <f>0*Deflactores!$K$5</f>
        <v>0</v>
      </c>
      <c r="O158" s="56">
        <f>0*Deflactores!$L$5</f>
        <v>0</v>
      </c>
      <c r="P158" s="56">
        <f>0*Deflactores!$M$5</f>
        <v>0</v>
      </c>
      <c r="Q158" s="56">
        <f>0*Deflactores!$N$5</f>
        <v>0</v>
      </c>
      <c r="R158" s="56">
        <f>0*Deflactores!$O$5</f>
        <v>0</v>
      </c>
      <c r="S158" s="56">
        <f>0*Deflactores!$P$5</f>
        <v>0</v>
      </c>
      <c r="T158" s="56">
        <f>0*Deflactores!$Q$5</f>
        <v>0</v>
      </c>
      <c r="U158" s="56">
        <f>0*Deflactores!$R$5</f>
        <v>0</v>
      </c>
      <c r="V158" s="56">
        <f>0*Deflactores!$S$5</f>
        <v>0</v>
      </c>
    </row>
    <row r="159" spans="2:22" x14ac:dyDescent="0.2">
      <c r="C159" s="79" t="s">
        <v>152</v>
      </c>
      <c r="D159" s="44">
        <f t="shared" ref="D159:V159" si="32">+SUM(D130:D158)</f>
        <v>11731.115827490592</v>
      </c>
      <c r="E159" s="44">
        <f t="shared" si="32"/>
        <v>12214.451825510991</v>
      </c>
      <c r="F159" s="44">
        <f t="shared" si="32"/>
        <v>11375.565129249659</v>
      </c>
      <c r="G159" s="44">
        <f t="shared" si="32"/>
        <v>10909.021358208718</v>
      </c>
      <c r="H159" s="44">
        <f t="shared" si="32"/>
        <v>17217.312435600397</v>
      </c>
      <c r="I159" s="44">
        <f t="shared" si="32"/>
        <v>16649.660220578095</v>
      </c>
      <c r="J159" s="44">
        <f t="shared" si="32"/>
        <v>13004.858972591404</v>
      </c>
      <c r="K159" s="44">
        <f t="shared" si="32"/>
        <v>15663.210981745875</v>
      </c>
      <c r="L159" s="44">
        <f t="shared" si="32"/>
        <v>17505.029036492564</v>
      </c>
      <c r="M159" s="44">
        <f t="shared" si="32"/>
        <v>20937.374148663755</v>
      </c>
      <c r="N159" s="44">
        <f t="shared" si="32"/>
        <v>22596.366455935815</v>
      </c>
      <c r="O159" s="44">
        <f t="shared" si="32"/>
        <v>21330.802668869503</v>
      </c>
      <c r="P159" s="44">
        <f t="shared" si="32"/>
        <v>22744.962421475542</v>
      </c>
      <c r="Q159" s="44">
        <f t="shared" si="32"/>
        <v>24850.382098227874</v>
      </c>
      <c r="R159" s="44">
        <f t="shared" si="32"/>
        <v>19109.007043087047</v>
      </c>
      <c r="S159" s="44">
        <f t="shared" si="32"/>
        <v>19293.778940055101</v>
      </c>
      <c r="T159" s="44">
        <f t="shared" si="32"/>
        <v>20635.60263029893</v>
      </c>
      <c r="U159" s="44">
        <f t="shared" si="32"/>
        <v>21250.281510843066</v>
      </c>
      <c r="V159" s="44">
        <f t="shared" si="32"/>
        <v>18914.992722009247</v>
      </c>
    </row>
    <row r="160" spans="2:22" x14ac:dyDescent="0.2">
      <c r="B160" s="9"/>
      <c r="C160" s="1" t="s">
        <v>52</v>
      </c>
    </row>
    <row r="161" spans="3:22" x14ac:dyDescent="0.2">
      <c r="D161" s="11"/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</row>
    <row r="162" spans="3:22" x14ac:dyDescent="0.2">
      <c r="D162" s="11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</row>
    <row r="163" spans="3:22" ht="18" customHeight="1" x14ac:dyDescent="0.2">
      <c r="D163" s="160" t="s">
        <v>175</v>
      </c>
      <c r="E163" s="158"/>
      <c r="F163" s="158"/>
      <c r="G163" s="158"/>
      <c r="H163" s="158"/>
      <c r="I163" s="158"/>
      <c r="J163" s="158"/>
      <c r="K163" s="158"/>
      <c r="L163" s="158"/>
      <c r="M163" s="158"/>
      <c r="N163" s="158"/>
      <c r="O163" s="158"/>
      <c r="P163" s="158"/>
      <c r="Q163" s="158"/>
      <c r="R163" s="158"/>
      <c r="S163" s="158"/>
      <c r="T163" s="158"/>
      <c r="U163" s="158"/>
      <c r="V163" s="158"/>
    </row>
    <row r="164" spans="3:22" x14ac:dyDescent="0.2">
      <c r="H164" s="27"/>
      <c r="I164" s="27"/>
      <c r="J164" s="27"/>
      <c r="L164" s="175"/>
      <c r="M164" s="158"/>
      <c r="N164" s="158"/>
      <c r="O164" s="158"/>
      <c r="P164" s="158"/>
      <c r="Q164" s="158"/>
      <c r="R164" s="28"/>
      <c r="S164" s="28"/>
      <c r="T164" s="28"/>
      <c r="U164" s="28"/>
      <c r="V164" s="28"/>
    </row>
    <row r="165" spans="3:22" ht="0.75" customHeight="1" x14ac:dyDescent="0.2"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</row>
    <row r="166" spans="3:22" x14ac:dyDescent="0.2">
      <c r="C166" s="177" t="s">
        <v>120</v>
      </c>
      <c r="D166" s="153">
        <v>2000</v>
      </c>
      <c r="E166" s="153">
        <v>2001</v>
      </c>
      <c r="F166" s="153">
        <v>2002</v>
      </c>
      <c r="G166" s="153">
        <v>2003</v>
      </c>
      <c r="H166" s="153">
        <v>2004</v>
      </c>
      <c r="I166" s="153">
        <v>2005</v>
      </c>
      <c r="J166" s="153">
        <v>2006</v>
      </c>
      <c r="K166" s="153">
        <v>2007</v>
      </c>
      <c r="L166" s="153">
        <v>2008</v>
      </c>
      <c r="M166" s="153">
        <v>2009</v>
      </c>
      <c r="N166" s="153">
        <v>2010</v>
      </c>
      <c r="O166" s="153">
        <v>2011</v>
      </c>
      <c r="P166" s="153">
        <v>2012</v>
      </c>
      <c r="Q166" s="153">
        <v>2013</v>
      </c>
      <c r="R166" s="153">
        <v>2014</v>
      </c>
      <c r="S166" s="153">
        <v>2015</v>
      </c>
      <c r="T166" s="153">
        <v>2016</v>
      </c>
      <c r="U166" s="153">
        <v>2017</v>
      </c>
      <c r="V166" s="153">
        <v>2018</v>
      </c>
    </row>
    <row r="167" spans="3:22" ht="12" customHeight="1" thickBot="1" x14ac:dyDescent="0.25">
      <c r="C167" s="156"/>
      <c r="D167" s="154"/>
      <c r="E167" s="154"/>
      <c r="F167" s="154"/>
      <c r="G167" s="154"/>
      <c r="H167" s="154"/>
      <c r="I167" s="154"/>
      <c r="J167" s="154"/>
      <c r="K167" s="154"/>
      <c r="L167" s="154"/>
      <c r="M167" s="154"/>
      <c r="N167" s="154"/>
      <c r="O167" s="154"/>
      <c r="P167" s="154"/>
      <c r="Q167" s="154"/>
      <c r="R167" s="154"/>
      <c r="S167" s="154"/>
      <c r="T167" s="154"/>
      <c r="U167" s="154"/>
      <c r="V167" s="154"/>
    </row>
    <row r="168" spans="3:22" x14ac:dyDescent="0.2">
      <c r="C168" s="87" t="s">
        <v>123</v>
      </c>
      <c r="D168" s="60">
        <f t="shared" ref="D168:V168" si="33">+IFERROR(IF(D130&gt;0,+((D130/D13)*100)," "),"")</f>
        <v>76.54681726224328</v>
      </c>
      <c r="E168" s="60">
        <f t="shared" si="33"/>
        <v>65.72985399881847</v>
      </c>
      <c r="F168" s="60">
        <f t="shared" si="33"/>
        <v>81.908291593020593</v>
      </c>
      <c r="G168" s="60">
        <f t="shared" si="33"/>
        <v>72.08875174382014</v>
      </c>
      <c r="H168" s="60">
        <f t="shared" si="33"/>
        <v>49.159482473307257</v>
      </c>
      <c r="I168" s="60">
        <f t="shared" si="33"/>
        <v>79.981777879607236</v>
      </c>
      <c r="J168" s="60">
        <f t="shared" si="33"/>
        <v>66.711238219189227</v>
      </c>
      <c r="K168" s="60">
        <f t="shared" si="33"/>
        <v>91.225170976974809</v>
      </c>
      <c r="L168" s="60">
        <f t="shared" si="33"/>
        <v>89.237489491006585</v>
      </c>
      <c r="M168" s="60">
        <f t="shared" si="33"/>
        <v>74.517804951660153</v>
      </c>
      <c r="N168" s="60">
        <f t="shared" si="33"/>
        <v>78.954102580818187</v>
      </c>
      <c r="O168" s="60">
        <f t="shared" si="33"/>
        <v>57.399126719149528</v>
      </c>
      <c r="P168" s="60">
        <f t="shared" si="33"/>
        <v>79.646052147475004</v>
      </c>
      <c r="Q168" s="60">
        <f t="shared" si="33"/>
        <v>74.673681443844657</v>
      </c>
      <c r="R168" s="60">
        <f t="shared" si="33"/>
        <v>88.784731691524001</v>
      </c>
      <c r="S168" s="60">
        <f t="shared" si="33"/>
        <v>73.11075375372576</v>
      </c>
      <c r="T168" s="60">
        <f t="shared" si="33"/>
        <v>91.129198717063133</v>
      </c>
      <c r="U168" s="60">
        <f t="shared" si="33"/>
        <v>92.068413217427775</v>
      </c>
      <c r="V168" s="60">
        <f t="shared" si="33"/>
        <v>83.883571174786937</v>
      </c>
    </row>
    <row r="169" spans="3:22" x14ac:dyDescent="0.2">
      <c r="C169" s="88" t="s">
        <v>124</v>
      </c>
      <c r="D169" s="62">
        <f t="shared" ref="D169:V169" si="34">+IFERROR(IF(D131&gt;0,+((D131/D14)*100)," "),"")</f>
        <v>52.805652345356577</v>
      </c>
      <c r="E169" s="62">
        <f t="shared" si="34"/>
        <v>27.388737694805197</v>
      </c>
      <c r="F169" s="62">
        <f t="shared" si="34"/>
        <v>44.7953529847547</v>
      </c>
      <c r="G169" s="62">
        <f t="shared" si="34"/>
        <v>34.200627380197311</v>
      </c>
      <c r="H169" s="62">
        <f t="shared" si="34"/>
        <v>39.993768103980628</v>
      </c>
      <c r="I169" s="62">
        <f t="shared" si="34"/>
        <v>55.892275523243065</v>
      </c>
      <c r="J169" s="62">
        <f t="shared" si="34"/>
        <v>67.003467295810552</v>
      </c>
      <c r="K169" s="62">
        <f t="shared" si="34"/>
        <v>83.229462059282085</v>
      </c>
      <c r="L169" s="62">
        <f t="shared" si="34"/>
        <v>69.936169444429481</v>
      </c>
      <c r="M169" s="62">
        <f t="shared" si="34"/>
        <v>77.414510890154233</v>
      </c>
      <c r="N169" s="62">
        <f t="shared" si="34"/>
        <v>73.970017508926162</v>
      </c>
      <c r="O169" s="62">
        <f t="shared" si="34"/>
        <v>78.309445620328191</v>
      </c>
      <c r="P169" s="62">
        <f t="shared" si="34"/>
        <v>85.609510250402494</v>
      </c>
      <c r="Q169" s="62">
        <f t="shared" si="34"/>
        <v>76.913496210829109</v>
      </c>
      <c r="R169" s="62">
        <f t="shared" si="34"/>
        <v>82.900509591331172</v>
      </c>
      <c r="S169" s="62">
        <f t="shared" si="34"/>
        <v>75.295467869562628</v>
      </c>
      <c r="T169" s="62">
        <f t="shared" si="34"/>
        <v>87.155843468026575</v>
      </c>
      <c r="U169" s="62">
        <f t="shared" si="34"/>
        <v>94.100157235439269</v>
      </c>
      <c r="V169" s="62">
        <f t="shared" si="34"/>
        <v>96.280864445867394</v>
      </c>
    </row>
    <row r="170" spans="3:22" x14ac:dyDescent="0.2">
      <c r="C170" s="87" t="s">
        <v>125</v>
      </c>
      <c r="D170" s="60">
        <f t="shared" ref="D170:V170" si="35">+IFERROR(IF(D132&gt;0,+((D132/D15)*100)," "),"")</f>
        <v>45.595400582183657</v>
      </c>
      <c r="E170" s="60">
        <f t="shared" si="35"/>
        <v>32.792224905276441</v>
      </c>
      <c r="F170" s="60">
        <f t="shared" si="35"/>
        <v>40.327333593281942</v>
      </c>
      <c r="G170" s="60">
        <f t="shared" si="35"/>
        <v>13.181369607600413</v>
      </c>
      <c r="H170" s="60">
        <f t="shared" si="35"/>
        <v>10.332093624802461</v>
      </c>
      <c r="I170" s="60">
        <f t="shared" si="35"/>
        <v>28.011295056740593</v>
      </c>
      <c r="J170" s="60">
        <f t="shared" si="35"/>
        <v>3.7902273335306345</v>
      </c>
      <c r="K170" s="60">
        <f t="shared" si="35"/>
        <v>69.770461270397689</v>
      </c>
      <c r="L170" s="60">
        <f t="shared" si="35"/>
        <v>79.336557471832336</v>
      </c>
      <c r="M170" s="60">
        <f t="shared" si="35"/>
        <v>91.058639659267442</v>
      </c>
      <c r="N170" s="60" t="str">
        <f t="shared" si="35"/>
        <v xml:space="preserve"> </v>
      </c>
      <c r="O170" s="60" t="str">
        <f t="shared" si="35"/>
        <v xml:space="preserve"> </v>
      </c>
      <c r="P170" s="60" t="str">
        <f t="shared" si="35"/>
        <v xml:space="preserve"> </v>
      </c>
      <c r="Q170" s="60" t="str">
        <f t="shared" si="35"/>
        <v xml:space="preserve"> </v>
      </c>
      <c r="R170" s="60" t="str">
        <f t="shared" si="35"/>
        <v xml:space="preserve"> </v>
      </c>
      <c r="S170" s="60" t="str">
        <f t="shared" si="35"/>
        <v xml:space="preserve"> </v>
      </c>
      <c r="T170" s="60" t="str">
        <f t="shared" si="35"/>
        <v xml:space="preserve"> </v>
      </c>
      <c r="U170" s="60" t="str">
        <f t="shared" si="35"/>
        <v xml:space="preserve"> </v>
      </c>
      <c r="V170" s="60" t="str">
        <f t="shared" si="35"/>
        <v xml:space="preserve"> </v>
      </c>
    </row>
    <row r="171" spans="3:22" x14ac:dyDescent="0.2">
      <c r="C171" s="88" t="s">
        <v>126</v>
      </c>
      <c r="D171" s="62">
        <f t="shared" ref="D171:V171" si="36">+IFERROR(IF(D133&gt;0,+((D133/D16)*100)," "),"")</f>
        <v>94.776764159428566</v>
      </c>
      <c r="E171" s="62">
        <f t="shared" si="36"/>
        <v>84.49404532934237</v>
      </c>
      <c r="F171" s="62">
        <f t="shared" si="36"/>
        <v>75.689729473616197</v>
      </c>
      <c r="G171" s="62">
        <f t="shared" si="36"/>
        <v>87.4350422852566</v>
      </c>
      <c r="H171" s="62">
        <f t="shared" si="36"/>
        <v>82.544545190171732</v>
      </c>
      <c r="I171" s="62">
        <f t="shared" si="36"/>
        <v>84.93386697314611</v>
      </c>
      <c r="J171" s="62">
        <f t="shared" si="36"/>
        <v>85.834061182771919</v>
      </c>
      <c r="K171" s="62">
        <f t="shared" si="36"/>
        <v>93.041698642440224</v>
      </c>
      <c r="L171" s="62">
        <f t="shared" si="36"/>
        <v>89.857508990972505</v>
      </c>
      <c r="M171" s="62">
        <f t="shared" si="36"/>
        <v>91.922746457223397</v>
      </c>
      <c r="N171" s="62">
        <f t="shared" si="36"/>
        <v>87.876767423598011</v>
      </c>
      <c r="O171" s="62">
        <f t="shared" si="36"/>
        <v>80.059505512305876</v>
      </c>
      <c r="P171" s="62">
        <f t="shared" si="36"/>
        <v>84.627264054003803</v>
      </c>
      <c r="Q171" s="62">
        <f t="shared" si="36"/>
        <v>91.753581951793777</v>
      </c>
      <c r="R171" s="62">
        <f t="shared" si="36"/>
        <v>93.984033195378004</v>
      </c>
      <c r="S171" s="62">
        <f t="shared" si="36"/>
        <v>94.743773611361021</v>
      </c>
      <c r="T171" s="62">
        <f t="shared" si="36"/>
        <v>95.220642793681876</v>
      </c>
      <c r="U171" s="62">
        <f t="shared" si="36"/>
        <v>94.452225927406303</v>
      </c>
      <c r="V171" s="62">
        <f t="shared" si="36"/>
        <v>95.07479895184467</v>
      </c>
    </row>
    <row r="172" spans="3:22" x14ac:dyDescent="0.2">
      <c r="C172" s="87" t="s">
        <v>127</v>
      </c>
      <c r="D172" s="60" t="str">
        <f t="shared" ref="D172:V172" si="37">+IFERROR(IF(D134&gt;0,+((D134/D17)*100)," "),"")</f>
        <v xml:space="preserve"> </v>
      </c>
      <c r="E172" s="60" t="str">
        <f t="shared" si="37"/>
        <v xml:space="preserve"> </v>
      </c>
      <c r="F172" s="60" t="str">
        <f t="shared" si="37"/>
        <v xml:space="preserve"> </v>
      </c>
      <c r="G172" s="60" t="str">
        <f t="shared" si="37"/>
        <v xml:space="preserve"> </v>
      </c>
      <c r="H172" s="60" t="str">
        <f t="shared" si="37"/>
        <v xml:space="preserve"> </v>
      </c>
      <c r="I172" s="60" t="str">
        <f t="shared" si="37"/>
        <v xml:space="preserve"> </v>
      </c>
      <c r="J172" s="60" t="str">
        <f t="shared" si="37"/>
        <v xml:space="preserve"> </v>
      </c>
      <c r="K172" s="60" t="str">
        <f t="shared" si="37"/>
        <v xml:space="preserve"> </v>
      </c>
      <c r="L172" s="60" t="str">
        <f t="shared" si="37"/>
        <v xml:space="preserve"> </v>
      </c>
      <c r="M172" s="60" t="str">
        <f t="shared" si="37"/>
        <v xml:space="preserve"> </v>
      </c>
      <c r="N172" s="60" t="str">
        <f t="shared" si="37"/>
        <v xml:space="preserve"> </v>
      </c>
      <c r="O172" s="60" t="str">
        <f t="shared" si="37"/>
        <v xml:space="preserve"> </v>
      </c>
      <c r="P172" s="60" t="str">
        <f t="shared" si="37"/>
        <v xml:space="preserve"> </v>
      </c>
      <c r="Q172" s="60" t="str">
        <f t="shared" si="37"/>
        <v xml:space="preserve"> </v>
      </c>
      <c r="R172" s="60" t="str">
        <f t="shared" si="37"/>
        <v xml:space="preserve"> </v>
      </c>
      <c r="S172" s="60" t="str">
        <f t="shared" si="37"/>
        <v xml:space="preserve"> </v>
      </c>
      <c r="T172" s="60" t="str">
        <f t="shared" si="37"/>
        <v xml:space="preserve"> </v>
      </c>
      <c r="U172" s="60" t="str">
        <f t="shared" si="37"/>
        <v xml:space="preserve"> </v>
      </c>
      <c r="V172" s="60" t="str">
        <f t="shared" si="37"/>
        <v xml:space="preserve"> </v>
      </c>
    </row>
    <row r="173" spans="3:22" x14ac:dyDescent="0.2">
      <c r="C173" s="88" t="s">
        <v>128</v>
      </c>
      <c r="D173" s="62">
        <f t="shared" ref="D173:V173" si="38">+IFERROR(IF(D135&gt;0,+((D135/D18)*100)," "),"")</f>
        <v>86.980122753860371</v>
      </c>
      <c r="E173" s="62">
        <f t="shared" si="38"/>
        <v>82.936437427160044</v>
      </c>
      <c r="F173" s="62">
        <f t="shared" si="38"/>
        <v>76.506146972867199</v>
      </c>
      <c r="G173" s="62">
        <f t="shared" si="38"/>
        <v>58.474197341268422</v>
      </c>
      <c r="H173" s="62">
        <f t="shared" si="38"/>
        <v>50.917583069526017</v>
      </c>
      <c r="I173" s="62">
        <f t="shared" si="38"/>
        <v>61.992870082068272</v>
      </c>
      <c r="J173" s="62">
        <f t="shared" si="38"/>
        <v>13.913047759488146</v>
      </c>
      <c r="K173" s="62">
        <f t="shared" si="38"/>
        <v>53.033683525394096</v>
      </c>
      <c r="L173" s="62">
        <f t="shared" si="38"/>
        <v>76.843135812306215</v>
      </c>
      <c r="M173" s="62">
        <f t="shared" si="38"/>
        <v>32.500349977281623</v>
      </c>
      <c r="N173" s="62">
        <f t="shared" si="38"/>
        <v>78.932204678323529</v>
      </c>
      <c r="O173" s="62">
        <f t="shared" si="38"/>
        <v>79.599611298103483</v>
      </c>
      <c r="P173" s="62">
        <f t="shared" si="38"/>
        <v>93.249270588717721</v>
      </c>
      <c r="Q173" s="62">
        <f t="shared" si="38"/>
        <v>87.052403001709848</v>
      </c>
      <c r="R173" s="62">
        <f t="shared" si="38"/>
        <v>93.892491355914373</v>
      </c>
      <c r="S173" s="62">
        <f t="shared" si="38"/>
        <v>92.189311435525539</v>
      </c>
      <c r="T173" s="62">
        <f t="shared" si="38"/>
        <v>93.842882903310183</v>
      </c>
      <c r="U173" s="62">
        <f t="shared" si="38"/>
        <v>97.41677176553803</v>
      </c>
      <c r="V173" s="62">
        <f t="shared" si="38"/>
        <v>95.280080977138866</v>
      </c>
    </row>
    <row r="174" spans="3:22" x14ac:dyDescent="0.2">
      <c r="C174" s="87" t="s">
        <v>129</v>
      </c>
      <c r="D174" s="60">
        <f t="shared" ref="D174:V174" si="39">+IFERROR(IF(D136&gt;0,+((D136/D19)*100)," "),"")</f>
        <v>81.313926568971254</v>
      </c>
      <c r="E174" s="60">
        <f t="shared" si="39"/>
        <v>78.647084860725542</v>
      </c>
      <c r="F174" s="60">
        <f t="shared" si="39"/>
        <v>77.003953604184545</v>
      </c>
      <c r="G174" s="60">
        <f t="shared" si="39"/>
        <v>79.862400762921354</v>
      </c>
      <c r="H174" s="60">
        <f t="shared" si="39"/>
        <v>83.733525684291607</v>
      </c>
      <c r="I174" s="60">
        <f t="shared" si="39"/>
        <v>82.120903376261452</v>
      </c>
      <c r="J174" s="60">
        <f t="shared" si="39"/>
        <v>73.820352580039781</v>
      </c>
      <c r="K174" s="60">
        <f t="shared" si="39"/>
        <v>91.278710368239061</v>
      </c>
      <c r="L174" s="60">
        <f t="shared" si="39"/>
        <v>90.28509135938387</v>
      </c>
      <c r="M174" s="60">
        <f t="shared" si="39"/>
        <v>87.197085042037941</v>
      </c>
      <c r="N174" s="60">
        <f t="shared" si="39"/>
        <v>89.173190641728979</v>
      </c>
      <c r="O174" s="60">
        <f t="shared" si="39"/>
        <v>82.516141978766527</v>
      </c>
      <c r="P174" s="60">
        <f t="shared" si="39"/>
        <v>80.131153002448556</v>
      </c>
      <c r="Q174" s="60">
        <f t="shared" si="39"/>
        <v>82.483990568456747</v>
      </c>
      <c r="R174" s="60">
        <f t="shared" si="39"/>
        <v>89.82202365494598</v>
      </c>
      <c r="S174" s="60">
        <f t="shared" si="39"/>
        <v>86.136902256494182</v>
      </c>
      <c r="T174" s="60">
        <f t="shared" si="39"/>
        <v>90.812003307821897</v>
      </c>
      <c r="U174" s="60">
        <f t="shared" si="39"/>
        <v>95.083003954696395</v>
      </c>
      <c r="V174" s="60">
        <f t="shared" si="39"/>
        <v>92.113904547022855</v>
      </c>
    </row>
    <row r="175" spans="3:22" x14ac:dyDescent="0.2">
      <c r="C175" s="88" t="s">
        <v>130</v>
      </c>
      <c r="D175" s="62">
        <f t="shared" ref="D175:V175" si="40">+IFERROR(IF(D137&gt;0,+((D137/D20)*100)," "),"")</f>
        <v>88.355910844540716</v>
      </c>
      <c r="E175" s="62">
        <f t="shared" si="40"/>
        <v>83.787633967574308</v>
      </c>
      <c r="F175" s="62">
        <f t="shared" si="40"/>
        <v>54.120044364052198</v>
      </c>
      <c r="G175" s="62">
        <f t="shared" si="40"/>
        <v>73.242615530182107</v>
      </c>
      <c r="H175" s="62">
        <f t="shared" si="40"/>
        <v>60.525216289007709</v>
      </c>
      <c r="I175" s="62">
        <f t="shared" si="40"/>
        <v>80.934230483058656</v>
      </c>
      <c r="J175" s="62">
        <f t="shared" si="40"/>
        <v>86.937988847727055</v>
      </c>
      <c r="K175" s="62">
        <f t="shared" si="40"/>
        <v>87.953497306294423</v>
      </c>
      <c r="L175" s="62">
        <f t="shared" si="40"/>
        <v>87.54580009655885</v>
      </c>
      <c r="M175" s="62">
        <f t="shared" si="40"/>
        <v>61.030383411965985</v>
      </c>
      <c r="N175" s="62">
        <f t="shared" si="40"/>
        <v>82.512764042288595</v>
      </c>
      <c r="O175" s="62">
        <f t="shared" si="40"/>
        <v>77.64724321941749</v>
      </c>
      <c r="P175" s="62" t="str">
        <f t="shared" si="40"/>
        <v xml:space="preserve"> </v>
      </c>
      <c r="Q175" s="62" t="str">
        <f t="shared" si="40"/>
        <v xml:space="preserve"> </v>
      </c>
      <c r="R175" s="62" t="str">
        <f t="shared" si="40"/>
        <v xml:space="preserve"> </v>
      </c>
      <c r="S175" s="62" t="str">
        <f t="shared" si="40"/>
        <v xml:space="preserve"> </v>
      </c>
      <c r="T175" s="62" t="str">
        <f t="shared" si="40"/>
        <v xml:space="preserve"> </v>
      </c>
      <c r="U175" s="62" t="str">
        <f t="shared" si="40"/>
        <v xml:space="preserve"> </v>
      </c>
      <c r="V175" s="62" t="str">
        <f t="shared" si="40"/>
        <v xml:space="preserve"> </v>
      </c>
    </row>
    <row r="176" spans="3:22" x14ac:dyDescent="0.2">
      <c r="C176" s="87" t="s">
        <v>131</v>
      </c>
      <c r="D176" s="60">
        <f t="shared" ref="D176:V176" si="41">+IFERROR(IF(D138&gt;0,+((D138/D21)*100)," "),"")</f>
        <v>89.968525222766488</v>
      </c>
      <c r="E176" s="60">
        <f t="shared" si="41"/>
        <v>88.524041895215831</v>
      </c>
      <c r="F176" s="60">
        <f t="shared" si="41"/>
        <v>86.230178822009591</v>
      </c>
      <c r="G176" s="60">
        <f t="shared" si="41"/>
        <v>82.943907222361432</v>
      </c>
      <c r="H176" s="60">
        <f t="shared" si="41"/>
        <v>73.957931194677741</v>
      </c>
      <c r="I176" s="60">
        <f t="shared" si="41"/>
        <v>64.870429861059137</v>
      </c>
      <c r="J176" s="60">
        <f t="shared" si="41"/>
        <v>49.480113466853012</v>
      </c>
      <c r="K176" s="60">
        <f t="shared" si="41"/>
        <v>79.880638398994037</v>
      </c>
      <c r="L176" s="60">
        <f t="shared" si="41"/>
        <v>82.019088006723507</v>
      </c>
      <c r="M176" s="60">
        <f t="shared" si="41"/>
        <v>87.806515777351578</v>
      </c>
      <c r="N176" s="60">
        <f t="shared" si="41"/>
        <v>74.94272337776539</v>
      </c>
      <c r="O176" s="60">
        <f t="shared" si="41"/>
        <v>67.955512911322685</v>
      </c>
      <c r="P176" s="60">
        <f t="shared" si="41"/>
        <v>84.360419858793591</v>
      </c>
      <c r="Q176" s="60">
        <f t="shared" si="41"/>
        <v>72.145900579164262</v>
      </c>
      <c r="R176" s="60">
        <f t="shared" si="41"/>
        <v>82.288977188711087</v>
      </c>
      <c r="S176" s="60">
        <f t="shared" si="41"/>
        <v>85.815163232089617</v>
      </c>
      <c r="T176" s="60">
        <f t="shared" si="41"/>
        <v>81.441296834082138</v>
      </c>
      <c r="U176" s="60">
        <f t="shared" si="41"/>
        <v>76.198244257419447</v>
      </c>
      <c r="V176" s="60">
        <f t="shared" si="41"/>
        <v>87.269850300096635</v>
      </c>
    </row>
    <row r="177" spans="3:22" x14ac:dyDescent="0.2">
      <c r="C177" s="88" t="s">
        <v>132</v>
      </c>
      <c r="D177" s="62">
        <f t="shared" ref="D177:V177" si="42">+IFERROR(IF(D139&gt;0,+((D139/D22)*100)," "),"")</f>
        <v>86.361039478620256</v>
      </c>
      <c r="E177" s="62">
        <f t="shared" si="42"/>
        <v>75.518038008458547</v>
      </c>
      <c r="F177" s="62">
        <f t="shared" si="42"/>
        <v>77.542054421446039</v>
      </c>
      <c r="G177" s="62">
        <f t="shared" si="42"/>
        <v>85.207130974338284</v>
      </c>
      <c r="H177" s="62">
        <f t="shared" si="42"/>
        <v>75.472824448221246</v>
      </c>
      <c r="I177" s="62">
        <f t="shared" si="42"/>
        <v>87.997963721889633</v>
      </c>
      <c r="J177" s="62">
        <f t="shared" si="42"/>
        <v>70.309328022108858</v>
      </c>
      <c r="K177" s="62">
        <f t="shared" si="42"/>
        <v>45.021531378507177</v>
      </c>
      <c r="L177" s="62">
        <f t="shared" si="42"/>
        <v>56.653587275795445</v>
      </c>
      <c r="M177" s="62">
        <f t="shared" si="42"/>
        <v>56.576309725498128</v>
      </c>
      <c r="N177" s="62">
        <f t="shared" si="42"/>
        <v>64.09003141865702</v>
      </c>
      <c r="O177" s="62">
        <f t="shared" si="42"/>
        <v>59.174585735854293</v>
      </c>
      <c r="P177" s="62">
        <f t="shared" si="42"/>
        <v>67.468494133655469</v>
      </c>
      <c r="Q177" s="62">
        <f t="shared" si="42"/>
        <v>67.788228180114146</v>
      </c>
      <c r="R177" s="62">
        <f t="shared" si="42"/>
        <v>66.194138889767402</v>
      </c>
      <c r="S177" s="62">
        <f t="shared" si="42"/>
        <v>70.188225034317938</v>
      </c>
      <c r="T177" s="62">
        <f t="shared" si="42"/>
        <v>87.49715084496539</v>
      </c>
      <c r="U177" s="62">
        <f t="shared" si="42"/>
        <v>87.716538257088757</v>
      </c>
      <c r="V177" s="62">
        <f t="shared" si="42"/>
        <v>90.552219750911689</v>
      </c>
    </row>
    <row r="178" spans="3:22" x14ac:dyDescent="0.2">
      <c r="C178" s="87" t="s">
        <v>133</v>
      </c>
      <c r="D178" s="60">
        <f t="shared" ref="D178:V178" si="43">+IFERROR(IF(D140&gt;0,+((D140/D23)*100)," "),"")</f>
        <v>52.553481328482711</v>
      </c>
      <c r="E178" s="60">
        <f t="shared" si="43"/>
        <v>35.800962077352047</v>
      </c>
      <c r="F178" s="60">
        <f t="shared" si="43"/>
        <v>80.564981052894552</v>
      </c>
      <c r="G178" s="60">
        <f t="shared" si="43"/>
        <v>22.884744871018398</v>
      </c>
      <c r="H178" s="60">
        <f t="shared" si="43"/>
        <v>48.84364355112362</v>
      </c>
      <c r="I178" s="60">
        <f t="shared" si="43"/>
        <v>86.087517775362642</v>
      </c>
      <c r="J178" s="60">
        <f t="shared" si="43"/>
        <v>54.196636793159612</v>
      </c>
      <c r="K178" s="60">
        <f t="shared" si="43"/>
        <v>77.420664833145494</v>
      </c>
      <c r="L178" s="60">
        <f t="shared" si="43"/>
        <v>91.152276231222658</v>
      </c>
      <c r="M178" s="60">
        <f t="shared" si="43"/>
        <v>89.260221023435705</v>
      </c>
      <c r="N178" s="60">
        <f t="shared" si="43"/>
        <v>79.718697144821988</v>
      </c>
      <c r="O178" s="60">
        <f t="shared" si="43"/>
        <v>66.458407584809549</v>
      </c>
      <c r="P178" s="60">
        <f t="shared" si="43"/>
        <v>76.300217875777932</v>
      </c>
      <c r="Q178" s="60">
        <f t="shared" si="43"/>
        <v>50.570463680902499</v>
      </c>
      <c r="R178" s="60">
        <f t="shared" si="43"/>
        <v>80.91627052825423</v>
      </c>
      <c r="S178" s="60">
        <f t="shared" si="43"/>
        <v>43.623928022171164</v>
      </c>
      <c r="T178" s="60">
        <f t="shared" si="43"/>
        <v>35.733116605761992</v>
      </c>
      <c r="U178" s="60">
        <f t="shared" si="43"/>
        <v>74.619952577628297</v>
      </c>
      <c r="V178" s="60">
        <f t="shared" si="43"/>
        <v>75.61850808125935</v>
      </c>
    </row>
    <row r="179" spans="3:22" x14ac:dyDescent="0.2">
      <c r="C179" s="88" t="s">
        <v>134</v>
      </c>
      <c r="D179" s="62">
        <f t="shared" ref="D179:V179" si="44">+IFERROR(IF(D141&gt;0,+((D141/D24)*100)," "),"")</f>
        <v>70.727147919464699</v>
      </c>
      <c r="E179" s="62">
        <f t="shared" si="44"/>
        <v>86.829810345978032</v>
      </c>
      <c r="F179" s="62">
        <f t="shared" si="44"/>
        <v>84.459364733187741</v>
      </c>
      <c r="G179" s="62">
        <f t="shared" si="44"/>
        <v>86.157490926866672</v>
      </c>
      <c r="H179" s="62">
        <f t="shared" si="44"/>
        <v>86.478310809965379</v>
      </c>
      <c r="I179" s="62">
        <f t="shared" si="44"/>
        <v>79.052801947778079</v>
      </c>
      <c r="J179" s="62">
        <f t="shared" si="44"/>
        <v>87.735998537691799</v>
      </c>
      <c r="K179" s="62">
        <f t="shared" si="44"/>
        <v>83.899703924042029</v>
      </c>
      <c r="L179" s="62">
        <f t="shared" si="44"/>
        <v>88.160880745647418</v>
      </c>
      <c r="M179" s="62">
        <f t="shared" si="44"/>
        <v>86.181901926810923</v>
      </c>
      <c r="N179" s="62">
        <f t="shared" si="44"/>
        <v>88.534874536846957</v>
      </c>
      <c r="O179" s="62">
        <f t="shared" si="44"/>
        <v>89.66416585208664</v>
      </c>
      <c r="P179" s="62">
        <f t="shared" si="44"/>
        <v>88.316027820535368</v>
      </c>
      <c r="Q179" s="62">
        <f t="shared" si="44"/>
        <v>78.702185762368913</v>
      </c>
      <c r="R179" s="62">
        <f t="shared" si="44"/>
        <v>72.357870648530053</v>
      </c>
      <c r="S179" s="62">
        <f t="shared" si="44"/>
        <v>70.552654421857113</v>
      </c>
      <c r="T179" s="62">
        <f t="shared" si="44"/>
        <v>76.049025178539949</v>
      </c>
      <c r="U179" s="62">
        <f t="shared" si="44"/>
        <v>76.94726370272322</v>
      </c>
      <c r="V179" s="62">
        <f t="shared" si="44"/>
        <v>78.552886277073299</v>
      </c>
    </row>
    <row r="180" spans="3:22" x14ac:dyDescent="0.2">
      <c r="C180" s="87" t="s">
        <v>135</v>
      </c>
      <c r="D180" s="60" t="str">
        <f t="shared" ref="D180:V180" si="45">+IFERROR(IF(D142&gt;0,+((D142/D25)*100)," "),"")</f>
        <v xml:space="preserve"> </v>
      </c>
      <c r="E180" s="60" t="str">
        <f t="shared" si="45"/>
        <v xml:space="preserve"> </v>
      </c>
      <c r="F180" s="60" t="str">
        <f t="shared" si="45"/>
        <v xml:space="preserve"> </v>
      </c>
      <c r="G180" s="60" t="str">
        <f t="shared" si="45"/>
        <v xml:space="preserve"> </v>
      </c>
      <c r="H180" s="60" t="str">
        <f t="shared" si="45"/>
        <v xml:space="preserve"> </v>
      </c>
      <c r="I180" s="60" t="str">
        <f t="shared" si="45"/>
        <v xml:space="preserve"> </v>
      </c>
      <c r="J180" s="60" t="str">
        <f t="shared" si="45"/>
        <v xml:space="preserve"> </v>
      </c>
      <c r="K180" s="60" t="str">
        <f t="shared" si="45"/>
        <v xml:space="preserve"> </v>
      </c>
      <c r="L180" s="60" t="str">
        <f t="shared" si="45"/>
        <v xml:space="preserve"> </v>
      </c>
      <c r="M180" s="60" t="str">
        <f t="shared" si="45"/>
        <v xml:space="preserve"> </v>
      </c>
      <c r="N180" s="60" t="str">
        <f t="shared" si="45"/>
        <v xml:space="preserve"> </v>
      </c>
      <c r="O180" s="60" t="str">
        <f t="shared" si="45"/>
        <v xml:space="preserve"> </v>
      </c>
      <c r="P180" s="60" t="str">
        <f t="shared" si="45"/>
        <v xml:space="preserve"> </v>
      </c>
      <c r="Q180" s="60" t="str">
        <f t="shared" si="45"/>
        <v xml:space="preserve"> </v>
      </c>
      <c r="R180" s="60" t="str">
        <f t="shared" si="45"/>
        <v xml:space="preserve"> </v>
      </c>
      <c r="S180" s="60" t="str">
        <f t="shared" si="45"/>
        <v xml:space="preserve"> </v>
      </c>
      <c r="T180" s="60" t="str">
        <f t="shared" si="45"/>
        <v xml:space="preserve"> </v>
      </c>
      <c r="U180" s="60" t="str">
        <f t="shared" si="45"/>
        <v xml:space="preserve"> </v>
      </c>
      <c r="V180" s="60" t="str">
        <f t="shared" si="45"/>
        <v xml:space="preserve"> </v>
      </c>
    </row>
    <row r="181" spans="3:22" x14ac:dyDescent="0.2">
      <c r="C181" s="88" t="s">
        <v>136</v>
      </c>
      <c r="D181" s="62">
        <f t="shared" ref="D181:V181" si="46">+IFERROR(IF(D143&gt;0,+((D143/D26)*100)," "),"")</f>
        <v>81.205094898589465</v>
      </c>
      <c r="E181" s="62">
        <f t="shared" si="46"/>
        <v>77.291588332212285</v>
      </c>
      <c r="F181" s="62">
        <f t="shared" si="46"/>
        <v>81.999967347989667</v>
      </c>
      <c r="G181" s="62">
        <f t="shared" si="46"/>
        <v>84.415919348368007</v>
      </c>
      <c r="H181" s="62">
        <f t="shared" si="46"/>
        <v>90.769744518475875</v>
      </c>
      <c r="I181" s="62">
        <f t="shared" si="46"/>
        <v>89.792574096764852</v>
      </c>
      <c r="J181" s="62">
        <f t="shared" si="46"/>
        <v>83.157991746368211</v>
      </c>
      <c r="K181" s="62">
        <f t="shared" si="46"/>
        <v>88.750264323742911</v>
      </c>
      <c r="L181" s="62">
        <f t="shared" si="46"/>
        <v>93.880453229062567</v>
      </c>
      <c r="M181" s="62">
        <f t="shared" si="46"/>
        <v>94.462353824745151</v>
      </c>
      <c r="N181" s="62">
        <f t="shared" si="46"/>
        <v>92.143236303380789</v>
      </c>
      <c r="O181" s="62">
        <f t="shared" si="46"/>
        <v>81.898989894215219</v>
      </c>
      <c r="P181" s="62">
        <f t="shared" si="46"/>
        <v>91.840733176487916</v>
      </c>
      <c r="Q181" s="62">
        <f t="shared" si="46"/>
        <v>92.624895269548986</v>
      </c>
      <c r="R181" s="62">
        <f t="shared" si="46"/>
        <v>92.012663585482144</v>
      </c>
      <c r="S181" s="62">
        <f t="shared" si="46"/>
        <v>89.939857939514724</v>
      </c>
      <c r="T181" s="62">
        <f t="shared" si="46"/>
        <v>95.589315715390271</v>
      </c>
      <c r="U181" s="62">
        <f t="shared" si="46"/>
        <v>96.68977037771208</v>
      </c>
      <c r="V181" s="62">
        <f t="shared" si="46"/>
        <v>93.622587383706104</v>
      </c>
    </row>
    <row r="182" spans="3:22" x14ac:dyDescent="0.2">
      <c r="C182" s="87" t="s">
        <v>137</v>
      </c>
      <c r="D182" s="60">
        <f t="shared" ref="D182:V182" si="47">+IFERROR(IF(D144&gt;0,+((D144/D27)*100)," "),"")</f>
        <v>77.197482359018593</v>
      </c>
      <c r="E182" s="60">
        <f t="shared" si="47"/>
        <v>68.38047529846375</v>
      </c>
      <c r="F182" s="60">
        <f t="shared" si="47"/>
        <v>79.26508502443896</v>
      </c>
      <c r="G182" s="60">
        <f t="shared" si="47"/>
        <v>64.341451467998795</v>
      </c>
      <c r="H182" s="60">
        <f t="shared" si="47"/>
        <v>53.565779421491122</v>
      </c>
      <c r="I182" s="60">
        <f t="shared" si="47"/>
        <v>42.149564407414367</v>
      </c>
      <c r="J182" s="60">
        <f t="shared" si="47"/>
        <v>66.912099557642122</v>
      </c>
      <c r="K182" s="60">
        <f t="shared" si="47"/>
        <v>91.571882216177514</v>
      </c>
      <c r="L182" s="60">
        <f t="shared" si="47"/>
        <v>74.833874245985982</v>
      </c>
      <c r="M182" s="60">
        <f t="shared" si="47"/>
        <v>78.182809971611135</v>
      </c>
      <c r="N182" s="60">
        <f t="shared" si="47"/>
        <v>56.849146488660132</v>
      </c>
      <c r="O182" s="60">
        <f t="shared" si="47"/>
        <v>67.159746126752296</v>
      </c>
      <c r="P182" s="60">
        <f t="shared" si="47"/>
        <v>74.65741586297645</v>
      </c>
      <c r="Q182" s="60">
        <f t="shared" si="47"/>
        <v>72.465118361400755</v>
      </c>
      <c r="R182" s="60">
        <f t="shared" si="47"/>
        <v>86.321681019946411</v>
      </c>
      <c r="S182" s="60">
        <f t="shared" si="47"/>
        <v>82.958915640436487</v>
      </c>
      <c r="T182" s="60">
        <f t="shared" si="47"/>
        <v>83.780861586809991</v>
      </c>
      <c r="U182" s="60">
        <f t="shared" si="47"/>
        <v>82.53046925648178</v>
      </c>
      <c r="V182" s="60">
        <f t="shared" si="47"/>
        <v>73.953536768442149</v>
      </c>
    </row>
    <row r="183" spans="3:22" x14ac:dyDescent="0.2">
      <c r="C183" s="88" t="s">
        <v>138</v>
      </c>
      <c r="D183" s="62">
        <f t="shared" ref="D183:V183" si="48">+IFERROR(IF(D145&gt;0,+((D145/D28)*100)," "),"")</f>
        <v>87.891156093353601</v>
      </c>
      <c r="E183" s="62">
        <f t="shared" si="48"/>
        <v>78.421866915792762</v>
      </c>
      <c r="F183" s="62">
        <f t="shared" si="48"/>
        <v>81.158114181792129</v>
      </c>
      <c r="G183" s="62">
        <f t="shared" si="48"/>
        <v>39.547368579605561</v>
      </c>
      <c r="H183" s="62">
        <f t="shared" si="48"/>
        <v>51.756929298003008</v>
      </c>
      <c r="I183" s="62">
        <f t="shared" si="48"/>
        <v>39.714991210778258</v>
      </c>
      <c r="J183" s="62">
        <f t="shared" si="48"/>
        <v>30.216043342981408</v>
      </c>
      <c r="K183" s="62">
        <f t="shared" si="48"/>
        <v>78.463916563835483</v>
      </c>
      <c r="L183" s="62">
        <f t="shared" si="48"/>
        <v>76.428603334127189</v>
      </c>
      <c r="M183" s="62">
        <f t="shared" si="48"/>
        <v>54.12402517945565</v>
      </c>
      <c r="N183" s="62">
        <f t="shared" si="48"/>
        <v>47.460293053205163</v>
      </c>
      <c r="O183" s="62">
        <f t="shared" si="48"/>
        <v>53.305786102248518</v>
      </c>
      <c r="P183" s="62">
        <f t="shared" si="48"/>
        <v>84.751262351215843</v>
      </c>
      <c r="Q183" s="62">
        <f t="shared" si="48"/>
        <v>93.339668785257075</v>
      </c>
      <c r="R183" s="62">
        <f t="shared" si="48"/>
        <v>81.171713396320428</v>
      </c>
      <c r="S183" s="62" t="str">
        <f t="shared" si="48"/>
        <v xml:space="preserve"> </v>
      </c>
      <c r="T183" s="62" t="str">
        <f t="shared" si="48"/>
        <v xml:space="preserve"> </v>
      </c>
      <c r="U183" s="62" t="str">
        <f t="shared" si="48"/>
        <v xml:space="preserve"> </v>
      </c>
      <c r="V183" s="62" t="str">
        <f t="shared" si="48"/>
        <v xml:space="preserve"> </v>
      </c>
    </row>
    <row r="184" spans="3:22" x14ac:dyDescent="0.2">
      <c r="C184" s="87" t="s">
        <v>139</v>
      </c>
      <c r="D184" s="60">
        <f t="shared" ref="D184:V184" si="49">+IFERROR(IF(D146&gt;0,+((D146/D29)*100)," "),"")</f>
        <v>81.513672390714547</v>
      </c>
      <c r="E184" s="60">
        <f t="shared" si="49"/>
        <v>68.01069178067803</v>
      </c>
      <c r="F184" s="60">
        <f t="shared" si="49"/>
        <v>82.321951321188308</v>
      </c>
      <c r="G184" s="60">
        <f t="shared" si="49"/>
        <v>73.76014062459204</v>
      </c>
      <c r="H184" s="60">
        <f t="shared" si="49"/>
        <v>55.558290087448157</v>
      </c>
      <c r="I184" s="60">
        <f t="shared" si="49"/>
        <v>82.822231216585408</v>
      </c>
      <c r="J184" s="60">
        <f t="shared" si="49"/>
        <v>75.5567199836306</v>
      </c>
      <c r="K184" s="60">
        <f t="shared" si="49"/>
        <v>73.100402114202367</v>
      </c>
      <c r="L184" s="60">
        <f t="shared" si="49"/>
        <v>86.18263620529379</v>
      </c>
      <c r="M184" s="60">
        <f t="shared" si="49"/>
        <v>73.6722943042232</v>
      </c>
      <c r="N184" s="60">
        <f t="shared" si="49"/>
        <v>71.092967533130619</v>
      </c>
      <c r="O184" s="60">
        <f t="shared" si="49"/>
        <v>77.026096276740205</v>
      </c>
      <c r="P184" s="60">
        <f t="shared" si="49"/>
        <v>78.816737405659566</v>
      </c>
      <c r="Q184" s="60">
        <f t="shared" si="49"/>
        <v>86.019007374230455</v>
      </c>
      <c r="R184" s="60">
        <f t="shared" si="49"/>
        <v>80.79622285152594</v>
      </c>
      <c r="S184" s="60">
        <f t="shared" si="49"/>
        <v>90.860831575307628</v>
      </c>
      <c r="T184" s="60">
        <f t="shared" si="49"/>
        <v>92.877853567874126</v>
      </c>
      <c r="U184" s="60">
        <f t="shared" si="49"/>
        <v>92.526254212335289</v>
      </c>
      <c r="V184" s="60">
        <f t="shared" si="49"/>
        <v>86.658909011893655</v>
      </c>
    </row>
    <row r="185" spans="3:22" x14ac:dyDescent="0.2">
      <c r="C185" s="88" t="s">
        <v>140</v>
      </c>
      <c r="D185" s="62">
        <f t="shared" ref="D185:V185" si="50">+IFERROR(IF(D147&gt;0,+((D147/D30)*100)," "),"")</f>
        <v>60.831065405883521</v>
      </c>
      <c r="E185" s="62">
        <f t="shared" si="50"/>
        <v>50.495720471562734</v>
      </c>
      <c r="F185" s="62">
        <f t="shared" si="50"/>
        <v>47.111630631219214</v>
      </c>
      <c r="G185" s="62">
        <f t="shared" si="50"/>
        <v>60.17554553847765</v>
      </c>
      <c r="H185" s="62">
        <f t="shared" si="50"/>
        <v>89.187741252839174</v>
      </c>
      <c r="I185" s="62">
        <f t="shared" si="50"/>
        <v>90.655400239486596</v>
      </c>
      <c r="J185" s="62">
        <f t="shared" si="50"/>
        <v>63.263225985114779</v>
      </c>
      <c r="K185" s="62">
        <f t="shared" si="50"/>
        <v>70.171164146557956</v>
      </c>
      <c r="L185" s="62">
        <f t="shared" si="50"/>
        <v>79.395861341454633</v>
      </c>
      <c r="M185" s="62">
        <f t="shared" si="50"/>
        <v>70.2159575911015</v>
      </c>
      <c r="N185" s="62">
        <f t="shared" si="50"/>
        <v>86.191481887099002</v>
      </c>
      <c r="O185" s="62">
        <f t="shared" si="50"/>
        <v>87.790831960754957</v>
      </c>
      <c r="P185" s="62">
        <f t="shared" si="50"/>
        <v>75.939061036264661</v>
      </c>
      <c r="Q185" s="62">
        <f t="shared" si="50"/>
        <v>82.913128429718284</v>
      </c>
      <c r="R185" s="62">
        <f t="shared" si="50"/>
        <v>89.985205094672196</v>
      </c>
      <c r="S185" s="62">
        <f t="shared" si="50"/>
        <v>89.083903803079508</v>
      </c>
      <c r="T185" s="62">
        <f t="shared" si="50"/>
        <v>90.65523129789149</v>
      </c>
      <c r="U185" s="62">
        <f t="shared" si="50"/>
        <v>90.886765129851341</v>
      </c>
      <c r="V185" s="62">
        <f t="shared" si="50"/>
        <v>85.322623864322395</v>
      </c>
    </row>
    <row r="186" spans="3:22" x14ac:dyDescent="0.2">
      <c r="C186" s="87" t="s">
        <v>141</v>
      </c>
      <c r="D186" s="60">
        <f t="shared" ref="D186:V186" si="51">+IFERROR(IF(D148&gt;0,+((D148/D31)*100)," "),"")</f>
        <v>40.099885857587786</v>
      </c>
      <c r="E186" s="60">
        <f t="shared" si="51"/>
        <v>55.590019595145314</v>
      </c>
      <c r="F186" s="60">
        <f t="shared" si="51"/>
        <v>80.521333040894575</v>
      </c>
      <c r="G186" s="60">
        <f t="shared" si="51"/>
        <v>58.697548511446954</v>
      </c>
      <c r="H186" s="60">
        <f t="shared" si="51"/>
        <v>80.762605960055865</v>
      </c>
      <c r="I186" s="60">
        <f t="shared" si="51"/>
        <v>53.898699668523811</v>
      </c>
      <c r="J186" s="60">
        <f t="shared" si="51"/>
        <v>77.526295531689414</v>
      </c>
      <c r="K186" s="60">
        <f t="shared" si="51"/>
        <v>83.636831592162522</v>
      </c>
      <c r="L186" s="60">
        <f t="shared" si="51"/>
        <v>76.4503562966744</v>
      </c>
      <c r="M186" s="60">
        <f t="shared" si="51"/>
        <v>80.738393319210118</v>
      </c>
      <c r="N186" s="60">
        <f t="shared" si="51"/>
        <v>64.14485497714864</v>
      </c>
      <c r="O186" s="60">
        <f t="shared" si="51"/>
        <v>60.478906278820233</v>
      </c>
      <c r="P186" s="60">
        <f t="shared" si="51"/>
        <v>49.299034330424973</v>
      </c>
      <c r="Q186" s="60">
        <f t="shared" si="51"/>
        <v>53.790567974925409</v>
      </c>
      <c r="R186" s="60">
        <f t="shared" si="51"/>
        <v>60.341111543403414</v>
      </c>
      <c r="S186" s="60">
        <f t="shared" si="51"/>
        <v>82.172875174356477</v>
      </c>
      <c r="T186" s="60">
        <f t="shared" si="51"/>
        <v>67.00584373200374</v>
      </c>
      <c r="U186" s="60">
        <f t="shared" si="51"/>
        <v>74.166999276867898</v>
      </c>
      <c r="V186" s="60">
        <f t="shared" si="51"/>
        <v>78.447851172249457</v>
      </c>
    </row>
    <row r="187" spans="3:22" x14ac:dyDescent="0.2">
      <c r="C187" s="88" t="s">
        <v>142</v>
      </c>
      <c r="D187" s="62">
        <f t="shared" ref="D187:V187" si="52">+IFERROR(IF(D149&gt;0,+((D149/D32)*100)," "),"")</f>
        <v>90.171024853995547</v>
      </c>
      <c r="E187" s="62">
        <f t="shared" si="52"/>
        <v>90.202373222730643</v>
      </c>
      <c r="F187" s="62">
        <f t="shared" si="52"/>
        <v>77.376910338737275</v>
      </c>
      <c r="G187" s="62">
        <f t="shared" si="52"/>
        <v>66.563498351339476</v>
      </c>
      <c r="H187" s="62">
        <f t="shared" si="52"/>
        <v>71.769827006675442</v>
      </c>
      <c r="I187" s="62">
        <f t="shared" si="52"/>
        <v>72.114098765990349</v>
      </c>
      <c r="J187" s="62">
        <f t="shared" si="52"/>
        <v>65.345448194293255</v>
      </c>
      <c r="K187" s="62">
        <f t="shared" si="52"/>
        <v>73.964869718152642</v>
      </c>
      <c r="L187" s="62">
        <f t="shared" si="52"/>
        <v>82.364414432599091</v>
      </c>
      <c r="M187" s="62">
        <f t="shared" si="52"/>
        <v>74.843415858407397</v>
      </c>
      <c r="N187" s="62">
        <f t="shared" si="52"/>
        <v>88.389455962045446</v>
      </c>
      <c r="O187" s="62">
        <f t="shared" si="52"/>
        <v>84.141460754973338</v>
      </c>
      <c r="P187" s="62">
        <f t="shared" si="52"/>
        <v>88.48864146179271</v>
      </c>
      <c r="Q187" s="62">
        <f t="shared" si="52"/>
        <v>67.937078258736491</v>
      </c>
      <c r="R187" s="62">
        <f t="shared" si="52"/>
        <v>86.555652731362841</v>
      </c>
      <c r="S187" s="62">
        <f t="shared" si="52"/>
        <v>90.346033762244431</v>
      </c>
      <c r="T187" s="62">
        <f t="shared" si="52"/>
        <v>90.168724879848867</v>
      </c>
      <c r="U187" s="62">
        <f t="shared" si="52"/>
        <v>90.412472376312337</v>
      </c>
      <c r="V187" s="62">
        <f t="shared" si="52"/>
        <v>92.649242200131951</v>
      </c>
    </row>
    <row r="188" spans="3:22" x14ac:dyDescent="0.2">
      <c r="C188" s="87" t="s">
        <v>143</v>
      </c>
      <c r="D188" s="60">
        <f t="shared" ref="D188:V188" si="53">+IFERROR(IF(D150&gt;0,+((D150/D33)*100)," "),"")</f>
        <v>100</v>
      </c>
      <c r="E188" s="60" t="str">
        <f t="shared" si="53"/>
        <v xml:space="preserve"> </v>
      </c>
      <c r="F188" s="60" t="str">
        <f t="shared" si="53"/>
        <v xml:space="preserve"> </v>
      </c>
      <c r="G188" s="60" t="str">
        <f t="shared" si="53"/>
        <v xml:space="preserve"> </v>
      </c>
      <c r="H188" s="60">
        <f t="shared" si="53"/>
        <v>45.800545401914924</v>
      </c>
      <c r="I188" s="60">
        <f t="shared" si="53"/>
        <v>47.748295316648296</v>
      </c>
      <c r="J188" s="60" t="str">
        <f t="shared" si="53"/>
        <v xml:space="preserve"> </v>
      </c>
      <c r="K188" s="60" t="str">
        <f t="shared" si="53"/>
        <v xml:space="preserve"> </v>
      </c>
      <c r="L188" s="60" t="str">
        <f t="shared" si="53"/>
        <v xml:space="preserve"> </v>
      </c>
      <c r="M188" s="60" t="str">
        <f t="shared" si="53"/>
        <v xml:space="preserve"> </v>
      </c>
      <c r="N188" s="60" t="str">
        <f t="shared" si="53"/>
        <v xml:space="preserve"> </v>
      </c>
      <c r="O188" s="60" t="str">
        <f t="shared" si="53"/>
        <v xml:space="preserve"> </v>
      </c>
      <c r="P188" s="60">
        <f t="shared" si="53"/>
        <v>0.24506109648653229</v>
      </c>
      <c r="Q188" s="60">
        <f t="shared" si="53"/>
        <v>51.38679410756307</v>
      </c>
      <c r="R188" s="60">
        <f t="shared" si="53"/>
        <v>86.584385409221269</v>
      </c>
      <c r="S188" s="60">
        <f t="shared" si="53"/>
        <v>6.6876714415231184</v>
      </c>
      <c r="T188" s="60">
        <f t="shared" si="53"/>
        <v>98.348445300374507</v>
      </c>
      <c r="U188" s="60">
        <f t="shared" si="53"/>
        <v>93.554999847112668</v>
      </c>
      <c r="V188" s="60">
        <f t="shared" si="53"/>
        <v>36.25714181415178</v>
      </c>
    </row>
    <row r="189" spans="3:22" x14ac:dyDescent="0.2">
      <c r="C189" s="88" t="s">
        <v>144</v>
      </c>
      <c r="D189" s="62" t="str">
        <f t="shared" ref="D189:V189" si="54">+IFERROR(IF(D151&gt;0,+((D151/D34)*100)," "),"")</f>
        <v xml:space="preserve"> </v>
      </c>
      <c r="E189" s="62" t="str">
        <f t="shared" si="54"/>
        <v xml:space="preserve"> </v>
      </c>
      <c r="F189" s="62" t="str">
        <f t="shared" si="54"/>
        <v xml:space="preserve"> </v>
      </c>
      <c r="G189" s="62" t="str">
        <f t="shared" si="54"/>
        <v xml:space="preserve"> </v>
      </c>
      <c r="H189" s="62" t="str">
        <f t="shared" si="54"/>
        <v xml:space="preserve"> </v>
      </c>
      <c r="I189" s="62" t="str">
        <f t="shared" si="54"/>
        <v xml:space="preserve"> </v>
      </c>
      <c r="J189" s="62" t="str">
        <f t="shared" si="54"/>
        <v xml:space="preserve"> </v>
      </c>
      <c r="K189" s="62" t="str">
        <f t="shared" si="54"/>
        <v xml:space="preserve"> </v>
      </c>
      <c r="L189" s="62" t="str">
        <f t="shared" si="54"/>
        <v xml:space="preserve"> </v>
      </c>
      <c r="M189" s="62" t="str">
        <f t="shared" si="54"/>
        <v xml:space="preserve"> </v>
      </c>
      <c r="N189" s="62" t="str">
        <f t="shared" si="54"/>
        <v xml:space="preserve"> </v>
      </c>
      <c r="O189" s="62" t="str">
        <f t="shared" si="54"/>
        <v xml:space="preserve"> </v>
      </c>
      <c r="P189" s="62" t="str">
        <f t="shared" si="54"/>
        <v xml:space="preserve"> </v>
      </c>
      <c r="Q189" s="62" t="str">
        <f t="shared" si="54"/>
        <v xml:space="preserve"> </v>
      </c>
      <c r="R189" s="62" t="str">
        <f t="shared" si="54"/>
        <v xml:space="preserve"> </v>
      </c>
      <c r="S189" s="62" t="str">
        <f t="shared" si="54"/>
        <v xml:space="preserve"> </v>
      </c>
      <c r="T189" s="62" t="str">
        <f t="shared" si="54"/>
        <v xml:space="preserve"> </v>
      </c>
      <c r="U189" s="62" t="str">
        <f t="shared" si="54"/>
        <v xml:space="preserve"> </v>
      </c>
      <c r="V189" s="62" t="str">
        <f t="shared" si="54"/>
        <v xml:space="preserve"> </v>
      </c>
    </row>
    <row r="190" spans="3:22" x14ac:dyDescent="0.2">
      <c r="C190" s="87" t="s">
        <v>145</v>
      </c>
      <c r="D190" s="60">
        <f t="shared" ref="D190:V190" si="55">+IFERROR(IF(D152&gt;0,+((D152/D35)*100)," "),"")</f>
        <v>76.715174852135178</v>
      </c>
      <c r="E190" s="60">
        <f t="shared" si="55"/>
        <v>48.270022872007459</v>
      </c>
      <c r="F190" s="60">
        <f t="shared" si="55"/>
        <v>75.929444346605564</v>
      </c>
      <c r="G190" s="60">
        <f t="shared" si="55"/>
        <v>60.416429043814134</v>
      </c>
      <c r="H190" s="60">
        <f t="shared" si="55"/>
        <v>30.248479157857638</v>
      </c>
      <c r="I190" s="60">
        <f t="shared" si="55"/>
        <v>75.626311995973083</v>
      </c>
      <c r="J190" s="60">
        <f t="shared" si="55"/>
        <v>55.084540254114103</v>
      </c>
      <c r="K190" s="60">
        <f t="shared" si="55"/>
        <v>63.336274025875618</v>
      </c>
      <c r="L190" s="60">
        <f t="shared" si="55"/>
        <v>67.370773224593037</v>
      </c>
      <c r="M190" s="60">
        <f t="shared" si="55"/>
        <v>78.172867587151828</v>
      </c>
      <c r="N190" s="60">
        <f t="shared" si="55"/>
        <v>50.771280707125356</v>
      </c>
      <c r="O190" s="60">
        <f t="shared" si="55"/>
        <v>48.081746637986733</v>
      </c>
      <c r="P190" s="60">
        <f t="shared" si="55"/>
        <v>58.947648449335603</v>
      </c>
      <c r="Q190" s="60">
        <f t="shared" si="55"/>
        <v>65.708381890407608</v>
      </c>
      <c r="R190" s="60">
        <f t="shared" si="55"/>
        <v>81.639310752974623</v>
      </c>
      <c r="S190" s="60">
        <f t="shared" si="55"/>
        <v>80.676574003238699</v>
      </c>
      <c r="T190" s="60">
        <f t="shared" si="55"/>
        <v>90.670507932825913</v>
      </c>
      <c r="U190" s="60">
        <f t="shared" si="55"/>
        <v>94.974449089689344</v>
      </c>
      <c r="V190" s="60">
        <f t="shared" si="55"/>
        <v>81.488823693121248</v>
      </c>
    </row>
    <row r="191" spans="3:22" x14ac:dyDescent="0.2">
      <c r="C191" s="88" t="s">
        <v>146</v>
      </c>
      <c r="D191" s="62">
        <f t="shared" ref="D191:V191" si="56">+IFERROR(IF(D153&gt;0,+((D153/D36)*100)," "),"")</f>
        <v>94.913887531198824</v>
      </c>
      <c r="E191" s="62">
        <f t="shared" si="56"/>
        <v>86.654814939135278</v>
      </c>
      <c r="F191" s="62">
        <f t="shared" si="56"/>
        <v>84.391943518981122</v>
      </c>
      <c r="G191" s="62">
        <f t="shared" si="56"/>
        <v>88.861093253864212</v>
      </c>
      <c r="H191" s="62">
        <f t="shared" si="56"/>
        <v>77.519971710199968</v>
      </c>
      <c r="I191" s="62">
        <f t="shared" si="56"/>
        <v>86.38268405447478</v>
      </c>
      <c r="J191" s="62">
        <f t="shared" si="56"/>
        <v>73.086633294692106</v>
      </c>
      <c r="K191" s="62">
        <f t="shared" si="56"/>
        <v>86.111097966189021</v>
      </c>
      <c r="L191" s="62">
        <f t="shared" si="56"/>
        <v>81.173466129016091</v>
      </c>
      <c r="M191" s="62">
        <f t="shared" si="56"/>
        <v>93.162224205498731</v>
      </c>
      <c r="N191" s="62">
        <f t="shared" si="56"/>
        <v>87.889822144656691</v>
      </c>
      <c r="O191" s="62">
        <f t="shared" si="56"/>
        <v>94.471255044551071</v>
      </c>
      <c r="P191" s="62">
        <f t="shared" si="56"/>
        <v>96.486067350672073</v>
      </c>
      <c r="Q191" s="62">
        <f t="shared" si="56"/>
        <v>97.224211534149191</v>
      </c>
      <c r="R191" s="62">
        <f t="shared" si="56"/>
        <v>97.885928563566083</v>
      </c>
      <c r="S191" s="62">
        <f t="shared" si="56"/>
        <v>98.471946616625402</v>
      </c>
      <c r="T191" s="62">
        <f t="shared" si="56"/>
        <v>99.070835955329898</v>
      </c>
      <c r="U191" s="62">
        <f t="shared" si="56"/>
        <v>95.715623460389892</v>
      </c>
      <c r="V191" s="62">
        <f t="shared" si="56"/>
        <v>82.378909744742018</v>
      </c>
    </row>
    <row r="192" spans="3:22" x14ac:dyDescent="0.2">
      <c r="C192" s="90" t="s">
        <v>147</v>
      </c>
      <c r="D192" s="61">
        <f t="shared" ref="D192:V192" si="57">+IFERROR(IF(D154&gt;0,+((D154/D37)*100)," "),"")</f>
        <v>72.205228217425784</v>
      </c>
      <c r="E192" s="61">
        <f t="shared" si="57"/>
        <v>80.155379077793114</v>
      </c>
      <c r="F192" s="61">
        <f t="shared" si="57"/>
        <v>77.623420979904438</v>
      </c>
      <c r="G192" s="61">
        <f t="shared" si="57"/>
        <v>72.395669644465045</v>
      </c>
      <c r="H192" s="61">
        <f t="shared" si="57"/>
        <v>72.655686998469676</v>
      </c>
      <c r="I192" s="61">
        <f t="shared" si="57"/>
        <v>75.106096690290954</v>
      </c>
      <c r="J192" s="61">
        <f t="shared" si="57"/>
        <v>75.593976971552479</v>
      </c>
      <c r="K192" s="61">
        <f t="shared" si="57"/>
        <v>85.4181259893804</v>
      </c>
      <c r="L192" s="61">
        <f t="shared" si="57"/>
        <v>91.831336486410677</v>
      </c>
      <c r="M192" s="61">
        <f t="shared" si="57"/>
        <v>88.182259000063212</v>
      </c>
      <c r="N192" s="61">
        <f t="shared" si="57"/>
        <v>88.250518385671612</v>
      </c>
      <c r="O192" s="61">
        <f t="shared" si="57"/>
        <v>79.011294732924341</v>
      </c>
      <c r="P192" s="61">
        <f t="shared" si="57"/>
        <v>86.96501426578736</v>
      </c>
      <c r="Q192" s="61">
        <f t="shared" si="57"/>
        <v>90.13665930694485</v>
      </c>
      <c r="R192" s="61">
        <f t="shared" si="57"/>
        <v>88.367233039030154</v>
      </c>
      <c r="S192" s="61">
        <f t="shared" si="57"/>
        <v>91.526425502668189</v>
      </c>
      <c r="T192" s="61">
        <f t="shared" si="57"/>
        <v>90.894955055026102</v>
      </c>
      <c r="U192" s="61">
        <f t="shared" si="57"/>
        <v>91.34393459935626</v>
      </c>
      <c r="V192" s="61">
        <f t="shared" si="57"/>
        <v>86.595850686917188</v>
      </c>
    </row>
    <row r="193" spans="3:22" ht="22.5" customHeight="1" x14ac:dyDescent="0.2">
      <c r="C193" s="89" t="s">
        <v>148</v>
      </c>
      <c r="D193" s="63" t="str">
        <f t="shared" ref="D193:V193" si="58">+IFERROR(IF(D155&gt;0,+((D155/D38)*100)," "),"")</f>
        <v xml:space="preserve"> </v>
      </c>
      <c r="E193" s="63" t="str">
        <f t="shared" si="58"/>
        <v xml:space="preserve"> </v>
      </c>
      <c r="F193" s="63" t="str">
        <f t="shared" si="58"/>
        <v xml:space="preserve"> </v>
      </c>
      <c r="G193" s="63" t="str">
        <f t="shared" si="58"/>
        <v xml:space="preserve"> </v>
      </c>
      <c r="H193" s="63" t="str">
        <f t="shared" si="58"/>
        <v xml:space="preserve"> </v>
      </c>
      <c r="I193" s="63" t="str">
        <f t="shared" si="58"/>
        <v xml:space="preserve"> </v>
      </c>
      <c r="J193" s="63" t="str">
        <f t="shared" si="58"/>
        <v xml:space="preserve"> </v>
      </c>
      <c r="K193" s="63" t="str">
        <f t="shared" si="58"/>
        <v xml:space="preserve"> </v>
      </c>
      <c r="L193" s="63" t="str">
        <f t="shared" si="58"/>
        <v xml:space="preserve"> </v>
      </c>
      <c r="M193" s="63" t="str">
        <f t="shared" si="58"/>
        <v xml:space="preserve"> </v>
      </c>
      <c r="N193" s="63" t="str">
        <f t="shared" si="58"/>
        <v xml:space="preserve"> </v>
      </c>
      <c r="O193" s="63" t="str">
        <f t="shared" si="58"/>
        <v xml:space="preserve"> </v>
      </c>
      <c r="P193" s="63" t="str">
        <f t="shared" si="58"/>
        <v xml:space="preserve"> </v>
      </c>
      <c r="Q193" s="63" t="str">
        <f t="shared" si="58"/>
        <v xml:space="preserve"> </v>
      </c>
      <c r="R193" s="63" t="str">
        <f t="shared" si="58"/>
        <v xml:space="preserve"> </v>
      </c>
      <c r="S193" s="63" t="str">
        <f t="shared" si="58"/>
        <v xml:space="preserve"> </v>
      </c>
      <c r="T193" s="63" t="str">
        <f t="shared" si="58"/>
        <v xml:space="preserve"> </v>
      </c>
      <c r="U193" s="63" t="str">
        <f t="shared" si="58"/>
        <v xml:space="preserve"> </v>
      </c>
      <c r="V193" s="63" t="str">
        <f t="shared" si="58"/>
        <v xml:space="preserve"> </v>
      </c>
    </row>
    <row r="194" spans="3:22" x14ac:dyDescent="0.2">
      <c r="C194" s="87" t="s">
        <v>149</v>
      </c>
      <c r="D194" s="60">
        <f t="shared" ref="D194:V194" si="59">+IFERROR(IF(D156&gt;0,+((D156/D39)*100)," "),"")</f>
        <v>55.445767529798708</v>
      </c>
      <c r="E194" s="60">
        <f t="shared" si="59"/>
        <v>47.698272086654988</v>
      </c>
      <c r="F194" s="60">
        <f t="shared" si="59"/>
        <v>36.072430334624187</v>
      </c>
      <c r="G194" s="60">
        <f t="shared" si="59"/>
        <v>44.117407708246162</v>
      </c>
      <c r="H194" s="60">
        <f t="shared" si="59"/>
        <v>67.430168381822824</v>
      </c>
      <c r="I194" s="60">
        <f t="shared" si="59"/>
        <v>22.389638328630287</v>
      </c>
      <c r="J194" s="60">
        <f t="shared" si="59"/>
        <v>65.890010265894801</v>
      </c>
      <c r="K194" s="60">
        <f t="shared" si="59"/>
        <v>77.689189026956626</v>
      </c>
      <c r="L194" s="60">
        <f t="shared" si="59"/>
        <v>80.015531988851649</v>
      </c>
      <c r="M194" s="60">
        <f t="shared" si="59"/>
        <v>77.127520274604493</v>
      </c>
      <c r="N194" s="60">
        <f t="shared" si="59"/>
        <v>83.476492668875295</v>
      </c>
      <c r="O194" s="60">
        <f t="shared" si="59"/>
        <v>86.035997059606544</v>
      </c>
      <c r="P194" s="60">
        <f t="shared" si="59"/>
        <v>98.239270369015571</v>
      </c>
      <c r="Q194" s="60">
        <f t="shared" si="59"/>
        <v>88.207269262457515</v>
      </c>
      <c r="R194" s="60">
        <f t="shared" si="59"/>
        <v>93.447957862653553</v>
      </c>
      <c r="S194" s="60">
        <f t="shared" si="59"/>
        <v>89.720153075907703</v>
      </c>
      <c r="T194" s="60">
        <f t="shared" si="59"/>
        <v>96.280802966573773</v>
      </c>
      <c r="U194" s="60">
        <f t="shared" si="59"/>
        <v>90.35157872173788</v>
      </c>
      <c r="V194" s="60">
        <f t="shared" si="59"/>
        <v>88.566198421927282</v>
      </c>
    </row>
    <row r="195" spans="3:22" x14ac:dyDescent="0.2">
      <c r="C195" s="89" t="s">
        <v>150</v>
      </c>
      <c r="D195" s="63">
        <f t="shared" ref="D195:V195" si="60">+IFERROR(IF(D157&gt;0,+((D157/D40)*100)," "),"")</f>
        <v>83.316255829677232</v>
      </c>
      <c r="E195" s="63">
        <f t="shared" si="60"/>
        <v>82.128947474508252</v>
      </c>
      <c r="F195" s="63">
        <f t="shared" si="60"/>
        <v>53.963038032080291</v>
      </c>
      <c r="G195" s="63">
        <f t="shared" si="60"/>
        <v>70.706433900557343</v>
      </c>
      <c r="H195" s="63">
        <f t="shared" si="60"/>
        <v>66.361466419378729</v>
      </c>
      <c r="I195" s="63">
        <f t="shared" si="60"/>
        <v>75.21056453358058</v>
      </c>
      <c r="J195" s="63">
        <f t="shared" si="60"/>
        <v>69.412376569369087</v>
      </c>
      <c r="K195" s="63">
        <f t="shared" si="60"/>
        <v>84.274916640716725</v>
      </c>
      <c r="L195" s="63">
        <f t="shared" si="60"/>
        <v>81.160203229864734</v>
      </c>
      <c r="M195" s="63">
        <f t="shared" si="60"/>
        <v>70.014011845351007</v>
      </c>
      <c r="N195" s="63">
        <f t="shared" si="60"/>
        <v>62.93535641534033</v>
      </c>
      <c r="O195" s="63">
        <f t="shared" si="60"/>
        <v>64.856500714075366</v>
      </c>
      <c r="P195" s="63">
        <f t="shared" si="60"/>
        <v>74.903892219122753</v>
      </c>
      <c r="Q195" s="63">
        <f t="shared" si="60"/>
        <v>85.122479125427859</v>
      </c>
      <c r="R195" s="63">
        <f t="shared" si="60"/>
        <v>82.167033387100588</v>
      </c>
      <c r="S195" s="63">
        <f t="shared" si="60"/>
        <v>86.770532115755529</v>
      </c>
      <c r="T195" s="63">
        <f t="shared" si="60"/>
        <v>85.836727246052476</v>
      </c>
      <c r="U195" s="63">
        <f t="shared" si="60"/>
        <v>73.41925640579376</v>
      </c>
      <c r="V195" s="63">
        <f t="shared" si="60"/>
        <v>80.145309552977395</v>
      </c>
    </row>
    <row r="196" spans="3:22" x14ac:dyDescent="0.2">
      <c r="C196" s="87" t="s">
        <v>151</v>
      </c>
      <c r="D196" s="60">
        <f t="shared" ref="D196:V196" si="61">+IFERROR(IF(D158&gt;0,+((D158/D41)*100)," "),"")</f>
        <v>70.698558812525633</v>
      </c>
      <c r="E196" s="60">
        <f t="shared" si="61"/>
        <v>28.204403039503163</v>
      </c>
      <c r="F196" s="60">
        <f t="shared" si="61"/>
        <v>28.011622795795542</v>
      </c>
      <c r="G196" s="60">
        <f t="shared" si="61"/>
        <v>46.777545768732807</v>
      </c>
      <c r="H196" s="60">
        <f t="shared" si="61"/>
        <v>32.086861268811113</v>
      </c>
      <c r="I196" s="60">
        <f t="shared" si="61"/>
        <v>8.1388805353292089</v>
      </c>
      <c r="J196" s="60">
        <f t="shared" si="61"/>
        <v>24.499039710681696</v>
      </c>
      <c r="K196" s="60">
        <f t="shared" si="61"/>
        <v>56.29212552312972</v>
      </c>
      <c r="L196" s="60" t="str">
        <f t="shared" si="61"/>
        <v xml:space="preserve"> </v>
      </c>
      <c r="M196" s="60" t="str">
        <f t="shared" si="61"/>
        <v xml:space="preserve"> </v>
      </c>
      <c r="N196" s="60" t="str">
        <f t="shared" si="61"/>
        <v xml:space="preserve"> </v>
      </c>
      <c r="O196" s="60" t="str">
        <f t="shared" si="61"/>
        <v xml:space="preserve"> </v>
      </c>
      <c r="P196" s="60" t="str">
        <f t="shared" si="61"/>
        <v xml:space="preserve"> </v>
      </c>
      <c r="Q196" s="60" t="str">
        <f t="shared" si="61"/>
        <v xml:space="preserve"> </v>
      </c>
      <c r="R196" s="60" t="str">
        <f t="shared" si="61"/>
        <v xml:space="preserve"> </v>
      </c>
      <c r="S196" s="60" t="str">
        <f t="shared" si="61"/>
        <v xml:space="preserve"> </v>
      </c>
      <c r="T196" s="60" t="str">
        <f t="shared" si="61"/>
        <v xml:space="preserve"> </v>
      </c>
      <c r="U196" s="60" t="str">
        <f t="shared" si="61"/>
        <v xml:space="preserve"> </v>
      </c>
      <c r="V196" s="60" t="str">
        <f t="shared" si="61"/>
        <v xml:space="preserve"> </v>
      </c>
    </row>
    <row r="197" spans="3:22" x14ac:dyDescent="0.2">
      <c r="C197" s="79" t="s">
        <v>154</v>
      </c>
      <c r="D197" s="45">
        <f t="shared" ref="D197:V197" si="62">+IFERROR(IF(D159&gt;0,+((D159/D42)*100)," "),"")</f>
        <v>78.033103359019222</v>
      </c>
      <c r="E197" s="45">
        <f t="shared" si="62"/>
        <v>76.039861273506375</v>
      </c>
      <c r="F197" s="45">
        <f t="shared" si="62"/>
        <v>71.451547506130922</v>
      </c>
      <c r="G197" s="45">
        <f t="shared" si="62"/>
        <v>75.343731880636838</v>
      </c>
      <c r="H197" s="45">
        <f t="shared" si="62"/>
        <v>79.514390464521028</v>
      </c>
      <c r="I197" s="45">
        <f t="shared" si="62"/>
        <v>80.167753837145298</v>
      </c>
      <c r="J197" s="45">
        <f t="shared" si="62"/>
        <v>72.85083261876261</v>
      </c>
      <c r="K197" s="45">
        <f t="shared" si="62"/>
        <v>84.610112868582917</v>
      </c>
      <c r="L197" s="45">
        <f t="shared" si="62"/>
        <v>88.306715395704927</v>
      </c>
      <c r="M197" s="45">
        <f t="shared" si="62"/>
        <v>84.633536540161444</v>
      </c>
      <c r="N197" s="45">
        <f t="shared" si="62"/>
        <v>83.820447920694278</v>
      </c>
      <c r="O197" s="45">
        <f t="shared" si="62"/>
        <v>80.255531137895048</v>
      </c>
      <c r="P197" s="45">
        <f t="shared" si="62"/>
        <v>85.318849208071185</v>
      </c>
      <c r="Q197" s="45">
        <f t="shared" si="62"/>
        <v>87.384563756244233</v>
      </c>
      <c r="R197" s="45">
        <f t="shared" si="62"/>
        <v>87.907247530988514</v>
      </c>
      <c r="S197" s="45">
        <f t="shared" si="62"/>
        <v>88.241165729087001</v>
      </c>
      <c r="T197" s="45">
        <f t="shared" si="62"/>
        <v>91.59212442113062</v>
      </c>
      <c r="U197" s="45">
        <f t="shared" si="62"/>
        <v>89.721166351659349</v>
      </c>
      <c r="V197" s="45">
        <f t="shared" si="62"/>
        <v>87.629926270817009</v>
      </c>
    </row>
    <row r="198" spans="3:22" x14ac:dyDescent="0.2">
      <c r="C198" s="1" t="s">
        <v>52</v>
      </c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</row>
    <row r="202" spans="3:22" ht="18" customHeight="1" x14ac:dyDescent="0.2">
      <c r="D202" s="160" t="s">
        <v>176</v>
      </c>
      <c r="E202" s="158"/>
      <c r="F202" s="158"/>
      <c r="G202" s="158"/>
      <c r="H202" s="158"/>
      <c r="I202" s="158"/>
      <c r="J202" s="158"/>
      <c r="K202" s="158"/>
      <c r="L202" s="158"/>
      <c r="M202" s="158"/>
      <c r="N202" s="158"/>
      <c r="O202" s="158"/>
      <c r="P202" s="158"/>
      <c r="Q202" s="158"/>
      <c r="R202" s="158"/>
      <c r="S202" s="158"/>
      <c r="T202" s="158"/>
      <c r="U202" s="158"/>
      <c r="V202" s="158"/>
    </row>
    <row r="203" spans="3:22" ht="15.75" customHeight="1" x14ac:dyDescent="0.2"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</row>
    <row r="204" spans="3:22" x14ac:dyDescent="0.2">
      <c r="C204" s="177" t="s">
        <v>120</v>
      </c>
      <c r="D204" s="153">
        <v>2000</v>
      </c>
      <c r="E204" s="153">
        <v>2001</v>
      </c>
      <c r="F204" s="153">
        <v>2002</v>
      </c>
      <c r="G204" s="153">
        <v>2003</v>
      </c>
      <c r="H204" s="153">
        <v>2004</v>
      </c>
      <c r="I204" s="153">
        <v>2005</v>
      </c>
      <c r="J204" s="153">
        <v>2006</v>
      </c>
      <c r="K204" s="153">
        <v>2007</v>
      </c>
      <c r="L204" s="153">
        <v>2008</v>
      </c>
      <c r="M204" s="153">
        <v>2009</v>
      </c>
      <c r="N204" s="153">
        <v>2010</v>
      </c>
      <c r="O204" s="153">
        <v>2011</v>
      </c>
      <c r="P204" s="153">
        <v>2012</v>
      </c>
      <c r="Q204" s="153">
        <v>2013</v>
      </c>
      <c r="R204" s="153">
        <v>2014</v>
      </c>
      <c r="S204" s="153">
        <v>2015</v>
      </c>
      <c r="T204" s="153">
        <v>2016</v>
      </c>
      <c r="U204" s="153">
        <v>2017</v>
      </c>
      <c r="V204" s="153">
        <v>2018</v>
      </c>
    </row>
    <row r="205" spans="3:22" ht="12" customHeight="1" thickBot="1" x14ac:dyDescent="0.25">
      <c r="C205" s="156"/>
      <c r="D205" s="154"/>
      <c r="E205" s="154"/>
      <c r="F205" s="154"/>
      <c r="G205" s="154"/>
      <c r="H205" s="154"/>
      <c r="I205" s="154"/>
      <c r="J205" s="154"/>
      <c r="K205" s="154"/>
      <c r="L205" s="154"/>
      <c r="M205" s="154"/>
      <c r="N205" s="154"/>
      <c r="O205" s="154"/>
      <c r="P205" s="154"/>
      <c r="Q205" s="154"/>
      <c r="R205" s="154"/>
      <c r="S205" s="154"/>
      <c r="T205" s="154"/>
      <c r="U205" s="154"/>
      <c r="V205" s="154"/>
    </row>
    <row r="206" spans="3:22" x14ac:dyDescent="0.2">
      <c r="C206" s="87" t="s">
        <v>123</v>
      </c>
      <c r="D206" s="65">
        <f>26.5417502175*Deflactores!$A$5</f>
        <v>96.361393539591575</v>
      </c>
      <c r="E206" s="56">
        <f>21.8089510445*Deflactores!$B$5</f>
        <v>73.553120067110143</v>
      </c>
      <c r="F206" s="56">
        <f>30.566076962*Deflactores!$C$5</f>
        <v>96.350809222131303</v>
      </c>
      <c r="G206" s="56">
        <f>23.152252428*Deflactores!$D$5</f>
        <v>68.532177708430964</v>
      </c>
      <c r="H206" s="56">
        <f>24.461808906*Deflactores!$E$5</f>
        <v>68.635659886334196</v>
      </c>
      <c r="I206" s="56">
        <f>36.371327869*Deflactores!$F$5</f>
        <v>97.326380253358423</v>
      </c>
      <c r="J206" s="56">
        <f>43.98609435*Deflactores!$G$5</f>
        <v>112.65803717910707</v>
      </c>
      <c r="K206" s="56">
        <f>52.980566153*Deflactores!$H$5</f>
        <v>128.38407147730416</v>
      </c>
      <c r="L206" s="56">
        <f>54.587411471*Deflactores!$I$5</f>
        <v>122.84987112209537</v>
      </c>
      <c r="M206" s="56">
        <f>47.872926379*Deflactores!$J$5</f>
        <v>105.62441356047333</v>
      </c>
      <c r="N206" s="56">
        <f>67.648790708*Deflactores!$K$5</f>
        <v>144.66910574392179</v>
      </c>
      <c r="O206" s="56">
        <f>32.6527201950299*Deflactores!$L$5</f>
        <v>67.320080548621988</v>
      </c>
      <c r="P206" s="56">
        <f>37.97311301071*Deflactores!$M$5</f>
        <v>76.424374357949972</v>
      </c>
      <c r="Q206" s="56">
        <f>47.04786065128*Deflactores!$N$5</f>
        <v>92.886145464077316</v>
      </c>
      <c r="R206" s="56">
        <f>76.11790334125*Deflactores!$O$5</f>
        <v>144.97284900900411</v>
      </c>
      <c r="S206" s="56">
        <f>52.61255820533*Deflactores!$P$5</f>
        <v>93.851243887999274</v>
      </c>
      <c r="T206" s="56">
        <f>42.9481269291999*Deflactores!$Q$5</f>
        <v>72.44600904415141</v>
      </c>
      <c r="U206" s="56">
        <f>47.11873027415*Deflactores!$R$5</f>
        <v>76.358046319940939</v>
      </c>
      <c r="V206" s="56">
        <f>57.8073773985799*Deflactores!$S$5</f>
        <v>90.792290483079398</v>
      </c>
    </row>
    <row r="207" spans="3:22" x14ac:dyDescent="0.2">
      <c r="C207" s="88" t="s">
        <v>124</v>
      </c>
      <c r="D207" s="57">
        <f>2.496799572*Deflactores!$A$5</f>
        <v>9.064778478261097</v>
      </c>
      <c r="E207" s="57">
        <f>0.824271081*Deflactores!$B$5</f>
        <v>2.7799461636156675</v>
      </c>
      <c r="F207" s="57">
        <f>3.76695074439*Deflactores!$C$5</f>
        <v>11.874234072403446</v>
      </c>
      <c r="G207" s="57">
        <f>3.68292848904*Deflactores!$D$5</f>
        <v>10.901708612725928</v>
      </c>
      <c r="H207" s="57">
        <f>3.39710552096*Deflactores!$E$5</f>
        <v>9.5316981679718911</v>
      </c>
      <c r="I207" s="57">
        <f>6.66559877471999*Deflactores!$F$5</f>
        <v>17.836538806097604</v>
      </c>
      <c r="J207" s="57">
        <f>9.69118850493*Deflactores!$G$5</f>
        <v>24.821259787484156</v>
      </c>
      <c r="K207" s="57">
        <f>18.90471837582*Deflactores!$H$5</f>
        <v>45.81047148893385</v>
      </c>
      <c r="L207" s="57">
        <f>15.05275683358*Deflactores!$I$5</f>
        <v>33.876477876588105</v>
      </c>
      <c r="M207" s="57">
        <f>18.53989221336*Deflactores!$J$5</f>
        <v>40.905484386046453</v>
      </c>
      <c r="N207" s="57">
        <f>21.74077173705*Deflactores!$K$5</f>
        <v>46.493336724344516</v>
      </c>
      <c r="O207" s="57">
        <f>31.90379283769*Deflactores!$L$5</f>
        <v>65.776017765489357</v>
      </c>
      <c r="P207" s="57">
        <f>35.84622923058*Deflactores!$M$5</f>
        <v>72.14382558696397</v>
      </c>
      <c r="Q207" s="57">
        <f>50.2976202265*Deflactores!$N$5</f>
        <v>99.302114999111865</v>
      </c>
      <c r="R207" s="57">
        <f>55.70219535876*Deflactores!$O$5</f>
        <v>106.089442860933</v>
      </c>
      <c r="S207" s="57">
        <f>52.41911868011*Deflactores!$P$5</f>
        <v>93.506182923882122</v>
      </c>
      <c r="T207" s="57">
        <f>72.37366471483*Deflactores!$Q$5</f>
        <v>122.08176568753179</v>
      </c>
      <c r="U207" s="57">
        <f>84.59594920765*Deflactores!$R$5</f>
        <v>137.0915848218628</v>
      </c>
      <c r="V207" s="57">
        <f>108.44225832334*Deflactores!$S$5</f>
        <v>170.31945508352518</v>
      </c>
    </row>
    <row r="208" spans="3:22" x14ac:dyDescent="0.2">
      <c r="C208" s="87" t="s">
        <v>125</v>
      </c>
      <c r="D208" s="56">
        <f>2.9726059746*Deflactores!$A$5</f>
        <v>10.792221756638636</v>
      </c>
      <c r="E208" s="56">
        <f>2.71827533403*Deflactores!$B$5</f>
        <v>9.1676867728030782</v>
      </c>
      <c r="F208" s="56">
        <f>9.12567162721*Deflactores!$C$5</f>
        <v>28.766067921318065</v>
      </c>
      <c r="G208" s="56">
        <f>3.68046191409*Deflactores!$D$5</f>
        <v>10.89440738994727</v>
      </c>
      <c r="H208" s="56">
        <f>2.93473955981999*Deflactores!$E$5</f>
        <v>8.2343782120450086</v>
      </c>
      <c r="I208" s="56">
        <f>11.75271450062*Deflactores!$F$5</f>
        <v>31.449199892188343</v>
      </c>
      <c r="J208" s="56">
        <f>1.812115571*Deflactores!$G$5</f>
        <v>4.6412255142756687</v>
      </c>
      <c r="K208" s="56">
        <f>19.095008462*Deflactores!$H$5</f>
        <v>46.271588041652535</v>
      </c>
      <c r="L208" s="56">
        <f>18.33635359665*Deflactores!$I$5</f>
        <v>41.266266626222858</v>
      </c>
      <c r="M208" s="56">
        <f>45.39422668678*Deflactores!$J$5</f>
        <v>100.15553540352595</v>
      </c>
      <c r="N208" s="56">
        <f>0*Deflactores!$K$5</f>
        <v>0</v>
      </c>
      <c r="O208" s="56">
        <f>0*Deflactores!$L$5</f>
        <v>0</v>
      </c>
      <c r="P208" s="56">
        <f>0*Deflactores!$M$5</f>
        <v>0</v>
      </c>
      <c r="Q208" s="56">
        <f>0*Deflactores!$N$5</f>
        <v>0</v>
      </c>
      <c r="R208" s="56">
        <f>0*Deflactores!$O$5</f>
        <v>0</v>
      </c>
      <c r="S208" s="56">
        <f>0*Deflactores!$P$5</f>
        <v>0</v>
      </c>
      <c r="T208" s="56">
        <f>0*Deflactores!$Q$5</f>
        <v>0</v>
      </c>
      <c r="U208" s="56">
        <f>0*Deflactores!$R$5</f>
        <v>0</v>
      </c>
      <c r="V208" s="56">
        <f>0*Deflactores!$S$5</f>
        <v>0</v>
      </c>
    </row>
    <row r="209" spans="3:22" x14ac:dyDescent="0.2">
      <c r="C209" s="88" t="s">
        <v>126</v>
      </c>
      <c r="D209" s="57">
        <f>35.27666782818*Deflactores!$A$5</f>
        <v>128.07402840809672</v>
      </c>
      <c r="E209" s="57">
        <f>33.423653107*Deflactores!$B$5</f>
        <v>112.72499832955504</v>
      </c>
      <c r="F209" s="57">
        <f>35.925501113*Deflactores!$C$5</f>
        <v>113.24485992269908</v>
      </c>
      <c r="G209" s="57">
        <f>35.98085837*Deflactores!$D$5</f>
        <v>106.50568827301511</v>
      </c>
      <c r="H209" s="57">
        <f>37.316498723*Deflactores!$E$5</f>
        <v>104.70372507375896</v>
      </c>
      <c r="I209" s="57">
        <f>44.5862929*Deflactores!$F$5</f>
        <v>119.3088828789116</v>
      </c>
      <c r="J209" s="57">
        <f>48.157774769*Deflactores!$G$5</f>
        <v>123.34262590397654</v>
      </c>
      <c r="K209" s="57">
        <f>53.745801518*Deflactores!$H$5</f>
        <v>130.2384123975844</v>
      </c>
      <c r="L209" s="57">
        <f>83.7837122791*Deflactores!$I$5</f>
        <v>188.55662831871587</v>
      </c>
      <c r="M209" s="57">
        <f>95.10758455885*Deflactores!$J$5</f>
        <v>209.84058431381607</v>
      </c>
      <c r="N209" s="57">
        <f>104.30704912357*Deflactores!$K$5</f>
        <v>223.06396554269341</v>
      </c>
      <c r="O209" s="57">
        <f>99.0974358172699*Deflactores!$L$5</f>
        <v>204.30908425191308</v>
      </c>
      <c r="P209" s="57">
        <f>125.66452410204*Deflactores!$M$5</f>
        <v>252.91138576864242</v>
      </c>
      <c r="Q209" s="57">
        <f>163.48519836455*Deflactores!$N$5</f>
        <v>322.76727796548568</v>
      </c>
      <c r="R209" s="57">
        <f>197.99990567696*Deflactores!$O$5</f>
        <v>377.10721353969961</v>
      </c>
      <c r="S209" s="57">
        <f>234.183598707919*Deflactores!$P$5</f>
        <v>417.74098782901797</v>
      </c>
      <c r="T209" s="57">
        <f>249.332282452799*Deflactores!$Q$5</f>
        <v>420.58012959101819</v>
      </c>
      <c r="U209" s="57">
        <f>278.80207893522*Deflactores!$R$5</f>
        <v>451.81145445913432</v>
      </c>
      <c r="V209" s="57">
        <f>291.53230449295*Deflactores!$S$5</f>
        <v>457.8807561571839</v>
      </c>
    </row>
    <row r="210" spans="3:22" x14ac:dyDescent="0.2">
      <c r="C210" s="87" t="s">
        <v>127</v>
      </c>
      <c r="D210" s="56">
        <f>0*Deflactores!$A$5</f>
        <v>0</v>
      </c>
      <c r="E210" s="56">
        <f>0*Deflactores!$B$5</f>
        <v>0</v>
      </c>
      <c r="F210" s="56">
        <f>0*Deflactores!$C$5</f>
        <v>0</v>
      </c>
      <c r="G210" s="56">
        <f>0*Deflactores!$D$5</f>
        <v>0</v>
      </c>
      <c r="H210" s="56">
        <f>0*Deflactores!$E$5</f>
        <v>0</v>
      </c>
      <c r="I210" s="56">
        <f>0*Deflactores!$F$5</f>
        <v>0</v>
      </c>
      <c r="J210" s="56">
        <f>0*Deflactores!$G$5</f>
        <v>0</v>
      </c>
      <c r="K210" s="56">
        <f>0*Deflactores!$H$5</f>
        <v>0</v>
      </c>
      <c r="L210" s="56">
        <f>0*Deflactores!$I$5</f>
        <v>0</v>
      </c>
      <c r="M210" s="56">
        <f>0*Deflactores!$J$5</f>
        <v>0</v>
      </c>
      <c r="N210" s="56">
        <f>0*Deflactores!$K$5</f>
        <v>0</v>
      </c>
      <c r="O210" s="56">
        <f>0*Deflactores!$L$5</f>
        <v>0</v>
      </c>
      <c r="P210" s="56">
        <f>0*Deflactores!$M$5</f>
        <v>0</v>
      </c>
      <c r="Q210" s="56">
        <f>0*Deflactores!$N$5</f>
        <v>0</v>
      </c>
      <c r="R210" s="56">
        <f>0*Deflactores!$O$5</f>
        <v>0</v>
      </c>
      <c r="S210" s="56">
        <f>0*Deflactores!$P$5</f>
        <v>0</v>
      </c>
      <c r="T210" s="56">
        <f>0*Deflactores!$Q$5</f>
        <v>0</v>
      </c>
      <c r="U210" s="56">
        <f>0*Deflactores!$R$5</f>
        <v>0</v>
      </c>
      <c r="V210" s="56">
        <f>0*Deflactores!$S$5</f>
        <v>0</v>
      </c>
    </row>
    <row r="211" spans="3:22" x14ac:dyDescent="0.2">
      <c r="C211" s="88" t="s">
        <v>128</v>
      </c>
      <c r="D211" s="57">
        <f>0.606578914*Deflactores!$A$5</f>
        <v>2.2022206134030005</v>
      </c>
      <c r="E211" s="57">
        <f>0.67063176331*Deflactores!$B$5</f>
        <v>2.2617804270782669</v>
      </c>
      <c r="F211" s="57">
        <f>0.643309068*Deflactores!$C$5</f>
        <v>2.0278477136203414</v>
      </c>
      <c r="G211" s="57">
        <f>0.578077358*Deflactores!$D$5</f>
        <v>1.7111466951597398</v>
      </c>
      <c r="H211" s="57">
        <f>0.6419189876*Deflactores!$E$5</f>
        <v>1.801115096467248</v>
      </c>
      <c r="I211" s="57">
        <f>0.670604068*Deflactores!$F$5</f>
        <v>1.7944757682945578</v>
      </c>
      <c r="J211" s="57">
        <f>1.225627086*Deflactores!$G$5</f>
        <v>3.1390998419551348</v>
      </c>
      <c r="K211" s="57">
        <f>3.702571179*Deflactores!$H$5</f>
        <v>8.9721797521339965</v>
      </c>
      <c r="L211" s="57">
        <f>3.418602436*Deflactores!$I$5</f>
        <v>7.6936212464186227</v>
      </c>
      <c r="M211" s="57">
        <f>4.663935495*Deflactores!$J$5</f>
        <v>10.290272369047123</v>
      </c>
      <c r="N211" s="57">
        <f>6.837317664*Deflactores!$K$5</f>
        <v>14.621822826184321</v>
      </c>
      <c r="O211" s="57">
        <f>7.808238517*Deflactores!$L$5</f>
        <v>16.098237536341692</v>
      </c>
      <c r="P211" s="57">
        <f>9.86270865781999*Deflactores!$M$5</f>
        <v>19.849606178878194</v>
      </c>
      <c r="Q211" s="57">
        <f>9.39435965266*Deflactores!$N$5</f>
        <v>18.547195242449249</v>
      </c>
      <c r="R211" s="57">
        <f>10.50459942286*Deflactores!$O$5</f>
        <v>20.006879317248231</v>
      </c>
      <c r="S211" s="57">
        <f>12.94254961476*Deflactores!$P$5</f>
        <v>23.087156790340551</v>
      </c>
      <c r="T211" s="57">
        <f>17.9064206837*Deflactores!$Q$5</f>
        <v>30.205012594338001</v>
      </c>
      <c r="U211" s="57">
        <f>11.77709436549*Deflactores!$R$5</f>
        <v>19.085317279183059</v>
      </c>
      <c r="V211" s="57">
        <f>12.80762192809*Deflactores!$S$5</f>
        <v>20.115656215899719</v>
      </c>
    </row>
    <row r="212" spans="3:22" x14ac:dyDescent="0.2">
      <c r="C212" s="87" t="s">
        <v>129</v>
      </c>
      <c r="D212" s="56">
        <f>474.13553687572*Deflactores!$A$5</f>
        <v>1721.377101569688</v>
      </c>
      <c r="E212" s="56">
        <f>612.42476479783*Deflactores!$B$5</f>
        <v>2065.4708319227748</v>
      </c>
      <c r="F212" s="56">
        <f>650.66571754359*Deflactores!$C$5</f>
        <v>2051.0374457397015</v>
      </c>
      <c r="G212" s="56">
        <f>770.45510413814*Deflactores!$D$5</f>
        <v>2280.5973750228277</v>
      </c>
      <c r="H212" s="56">
        <f>797.96288426067*Deflactores!$E$5</f>
        <v>2238.9476320616632</v>
      </c>
      <c r="I212" s="56">
        <f>915.9816753378*Deflactores!$F$5</f>
        <v>2451.0840286097618</v>
      </c>
      <c r="J212" s="56">
        <f>727.516768819469*Deflactores!$G$5</f>
        <v>1863.3300455803615</v>
      </c>
      <c r="K212" s="56">
        <f>960.773261736769*Deflactores!$H$5</f>
        <v>2328.174122414724</v>
      </c>
      <c r="L212" s="56">
        <f>1054.56385621871*Deflactores!$I$5</f>
        <v>2373.3133763874207</v>
      </c>
      <c r="M212" s="56">
        <f>1255.19747850532*Deflactores!$J$5</f>
        <v>2769.4044963975034</v>
      </c>
      <c r="N212" s="56">
        <f>1497.12646454799*Deflactores!$K$5</f>
        <v>3201.6528979298323</v>
      </c>
      <c r="O212" s="56">
        <f>1462.63450759003*Deflactores!$L$5</f>
        <v>3015.5121005551709</v>
      </c>
      <c r="P212" s="56">
        <f>1503.62954120483*Deflactores!$M$5</f>
        <v>3026.1924251588212</v>
      </c>
      <c r="Q212" s="56">
        <f>1577.46920908695*Deflactores!$N$5</f>
        <v>3114.3825115960303</v>
      </c>
      <c r="R212" s="56">
        <f>1590.72970267568*Deflactores!$O$5</f>
        <v>3029.6764214098525</v>
      </c>
      <c r="S212" s="56">
        <f>1764.51633401715*Deflactores!$P$5</f>
        <v>3147.5765189350809</v>
      </c>
      <c r="T212" s="56">
        <f>1897.06790907714*Deflactores!$Q$5</f>
        <v>3200.0231145105317</v>
      </c>
      <c r="U212" s="56">
        <f>1929.24143888866*Deflactores!$R$5</f>
        <v>3126.4235325506606</v>
      </c>
      <c r="V212" s="56">
        <f>1724.91811802751*Deflactores!$S$5</f>
        <v>2709.1570986115621</v>
      </c>
    </row>
    <row r="213" spans="3:22" x14ac:dyDescent="0.2">
      <c r="C213" s="88" t="s">
        <v>130</v>
      </c>
      <c r="D213" s="57">
        <f>6.651560146*Deflactores!$A$5</f>
        <v>24.148882407097769</v>
      </c>
      <c r="E213" s="57">
        <f>10.2798768604*Deflactores!$B$5</f>
        <v>34.670031375892044</v>
      </c>
      <c r="F213" s="57">
        <f>7.90660320089*Deflactores!$C$5</f>
        <v>24.923303620256231</v>
      </c>
      <c r="G213" s="57">
        <f>8.90864600082*Deflactores!$D$5</f>
        <v>26.370173388889544</v>
      </c>
      <c r="H213" s="57">
        <f>7.10627039429999*Deflactores!$E$5</f>
        <v>19.938981606706374</v>
      </c>
      <c r="I213" s="57">
        <f>10.94648306691*Deflactores!$F$5</f>
        <v>29.291797573194394</v>
      </c>
      <c r="J213" s="57">
        <f>19.35543581436*Deflactores!$G$5</f>
        <v>49.573517263007219</v>
      </c>
      <c r="K213" s="57">
        <f>16.10721487436*Deflactores!$H$5</f>
        <v>39.031478443592221</v>
      </c>
      <c r="L213" s="57">
        <f>15.7935125775*Deflactores!$I$5</f>
        <v>35.543560913157243</v>
      </c>
      <c r="M213" s="57">
        <f>10.7932819684699*Deflactores!$J$5</f>
        <v>23.81375371304966</v>
      </c>
      <c r="N213" s="57">
        <f>3.07297644742*Deflactores!$K$5</f>
        <v>6.571658561337915</v>
      </c>
      <c r="O213" s="57">
        <f>4.22354117697*Deflactores!$L$5</f>
        <v>8.7076706178164027</v>
      </c>
      <c r="P213" s="57">
        <f>0*Deflactores!$M$5</f>
        <v>0</v>
      </c>
      <c r="Q213" s="57">
        <f>0*Deflactores!$N$5</f>
        <v>0</v>
      </c>
      <c r="R213" s="57">
        <f>0*Deflactores!$O$5</f>
        <v>0</v>
      </c>
      <c r="S213" s="57">
        <f>0*Deflactores!$P$5</f>
        <v>0</v>
      </c>
      <c r="T213" s="57">
        <f>0*Deflactores!$Q$5</f>
        <v>0</v>
      </c>
      <c r="U213" s="57">
        <f>0*Deflactores!$R$5</f>
        <v>0</v>
      </c>
      <c r="V213" s="57">
        <f>0*Deflactores!$S$5</f>
        <v>0</v>
      </c>
    </row>
    <row r="214" spans="3:22" x14ac:dyDescent="0.2">
      <c r="C214" s="87" t="s">
        <v>131</v>
      </c>
      <c r="D214" s="56">
        <f>125.23487688117*Deflactores!$A$5</f>
        <v>454.67262547260162</v>
      </c>
      <c r="E214" s="56">
        <f>142.45769166615*Deflactores!$B$5</f>
        <v>480.45445552257257</v>
      </c>
      <c r="F214" s="56">
        <f>179.376252121989*Deflactores!$C$5</f>
        <v>565.43229504633905</v>
      </c>
      <c r="G214" s="56">
        <f>174.68369662049*Deflactores!$D$5</f>
        <v>517.07513887862399</v>
      </c>
      <c r="H214" s="56">
        <f>169.13690492471*Deflactores!$E$5</f>
        <v>474.56928166061437</v>
      </c>
      <c r="I214" s="56">
        <f>132.92345545075*Deflactores!$F$5</f>
        <v>355.69113166243426</v>
      </c>
      <c r="J214" s="56">
        <f>126.0610760988*Deflactores!$G$5</f>
        <v>322.87007082220873</v>
      </c>
      <c r="K214" s="56">
        <f>54.45756218086*Deflactores!$H$5</f>
        <v>131.96317184148054</v>
      </c>
      <c r="L214" s="56">
        <f>39.7915147972999*Deflactores!$I$5</f>
        <v>89.551461277811924</v>
      </c>
      <c r="M214" s="56">
        <f>53.53261497243*Deflactores!$J$5</f>
        <v>118.11166541308152</v>
      </c>
      <c r="N214" s="56">
        <f>9.31569659978*Deflactores!$K$5</f>
        <v>19.921915563709998</v>
      </c>
      <c r="O214" s="56">
        <f>7.21347123324*Deflactores!$L$5</f>
        <v>14.872006422631818</v>
      </c>
      <c r="P214" s="56">
        <f>13.55299791315*Deflactores!$M$5</f>
        <v>27.2766519272454</v>
      </c>
      <c r="Q214" s="56">
        <f>18.8256400759899*Deflactores!$N$5</f>
        <v>37.167282812575394</v>
      </c>
      <c r="R214" s="56">
        <f>15.86661356069*Deflactores!$O$5</f>
        <v>30.219279184632811</v>
      </c>
      <c r="S214" s="56">
        <f>17.20630463105*Deflactores!$P$5</f>
        <v>30.692920994978184</v>
      </c>
      <c r="T214" s="56">
        <f>20.16150673267*Deflactores!$Q$5</f>
        <v>34.008949948074971</v>
      </c>
      <c r="U214" s="56">
        <f>20.2361165518199*Deflactores!$R$5</f>
        <v>32.793547619157735</v>
      </c>
      <c r="V214" s="56">
        <f>20.70710732584*Deflactores!$S$5</f>
        <v>32.52259119850941</v>
      </c>
    </row>
    <row r="215" spans="3:22" x14ac:dyDescent="0.2">
      <c r="C215" s="88" t="s">
        <v>132</v>
      </c>
      <c r="D215" s="57">
        <f>30.31686555799*Deflactores!$A$5</f>
        <v>110.06717300030155</v>
      </c>
      <c r="E215" s="57">
        <f>29.35750162059*Deflactores!$B$5</f>
        <v>99.011448884617494</v>
      </c>
      <c r="F215" s="57">
        <f>36.3688841541899*Deflactores!$C$5</f>
        <v>114.64249805817607</v>
      </c>
      <c r="G215" s="57">
        <f>28.80124668546*Deflactores!$D$5</f>
        <v>85.253569267636479</v>
      </c>
      <c r="H215" s="57">
        <f>30.13894684916*Deflactores!$E$5</f>
        <v>84.564739804007743</v>
      </c>
      <c r="I215" s="57">
        <f>30.48914991601*Deflactores!$F$5</f>
        <v>81.586204633909247</v>
      </c>
      <c r="J215" s="57">
        <f>43.90485019714*Deflactores!$G$5</f>
        <v>112.44995308051314</v>
      </c>
      <c r="K215" s="57">
        <f>48.30506859716*Deflactores!$H$5</f>
        <v>117.05426781557161</v>
      </c>
      <c r="L215" s="57">
        <f>56.85998669214*Deflactores!$I$5</f>
        <v>127.96433919282694</v>
      </c>
      <c r="M215" s="57">
        <f>85.14839223142*Deflactores!$J$5</f>
        <v>187.86712397439965</v>
      </c>
      <c r="N215" s="57">
        <f>85.56029830393*Deflactores!$K$5</f>
        <v>182.97343844978667</v>
      </c>
      <c r="O215" s="57">
        <f>70.98791286664*Deflactores!$L$5</f>
        <v>146.35570891542955</v>
      </c>
      <c r="P215" s="57">
        <f>99.7459108247599*Deflactores!$M$5</f>
        <v>200.74779824862227</v>
      </c>
      <c r="Q215" s="57">
        <f>124.43767547773*Deflactores!$N$5</f>
        <v>245.6761235395644</v>
      </c>
      <c r="R215" s="57">
        <f>122.15325334919*Deflactores!$O$5</f>
        <v>232.65098454378858</v>
      </c>
      <c r="S215" s="57">
        <f>154.1676571881*Deflactores!$P$5</f>
        <v>275.00708743214182</v>
      </c>
      <c r="T215" s="57">
        <f>213.263600243039*Deflactores!$Q$5</f>
        <v>359.73854546590633</v>
      </c>
      <c r="U215" s="57">
        <f>271.204926170759*Deflactores!$R$5</f>
        <v>439.49992273251149</v>
      </c>
      <c r="V215" s="57">
        <f>352.71701578116*Deflactores!$S$5</f>
        <v>553.97748862266633</v>
      </c>
    </row>
    <row r="216" spans="3:22" x14ac:dyDescent="0.2">
      <c r="C216" s="87" t="s">
        <v>133</v>
      </c>
      <c r="D216" s="56">
        <f>0.11023688475*Deflactores!$A$5</f>
        <v>0.40022152823100093</v>
      </c>
      <c r="E216" s="56">
        <f>0.109448148*Deflactores!$B$5</f>
        <v>0.36912608747393355</v>
      </c>
      <c r="F216" s="56">
        <f>0.2248409222*Deflactores!$C$5</f>
        <v>0.70874665489956856</v>
      </c>
      <c r="G216" s="56">
        <f>0.0488681294799999*Deflactores!$D$5</f>
        <v>0.14465285156236837</v>
      </c>
      <c r="H216" s="56">
        <f>0.36152117215*Deflactores!$E$5</f>
        <v>1.0143666933523496</v>
      </c>
      <c r="I216" s="56">
        <f>2.40681974259999*Deflactores!$F$5</f>
        <v>6.4404317134989801</v>
      </c>
      <c r="J216" s="56">
        <f>3.2819538641*Deflactores!$G$5</f>
        <v>8.405803831998826</v>
      </c>
      <c r="K216" s="56">
        <f>1.02671616138*Deflactores!$H$5</f>
        <v>2.4879689029530949</v>
      </c>
      <c r="L216" s="56">
        <f>3.46466294171*Deflactores!$I$5</f>
        <v>7.7972811752888198</v>
      </c>
      <c r="M216" s="56">
        <f>4.01851861143*Deflactores!$J$5</f>
        <v>8.8662570646680319</v>
      </c>
      <c r="N216" s="56">
        <f>2.51832593803*Deflactores!$K$5</f>
        <v>5.3855206813540111</v>
      </c>
      <c r="O216" s="56">
        <f>1.94323838542*Deflactores!$L$5</f>
        <v>4.0063726345090416</v>
      </c>
      <c r="P216" s="56">
        <f>4.01451079377*Deflactores!$M$5</f>
        <v>8.0795713451403675</v>
      </c>
      <c r="Q216" s="56">
        <f>2.57863943945*Deflactores!$N$5</f>
        <v>5.0909834104357525</v>
      </c>
      <c r="R216" s="56">
        <f>3.00032810162*Deflactores!$O$5</f>
        <v>5.714373278302193</v>
      </c>
      <c r="S216" s="56">
        <f>2.12966780916*Deflactores!$P$5</f>
        <v>3.7989404008423202</v>
      </c>
      <c r="T216" s="56">
        <f>3.28768682631*Deflactores!$Q$5</f>
        <v>5.5457549975539493</v>
      </c>
      <c r="U216" s="56">
        <f>3.96800688933*Deflactores!$R$5</f>
        <v>6.4303357091846136</v>
      </c>
      <c r="V216" s="56">
        <f>13.56810301969*Deflactores!$S$5</f>
        <v>21.310068128057019</v>
      </c>
    </row>
    <row r="217" spans="3:22" x14ac:dyDescent="0.2">
      <c r="C217" s="88" t="s">
        <v>134</v>
      </c>
      <c r="D217" s="57">
        <f>87.0741550866899*Deflactores!$A$5</f>
        <v>316.1278686099501</v>
      </c>
      <c r="E217" s="57">
        <f>102.953219710049*Deflactores!$B$5</f>
        <v>347.22121734224908</v>
      </c>
      <c r="F217" s="57">
        <f>110.24013096594*Deflactores!$C$5</f>
        <v>347.50046074041728</v>
      </c>
      <c r="G217" s="57">
        <f>100.29893540694*Deflactores!$D$5</f>
        <v>296.89139260428465</v>
      </c>
      <c r="H217" s="57">
        <f>111.94755756108*Deflactores!$E$5</f>
        <v>314.10573581839537</v>
      </c>
      <c r="I217" s="57">
        <f>109.56348308966*Deflactores!$F$5</f>
        <v>293.18196067719856</v>
      </c>
      <c r="J217" s="57">
        <f>110.06385024825*Deflactores!$G$5</f>
        <v>281.89766599141171</v>
      </c>
      <c r="K217" s="57">
        <f>133.37064846514*Deflactores!$H$5</f>
        <v>323.18769142774397</v>
      </c>
      <c r="L217" s="57">
        <f>139.9227923348*Deflactores!$I$5</f>
        <v>314.89855521920015</v>
      </c>
      <c r="M217" s="57">
        <f>147.53463822554*Deflactores!$J$5</f>
        <v>325.51299494540666</v>
      </c>
      <c r="N217" s="57">
        <f>155.692184244149*Deflactores!$K$5</f>
        <v>332.95272288223356</v>
      </c>
      <c r="O217" s="57">
        <f>162.24903099165*Deflactores!$L$5</f>
        <v>334.50866482346805</v>
      </c>
      <c r="P217" s="57">
        <f>156.9335090039*Deflactores!$M$5</f>
        <v>315.84308713478629</v>
      </c>
      <c r="Q217" s="57">
        <f>166.95695717066*Deflactores!$N$5</f>
        <v>329.62153847842887</v>
      </c>
      <c r="R217" s="57">
        <f>155.58849950747*Deflactores!$O$5</f>
        <v>296.33117908556869</v>
      </c>
      <c r="S217" s="57">
        <f>158.97725963028*Deflactores!$P$5</f>
        <v>283.58654426151196</v>
      </c>
      <c r="T217" s="57">
        <f>159.10115527716*Deflactores!$Q$5</f>
        <v>268.37593530318827</v>
      </c>
      <c r="U217" s="57">
        <f>174.46709120673*Deflactores!$R$5</f>
        <v>282.73185958445634</v>
      </c>
      <c r="V217" s="57">
        <f>195.52604144002*Deflactores!$S$5</f>
        <v>307.0932803096689</v>
      </c>
    </row>
    <row r="218" spans="3:22" x14ac:dyDescent="0.2">
      <c r="C218" s="87" t="s">
        <v>135</v>
      </c>
      <c r="D218" s="56"/>
      <c r="E218" s="56"/>
      <c r="F218" s="56"/>
      <c r="G218" s="56"/>
      <c r="H218" s="56"/>
      <c r="I218" s="56"/>
      <c r="J218" s="56"/>
      <c r="K218" s="56"/>
      <c r="L218" s="56"/>
      <c r="M218" s="56"/>
      <c r="N218" s="56"/>
      <c r="O218" s="56"/>
      <c r="P218" s="56"/>
      <c r="Q218" s="56"/>
      <c r="R218" s="56">
        <f>0*Deflactores!$O$5</f>
        <v>0</v>
      </c>
      <c r="S218" s="56"/>
      <c r="T218" s="56"/>
      <c r="U218" s="56"/>
      <c r="V218" s="56"/>
    </row>
    <row r="219" spans="3:22" x14ac:dyDescent="0.2">
      <c r="C219" s="88" t="s">
        <v>136</v>
      </c>
      <c r="D219" s="57">
        <f>798.85244863519*Deflactores!$A$5</f>
        <v>2900.2810497495748</v>
      </c>
      <c r="E219" s="57">
        <f>882.362316395029*Deflactores!$B$5</f>
        <v>2975.8653347458571</v>
      </c>
      <c r="F219" s="57">
        <f>932.285423039039*Deflactores!$C$5</f>
        <v>2938.7629641671524</v>
      </c>
      <c r="G219" s="57">
        <f>970.15000940488*Deflactores!$D$5</f>
        <v>2871.707323299715</v>
      </c>
      <c r="H219" s="57">
        <f>1045.88323236434*Deflactores!$E$5</f>
        <v>2934.5698060690543</v>
      </c>
      <c r="I219" s="57">
        <f>1177.03987993141*Deflactores!$F$5</f>
        <v>3149.6521474326205</v>
      </c>
      <c r="J219" s="57">
        <f>1420.59833105359*Deflactores!$G$5</f>
        <v>3638.4639727944564</v>
      </c>
      <c r="K219" s="57">
        <f>1699.51674645094*Deflactores!$H$5</f>
        <v>4118.3191365515058</v>
      </c>
      <c r="L219" s="57">
        <f>2480.8461542376*Deflactores!$I$5</f>
        <v>5583.1852456265933</v>
      </c>
      <c r="M219" s="57">
        <f>3255.2027493876*Deflactores!$J$5</f>
        <v>7182.1153923719621</v>
      </c>
      <c r="N219" s="57">
        <f>2671.26445457996*Deflactores!$K$5</f>
        <v>5712.5845976712644</v>
      </c>
      <c r="O219" s="57">
        <f>2310.74413285298*Deflactores!$L$5</f>
        <v>4764.0588662072978</v>
      </c>
      <c r="P219" s="57">
        <f>2890.67423378021*Deflactores!$M$5</f>
        <v>5817.7471445912506</v>
      </c>
      <c r="Q219" s="57">
        <f>3293.81152937081*Deflactores!$N$5</f>
        <v>6502.940890683587</v>
      </c>
      <c r="R219" s="57">
        <f>1393.6108504016*Deflactores!$O$5</f>
        <v>2654.2472470217563</v>
      </c>
      <c r="S219" s="57">
        <f>1431.96165097325*Deflactores!$P$5</f>
        <v>2554.3593911412931</v>
      </c>
      <c r="T219" s="57">
        <f>2524.38401739299*Deflactores!$Q$5</f>
        <v>4258.1961177595595</v>
      </c>
      <c r="U219" s="57">
        <f>2729.92320691224*Deflactores!$R$5</f>
        <v>4423.9647687969637</v>
      </c>
      <c r="V219" s="57">
        <f>2774.84160507504*Deflactores!$S$5</f>
        <v>4358.1673549282368</v>
      </c>
    </row>
    <row r="220" spans="3:22" x14ac:dyDescent="0.2">
      <c r="C220" s="87" t="s">
        <v>137</v>
      </c>
      <c r="D220" s="56">
        <f>12.58808761883*Deflactores!$A$5</f>
        <v>45.701796415413348</v>
      </c>
      <c r="E220" s="56">
        <f>14.96779146352*Deflactores!$B$5</f>
        <v>50.480546286218377</v>
      </c>
      <c r="F220" s="56">
        <f>19.5871792228099*Deflactores!$C$5</f>
        <v>61.74297639971541</v>
      </c>
      <c r="G220" s="56">
        <f>18.1933918117599*Deflactores!$D$5</f>
        <v>53.853626753600025</v>
      </c>
      <c r="H220" s="56">
        <f>18.10217452864*Deflactores!$E$5</f>
        <v>50.791611484056986</v>
      </c>
      <c r="I220" s="56">
        <f>33.12504473146*Deflactores!$F$5</f>
        <v>88.639620501494292</v>
      </c>
      <c r="J220" s="56">
        <f>37.21920102553*Deflactores!$G$5</f>
        <v>95.326538872638466</v>
      </c>
      <c r="K220" s="56">
        <f>32.17908140063*Deflactores!$H$5</f>
        <v>77.9772997268837</v>
      </c>
      <c r="L220" s="56">
        <f>41.5514843398399*Deflactores!$I$5</f>
        <v>93.51230180227455</v>
      </c>
      <c r="M220" s="56">
        <f>43.22674713283*Deflactores!$J$5</f>
        <v>95.373317684520742</v>
      </c>
      <c r="N220" s="56">
        <f>40.16797283385*Deflactores!$K$5</f>
        <v>85.90049649966646</v>
      </c>
      <c r="O220" s="56">
        <f>39.43950736865*Deflactores!$L$5</f>
        <v>81.312392872542944</v>
      </c>
      <c r="P220" s="56">
        <f>41.3949141521999*Deflactores!$M$5</f>
        <v>83.311063140666519</v>
      </c>
      <c r="Q220" s="56">
        <f>41.30955852849*Deflactores!$N$5</f>
        <v>81.55706995849863</v>
      </c>
      <c r="R220" s="56">
        <f>50.3468920202399*Deflactores!$O$5</f>
        <v>95.88982426644715</v>
      </c>
      <c r="S220" s="56">
        <f>38.27439334002*Deflactores!$P$5</f>
        <v>68.274563080559886</v>
      </c>
      <c r="T220" s="56">
        <f>32.83384441309*Deflactores!$Q$5</f>
        <v>55.384976234848153</v>
      </c>
      <c r="U220" s="56">
        <f>53.64547124358*Deflactores!$R$5</f>
        <v>86.934927028787286</v>
      </c>
      <c r="V220" s="56">
        <f>41.12099318535*Deflactores!$S$5</f>
        <v>64.584648642592498</v>
      </c>
    </row>
    <row r="221" spans="3:22" x14ac:dyDescent="0.2">
      <c r="C221" s="88" t="s">
        <v>138</v>
      </c>
      <c r="D221" s="57">
        <f>12.65461948163*Deflactores!$A$5</f>
        <v>45.943344277240705</v>
      </c>
      <c r="E221" s="57">
        <f>13.53850519388*Deflactores!$B$5</f>
        <v>45.660118912770024</v>
      </c>
      <c r="F221" s="57">
        <f>16.1439956109999*Deflactores!$C$5</f>
        <v>50.889325546492962</v>
      </c>
      <c r="G221" s="57">
        <f>12.36261301013*Deflactores!$D$5</f>
        <v>36.594141083489298</v>
      </c>
      <c r="H221" s="57">
        <f>30.17667131179*Deflactores!$E$5</f>
        <v>84.670588206160559</v>
      </c>
      <c r="I221" s="57">
        <f>15.4170139785299*Deflactores!$F$5</f>
        <v>41.254533522946623</v>
      </c>
      <c r="J221" s="57">
        <f>20.1438654542*Deflactores!$G$5</f>
        <v>51.592858534169764</v>
      </c>
      <c r="K221" s="57">
        <f>57.16140875262*Deflactores!$H$5</f>
        <v>138.51521265074703</v>
      </c>
      <c r="L221" s="57">
        <f>67.52834569987*Deflactores!$I$5</f>
        <v>151.97365734633831</v>
      </c>
      <c r="M221" s="57">
        <f>52.4002814698199*Deflactores!$J$5</f>
        <v>115.6133418048441</v>
      </c>
      <c r="N221" s="57">
        <f>48.17451328292*Deflactores!$K$5</f>
        <v>103.02273970234528</v>
      </c>
      <c r="O221" s="57">
        <f>42.19364808919*Deflactores!$L$5</f>
        <v>86.990602039851893</v>
      </c>
      <c r="P221" s="57">
        <f>25.66003040787*Deflactores!$M$5</f>
        <v>51.643165767692999</v>
      </c>
      <c r="Q221" s="57">
        <f>23.6531412231899*Deflactores!$N$5</f>
        <v>46.69817258268484</v>
      </c>
      <c r="R221" s="57">
        <f>43.64793996951*Deflactores!$O$5</f>
        <v>83.131115453684473</v>
      </c>
      <c r="S221" s="57">
        <f>0*Deflactores!$P$5</f>
        <v>0</v>
      </c>
      <c r="T221" s="57">
        <f>0*Deflactores!$Q$5</f>
        <v>0</v>
      </c>
      <c r="U221" s="57">
        <f>0*Deflactores!$R$5</f>
        <v>0</v>
      </c>
      <c r="V221" s="57">
        <f>0*Deflactores!$S$5</f>
        <v>0</v>
      </c>
    </row>
    <row r="222" spans="3:22" x14ac:dyDescent="0.2">
      <c r="C222" s="87" t="s">
        <v>139</v>
      </c>
      <c r="D222" s="56">
        <f>148.36411422558*Deflactores!$A$5</f>
        <v>538.64468924953371</v>
      </c>
      <c r="E222" s="56">
        <f>155.68723221352*Deflactores!$B$5</f>
        <v>525.07255670166649</v>
      </c>
      <c r="F222" s="56">
        <f>159.30626824197*Deflactores!$C$5</f>
        <v>502.16741514961467</v>
      </c>
      <c r="G222" s="56">
        <f>150.29604847595*Deflactores!$D$5</f>
        <v>444.88610924835751</v>
      </c>
      <c r="H222" s="56">
        <f>158.12669927111*Deflactores!$E$5</f>
        <v>443.67652416164924</v>
      </c>
      <c r="I222" s="56">
        <f>185.23328724771*Deflactores!$F$5</f>
        <v>495.66750532679572</v>
      </c>
      <c r="J222" s="56">
        <f>240.34907325372*Deflactores!$G$5</f>
        <v>615.58670372336701</v>
      </c>
      <c r="K222" s="56">
        <f>278.280318333669*Deflactores!$H$5</f>
        <v>674.33708006258644</v>
      </c>
      <c r="L222" s="56">
        <f>283.582573073839*Deflactores!$I$5</f>
        <v>638.20726456504212</v>
      </c>
      <c r="M222" s="56">
        <f>527.183502705519*Deflactores!$J$5</f>
        <v>1163.151127866978</v>
      </c>
      <c r="N222" s="56">
        <f>468.46674617103*Deflactores!$K$5</f>
        <v>1001.8311418435017</v>
      </c>
      <c r="O222" s="56">
        <f>569.78446145005*Deflactores!$L$5</f>
        <v>1174.7240539552065</v>
      </c>
      <c r="P222" s="56">
        <f>633.897571191219*Deflactores!$M$5</f>
        <v>1275.777028647859</v>
      </c>
      <c r="Q222" s="56">
        <f>892.23821729789*Deflactores!$N$5</f>
        <v>1761.5374576715437</v>
      </c>
      <c r="R222" s="56">
        <f>786.45859181928*Deflactores!$O$5</f>
        <v>1497.8755020681594</v>
      </c>
      <c r="S222" s="56">
        <f>732.64473403149*Deflactores!$P$5</f>
        <v>1306.9050805038012</v>
      </c>
      <c r="T222" s="56">
        <f>676.6686157875*Deflactores!$Q$5</f>
        <v>1141.4220866965268</v>
      </c>
      <c r="U222" s="56">
        <f>543.35123093691*Deflactores!$R$5</f>
        <v>880.52539231175081</v>
      </c>
      <c r="V222" s="56">
        <f>430.574300952149*Deflactores!$S$5</f>
        <v>676.26017241800548</v>
      </c>
    </row>
    <row r="223" spans="3:22" x14ac:dyDescent="0.2">
      <c r="C223" s="88" t="s">
        <v>140</v>
      </c>
      <c r="D223" s="57">
        <f>14.81942101338*Deflactores!$A$5</f>
        <v>53.802784239814535</v>
      </c>
      <c r="E223" s="57">
        <f>12.1527822893699*Deflactores!$B$5</f>
        <v>40.986613847478026</v>
      </c>
      <c r="F223" s="57">
        <f>11.65786612908*Deflactores!$C$5</f>
        <v>36.748086342142003</v>
      </c>
      <c r="G223" s="57">
        <f>10.38971315547*Deflactores!$D$5</f>
        <v>30.754228795863273</v>
      </c>
      <c r="H223" s="57">
        <f>1894.48872946783*Deflactores!$E$5</f>
        <v>5315.6119645082217</v>
      </c>
      <c r="I223" s="57">
        <f>2048.78137616004*Deflactores!$F$5</f>
        <v>5482.3534623299793</v>
      </c>
      <c r="J223" s="57">
        <f>227.83305726537*Deflactores!$G$5</f>
        <v>583.5304410479373</v>
      </c>
      <c r="K223" s="57">
        <f>122.453184029429*Deflactores!$H$5</f>
        <v>296.73216940826325</v>
      </c>
      <c r="L223" s="57">
        <f>216.34388593842*Deflactores!$I$5</f>
        <v>486.88548860221874</v>
      </c>
      <c r="M223" s="57">
        <f>287.84657609256*Deflactores!$J$5</f>
        <v>635.09018760348238</v>
      </c>
      <c r="N223" s="57">
        <f>1066.45535217024*Deflactores!$K$5</f>
        <v>2280.648929560874</v>
      </c>
      <c r="O223" s="57">
        <f>1059.73001009289*Deflactores!$L$5</f>
        <v>2184.8443012752196</v>
      </c>
      <c r="P223" s="57">
        <f>503.68442937013*Deflactores!$M$5</f>
        <v>1013.7111323371454</v>
      </c>
      <c r="Q223" s="57">
        <f>521.24735687612*Deflactores!$N$5</f>
        <v>1029.0937174046376</v>
      </c>
      <c r="R223" s="57">
        <f>537.69130093584*Deflactores!$O$5</f>
        <v>1024.0776001745612</v>
      </c>
      <c r="S223" s="57">
        <f>719.75567546264*Deflactores!$P$5</f>
        <v>1283.9133420197886</v>
      </c>
      <c r="T223" s="57">
        <f>606.651940217569*Deflactores!$Q$5</f>
        <v>1023.3161511351796</v>
      </c>
      <c r="U223" s="57">
        <f>605.6442060017*Deflactores!$R$5</f>
        <v>981.47399274578413</v>
      </c>
      <c r="V223" s="57">
        <f>589.26211656381*Deflactores!$S$5</f>
        <v>925.49532024004111</v>
      </c>
    </row>
    <row r="224" spans="3:22" x14ac:dyDescent="0.2">
      <c r="C224" s="87" t="s">
        <v>141</v>
      </c>
      <c r="D224" s="56">
        <f>3.65994243305*Deflactores!$A$5</f>
        <v>13.287637410243114</v>
      </c>
      <c r="E224" s="56">
        <f>4.61355744431*Deflactores!$B$5</f>
        <v>15.559737098104121</v>
      </c>
      <c r="F224" s="56">
        <f>8.66981265944*Deflactores!$C$5</f>
        <v>27.329102998066393</v>
      </c>
      <c r="G224" s="56">
        <f>6.99117091622*Deflactores!$D$5</f>
        <v>20.694322036717345</v>
      </c>
      <c r="H224" s="56">
        <f>8.87624118617999*Deflactores!$E$5</f>
        <v>24.905217494945362</v>
      </c>
      <c r="I224" s="56">
        <f>7.6787925419*Deflactores!$F$5</f>
        <v>20.547753590723108</v>
      </c>
      <c r="J224" s="56">
        <f>19.31408241802*Deflactores!$G$5</f>
        <v>49.46760214298579</v>
      </c>
      <c r="K224" s="56">
        <f>17.49389867318*Deflactores!$H$5</f>
        <v>42.39173154904239</v>
      </c>
      <c r="L224" s="56">
        <f>22.07232825805*Deflactores!$I$5</f>
        <v>49.674139307861779</v>
      </c>
      <c r="M224" s="56">
        <f>23.9100649513799*Deflactores!$J$5</f>
        <v>52.753963037241071</v>
      </c>
      <c r="N224" s="56">
        <f>22.76976506834*Deflactores!$K$5</f>
        <v>48.69387192233112</v>
      </c>
      <c r="O224" s="56">
        <f>18.50892103618*Deflactores!$L$5</f>
        <v>38.159823977341389</v>
      </c>
      <c r="P224" s="56">
        <f>13.30867105253*Deflactores!$M$5</f>
        <v>26.784921700743844</v>
      </c>
      <c r="Q224" s="56">
        <f>17.46960236176*Deflactores!$N$5</f>
        <v>34.490070403018009</v>
      </c>
      <c r="R224" s="56">
        <f>18.1311457184199*Deflactores!$O$5</f>
        <v>34.532268168404521</v>
      </c>
      <c r="S224" s="56">
        <f>23.46684912854*Deflactores!$P$5</f>
        <v>41.860594807997266</v>
      </c>
      <c r="T224" s="56">
        <f>29.65594710643*Deflactores!$Q$5</f>
        <v>50.024417032832126</v>
      </c>
      <c r="U224" s="56">
        <f>16.47969322342*Deflactores!$R$5</f>
        <v>26.706092697550332</v>
      </c>
      <c r="V224" s="56">
        <f>16.09895499432*Deflactores!$S$5</f>
        <v>25.285025270048497</v>
      </c>
    </row>
    <row r="225" spans="2:22" x14ac:dyDescent="0.2">
      <c r="C225" s="88" t="s">
        <v>142</v>
      </c>
      <c r="D225" s="57">
        <f>18.71835071217*Deflactores!$A$5</f>
        <v>67.958079049294994</v>
      </c>
      <c r="E225" s="57">
        <f>21.88453990976*Deflactores!$B$5</f>
        <v>73.808051946725129</v>
      </c>
      <c r="F225" s="57">
        <f>21.28723153766*Deflactores!$C$5</f>
        <v>67.10190474565276</v>
      </c>
      <c r="G225" s="57">
        <f>19.25445616625*Deflactores!$D$5</f>
        <v>56.994446469873267</v>
      </c>
      <c r="H225" s="57">
        <f>26.8234267283*Deflactores!$E$5</f>
        <v>75.261956341177736</v>
      </c>
      <c r="I225" s="57">
        <f>23.24097982223*Deflactores!$F$5</f>
        <v>62.190757725040356</v>
      </c>
      <c r="J225" s="57">
        <f>32.53669336433*Deflactores!$G$5</f>
        <v>83.333609516615226</v>
      </c>
      <c r="K225" s="57">
        <f>38.31809409378*Deflactores!$H$5</f>
        <v>92.853536460960541</v>
      </c>
      <c r="L225" s="57">
        <f>44.13795317569*Deflactores!$I$5</f>
        <v>99.333192637413461</v>
      </c>
      <c r="M225" s="57">
        <f>45.30588674619*Deflactores!$J$5</f>
        <v>99.960626608000979</v>
      </c>
      <c r="N225" s="57">
        <f>71.5926447252699*Deflactores!$K$5</f>
        <v>153.10316388290249</v>
      </c>
      <c r="O225" s="57">
        <f>57.49331174759*Deflactores!$L$5</f>
        <v>118.53390329311426</v>
      </c>
      <c r="P225" s="57">
        <f>70.04693666078*Deflactores!$M$5</f>
        <v>140.97588755710413</v>
      </c>
      <c r="Q225" s="57">
        <f>75.79879258009*Deflactores!$N$5</f>
        <v>149.64883793082979</v>
      </c>
      <c r="R225" s="57">
        <f>101.2239093463*Deflactores!$O$5</f>
        <v>192.78931606895313</v>
      </c>
      <c r="S225" s="57">
        <f>106.531425175149*Deflactores!$P$5</f>
        <v>190.03270524937486</v>
      </c>
      <c r="T225" s="57">
        <f>101.31380135633*Deflactores!$Q$5</f>
        <v>170.8987351522382</v>
      </c>
      <c r="U225" s="57">
        <f>106.42314189073*Deflactores!$R$5</f>
        <v>172.46354370597695</v>
      </c>
      <c r="V225" s="57">
        <f>100.8343345373*Deflactores!$S$5</f>
        <v>158.3704468869997</v>
      </c>
    </row>
    <row r="226" spans="2:22" x14ac:dyDescent="0.2">
      <c r="C226" s="87" t="s">
        <v>143</v>
      </c>
      <c r="D226" s="56">
        <f>0.0585*Deflactores!$A$5</f>
        <v>0.21238770901963061</v>
      </c>
      <c r="E226" s="56">
        <f>0*Deflactores!$B$5</f>
        <v>0</v>
      </c>
      <c r="F226" s="56">
        <f>0*Deflactores!$C$5</f>
        <v>0</v>
      </c>
      <c r="G226" s="56">
        <f>0*Deflactores!$D$5</f>
        <v>0</v>
      </c>
      <c r="H226" s="56">
        <f>30.27942238435*Deflactores!$E$5</f>
        <v>84.958890175008591</v>
      </c>
      <c r="I226" s="56">
        <f>4.23428594992999*Deflactores!$F$5</f>
        <v>11.330565822304957</v>
      </c>
      <c r="J226" s="56">
        <f>0*Deflactores!$G$5</f>
        <v>0</v>
      </c>
      <c r="K226" s="56">
        <f>0*Deflactores!$H$5</f>
        <v>0</v>
      </c>
      <c r="L226" s="56">
        <f>0*Deflactores!$I$5</f>
        <v>0</v>
      </c>
      <c r="M226" s="56">
        <f>0*Deflactores!$J$5</f>
        <v>0</v>
      </c>
      <c r="N226" s="56">
        <f>0*Deflactores!$K$5</f>
        <v>0</v>
      </c>
      <c r="O226" s="56">
        <f>0*Deflactores!$L$5</f>
        <v>0</v>
      </c>
      <c r="P226" s="56">
        <f>0.036607469*Deflactores!$M$5</f>
        <v>7.3675890474504402E-2</v>
      </c>
      <c r="Q226" s="56">
        <f>3.487363484*Deflactores!$N$5</f>
        <v>6.8850686806334647</v>
      </c>
      <c r="R226" s="56">
        <f>1.10531429688*Deflactores!$O$5</f>
        <v>2.1051625916532548</v>
      </c>
      <c r="S226" s="56">
        <f>0.221295048*Deflactores!$P$5</f>
        <v>0.39475015527662533</v>
      </c>
      <c r="T226" s="56">
        <f>10.87767284817*Deflactores!$Q$5</f>
        <v>18.348739325394487</v>
      </c>
      <c r="U226" s="56">
        <f>18.85724748255*Deflactores!$R$5</f>
        <v>30.559027553615834</v>
      </c>
      <c r="V226" s="56">
        <f>55.41805192524*Deflactores!$S$5</f>
        <v>87.03961492164791</v>
      </c>
    </row>
    <row r="227" spans="2:22" x14ac:dyDescent="0.2">
      <c r="C227" s="88" t="s">
        <v>144</v>
      </c>
      <c r="D227" s="57">
        <f>0*Deflactores!$A$5</f>
        <v>0</v>
      </c>
      <c r="E227" s="57">
        <f>0*Deflactores!$B$5</f>
        <v>0</v>
      </c>
      <c r="F227" s="57">
        <f>0*Deflactores!$C$5</f>
        <v>0</v>
      </c>
      <c r="G227" s="57">
        <f>0*Deflactores!$D$5</f>
        <v>0</v>
      </c>
      <c r="H227" s="57">
        <f>0*Deflactores!$E$5</f>
        <v>0</v>
      </c>
      <c r="I227" s="57">
        <f>0*Deflactores!$F$5</f>
        <v>0</v>
      </c>
      <c r="J227" s="57">
        <f>0*Deflactores!$G$5</f>
        <v>0</v>
      </c>
      <c r="K227" s="57">
        <f>0*Deflactores!$H$5</f>
        <v>0</v>
      </c>
      <c r="L227" s="57">
        <f>0*Deflactores!$I$5</f>
        <v>0</v>
      </c>
      <c r="M227" s="57">
        <f>0*Deflactores!$J$5</f>
        <v>0</v>
      </c>
      <c r="N227" s="57">
        <f>0*Deflactores!$K$5</f>
        <v>0</v>
      </c>
      <c r="O227" s="57">
        <f>0*Deflactores!$L$5</f>
        <v>0</v>
      </c>
      <c r="P227" s="57">
        <f>0*Deflactores!$M$5</f>
        <v>0</v>
      </c>
      <c r="Q227" s="57">
        <f>0*Deflactores!$N$5</f>
        <v>0</v>
      </c>
      <c r="R227" s="57">
        <f>0*Deflactores!$O$5</f>
        <v>0</v>
      </c>
      <c r="S227" s="57">
        <f>0*Deflactores!$P$5</f>
        <v>0</v>
      </c>
      <c r="T227" s="57">
        <f>0*Deflactores!$Q$5</f>
        <v>0</v>
      </c>
      <c r="U227" s="57">
        <f>0*Deflactores!$R$5</f>
        <v>0</v>
      </c>
      <c r="V227" s="57">
        <f>0*Deflactores!$S$5</f>
        <v>0</v>
      </c>
    </row>
    <row r="228" spans="2:22" x14ac:dyDescent="0.2">
      <c r="C228" s="87" t="s">
        <v>145</v>
      </c>
      <c r="D228" s="56">
        <f>13.19807260786*Deflactores!$A$5</f>
        <v>47.916382985609005</v>
      </c>
      <c r="E228" s="56">
        <f>8.42325491804*Deflactores!$B$5</f>
        <v>28.408366779232061</v>
      </c>
      <c r="F228" s="56">
        <f>25.325727618*Deflactores!$C$5</f>
        <v>79.832107769904525</v>
      </c>
      <c r="G228" s="56">
        <f>10.921438592*Deflactores!$D$5</f>
        <v>32.32817077933511</v>
      </c>
      <c r="H228" s="56">
        <f>8.6644369565*Deflactores!$E$5</f>
        <v>24.310930983810152</v>
      </c>
      <c r="I228" s="56">
        <f>8.457745212*Deflactores!$F$5</f>
        <v>22.632160408163998</v>
      </c>
      <c r="J228" s="56">
        <f>17.87972867322*Deflactores!$G$5</f>
        <v>45.793907537961836</v>
      </c>
      <c r="K228" s="56">
        <f>14.77746589901*Deflactores!$H$5</f>
        <v>35.809191482648913</v>
      </c>
      <c r="L228" s="56">
        <f>15.734713613*Deflactores!$I$5</f>
        <v>35.411232872382222</v>
      </c>
      <c r="M228" s="56">
        <f>27.52228395792*Deflactores!$J$5</f>
        <v>60.723781117657389</v>
      </c>
      <c r="N228" s="56">
        <f>20.700269857*Deflactores!$K$5</f>
        <v>44.268190126211728</v>
      </c>
      <c r="O228" s="56">
        <f>20.30316057643*Deflactores!$L$5</f>
        <v>41.859005841875231</v>
      </c>
      <c r="P228" s="56">
        <f>31.30179109476*Deflactores!$M$5</f>
        <v>62.99772683966092</v>
      </c>
      <c r="Q228" s="56">
        <f>29.54546960946*Deflactores!$N$5</f>
        <v>58.331340680718355</v>
      </c>
      <c r="R228" s="56">
        <f>36.56226580494*Deflactores!$O$5</f>
        <v>69.635862356893909</v>
      </c>
      <c r="S228" s="56">
        <f>46.43256338891*Deflactores!$P$5</f>
        <v>82.827256069751598</v>
      </c>
      <c r="T228" s="56">
        <f>65.40106247224*Deflactores!$Q$5</f>
        <v>110.32020025394104</v>
      </c>
      <c r="U228" s="56">
        <f>75.38742508935*Deflactores!$R$5</f>
        <v>122.16875249865821</v>
      </c>
      <c r="V228" s="56">
        <f>77.23268403459*Deflactores!$S$5</f>
        <v>121.30168499615489</v>
      </c>
    </row>
    <row r="229" spans="2:22" x14ac:dyDescent="0.2">
      <c r="C229" s="88" t="s">
        <v>146</v>
      </c>
      <c r="D229" s="57">
        <f>52.32324760134*Deflactores!$A$5</f>
        <v>189.96264421393991</v>
      </c>
      <c r="E229" s="57">
        <f>52.4834509643899*Deflactores!$B$5</f>
        <v>177.0062926200934</v>
      </c>
      <c r="F229" s="57">
        <f>43.02344105333*Deflactores!$C$5</f>
        <v>135.61908406376571</v>
      </c>
      <c r="G229" s="57">
        <f>35.11699548035*Deflactores!$D$5</f>
        <v>103.94859775867647</v>
      </c>
      <c r="H229" s="57">
        <f>37.5551224230799*Deflactores!$E$5</f>
        <v>105.37326244045327</v>
      </c>
      <c r="I229" s="57">
        <f>40.60443884748*Deflactores!$F$5</f>
        <v>108.65380195844719</v>
      </c>
      <c r="J229" s="57">
        <f>41.96966322855*Deflactores!$G$5</f>
        <v>107.49351471794377</v>
      </c>
      <c r="K229" s="57">
        <f>49.0749189884199*Deflactores!$H$5</f>
        <v>118.91979200368459</v>
      </c>
      <c r="L229" s="57">
        <f>47.43972836685*Deflactores!$I$5</f>
        <v>106.7638922397133</v>
      </c>
      <c r="M229" s="57">
        <f>69.6277180176999*Deflactores!$J$5</f>
        <v>153.62309011465902</v>
      </c>
      <c r="N229" s="57">
        <f>104.265259607609*Deflactores!$K$5</f>
        <v>222.97459732427774</v>
      </c>
      <c r="O229" s="57">
        <f>108.938097893028*Deflactores!$L$5</f>
        <v>224.59756740538219</v>
      </c>
      <c r="P229" s="57">
        <f>215.896394363238*Deflactores!$M$5</f>
        <v>434.51130437196662</v>
      </c>
      <c r="Q229" s="57">
        <f>203.875713733393*Deflactores!$N$5</f>
        <v>402.50988972263326</v>
      </c>
      <c r="R229" s="57">
        <f>175.239371134067*Deflactores!$O$5</f>
        <v>333.75789107008177</v>
      </c>
      <c r="S229" s="57">
        <f>228.232417334454*Deflactores!$P$5</f>
        <v>407.12516161651877</v>
      </c>
      <c r="T229" s="57">
        <f>293.920438327549*Deflactores!$Q$5</f>
        <v>495.79258179153487</v>
      </c>
      <c r="U229" s="57">
        <f>265.64739755085*Deflactores!$R$5</f>
        <v>430.49369473539969</v>
      </c>
      <c r="V229" s="57">
        <f>208.28281572499*Deflactores!$S$5</f>
        <v>327.12907519657767</v>
      </c>
    </row>
    <row r="230" spans="2:22" x14ac:dyDescent="0.2">
      <c r="C230" s="90" t="s">
        <v>147</v>
      </c>
      <c r="D230" s="58">
        <f>499.25647124695*Deflactores!$A$5</f>
        <v>1812.5801391686289</v>
      </c>
      <c r="E230" s="58">
        <f>620.70701460627*Deflactores!$B$5</f>
        <v>2093.4036432415301</v>
      </c>
      <c r="F230" s="58">
        <f>579.03204114729*Deflactores!$C$5</f>
        <v>1825.2327833710119</v>
      </c>
      <c r="G230" s="58">
        <f>564.45576160723*Deflactores!$D$5</f>
        <v>1670.8258811238297</v>
      </c>
      <c r="H230" s="58">
        <f>696.24576498816*Deflactores!$E$5</f>
        <v>1953.5467596309543</v>
      </c>
      <c r="I230" s="58">
        <f>744.95558499834*Deflactores!$F$5</f>
        <v>1993.4336958648121</v>
      </c>
      <c r="J230" s="58">
        <f>901.479830882889*Deflactores!$G$5</f>
        <v>2308.8876110642832</v>
      </c>
      <c r="K230" s="58">
        <f>1030.41551293217*Deflactores!$H$5</f>
        <v>2496.9332808104759</v>
      </c>
      <c r="L230" s="58">
        <f>1302.54552413503*Deflactores!$I$5</f>
        <v>2931.4002158842281</v>
      </c>
      <c r="M230" s="58">
        <f>1429.16812798872*Deflactores!$J$5</f>
        <v>3153.2445750871452</v>
      </c>
      <c r="N230" s="58">
        <f>1921.02270197129*Deflactores!$K$5</f>
        <v>4108.1685792070411</v>
      </c>
      <c r="O230" s="58">
        <f>1525.4581723887*Deflactores!$L$5</f>
        <v>3145.0355873993035</v>
      </c>
      <c r="P230" s="58">
        <f>2152.96595988887*Deflactores!$M$5</f>
        <v>4333.0415510591201</v>
      </c>
      <c r="Q230" s="58">
        <f>2375.70889424204*Deflactores!$N$5</f>
        <v>4690.3395579765811</v>
      </c>
      <c r="R230" s="58">
        <f>1135.57525320569*Deflactores!$O$5</f>
        <v>2162.7970883971357</v>
      </c>
      <c r="S230" s="58">
        <f>1630.59133960431*Deflactores!$P$5</f>
        <v>2908.6786637065729</v>
      </c>
      <c r="T230" s="58">
        <f>1908.17350631299*Deflactores!$Q$5</f>
        <v>3218.7563225760523</v>
      </c>
      <c r="U230" s="58">
        <f>2050.58480385542*Deflactores!$R$5</f>
        <v>3323.0659766241706</v>
      </c>
      <c r="V230" s="58">
        <f>1851.05280431146*Deflactores!$S$5</f>
        <v>2907.2642882548998</v>
      </c>
    </row>
    <row r="231" spans="2:22" ht="22.5" customHeight="1" x14ac:dyDescent="0.2">
      <c r="C231" s="89" t="s">
        <v>148</v>
      </c>
      <c r="D231" s="59">
        <f>0*Deflactores!$A$5</f>
        <v>0</v>
      </c>
      <c r="E231" s="59">
        <f>0*Deflactores!$B$5</f>
        <v>0</v>
      </c>
      <c r="F231" s="59">
        <f>0*Deflactores!$C$5</f>
        <v>0</v>
      </c>
      <c r="G231" s="59">
        <f>0*Deflactores!$D$5</f>
        <v>0</v>
      </c>
      <c r="H231" s="59">
        <f>0*Deflactores!$E$5</f>
        <v>0</v>
      </c>
      <c r="I231" s="59">
        <f>0*Deflactores!$F$5</f>
        <v>0</v>
      </c>
      <c r="J231" s="59">
        <f>0*Deflactores!$G$5</f>
        <v>0</v>
      </c>
      <c r="K231" s="59">
        <f>0*Deflactores!$H$5</f>
        <v>0</v>
      </c>
      <c r="L231" s="59">
        <f>0*Deflactores!$I$5</f>
        <v>0</v>
      </c>
      <c r="M231" s="59">
        <f>0*Deflactores!$J$5</f>
        <v>0</v>
      </c>
      <c r="N231" s="59">
        <f>0*Deflactores!$K$5</f>
        <v>0</v>
      </c>
      <c r="O231" s="59">
        <f>0*Deflactores!$L$5</f>
        <v>0</v>
      </c>
      <c r="P231" s="59">
        <f>0*Deflactores!$M$5</f>
        <v>0</v>
      </c>
      <c r="Q231" s="59">
        <f>0*Deflactores!$N$5</f>
        <v>0</v>
      </c>
      <c r="R231" s="59">
        <f>0*Deflactores!$O$5</f>
        <v>0</v>
      </c>
      <c r="S231" s="59">
        <f>0*Deflactores!$P$5</f>
        <v>0</v>
      </c>
      <c r="T231" s="59">
        <f>0*Deflactores!$Q$5</f>
        <v>0</v>
      </c>
      <c r="U231" s="59">
        <f>0*Deflactores!$R$5</f>
        <v>0</v>
      </c>
      <c r="V231" s="59">
        <f>0*Deflactores!$S$5</f>
        <v>0</v>
      </c>
    </row>
    <row r="232" spans="2:22" x14ac:dyDescent="0.2">
      <c r="C232" s="87" t="s">
        <v>149</v>
      </c>
      <c r="D232" s="56">
        <f>139.566073269379*Deflactores!$A$5</f>
        <v>506.70288134272323</v>
      </c>
      <c r="E232" s="56">
        <f>127.08253523984*Deflactores!$B$5</f>
        <v>428.60002546000527</v>
      </c>
      <c r="F232" s="56">
        <f>105.267459437939*Deflactores!$C$5</f>
        <v>331.82553699032678</v>
      </c>
      <c r="G232" s="56">
        <f>109.14518883255*Deflactores!$D$5</f>
        <v>323.07687989987608</v>
      </c>
      <c r="H232" s="56">
        <f>192.06696260422*Deflactores!$E$5</f>
        <v>538.90710909245433</v>
      </c>
      <c r="I232" s="56">
        <f>54.60220148942*Deflactores!$F$5</f>
        <v>146.11054740619497</v>
      </c>
      <c r="J232" s="56">
        <f>225.85112626493*Deflactores!$G$5</f>
        <v>578.45428096522255</v>
      </c>
      <c r="K232" s="56">
        <f>350.438187349999*Deflactores!$H$5</f>
        <v>849.19215780353841</v>
      </c>
      <c r="L232" s="56">
        <f>401.095495993*Deflactores!$I$5</f>
        <v>902.67203852614364</v>
      </c>
      <c r="M232" s="56">
        <f>595.44009923277*Deflactores!$J$5</f>
        <v>1313.749044583999</v>
      </c>
      <c r="N232" s="56">
        <f>588.28136373227*Deflactores!$K$5</f>
        <v>1258.0585392030935</v>
      </c>
      <c r="O232" s="56">
        <f>790.33119014643*Deflactores!$L$5</f>
        <v>1629.4250237946287</v>
      </c>
      <c r="P232" s="56">
        <f>787.76145510234*Deflactores!$M$5</f>
        <v>1585.4422136137362</v>
      </c>
      <c r="Q232" s="56">
        <f>1040.98618919519*Deflactores!$N$5</f>
        <v>2055.2091690708849</v>
      </c>
      <c r="R232" s="56">
        <f>1495.34176767823*Deflactores!$O$5</f>
        <v>2848.0022016711705</v>
      </c>
      <c r="S232" s="56">
        <f>1219.1267919902*Deflactores!$P$5</f>
        <v>2174.7006758146053</v>
      </c>
      <c r="T232" s="56">
        <f>1010.71881574076*Deflactores!$Q$5</f>
        <v>1704.9065861930756</v>
      </c>
      <c r="U232" s="56">
        <f>981.055436224099*Deflactores!$R$5</f>
        <v>1589.8449725995079</v>
      </c>
      <c r="V232" s="56">
        <f>1112.42150529586*Deflactores!$S$5</f>
        <v>1747.1696692285389</v>
      </c>
    </row>
    <row r="233" spans="2:22" x14ac:dyDescent="0.2">
      <c r="C233" s="88" t="s">
        <v>150</v>
      </c>
      <c r="D233" s="57">
        <f>353.955766192339*Deflactores!$A$5</f>
        <v>1285.0573380492119</v>
      </c>
      <c r="E233" s="57">
        <f>582.440241523979*Deflactores!$B$5</f>
        <v>1964.3446825716892</v>
      </c>
      <c r="F233" s="57">
        <f>490.27121793148*Deflactores!$C$5</f>
        <v>1545.4396926614004</v>
      </c>
      <c r="G233" s="57">
        <f>513.28274558706*Deflactores!$D$5</f>
        <v>1519.3504150249305</v>
      </c>
      <c r="H233" s="57">
        <f>484.041176842189*Deflactores!$E$5</f>
        <v>1358.1369109858676</v>
      </c>
      <c r="I233" s="57">
        <f>445.9750613873*Deflactores!$F$5</f>
        <v>1193.3888849048672</v>
      </c>
      <c r="J233" s="57">
        <f>543.41879807326*Deflactores!$G$5</f>
        <v>1391.8147555913426</v>
      </c>
      <c r="K233" s="57">
        <f>613.04963175731*Deflactores!$H$5</f>
        <v>1485.5599601441556</v>
      </c>
      <c r="L233" s="57">
        <f>638.496980812689*Deflactores!$I$5</f>
        <v>1436.9480012137474</v>
      </c>
      <c r="M233" s="57">
        <f>689.22571005475*Deflactores!$J$5</f>
        <v>1520.6728926282628</v>
      </c>
      <c r="N233" s="57">
        <f>785.418301587579*Deflactores!$K$5</f>
        <v>1679.6421951730138</v>
      </c>
      <c r="O233" s="57">
        <f>380.641325773349*Deflactores!$L$5</f>
        <v>784.76784041705946</v>
      </c>
      <c r="P233" s="57">
        <f>688.167037172011*Deflactores!$M$5</f>
        <v>1384.9993087161881</v>
      </c>
      <c r="Q233" s="57">
        <f>739.49467804159*Deflactores!$N$5</f>
        <v>1459.9773354968347</v>
      </c>
      <c r="R233" s="57">
        <f>1007.10550095219*Deflactores!$O$5</f>
        <v>1918.1158087227163</v>
      </c>
      <c r="S233" s="57">
        <f>1076.504588593*Deflactores!$P$5</f>
        <v>1920.2885800819479</v>
      </c>
      <c r="T233" s="57">
        <f>1057.517455367*Deflactores!$Q$5</f>
        <v>1783.8477394407039</v>
      </c>
      <c r="U233" s="57">
        <f>1633.0119326696*Deflactores!$R$5</f>
        <v>2646.3701392269954</v>
      </c>
      <c r="V233" s="57">
        <f>1620.14685481182*Deflactores!$S$5</f>
        <v>2544.6033099390497</v>
      </c>
    </row>
    <row r="234" spans="2:22" x14ac:dyDescent="0.2">
      <c r="C234" s="87" t="s">
        <v>151</v>
      </c>
      <c r="D234" s="56">
        <f>24.758258785*Deflactores!$A$5</f>
        <v>89.886322438654574</v>
      </c>
      <c r="E234" s="56">
        <f>16.7964772227*Deflactores!$B$5</f>
        <v>56.647992988974941</v>
      </c>
      <c r="F234" s="56">
        <f>6.44750666944*Deflactores!$C$5</f>
        <v>20.32391941687321</v>
      </c>
      <c r="G234" s="56">
        <f>6.84004114453*Deflactores!$D$5</f>
        <v>20.246968052360828</v>
      </c>
      <c r="H234" s="56">
        <f>11.08497780221*Deflactores!$E$5</f>
        <v>31.102555383524177</v>
      </c>
      <c r="I234" s="56">
        <f>7.22431628364*Deflactores!$F$5</f>
        <v>19.331616272700234</v>
      </c>
      <c r="J234" s="56">
        <f>9.91762342587*Deflactores!$G$5</f>
        <v>25.401209294683504</v>
      </c>
      <c r="K234" s="56">
        <f>13.86999891267*Deflactores!$H$5</f>
        <v>33.610190699963404</v>
      </c>
      <c r="L234" s="56">
        <f>0*Deflactores!$I$5</f>
        <v>0</v>
      </c>
      <c r="M234" s="56">
        <f>0*Deflactores!$J$5</f>
        <v>0</v>
      </c>
      <c r="N234" s="56">
        <f>0*Deflactores!$K$5</f>
        <v>0</v>
      </c>
      <c r="O234" s="56">
        <f>0*Deflactores!$L$5</f>
        <v>0</v>
      </c>
      <c r="P234" s="56">
        <f>0*Deflactores!$M$5</f>
        <v>0</v>
      </c>
      <c r="Q234" s="56">
        <f>0*Deflactores!$N$5</f>
        <v>0</v>
      </c>
      <c r="R234" s="56">
        <f>0*Deflactores!$O$5</f>
        <v>0</v>
      </c>
      <c r="S234" s="56">
        <f>0*Deflactores!$P$5</f>
        <v>0</v>
      </c>
      <c r="T234" s="56">
        <f>0*Deflactores!$Q$5</f>
        <v>0</v>
      </c>
      <c r="U234" s="56">
        <f>0*Deflactores!$R$5</f>
        <v>0</v>
      </c>
      <c r="V234" s="56">
        <f>0*Deflactores!$S$5</f>
        <v>0</v>
      </c>
    </row>
    <row r="235" spans="2:22" x14ac:dyDescent="0.2">
      <c r="C235" s="79" t="s">
        <v>152</v>
      </c>
      <c r="D235" s="44">
        <f t="shared" ref="D235:V235" si="63">+SUM(D206:D234)</f>
        <v>10471.225991682762</v>
      </c>
      <c r="E235" s="44">
        <f t="shared" si="63"/>
        <v>11703.528606096086</v>
      </c>
      <c r="F235" s="44">
        <f t="shared" si="63"/>
        <v>10979.523468334082</v>
      </c>
      <c r="G235" s="44">
        <f t="shared" si="63"/>
        <v>10590.138541019727</v>
      </c>
      <c r="H235" s="44">
        <f t="shared" si="63"/>
        <v>16351.871401038654</v>
      </c>
      <c r="I235" s="44">
        <f t="shared" si="63"/>
        <v>16320.178085535941</v>
      </c>
      <c r="J235" s="44">
        <f t="shared" si="63"/>
        <v>12482.276310599907</v>
      </c>
      <c r="K235" s="44">
        <f t="shared" si="63"/>
        <v>13762.726163358129</v>
      </c>
      <c r="L235" s="44">
        <f t="shared" si="63"/>
        <v>15859.278109979703</v>
      </c>
      <c r="M235" s="44">
        <f t="shared" si="63"/>
        <v>19446.46392204977</v>
      </c>
      <c r="N235" s="44">
        <f t="shared" si="63"/>
        <v>20877.203427021923</v>
      </c>
      <c r="O235" s="44">
        <f t="shared" si="63"/>
        <v>18151.774912550216</v>
      </c>
      <c r="P235" s="44">
        <f t="shared" si="63"/>
        <v>20210.484849940662</v>
      </c>
      <c r="Q235" s="44">
        <f t="shared" si="63"/>
        <v>22544.659751771243</v>
      </c>
      <c r="R235" s="44">
        <f t="shared" si="63"/>
        <v>17159.725510260647</v>
      </c>
      <c r="S235" s="44">
        <f t="shared" si="63"/>
        <v>17308.208347703283</v>
      </c>
      <c r="T235" s="44">
        <f t="shared" si="63"/>
        <v>18544.219870734178</v>
      </c>
      <c r="U235" s="44">
        <f t="shared" si="63"/>
        <v>19286.796881601254</v>
      </c>
      <c r="V235" s="44">
        <f t="shared" si="63"/>
        <v>18305.839295732945</v>
      </c>
    </row>
    <row r="236" spans="2:22" x14ac:dyDescent="0.2">
      <c r="C236" s="1" t="s">
        <v>52</v>
      </c>
      <c r="D236" s="12"/>
      <c r="E236" s="12"/>
      <c r="F236" s="12"/>
      <c r="G236" s="12"/>
      <c r="H236" s="13"/>
      <c r="I236" s="13"/>
      <c r="J236" s="13"/>
      <c r="K236" s="13"/>
      <c r="L236" s="13"/>
      <c r="M236" s="13"/>
      <c r="N236" s="13"/>
      <c r="O236" s="13"/>
      <c r="P236" s="13"/>
      <c r="Q236" s="13"/>
      <c r="R236" s="13"/>
      <c r="S236" s="13"/>
      <c r="T236" s="13"/>
      <c r="U236" s="13"/>
    </row>
    <row r="237" spans="2:22" x14ac:dyDescent="0.2">
      <c r="B237" s="9"/>
    </row>
    <row r="240" spans="2:22" ht="18" customHeight="1" x14ac:dyDescent="0.2">
      <c r="D240" s="160" t="s">
        <v>177</v>
      </c>
      <c r="E240" s="158"/>
      <c r="F240" s="158"/>
      <c r="G240" s="158"/>
      <c r="H240" s="158"/>
      <c r="I240" s="158"/>
      <c r="J240" s="158"/>
      <c r="K240" s="158"/>
      <c r="L240" s="158"/>
      <c r="M240" s="158"/>
      <c r="N240" s="158"/>
      <c r="O240" s="158"/>
      <c r="P240" s="158"/>
      <c r="Q240" s="158"/>
      <c r="R240" s="158"/>
      <c r="S240" s="158"/>
      <c r="T240" s="158"/>
      <c r="U240" s="158"/>
      <c r="V240" s="158"/>
    </row>
    <row r="241" spans="3:22" ht="6.75" customHeight="1" x14ac:dyDescent="0.2">
      <c r="H241" s="27"/>
      <c r="I241" s="27"/>
      <c r="J241" s="27"/>
      <c r="L241" s="175"/>
      <c r="M241" s="158"/>
      <c r="N241" s="158"/>
      <c r="O241" s="158"/>
      <c r="P241" s="158"/>
      <c r="Q241" s="158"/>
      <c r="R241" s="28"/>
      <c r="S241" s="28"/>
      <c r="T241" s="28"/>
      <c r="U241" s="28"/>
      <c r="V241" s="28"/>
    </row>
    <row r="242" spans="3:22" x14ac:dyDescent="0.2">
      <c r="D242" s="10"/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</row>
    <row r="243" spans="3:22" ht="13.5" customHeight="1" x14ac:dyDescent="0.2">
      <c r="C243" s="177" t="s">
        <v>120</v>
      </c>
      <c r="D243" s="153">
        <v>2000</v>
      </c>
      <c r="E243" s="153">
        <v>2001</v>
      </c>
      <c r="F243" s="153">
        <v>2002</v>
      </c>
      <c r="G243" s="153">
        <v>2003</v>
      </c>
      <c r="H243" s="153">
        <v>2004</v>
      </c>
      <c r="I243" s="153">
        <v>2005</v>
      </c>
      <c r="J243" s="153">
        <v>2006</v>
      </c>
      <c r="K243" s="153">
        <v>2007</v>
      </c>
      <c r="L243" s="153">
        <v>2008</v>
      </c>
      <c r="M243" s="153">
        <v>2009</v>
      </c>
      <c r="N243" s="153">
        <v>2010</v>
      </c>
      <c r="O243" s="153">
        <v>2011</v>
      </c>
      <c r="P243" s="153">
        <v>2012</v>
      </c>
      <c r="Q243" s="153">
        <v>2013</v>
      </c>
      <c r="R243" s="153">
        <v>2014</v>
      </c>
      <c r="S243" s="153">
        <v>2015</v>
      </c>
      <c r="T243" s="153">
        <v>2016</v>
      </c>
      <c r="U243" s="153">
        <v>2017</v>
      </c>
      <c r="V243" s="153">
        <v>2018</v>
      </c>
    </row>
    <row r="244" spans="3:22" ht="12" customHeight="1" thickBot="1" x14ac:dyDescent="0.25">
      <c r="C244" s="156"/>
      <c r="D244" s="154"/>
      <c r="E244" s="154"/>
      <c r="F244" s="154"/>
      <c r="G244" s="154"/>
      <c r="H244" s="154"/>
      <c r="I244" s="154"/>
      <c r="J244" s="154"/>
      <c r="K244" s="154"/>
      <c r="L244" s="154"/>
      <c r="M244" s="154"/>
      <c r="N244" s="154"/>
      <c r="O244" s="154"/>
      <c r="P244" s="154"/>
      <c r="Q244" s="154"/>
      <c r="R244" s="154"/>
      <c r="S244" s="154"/>
      <c r="T244" s="154"/>
      <c r="U244" s="154"/>
      <c r="V244" s="154"/>
    </row>
    <row r="245" spans="3:22" x14ac:dyDescent="0.2">
      <c r="C245" s="87" t="s">
        <v>123</v>
      </c>
      <c r="D245" s="60">
        <f t="shared" ref="D245:V245" si="64">+IFERROR(IF(D206&gt;0,+((D206/D13)*100)," "),"")</f>
        <v>56.313260486198459</v>
      </c>
      <c r="E245" s="60">
        <f t="shared" si="64"/>
        <v>52.275303060451769</v>
      </c>
      <c r="F245" s="60">
        <f t="shared" si="64"/>
        <v>78.046409487715295</v>
      </c>
      <c r="G245" s="60">
        <f t="shared" si="64"/>
        <v>66.92590796438401</v>
      </c>
      <c r="H245" s="60">
        <f t="shared" si="64"/>
        <v>45.763201077671752</v>
      </c>
      <c r="I245" s="60">
        <f t="shared" si="64"/>
        <v>78.80154925729488</v>
      </c>
      <c r="J245" s="60">
        <f t="shared" si="64"/>
        <v>66.279044158542206</v>
      </c>
      <c r="K245" s="60">
        <f t="shared" si="64"/>
        <v>84.526551316864271</v>
      </c>
      <c r="L245" s="60">
        <f t="shared" si="64"/>
        <v>84.282565598653463</v>
      </c>
      <c r="M245" s="60">
        <f t="shared" si="64"/>
        <v>67.547290624664896</v>
      </c>
      <c r="N245" s="60">
        <f t="shared" si="64"/>
        <v>78.47130150314959</v>
      </c>
      <c r="O245" s="60">
        <f t="shared" si="64"/>
        <v>53.846177000857679</v>
      </c>
      <c r="P245" s="60">
        <f t="shared" si="64"/>
        <v>74.298019558969315</v>
      </c>
      <c r="Q245" s="60">
        <f t="shared" si="64"/>
        <v>63.223122557421384</v>
      </c>
      <c r="R245" s="60">
        <f t="shared" si="64"/>
        <v>74.035580816998873</v>
      </c>
      <c r="S245" s="60">
        <f t="shared" si="64"/>
        <v>64.596598443471237</v>
      </c>
      <c r="T245" s="60">
        <f t="shared" si="64"/>
        <v>87.647271436308259</v>
      </c>
      <c r="U245" s="60">
        <f t="shared" si="64"/>
        <v>88.543225087555754</v>
      </c>
      <c r="V245" s="60">
        <f t="shared" si="64"/>
        <v>83.767760191887604</v>
      </c>
    </row>
    <row r="246" spans="3:22" x14ac:dyDescent="0.2">
      <c r="C246" s="88" t="s">
        <v>124</v>
      </c>
      <c r="D246" s="62">
        <f t="shared" ref="D246:V246" si="65">+IFERROR(IF(D207&gt;0,+((D207/D14)*100)," "),"")</f>
        <v>43.739809960934075</v>
      </c>
      <c r="E246" s="62">
        <f t="shared" si="65"/>
        <v>26.762048084415586</v>
      </c>
      <c r="F246" s="62">
        <f t="shared" si="65"/>
        <v>43.179169468019261</v>
      </c>
      <c r="G246" s="62">
        <f t="shared" si="65"/>
        <v>33.705619655992301</v>
      </c>
      <c r="H246" s="62">
        <f t="shared" si="65"/>
        <v>22.654770698161396</v>
      </c>
      <c r="I246" s="62">
        <f t="shared" si="65"/>
        <v>55.830461300946389</v>
      </c>
      <c r="J246" s="62">
        <f t="shared" si="65"/>
        <v>66.288783659173262</v>
      </c>
      <c r="K246" s="62">
        <f t="shared" si="65"/>
        <v>78.07091556642537</v>
      </c>
      <c r="L246" s="62">
        <f t="shared" si="65"/>
        <v>67.595118027661783</v>
      </c>
      <c r="M246" s="62">
        <f t="shared" si="65"/>
        <v>74.082523029489337</v>
      </c>
      <c r="N246" s="62">
        <f t="shared" si="65"/>
        <v>73.230839858023444</v>
      </c>
      <c r="O246" s="62">
        <f t="shared" si="65"/>
        <v>74.153479076073808</v>
      </c>
      <c r="P246" s="62">
        <f t="shared" si="65"/>
        <v>80.157042107737027</v>
      </c>
      <c r="Q246" s="62">
        <f t="shared" si="65"/>
        <v>74.370779722845583</v>
      </c>
      <c r="R246" s="62">
        <f t="shared" si="65"/>
        <v>80.45899654198675</v>
      </c>
      <c r="S246" s="62">
        <f t="shared" si="65"/>
        <v>71.462796424249134</v>
      </c>
      <c r="T246" s="62">
        <f t="shared" si="65"/>
        <v>83.995280951245874</v>
      </c>
      <c r="U246" s="62">
        <f t="shared" si="65"/>
        <v>88.204530891330322</v>
      </c>
      <c r="V246" s="62">
        <f t="shared" si="65"/>
        <v>95.052834657178195</v>
      </c>
    </row>
    <row r="247" spans="3:22" x14ac:dyDescent="0.2">
      <c r="C247" s="87" t="s">
        <v>125</v>
      </c>
      <c r="D247" s="60">
        <f t="shared" ref="D247:V247" si="66">+IFERROR(IF(D208&gt;0,+((D208/D15)*100)," "),"")</f>
        <v>45.595400582183657</v>
      </c>
      <c r="E247" s="60">
        <f t="shared" si="66"/>
        <v>32.792224905276441</v>
      </c>
      <c r="F247" s="60">
        <f t="shared" si="66"/>
        <v>40.327333593281942</v>
      </c>
      <c r="G247" s="60">
        <f t="shared" si="66"/>
        <v>13.181369607600413</v>
      </c>
      <c r="H247" s="60">
        <f t="shared" si="66"/>
        <v>10.332093624802461</v>
      </c>
      <c r="I247" s="60">
        <f t="shared" si="66"/>
        <v>28.011295056740593</v>
      </c>
      <c r="J247" s="60">
        <f t="shared" si="66"/>
        <v>3.7902273335306345</v>
      </c>
      <c r="K247" s="60">
        <f t="shared" si="66"/>
        <v>33.312401990709859</v>
      </c>
      <c r="L247" s="60">
        <f t="shared" si="66"/>
        <v>28.700853182679946</v>
      </c>
      <c r="M247" s="60">
        <f t="shared" si="66"/>
        <v>90.720005825894006</v>
      </c>
      <c r="N247" s="60" t="str">
        <f t="shared" si="66"/>
        <v xml:space="preserve"> </v>
      </c>
      <c r="O247" s="60" t="str">
        <f t="shared" si="66"/>
        <v xml:space="preserve"> </v>
      </c>
      <c r="P247" s="60" t="str">
        <f t="shared" si="66"/>
        <v xml:space="preserve"> </v>
      </c>
      <c r="Q247" s="60" t="str">
        <f t="shared" si="66"/>
        <v xml:space="preserve"> </v>
      </c>
      <c r="R247" s="60" t="str">
        <f t="shared" si="66"/>
        <v xml:space="preserve"> </v>
      </c>
      <c r="S247" s="60" t="str">
        <f t="shared" si="66"/>
        <v xml:space="preserve"> </v>
      </c>
      <c r="T247" s="60" t="str">
        <f t="shared" si="66"/>
        <v xml:space="preserve"> </v>
      </c>
      <c r="U247" s="60" t="str">
        <f t="shared" si="66"/>
        <v xml:space="preserve"> </v>
      </c>
      <c r="V247" s="60" t="str">
        <f t="shared" si="66"/>
        <v xml:space="preserve"> </v>
      </c>
    </row>
    <row r="248" spans="3:22" x14ac:dyDescent="0.2">
      <c r="C248" s="88" t="s">
        <v>126</v>
      </c>
      <c r="D248" s="62">
        <f t="shared" ref="D248:V248" si="67">+IFERROR(IF(D209&gt;0,+((D209/D16)*100)," "),"")</f>
        <v>94.04808381654091</v>
      </c>
      <c r="E248" s="62">
        <f t="shared" si="67"/>
        <v>83.04113462587398</v>
      </c>
      <c r="F248" s="62">
        <f t="shared" si="67"/>
        <v>75.689729473616197</v>
      </c>
      <c r="G248" s="62">
        <f t="shared" si="67"/>
        <v>87.4350422852566</v>
      </c>
      <c r="H248" s="62">
        <f t="shared" si="67"/>
        <v>81.349718286002059</v>
      </c>
      <c r="I248" s="62">
        <f t="shared" si="67"/>
        <v>84.454773256353562</v>
      </c>
      <c r="J248" s="62">
        <f t="shared" si="67"/>
        <v>85.150918710533446</v>
      </c>
      <c r="K248" s="62">
        <f t="shared" si="67"/>
        <v>87.951475126771044</v>
      </c>
      <c r="L248" s="62">
        <f t="shared" si="67"/>
        <v>87.179806900785479</v>
      </c>
      <c r="M248" s="62">
        <f t="shared" si="67"/>
        <v>90.606217333651358</v>
      </c>
      <c r="N248" s="62">
        <f t="shared" si="67"/>
        <v>87.447647803392499</v>
      </c>
      <c r="O248" s="62">
        <f t="shared" si="67"/>
        <v>77.793134373730339</v>
      </c>
      <c r="P248" s="62">
        <f t="shared" si="67"/>
        <v>81.480982327031242</v>
      </c>
      <c r="Q248" s="62">
        <f t="shared" si="67"/>
        <v>79.776975595306794</v>
      </c>
      <c r="R248" s="62">
        <f t="shared" si="67"/>
        <v>87.563372046534084</v>
      </c>
      <c r="S248" s="62">
        <f t="shared" si="67"/>
        <v>89.997073205732818</v>
      </c>
      <c r="T248" s="62">
        <f t="shared" si="67"/>
        <v>92.904105909541926</v>
      </c>
      <c r="U248" s="62">
        <f t="shared" si="67"/>
        <v>91.286200309858074</v>
      </c>
      <c r="V248" s="62">
        <f t="shared" si="67"/>
        <v>90.887217168676059</v>
      </c>
    </row>
    <row r="249" spans="3:22" x14ac:dyDescent="0.2">
      <c r="C249" s="87" t="s">
        <v>127</v>
      </c>
      <c r="D249" s="60" t="str">
        <f t="shared" ref="D249:V249" si="68">+IFERROR(IF(D210&gt;0,+((D210/D17)*100)," "),"")</f>
        <v xml:space="preserve"> </v>
      </c>
      <c r="E249" s="60" t="str">
        <f t="shared" si="68"/>
        <v xml:space="preserve"> </v>
      </c>
      <c r="F249" s="60" t="str">
        <f t="shared" si="68"/>
        <v xml:space="preserve"> </v>
      </c>
      <c r="G249" s="60" t="str">
        <f t="shared" si="68"/>
        <v xml:space="preserve"> </v>
      </c>
      <c r="H249" s="60" t="str">
        <f t="shared" si="68"/>
        <v xml:space="preserve"> </v>
      </c>
      <c r="I249" s="60" t="str">
        <f t="shared" si="68"/>
        <v xml:space="preserve"> </v>
      </c>
      <c r="J249" s="60" t="str">
        <f t="shared" si="68"/>
        <v xml:space="preserve"> </v>
      </c>
      <c r="K249" s="60" t="str">
        <f t="shared" si="68"/>
        <v xml:space="preserve"> </v>
      </c>
      <c r="L249" s="60" t="str">
        <f t="shared" si="68"/>
        <v xml:space="preserve"> </v>
      </c>
      <c r="M249" s="60" t="str">
        <f t="shared" si="68"/>
        <v xml:space="preserve"> </v>
      </c>
      <c r="N249" s="60" t="str">
        <f t="shared" si="68"/>
        <v xml:space="preserve"> </v>
      </c>
      <c r="O249" s="60" t="str">
        <f t="shared" si="68"/>
        <v xml:space="preserve"> </v>
      </c>
      <c r="P249" s="60" t="str">
        <f t="shared" si="68"/>
        <v xml:space="preserve"> </v>
      </c>
      <c r="Q249" s="60" t="str">
        <f t="shared" si="68"/>
        <v xml:space="preserve"> </v>
      </c>
      <c r="R249" s="60" t="str">
        <f t="shared" si="68"/>
        <v xml:space="preserve"> </v>
      </c>
      <c r="S249" s="60" t="str">
        <f t="shared" si="68"/>
        <v xml:space="preserve"> </v>
      </c>
      <c r="T249" s="60" t="str">
        <f t="shared" si="68"/>
        <v xml:space="preserve"> </v>
      </c>
      <c r="U249" s="60" t="str">
        <f t="shared" si="68"/>
        <v xml:space="preserve"> </v>
      </c>
      <c r="V249" s="60" t="str">
        <f t="shared" si="68"/>
        <v xml:space="preserve"> </v>
      </c>
    </row>
    <row r="250" spans="3:22" x14ac:dyDescent="0.2">
      <c r="C250" s="88" t="s">
        <v>128</v>
      </c>
      <c r="D250" s="62">
        <f t="shared" ref="D250:V250" si="69">+IFERROR(IF(D211&gt;0,+((D211/D18)*100)," "),"")</f>
        <v>80.163487340653063</v>
      </c>
      <c r="E250" s="62">
        <f t="shared" si="69"/>
        <v>82.198815828070082</v>
      </c>
      <c r="F250" s="62">
        <f t="shared" si="69"/>
        <v>74.189484445591731</v>
      </c>
      <c r="G250" s="62">
        <f t="shared" si="69"/>
        <v>53.59285572298883</v>
      </c>
      <c r="H250" s="62">
        <f t="shared" si="69"/>
        <v>50.917583069526017</v>
      </c>
      <c r="I250" s="62">
        <f t="shared" si="69"/>
        <v>61.755679522397841</v>
      </c>
      <c r="J250" s="62">
        <f t="shared" si="69"/>
        <v>13.483791395540983</v>
      </c>
      <c r="K250" s="62">
        <f t="shared" si="69"/>
        <v>45.786228461746894</v>
      </c>
      <c r="L250" s="62">
        <f t="shared" si="69"/>
        <v>67.222068096108984</v>
      </c>
      <c r="M250" s="62">
        <f t="shared" si="69"/>
        <v>32.436473561329741</v>
      </c>
      <c r="N250" s="62">
        <f t="shared" si="69"/>
        <v>78.895772183462299</v>
      </c>
      <c r="O250" s="62">
        <f t="shared" si="69"/>
        <v>74.153301249393706</v>
      </c>
      <c r="P250" s="62">
        <f t="shared" si="69"/>
        <v>90.455634295991828</v>
      </c>
      <c r="Q250" s="62">
        <f t="shared" si="69"/>
        <v>84.921168421735601</v>
      </c>
      <c r="R250" s="62">
        <f t="shared" si="69"/>
        <v>91.097372689057806</v>
      </c>
      <c r="S250" s="62">
        <f t="shared" si="69"/>
        <v>74.743068517931178</v>
      </c>
      <c r="T250" s="62">
        <f t="shared" si="69"/>
        <v>91.675551876892541</v>
      </c>
      <c r="U250" s="62">
        <f t="shared" si="69"/>
        <v>92.569687956106279</v>
      </c>
      <c r="V250" s="62">
        <f t="shared" si="69"/>
        <v>91.621984230757235</v>
      </c>
    </row>
    <row r="251" spans="3:22" x14ac:dyDescent="0.2">
      <c r="C251" s="87" t="s">
        <v>129</v>
      </c>
      <c r="D251" s="60">
        <f t="shared" ref="D251:V251" si="70">+IFERROR(IF(D212&gt;0,+((D212/D19)*100)," "),"")</f>
        <v>69.267109144825241</v>
      </c>
      <c r="E251" s="60">
        <f t="shared" si="70"/>
        <v>75.707683341149917</v>
      </c>
      <c r="F251" s="60">
        <f t="shared" si="70"/>
        <v>72.518563883569556</v>
      </c>
      <c r="G251" s="60">
        <f t="shared" si="70"/>
        <v>75.911896833365915</v>
      </c>
      <c r="H251" s="60">
        <f t="shared" si="70"/>
        <v>79.305130903406749</v>
      </c>
      <c r="I251" s="60">
        <f t="shared" si="70"/>
        <v>77.41183939099551</v>
      </c>
      <c r="J251" s="60">
        <f t="shared" si="70"/>
        <v>65.394706763478567</v>
      </c>
      <c r="K251" s="60">
        <f t="shared" si="70"/>
        <v>82.785523750772398</v>
      </c>
      <c r="L251" s="60">
        <f t="shared" si="70"/>
        <v>86.695981890020448</v>
      </c>
      <c r="M251" s="60">
        <f t="shared" si="70"/>
        <v>83.392946528919097</v>
      </c>
      <c r="N251" s="60">
        <f t="shared" si="70"/>
        <v>85.644585777008857</v>
      </c>
      <c r="O251" s="60">
        <f t="shared" si="70"/>
        <v>75.458491674018617</v>
      </c>
      <c r="P251" s="60">
        <f t="shared" si="70"/>
        <v>73.063488072133069</v>
      </c>
      <c r="Q251" s="60">
        <f t="shared" si="70"/>
        <v>74.547238053503932</v>
      </c>
      <c r="R251" s="60">
        <f t="shared" si="70"/>
        <v>80.387743389410247</v>
      </c>
      <c r="S251" s="60">
        <f t="shared" si="70"/>
        <v>79.543466048779905</v>
      </c>
      <c r="T251" s="60">
        <f t="shared" si="70"/>
        <v>84.51229002515737</v>
      </c>
      <c r="U251" s="60">
        <f t="shared" si="70"/>
        <v>87.686044082189525</v>
      </c>
      <c r="V251" s="60">
        <f t="shared" si="70"/>
        <v>83.559919975059685</v>
      </c>
    </row>
    <row r="252" spans="3:22" x14ac:dyDescent="0.2">
      <c r="C252" s="88" t="s">
        <v>130</v>
      </c>
      <c r="D252" s="62">
        <f t="shared" ref="D252:V252" si="71">+IFERROR(IF(D213&gt;0,+((D213/D20)*100)," "),"")</f>
        <v>73.428092739234415</v>
      </c>
      <c r="E252" s="62">
        <f t="shared" si="71"/>
        <v>74.681216071764581</v>
      </c>
      <c r="F252" s="62">
        <f t="shared" si="71"/>
        <v>47.078652933886531</v>
      </c>
      <c r="G252" s="62">
        <f t="shared" si="71"/>
        <v>64.276370682826638</v>
      </c>
      <c r="H252" s="62">
        <f t="shared" si="71"/>
        <v>46.967130039141168</v>
      </c>
      <c r="I252" s="62">
        <f t="shared" si="71"/>
        <v>79.92391330769523</v>
      </c>
      <c r="J252" s="62">
        <f t="shared" si="71"/>
        <v>83.250260495232183</v>
      </c>
      <c r="K252" s="62">
        <f t="shared" si="71"/>
        <v>86.63886629636805</v>
      </c>
      <c r="L252" s="62">
        <f t="shared" si="71"/>
        <v>82.81289528545868</v>
      </c>
      <c r="M252" s="62">
        <f t="shared" si="71"/>
        <v>57.465901235985072</v>
      </c>
      <c r="N252" s="62">
        <f t="shared" si="71"/>
        <v>82.446692532602199</v>
      </c>
      <c r="O252" s="62">
        <f t="shared" si="71"/>
        <v>65.702226840516815</v>
      </c>
      <c r="P252" s="62" t="str">
        <f t="shared" si="71"/>
        <v xml:space="preserve"> </v>
      </c>
      <c r="Q252" s="62" t="str">
        <f t="shared" si="71"/>
        <v xml:space="preserve"> </v>
      </c>
      <c r="R252" s="62" t="str">
        <f t="shared" si="71"/>
        <v xml:space="preserve"> </v>
      </c>
      <c r="S252" s="62" t="str">
        <f t="shared" si="71"/>
        <v xml:space="preserve"> </v>
      </c>
      <c r="T252" s="62" t="str">
        <f t="shared" si="71"/>
        <v xml:space="preserve"> </v>
      </c>
      <c r="U252" s="62" t="str">
        <f t="shared" si="71"/>
        <v xml:space="preserve"> </v>
      </c>
      <c r="V252" s="62" t="str">
        <f t="shared" si="71"/>
        <v xml:space="preserve"> </v>
      </c>
    </row>
    <row r="253" spans="3:22" x14ac:dyDescent="0.2">
      <c r="C253" s="87" t="s">
        <v>131</v>
      </c>
      <c r="D253" s="60">
        <f t="shared" ref="D253:V253" si="72">+IFERROR(IF(D214&gt;0,+((D214/D21)*100)," "),"")</f>
        <v>84.226702668897531</v>
      </c>
      <c r="E253" s="60">
        <f t="shared" si="72"/>
        <v>87.762165143200193</v>
      </c>
      <c r="F253" s="60">
        <f t="shared" si="72"/>
        <v>84.316628817142387</v>
      </c>
      <c r="G253" s="60">
        <f t="shared" si="72"/>
        <v>81.846035809505196</v>
      </c>
      <c r="H253" s="60">
        <f t="shared" si="72"/>
        <v>73.083755141193052</v>
      </c>
      <c r="I253" s="60">
        <f t="shared" si="72"/>
        <v>64.751711952948085</v>
      </c>
      <c r="J253" s="60">
        <f t="shared" si="72"/>
        <v>49.316608535485159</v>
      </c>
      <c r="K253" s="60">
        <f t="shared" si="72"/>
        <v>79.076835863273971</v>
      </c>
      <c r="L253" s="60">
        <f t="shared" si="72"/>
        <v>79.888293520300707</v>
      </c>
      <c r="M253" s="60">
        <f t="shared" si="72"/>
        <v>84.434216810543631</v>
      </c>
      <c r="N253" s="60">
        <f t="shared" si="72"/>
        <v>71.17637580844611</v>
      </c>
      <c r="O253" s="60">
        <f t="shared" si="72"/>
        <v>61.88994336225484</v>
      </c>
      <c r="P253" s="60">
        <f t="shared" si="72"/>
        <v>79.505353823272927</v>
      </c>
      <c r="Q253" s="60">
        <f t="shared" si="72"/>
        <v>67.921191976300747</v>
      </c>
      <c r="R253" s="60">
        <f t="shared" si="72"/>
        <v>78.411844662513204</v>
      </c>
      <c r="S253" s="60">
        <f t="shared" si="72"/>
        <v>78.544116866188347</v>
      </c>
      <c r="T253" s="60">
        <f t="shared" si="72"/>
        <v>77.881265037326344</v>
      </c>
      <c r="U253" s="60">
        <f t="shared" si="72"/>
        <v>69.815523571576406</v>
      </c>
      <c r="V253" s="60">
        <f t="shared" si="72"/>
        <v>85.415162562113807</v>
      </c>
    </row>
    <row r="254" spans="3:22" x14ac:dyDescent="0.2">
      <c r="C254" s="88" t="s">
        <v>132</v>
      </c>
      <c r="D254" s="62">
        <f t="shared" ref="D254:V254" si="73">+IFERROR(IF(D215&gt;0,+((D215/D22)*100)," "),"")</f>
        <v>86.249259097143735</v>
      </c>
      <c r="E254" s="62">
        <f t="shared" si="73"/>
        <v>63.275108630778632</v>
      </c>
      <c r="F254" s="62">
        <f t="shared" si="73"/>
        <v>75.501198047065287</v>
      </c>
      <c r="G254" s="62">
        <f t="shared" si="73"/>
        <v>85.07641125702628</v>
      </c>
      <c r="H254" s="62">
        <f t="shared" si="73"/>
        <v>74.032167165168971</v>
      </c>
      <c r="I254" s="62">
        <f t="shared" si="73"/>
        <v>87.537333724138833</v>
      </c>
      <c r="J254" s="62">
        <f t="shared" si="73"/>
        <v>69.398176732160621</v>
      </c>
      <c r="K254" s="62">
        <f t="shared" si="73"/>
        <v>44.009997199608812</v>
      </c>
      <c r="L254" s="62">
        <f t="shared" si="73"/>
        <v>55.943694981896606</v>
      </c>
      <c r="M254" s="62">
        <f t="shared" si="73"/>
        <v>56.319881531303196</v>
      </c>
      <c r="N254" s="62">
        <f t="shared" si="73"/>
        <v>60.828500558467091</v>
      </c>
      <c r="O254" s="62">
        <f t="shared" si="73"/>
        <v>47.795443161073891</v>
      </c>
      <c r="P254" s="62">
        <f t="shared" si="73"/>
        <v>63.489969876042707</v>
      </c>
      <c r="Q254" s="62">
        <f t="shared" si="73"/>
        <v>63.233523323569926</v>
      </c>
      <c r="R254" s="62">
        <f t="shared" si="73"/>
        <v>58.793524913629305</v>
      </c>
      <c r="S254" s="62">
        <f t="shared" si="73"/>
        <v>66.407325931834421</v>
      </c>
      <c r="T254" s="62">
        <f t="shared" si="73"/>
        <v>82.838707649420655</v>
      </c>
      <c r="U254" s="62">
        <f t="shared" si="73"/>
        <v>83.651182868425053</v>
      </c>
      <c r="V254" s="62">
        <f t="shared" si="73"/>
        <v>85.175959228196703</v>
      </c>
    </row>
    <row r="255" spans="3:22" x14ac:dyDescent="0.2">
      <c r="C255" s="87" t="s">
        <v>133</v>
      </c>
      <c r="D255" s="60">
        <f t="shared" ref="D255:V255" si="74">+IFERROR(IF(D216&gt;0,+((D216/D23)*100)," "),"")</f>
        <v>48.873205038815549</v>
      </c>
      <c r="E255" s="60">
        <f t="shared" si="74"/>
        <v>32.655861478276471</v>
      </c>
      <c r="F255" s="60">
        <f t="shared" si="74"/>
        <v>74.790810853604341</v>
      </c>
      <c r="G255" s="60">
        <f t="shared" si="74"/>
        <v>22.575940656311875</v>
      </c>
      <c r="H255" s="60">
        <f t="shared" si="74"/>
        <v>27.363141754874519</v>
      </c>
      <c r="I255" s="60">
        <f t="shared" si="74"/>
        <v>84.792660759509644</v>
      </c>
      <c r="J255" s="60">
        <f t="shared" si="74"/>
        <v>53.452017330618894</v>
      </c>
      <c r="K255" s="60">
        <f t="shared" si="74"/>
        <v>51.013837295738199</v>
      </c>
      <c r="L255" s="60">
        <f t="shared" si="74"/>
        <v>65.880641599353481</v>
      </c>
      <c r="M255" s="60">
        <f t="shared" si="74"/>
        <v>83.872309543428685</v>
      </c>
      <c r="N255" s="60">
        <f t="shared" si="74"/>
        <v>60.276920292373426</v>
      </c>
      <c r="O255" s="60">
        <f t="shared" si="74"/>
        <v>29.467029643724985</v>
      </c>
      <c r="P255" s="60">
        <f t="shared" si="74"/>
        <v>64.609470526839985</v>
      </c>
      <c r="Q255" s="60">
        <f t="shared" si="74"/>
        <v>41.557444632554393</v>
      </c>
      <c r="R255" s="60">
        <f t="shared" si="74"/>
        <v>63.514560107522634</v>
      </c>
      <c r="S255" s="60">
        <f t="shared" si="74"/>
        <v>26.385607888338264</v>
      </c>
      <c r="T255" s="60">
        <f t="shared" si="74"/>
        <v>32.336742476404154</v>
      </c>
      <c r="U255" s="60">
        <f t="shared" si="74"/>
        <v>44.20954745908751</v>
      </c>
      <c r="V255" s="60">
        <f t="shared" si="74"/>
        <v>44.083770939274807</v>
      </c>
    </row>
    <row r="256" spans="3:22" x14ac:dyDescent="0.2">
      <c r="C256" s="88" t="s">
        <v>134</v>
      </c>
      <c r="D256" s="62">
        <f t="shared" ref="D256:V256" si="75">+IFERROR(IF(D217&gt;0,+((D217/D24)*100)," "),"")</f>
        <v>65.751283878505618</v>
      </c>
      <c r="E256" s="62">
        <f t="shared" si="75"/>
        <v>83.421372067239275</v>
      </c>
      <c r="F256" s="62">
        <f t="shared" si="75"/>
        <v>82.202988822093218</v>
      </c>
      <c r="G256" s="62">
        <f t="shared" si="75"/>
        <v>83.311350251758569</v>
      </c>
      <c r="H256" s="62">
        <f t="shared" si="75"/>
        <v>84.564891889593454</v>
      </c>
      <c r="I256" s="62">
        <f t="shared" si="75"/>
        <v>77.807902147758583</v>
      </c>
      <c r="J256" s="62">
        <f t="shared" si="75"/>
        <v>85.980938656488306</v>
      </c>
      <c r="K256" s="62">
        <f t="shared" si="75"/>
        <v>81.742564202979096</v>
      </c>
      <c r="L256" s="62">
        <f t="shared" si="75"/>
        <v>86.428610617279361</v>
      </c>
      <c r="M256" s="62">
        <f t="shared" si="75"/>
        <v>85.456617352676389</v>
      </c>
      <c r="N256" s="62">
        <f t="shared" si="75"/>
        <v>87.723520706068101</v>
      </c>
      <c r="O256" s="62">
        <f t="shared" si="75"/>
        <v>87.575678226425495</v>
      </c>
      <c r="P256" s="62">
        <f t="shared" si="75"/>
        <v>84.32997716787996</v>
      </c>
      <c r="Q256" s="62">
        <f t="shared" si="75"/>
        <v>76.152216725333062</v>
      </c>
      <c r="R256" s="62">
        <f t="shared" si="75"/>
        <v>69.24351905573964</v>
      </c>
      <c r="S256" s="62">
        <f t="shared" si="75"/>
        <v>67.945802308589805</v>
      </c>
      <c r="T256" s="62">
        <f t="shared" si="75"/>
        <v>74.107766248366602</v>
      </c>
      <c r="U256" s="62">
        <f t="shared" si="75"/>
        <v>75.143076163387548</v>
      </c>
      <c r="V256" s="62">
        <f t="shared" si="75"/>
        <v>77.615998572351174</v>
      </c>
    </row>
    <row r="257" spans="3:22" x14ac:dyDescent="0.2">
      <c r="C257" s="87" t="s">
        <v>135</v>
      </c>
      <c r="D257" s="60"/>
      <c r="E257" s="60"/>
      <c r="F257" s="60"/>
      <c r="G257" s="60"/>
      <c r="H257" s="60"/>
      <c r="I257" s="60"/>
      <c r="J257" s="60"/>
      <c r="K257" s="60"/>
      <c r="L257" s="60"/>
      <c r="M257" s="60"/>
      <c r="N257" s="60"/>
      <c r="O257" s="60"/>
      <c r="P257" s="60"/>
      <c r="Q257" s="60"/>
      <c r="R257" s="60"/>
      <c r="S257" s="60"/>
      <c r="T257" s="60"/>
      <c r="U257" s="60"/>
      <c r="V257" s="60"/>
    </row>
    <row r="258" spans="3:22" x14ac:dyDescent="0.2">
      <c r="C258" s="88" t="s">
        <v>136</v>
      </c>
      <c r="D258" s="62">
        <f t="shared" ref="D258:V258" si="76">+IFERROR(IF(D219&gt;0,+((D219/D26)*100)," "),"")</f>
        <v>71.972931888010223</v>
      </c>
      <c r="E258" s="62">
        <f t="shared" si="76"/>
        <v>76.457655668144042</v>
      </c>
      <c r="F258" s="62">
        <f t="shared" si="76"/>
        <v>81.785789952716016</v>
      </c>
      <c r="G258" s="62">
        <f t="shared" si="76"/>
        <v>83.612965056374051</v>
      </c>
      <c r="H258" s="62">
        <f t="shared" si="76"/>
        <v>86.858269804671295</v>
      </c>
      <c r="I258" s="62">
        <f t="shared" si="76"/>
        <v>89.608161973192267</v>
      </c>
      <c r="J258" s="62">
        <f t="shared" si="76"/>
        <v>82.536509524190706</v>
      </c>
      <c r="K258" s="62">
        <f t="shared" si="76"/>
        <v>72.559135537056605</v>
      </c>
      <c r="L258" s="62">
        <f t="shared" si="76"/>
        <v>85.81496061884603</v>
      </c>
      <c r="M258" s="62">
        <f t="shared" si="76"/>
        <v>87.889723691634941</v>
      </c>
      <c r="N258" s="62">
        <f t="shared" si="76"/>
        <v>85.192730576003029</v>
      </c>
      <c r="O258" s="62">
        <f t="shared" si="76"/>
        <v>67.396322874849872</v>
      </c>
      <c r="P258" s="62">
        <f t="shared" si="76"/>
        <v>88.565383748304981</v>
      </c>
      <c r="Q258" s="62">
        <f t="shared" si="76"/>
        <v>87.974453698711386</v>
      </c>
      <c r="R258" s="62">
        <f t="shared" si="76"/>
        <v>89.180401476795083</v>
      </c>
      <c r="S258" s="62">
        <f t="shared" si="76"/>
        <v>86.029547637105921</v>
      </c>
      <c r="T258" s="62">
        <f t="shared" si="76"/>
        <v>93.628700715812613</v>
      </c>
      <c r="U258" s="62">
        <f t="shared" si="76"/>
        <v>94.703718791925894</v>
      </c>
      <c r="V258" s="62">
        <f t="shared" si="76"/>
        <v>92.891577185842991</v>
      </c>
    </row>
    <row r="259" spans="3:22" x14ac:dyDescent="0.2">
      <c r="C259" s="87" t="s">
        <v>137</v>
      </c>
      <c r="D259" s="60">
        <f t="shared" ref="D259:V259" si="77">+IFERROR(IF(D220&gt;0,+((D220/D27)*100)," "),"")</f>
        <v>71.077214531759068</v>
      </c>
      <c r="E259" s="60">
        <f t="shared" si="77"/>
        <v>66.355429150902594</v>
      </c>
      <c r="F259" s="60">
        <f t="shared" si="77"/>
        <v>77.914163624125706</v>
      </c>
      <c r="G259" s="60">
        <f t="shared" si="77"/>
        <v>62.697874316326022</v>
      </c>
      <c r="H259" s="60">
        <f t="shared" si="77"/>
        <v>52.482676637786206</v>
      </c>
      <c r="I259" s="60">
        <f t="shared" si="77"/>
        <v>40.076967381577724</v>
      </c>
      <c r="J259" s="60">
        <f t="shared" si="77"/>
        <v>66.256008364409396</v>
      </c>
      <c r="K259" s="60">
        <f t="shared" si="77"/>
        <v>86.833121358224858</v>
      </c>
      <c r="L259" s="60">
        <f t="shared" si="77"/>
        <v>68.41430433703583</v>
      </c>
      <c r="M259" s="60">
        <f t="shared" si="77"/>
        <v>69.045299115848678</v>
      </c>
      <c r="N259" s="60">
        <f t="shared" si="77"/>
        <v>56.760797592575798</v>
      </c>
      <c r="O259" s="60">
        <f t="shared" si="77"/>
        <v>64.68236919109458</v>
      </c>
      <c r="P259" s="60">
        <f t="shared" si="77"/>
        <v>71.371861610160266</v>
      </c>
      <c r="Q259" s="60">
        <f t="shared" si="77"/>
        <v>67.554028311327485</v>
      </c>
      <c r="R259" s="60">
        <f t="shared" si="77"/>
        <v>76.957761555526233</v>
      </c>
      <c r="S259" s="60">
        <f t="shared" si="77"/>
        <v>75.490146204605367</v>
      </c>
      <c r="T259" s="60">
        <f t="shared" si="77"/>
        <v>75.319994591269364</v>
      </c>
      <c r="U259" s="60">
        <f t="shared" si="77"/>
        <v>76.312586338484849</v>
      </c>
      <c r="V259" s="60">
        <f t="shared" si="77"/>
        <v>72.286419826871125</v>
      </c>
    </row>
    <row r="260" spans="3:22" x14ac:dyDescent="0.2">
      <c r="C260" s="88" t="s">
        <v>138</v>
      </c>
      <c r="D260" s="62">
        <f t="shared" ref="D260:V260" si="78">+IFERROR(IF(D221&gt;0,+((D221/D28)*100)," "),"")</f>
        <v>85.296591108360701</v>
      </c>
      <c r="E260" s="62">
        <f t="shared" si="78"/>
        <v>77.289135320987143</v>
      </c>
      <c r="F260" s="62">
        <f t="shared" si="78"/>
        <v>81.152860886342154</v>
      </c>
      <c r="G260" s="62">
        <f t="shared" si="78"/>
        <v>39.490543589015978</v>
      </c>
      <c r="H260" s="62">
        <f t="shared" si="78"/>
        <v>51.063474063112444</v>
      </c>
      <c r="I260" s="62">
        <f t="shared" si="78"/>
        <v>39.342365180278286</v>
      </c>
      <c r="J260" s="62">
        <f t="shared" si="78"/>
        <v>29.875248874987815</v>
      </c>
      <c r="K260" s="62">
        <f t="shared" si="78"/>
        <v>76.722603823445709</v>
      </c>
      <c r="L260" s="62">
        <f t="shared" si="78"/>
        <v>65.912709039392595</v>
      </c>
      <c r="M260" s="62">
        <f t="shared" si="78"/>
        <v>46.538704616909818</v>
      </c>
      <c r="N260" s="62">
        <f t="shared" si="78"/>
        <v>43.532883831172136</v>
      </c>
      <c r="O260" s="62">
        <f t="shared" si="78"/>
        <v>49.737919023495778</v>
      </c>
      <c r="P260" s="62">
        <f t="shared" si="78"/>
        <v>84.554755673358699</v>
      </c>
      <c r="Q260" s="62">
        <f t="shared" si="78"/>
        <v>93.260434084807059</v>
      </c>
      <c r="R260" s="62">
        <f t="shared" si="78"/>
        <v>81.154889454033309</v>
      </c>
      <c r="S260" s="62" t="str">
        <f t="shared" si="78"/>
        <v xml:space="preserve"> </v>
      </c>
      <c r="T260" s="62" t="str">
        <f t="shared" si="78"/>
        <v xml:space="preserve"> </v>
      </c>
      <c r="U260" s="62" t="str">
        <f t="shared" si="78"/>
        <v xml:space="preserve"> </v>
      </c>
      <c r="V260" s="62" t="str">
        <f t="shared" si="78"/>
        <v xml:space="preserve"> </v>
      </c>
    </row>
    <row r="261" spans="3:22" x14ac:dyDescent="0.2">
      <c r="C261" s="87" t="s">
        <v>139</v>
      </c>
      <c r="D261" s="60">
        <f t="shared" ref="D261:V261" si="79">+IFERROR(IF(D222&gt;0,+((D222/D29)*100)," "),"")</f>
        <v>72.652741762634349</v>
      </c>
      <c r="E261" s="60">
        <f t="shared" si="79"/>
        <v>65.993682370071383</v>
      </c>
      <c r="F261" s="60">
        <f t="shared" si="79"/>
        <v>80.301909893586114</v>
      </c>
      <c r="G261" s="60">
        <f t="shared" si="79"/>
        <v>73.752247566891143</v>
      </c>
      <c r="H261" s="60">
        <f t="shared" si="79"/>
        <v>54.882332684735069</v>
      </c>
      <c r="I261" s="60">
        <f t="shared" si="79"/>
        <v>77.988720748303535</v>
      </c>
      <c r="J261" s="60">
        <f t="shared" si="79"/>
        <v>75.276820843852121</v>
      </c>
      <c r="K261" s="60">
        <f t="shared" si="79"/>
        <v>72.3514537414991</v>
      </c>
      <c r="L261" s="60">
        <f t="shared" si="79"/>
        <v>58.784337886016843</v>
      </c>
      <c r="M261" s="60">
        <f t="shared" si="79"/>
        <v>64.915171653324592</v>
      </c>
      <c r="N261" s="60">
        <f t="shared" si="79"/>
        <v>52.142971206660235</v>
      </c>
      <c r="O261" s="60">
        <f t="shared" si="79"/>
        <v>65.767869237934136</v>
      </c>
      <c r="P261" s="60">
        <f t="shared" si="79"/>
        <v>74.334252721823617</v>
      </c>
      <c r="Q261" s="60">
        <f t="shared" si="79"/>
        <v>81.169552582713905</v>
      </c>
      <c r="R261" s="60">
        <f t="shared" si="79"/>
        <v>76.441567447435915</v>
      </c>
      <c r="S261" s="60">
        <f t="shared" si="79"/>
        <v>76.154778648072082</v>
      </c>
      <c r="T261" s="60">
        <f t="shared" si="79"/>
        <v>65.984198201968653</v>
      </c>
      <c r="U261" s="60">
        <f t="shared" si="79"/>
        <v>51.987577187898935</v>
      </c>
      <c r="V261" s="60">
        <f t="shared" si="79"/>
        <v>85.571633205279014</v>
      </c>
    </row>
    <row r="262" spans="3:22" x14ac:dyDescent="0.2">
      <c r="C262" s="88" t="s">
        <v>140</v>
      </c>
      <c r="D262" s="62">
        <f t="shared" ref="D262:V262" si="80">+IFERROR(IF(D223&gt;0,+((D223/D30)*100)," "),"")</f>
        <v>44.248904004940343</v>
      </c>
      <c r="E262" s="62">
        <f t="shared" si="80"/>
        <v>27.162581137694904</v>
      </c>
      <c r="F262" s="62">
        <f t="shared" si="80"/>
        <v>45.77296527195714</v>
      </c>
      <c r="G262" s="62">
        <f t="shared" si="80"/>
        <v>59.58947080747452</v>
      </c>
      <c r="H262" s="62">
        <f t="shared" si="80"/>
        <v>81.812525568152978</v>
      </c>
      <c r="I262" s="62">
        <f t="shared" si="80"/>
        <v>89.924047566220793</v>
      </c>
      <c r="J262" s="62">
        <f t="shared" si="80"/>
        <v>63.115417042031709</v>
      </c>
      <c r="K262" s="62">
        <f t="shared" si="80"/>
        <v>56.141349040405849</v>
      </c>
      <c r="L262" s="62">
        <f t="shared" si="80"/>
        <v>66.991316409540786</v>
      </c>
      <c r="M262" s="62">
        <f t="shared" si="80"/>
        <v>69.027503867824962</v>
      </c>
      <c r="N262" s="62">
        <f t="shared" si="80"/>
        <v>85.219342157918291</v>
      </c>
      <c r="O262" s="62">
        <f t="shared" si="80"/>
        <v>86.966184767085025</v>
      </c>
      <c r="P262" s="62">
        <f t="shared" si="80"/>
        <v>72.734419205698529</v>
      </c>
      <c r="Q262" s="62">
        <f t="shared" si="80"/>
        <v>70.276462611958422</v>
      </c>
      <c r="R262" s="62">
        <f t="shared" si="80"/>
        <v>81.567827772645344</v>
      </c>
      <c r="S262" s="62">
        <f t="shared" si="80"/>
        <v>84.025375231550285</v>
      </c>
      <c r="T262" s="62">
        <f t="shared" si="80"/>
        <v>87.909283178737553</v>
      </c>
      <c r="U262" s="62">
        <f t="shared" si="80"/>
        <v>83.636077728478227</v>
      </c>
      <c r="V262" s="62">
        <f t="shared" si="80"/>
        <v>82.862863214456368</v>
      </c>
    </row>
    <row r="263" spans="3:22" x14ac:dyDescent="0.2">
      <c r="C263" s="87" t="s">
        <v>141</v>
      </c>
      <c r="D263" s="60">
        <f t="shared" ref="D263:V263" si="81">+IFERROR(IF(D224&gt;0,+((D224/D31)*100)," "),"")</f>
        <v>39.850320662837305</v>
      </c>
      <c r="E263" s="60">
        <f t="shared" si="81"/>
        <v>55.037769485162421</v>
      </c>
      <c r="F263" s="60">
        <f t="shared" si="81"/>
        <v>79.939207928625677</v>
      </c>
      <c r="G263" s="60">
        <f t="shared" si="81"/>
        <v>58.598920112778174</v>
      </c>
      <c r="H263" s="60">
        <f t="shared" si="81"/>
        <v>62.172643114326931</v>
      </c>
      <c r="I263" s="60">
        <f t="shared" si="81"/>
        <v>52.728144151485459</v>
      </c>
      <c r="J263" s="60">
        <f t="shared" si="81"/>
        <v>77.524280567271092</v>
      </c>
      <c r="K263" s="60">
        <f t="shared" si="81"/>
        <v>80.988741847746567</v>
      </c>
      <c r="L263" s="60">
        <f t="shared" si="81"/>
        <v>76.382767270131851</v>
      </c>
      <c r="M263" s="60">
        <f t="shared" si="81"/>
        <v>80.738006831372104</v>
      </c>
      <c r="N263" s="60">
        <f t="shared" si="81"/>
        <v>64.14485497714864</v>
      </c>
      <c r="O263" s="60">
        <f t="shared" si="81"/>
        <v>59.909341957623063</v>
      </c>
      <c r="P263" s="60">
        <f t="shared" si="81"/>
        <v>42.650729398572921</v>
      </c>
      <c r="Q263" s="60">
        <f t="shared" si="81"/>
        <v>52.649414911425211</v>
      </c>
      <c r="R263" s="60">
        <f t="shared" si="81"/>
        <v>54.536322319737408</v>
      </c>
      <c r="S263" s="60">
        <f t="shared" si="81"/>
        <v>74.862263423390672</v>
      </c>
      <c r="T263" s="60">
        <f t="shared" si="81"/>
        <v>64.83012283605683</v>
      </c>
      <c r="U263" s="60">
        <f t="shared" si="81"/>
        <v>67.817802314666949</v>
      </c>
      <c r="V263" s="60">
        <f t="shared" si="81"/>
        <v>73.770586052879978</v>
      </c>
    </row>
    <row r="264" spans="3:22" x14ac:dyDescent="0.2">
      <c r="C264" s="88" t="s">
        <v>142</v>
      </c>
      <c r="D264" s="62">
        <f t="shared" ref="D264:V264" si="82">+IFERROR(IF(D225&gt;0,+((D225/D32)*100)," "),"")</f>
        <v>89.642432542422142</v>
      </c>
      <c r="E264" s="62">
        <f t="shared" si="82"/>
        <v>90.165015170209045</v>
      </c>
      <c r="F264" s="62">
        <f t="shared" si="82"/>
        <v>76.995904076619155</v>
      </c>
      <c r="G264" s="62">
        <f t="shared" si="82"/>
        <v>66.563498351339476</v>
      </c>
      <c r="H264" s="62">
        <f t="shared" si="82"/>
        <v>69.595988355759346</v>
      </c>
      <c r="I264" s="62">
        <f t="shared" si="82"/>
        <v>71.440772315911275</v>
      </c>
      <c r="J264" s="62">
        <f t="shared" si="82"/>
        <v>64.427486749965851</v>
      </c>
      <c r="K264" s="62">
        <f t="shared" si="82"/>
        <v>69.998189273391247</v>
      </c>
      <c r="L264" s="62">
        <f t="shared" si="82"/>
        <v>80.608014713819159</v>
      </c>
      <c r="M264" s="62">
        <f t="shared" si="82"/>
        <v>74.727489374102234</v>
      </c>
      <c r="N264" s="62">
        <f t="shared" si="82"/>
        <v>87.987520062719753</v>
      </c>
      <c r="O264" s="62">
        <f t="shared" si="82"/>
        <v>74.320977965210588</v>
      </c>
      <c r="P264" s="62">
        <f t="shared" si="82"/>
        <v>82.726505260366167</v>
      </c>
      <c r="Q264" s="62">
        <f t="shared" si="82"/>
        <v>62.842252258497808</v>
      </c>
      <c r="R264" s="62">
        <f t="shared" si="82"/>
        <v>81.690817882431745</v>
      </c>
      <c r="S264" s="62">
        <f t="shared" si="82"/>
        <v>83.897611454551537</v>
      </c>
      <c r="T264" s="62">
        <f t="shared" si="82"/>
        <v>85.673097993384673</v>
      </c>
      <c r="U264" s="62">
        <f t="shared" si="82"/>
        <v>85.254005715278765</v>
      </c>
      <c r="V264" s="62">
        <f t="shared" si="82"/>
        <v>89.31193320553497</v>
      </c>
    </row>
    <row r="265" spans="3:22" x14ac:dyDescent="0.2">
      <c r="C265" s="87" t="s">
        <v>143</v>
      </c>
      <c r="D265" s="60">
        <f t="shared" ref="D265:V265" si="83">+IFERROR(IF(D226&gt;0,+((D226/D33)*100)," "),"")</f>
        <v>100</v>
      </c>
      <c r="E265" s="60" t="str">
        <f t="shared" si="83"/>
        <v xml:space="preserve"> </v>
      </c>
      <c r="F265" s="60" t="str">
        <f t="shared" si="83"/>
        <v xml:space="preserve"> </v>
      </c>
      <c r="G265" s="60" t="str">
        <f t="shared" si="83"/>
        <v xml:space="preserve"> </v>
      </c>
      <c r="H265" s="60">
        <f t="shared" si="83"/>
        <v>45.47033186679996</v>
      </c>
      <c r="I265" s="60">
        <f t="shared" si="83"/>
        <v>47.748295316648296</v>
      </c>
      <c r="J265" s="60" t="str">
        <f t="shared" si="83"/>
        <v xml:space="preserve"> </v>
      </c>
      <c r="K265" s="60" t="str">
        <f t="shared" si="83"/>
        <v xml:space="preserve"> </v>
      </c>
      <c r="L265" s="60" t="str">
        <f t="shared" si="83"/>
        <v xml:space="preserve"> </v>
      </c>
      <c r="M265" s="60" t="str">
        <f t="shared" si="83"/>
        <v xml:space="preserve"> </v>
      </c>
      <c r="N265" s="60" t="str">
        <f t="shared" si="83"/>
        <v xml:space="preserve"> </v>
      </c>
      <c r="O265" s="60" t="str">
        <f t="shared" si="83"/>
        <v xml:space="preserve"> </v>
      </c>
      <c r="P265" s="60">
        <f t="shared" si="83"/>
        <v>7.6231022189221453E-2</v>
      </c>
      <c r="Q265" s="60">
        <f t="shared" si="83"/>
        <v>50.862349575365059</v>
      </c>
      <c r="R265" s="60">
        <f t="shared" si="83"/>
        <v>8.6177623181964123</v>
      </c>
      <c r="S265" s="60">
        <f t="shared" si="83"/>
        <v>6.6876714415231184</v>
      </c>
      <c r="T265" s="60">
        <f t="shared" si="83"/>
        <v>91.557205299293756</v>
      </c>
      <c r="U265" s="60">
        <f t="shared" si="83"/>
        <v>91.777205605581315</v>
      </c>
      <c r="V265" s="60">
        <f t="shared" si="83"/>
        <v>36.253216751957154</v>
      </c>
    </row>
    <row r="266" spans="3:22" x14ac:dyDescent="0.2">
      <c r="C266" s="88" t="s">
        <v>144</v>
      </c>
      <c r="D266" s="62" t="str">
        <f t="shared" ref="D266:V266" si="84">+IFERROR(IF(D227&gt;0,+((D227/D34)*100)," "),"")</f>
        <v xml:space="preserve"> </v>
      </c>
      <c r="E266" s="62" t="str">
        <f t="shared" si="84"/>
        <v xml:space="preserve"> </v>
      </c>
      <c r="F266" s="62" t="str">
        <f t="shared" si="84"/>
        <v xml:space="preserve"> </v>
      </c>
      <c r="G266" s="62" t="str">
        <f t="shared" si="84"/>
        <v xml:space="preserve"> </v>
      </c>
      <c r="H266" s="62" t="str">
        <f t="shared" si="84"/>
        <v xml:space="preserve"> </v>
      </c>
      <c r="I266" s="62" t="str">
        <f t="shared" si="84"/>
        <v xml:space="preserve"> </v>
      </c>
      <c r="J266" s="62" t="str">
        <f t="shared" si="84"/>
        <v xml:space="preserve"> </v>
      </c>
      <c r="K266" s="62" t="str">
        <f t="shared" si="84"/>
        <v xml:space="preserve"> </v>
      </c>
      <c r="L266" s="62" t="str">
        <f t="shared" si="84"/>
        <v xml:space="preserve"> </v>
      </c>
      <c r="M266" s="62" t="str">
        <f t="shared" si="84"/>
        <v xml:space="preserve"> </v>
      </c>
      <c r="N266" s="62" t="str">
        <f t="shared" si="84"/>
        <v xml:space="preserve"> </v>
      </c>
      <c r="O266" s="62" t="str">
        <f t="shared" si="84"/>
        <v xml:space="preserve"> </v>
      </c>
      <c r="P266" s="62" t="str">
        <f t="shared" si="84"/>
        <v xml:space="preserve"> </v>
      </c>
      <c r="Q266" s="62" t="str">
        <f t="shared" si="84"/>
        <v xml:space="preserve"> </v>
      </c>
      <c r="R266" s="62" t="str">
        <f t="shared" si="84"/>
        <v xml:space="preserve"> </v>
      </c>
      <c r="S266" s="62" t="str">
        <f t="shared" si="84"/>
        <v xml:space="preserve"> </v>
      </c>
      <c r="T266" s="62" t="str">
        <f t="shared" si="84"/>
        <v xml:space="preserve"> </v>
      </c>
      <c r="U266" s="62" t="str">
        <f t="shared" si="84"/>
        <v xml:space="preserve"> </v>
      </c>
      <c r="V266" s="62" t="str">
        <f t="shared" si="84"/>
        <v xml:space="preserve"> </v>
      </c>
    </row>
    <row r="267" spans="3:22" x14ac:dyDescent="0.2">
      <c r="C267" s="87" t="s">
        <v>145</v>
      </c>
      <c r="D267" s="60">
        <f t="shared" ref="D267:V267" si="85">+IFERROR(IF(D228&gt;0,+((D228/D35)*100)," "),"")</f>
        <v>68.925171623878185</v>
      </c>
      <c r="E267" s="60">
        <f t="shared" si="85"/>
        <v>42.995257665891998</v>
      </c>
      <c r="F267" s="60">
        <f t="shared" si="85"/>
        <v>75.44507920852503</v>
      </c>
      <c r="G267" s="60">
        <f t="shared" si="85"/>
        <v>43.568519847987616</v>
      </c>
      <c r="H267" s="60">
        <f t="shared" si="85"/>
        <v>30.248479157857638</v>
      </c>
      <c r="I267" s="60">
        <f t="shared" si="85"/>
        <v>64.115673477953834</v>
      </c>
      <c r="J267" s="60">
        <f t="shared" si="85"/>
        <v>46.469833616248977</v>
      </c>
      <c r="K267" s="60">
        <f t="shared" si="85"/>
        <v>40.0116130033404</v>
      </c>
      <c r="L267" s="60">
        <f t="shared" si="85"/>
        <v>51.023781091510479</v>
      </c>
      <c r="M267" s="60">
        <f t="shared" si="85"/>
        <v>73.188191035692881</v>
      </c>
      <c r="N267" s="60">
        <f t="shared" si="85"/>
        <v>46.099672420608492</v>
      </c>
      <c r="O267" s="60">
        <f t="shared" si="85"/>
        <v>41.333835211259682</v>
      </c>
      <c r="P267" s="60">
        <f t="shared" si="85"/>
        <v>57.526387010806722</v>
      </c>
      <c r="Q267" s="60">
        <f t="shared" si="85"/>
        <v>55.47299076145773</v>
      </c>
      <c r="R267" s="60">
        <f t="shared" si="85"/>
        <v>58.883125821758597</v>
      </c>
      <c r="S267" s="60">
        <f t="shared" si="85"/>
        <v>58.753626347743491</v>
      </c>
      <c r="T267" s="60">
        <f t="shared" si="85"/>
        <v>72.92888048962098</v>
      </c>
      <c r="U267" s="60">
        <f t="shared" si="85"/>
        <v>81.923033352547904</v>
      </c>
      <c r="V267" s="60">
        <f t="shared" si="85"/>
        <v>77.717338565054789</v>
      </c>
    </row>
    <row r="268" spans="3:22" x14ac:dyDescent="0.2">
      <c r="C268" s="88" t="s">
        <v>146</v>
      </c>
      <c r="D268" s="62">
        <f t="shared" ref="D268:V268" si="86">+IFERROR(IF(D229&gt;0,+((D229/D36)*100)," "),"")</f>
        <v>94.047188917320184</v>
      </c>
      <c r="E268" s="62">
        <f t="shared" si="86"/>
        <v>86.598705538793922</v>
      </c>
      <c r="F268" s="62">
        <f t="shared" si="86"/>
        <v>72.636373804378636</v>
      </c>
      <c r="G268" s="62">
        <f t="shared" si="86"/>
        <v>88.861093253864212</v>
      </c>
      <c r="H268" s="62">
        <f t="shared" si="86"/>
        <v>76.744590025346184</v>
      </c>
      <c r="I268" s="62">
        <f t="shared" si="86"/>
        <v>85.751301306203374</v>
      </c>
      <c r="J268" s="62">
        <f t="shared" si="86"/>
        <v>70.844475646120813</v>
      </c>
      <c r="K268" s="62">
        <f t="shared" si="86"/>
        <v>85.133291674706996</v>
      </c>
      <c r="L268" s="62">
        <f t="shared" si="86"/>
        <v>79.260401929477226</v>
      </c>
      <c r="M268" s="62">
        <f t="shared" si="86"/>
        <v>91.5075838233589</v>
      </c>
      <c r="N268" s="62">
        <f t="shared" si="86"/>
        <v>87.835316839946572</v>
      </c>
      <c r="O268" s="62">
        <f t="shared" si="86"/>
        <v>91.797023322132802</v>
      </c>
      <c r="P268" s="62">
        <f t="shared" si="86"/>
        <v>92.633180666787027</v>
      </c>
      <c r="Q268" s="62">
        <f t="shared" si="86"/>
        <v>91.712797116210226</v>
      </c>
      <c r="R268" s="62">
        <f t="shared" si="86"/>
        <v>96.875154156378713</v>
      </c>
      <c r="S268" s="62">
        <f t="shared" si="86"/>
        <v>95.913802006555883</v>
      </c>
      <c r="T268" s="62">
        <f t="shared" si="86"/>
        <v>95.113041113023129</v>
      </c>
      <c r="U268" s="62">
        <f t="shared" si="86"/>
        <v>85.96184724503162</v>
      </c>
      <c r="V268" s="62">
        <f t="shared" si="86"/>
        <v>77.546461245905491</v>
      </c>
    </row>
    <row r="269" spans="3:22" x14ac:dyDescent="0.2">
      <c r="C269" s="90" t="s">
        <v>147</v>
      </c>
      <c r="D269" s="61">
        <f t="shared" ref="D269:V269" si="87">+IFERROR(IF(D230&gt;0,+((D230/D37)*100)," "),"")</f>
        <v>71.260330655777707</v>
      </c>
      <c r="E269" s="61">
        <f t="shared" si="87"/>
        <v>79.278800556855415</v>
      </c>
      <c r="F269" s="61">
        <f t="shared" si="87"/>
        <v>76.945154492134947</v>
      </c>
      <c r="G269" s="61">
        <f t="shared" si="87"/>
        <v>71.67265599291531</v>
      </c>
      <c r="H269" s="61">
        <f t="shared" si="87"/>
        <v>71.946295344673956</v>
      </c>
      <c r="I269" s="61">
        <f t="shared" si="87"/>
        <v>74.722606463533864</v>
      </c>
      <c r="J269" s="61">
        <f t="shared" si="87"/>
        <v>75.109687669714674</v>
      </c>
      <c r="K269" s="61">
        <f t="shared" si="87"/>
        <v>79.355455014427548</v>
      </c>
      <c r="L269" s="61">
        <f t="shared" si="87"/>
        <v>89.588184535560814</v>
      </c>
      <c r="M269" s="61">
        <f t="shared" si="87"/>
        <v>83.413230388700072</v>
      </c>
      <c r="N269" s="61">
        <f t="shared" si="87"/>
        <v>87.327579582220892</v>
      </c>
      <c r="O269" s="61">
        <f t="shared" si="87"/>
        <v>64.210917481557956</v>
      </c>
      <c r="P269" s="61">
        <f t="shared" si="87"/>
        <v>79.359332842429808</v>
      </c>
      <c r="Q269" s="61">
        <f t="shared" si="87"/>
        <v>85.662563964112877</v>
      </c>
      <c r="R269" s="61">
        <f t="shared" si="87"/>
        <v>81.127053839370021</v>
      </c>
      <c r="S269" s="61">
        <f t="shared" si="87"/>
        <v>83.424004717646184</v>
      </c>
      <c r="T269" s="61">
        <f t="shared" si="87"/>
        <v>84.780803066644111</v>
      </c>
      <c r="U269" s="61">
        <f t="shared" si="87"/>
        <v>86.823295091092561</v>
      </c>
      <c r="V269" s="61">
        <f t="shared" si="87"/>
        <v>86.061966860491452</v>
      </c>
    </row>
    <row r="270" spans="3:22" ht="22.5" customHeight="1" x14ac:dyDescent="0.2">
      <c r="C270" s="89" t="s">
        <v>148</v>
      </c>
      <c r="D270" s="63" t="str">
        <f t="shared" ref="D270:V270" si="88">+IFERROR(IF(D231&gt;0,+((D231/D38)*100)," "),"")</f>
        <v xml:space="preserve"> </v>
      </c>
      <c r="E270" s="63" t="str">
        <f t="shared" si="88"/>
        <v xml:space="preserve"> </v>
      </c>
      <c r="F270" s="63" t="str">
        <f t="shared" si="88"/>
        <v xml:space="preserve"> </v>
      </c>
      <c r="G270" s="63" t="str">
        <f t="shared" si="88"/>
        <v xml:space="preserve"> </v>
      </c>
      <c r="H270" s="63" t="str">
        <f t="shared" si="88"/>
        <v xml:space="preserve"> </v>
      </c>
      <c r="I270" s="63" t="str">
        <f t="shared" si="88"/>
        <v xml:space="preserve"> </v>
      </c>
      <c r="J270" s="63" t="str">
        <f t="shared" si="88"/>
        <v xml:space="preserve"> </v>
      </c>
      <c r="K270" s="63" t="str">
        <f t="shared" si="88"/>
        <v xml:space="preserve"> </v>
      </c>
      <c r="L270" s="63" t="str">
        <f t="shared" si="88"/>
        <v xml:space="preserve"> </v>
      </c>
      <c r="M270" s="63" t="str">
        <f t="shared" si="88"/>
        <v xml:space="preserve"> </v>
      </c>
      <c r="N270" s="63" t="str">
        <f t="shared" si="88"/>
        <v xml:space="preserve"> </v>
      </c>
      <c r="O270" s="63" t="str">
        <f t="shared" si="88"/>
        <v xml:space="preserve"> </v>
      </c>
      <c r="P270" s="63" t="str">
        <f t="shared" si="88"/>
        <v xml:space="preserve"> </v>
      </c>
      <c r="Q270" s="63" t="str">
        <f t="shared" si="88"/>
        <v xml:space="preserve"> </v>
      </c>
      <c r="R270" s="63" t="str">
        <f t="shared" si="88"/>
        <v xml:space="preserve"> </v>
      </c>
      <c r="S270" s="63" t="str">
        <f t="shared" si="88"/>
        <v xml:space="preserve"> </v>
      </c>
      <c r="T270" s="63" t="str">
        <f t="shared" si="88"/>
        <v xml:space="preserve"> </v>
      </c>
      <c r="U270" s="63" t="str">
        <f t="shared" si="88"/>
        <v xml:space="preserve"> </v>
      </c>
      <c r="V270" s="63" t="str">
        <f t="shared" si="88"/>
        <v xml:space="preserve"> </v>
      </c>
    </row>
    <row r="271" spans="3:22" x14ac:dyDescent="0.2">
      <c r="C271" s="87" t="s">
        <v>149</v>
      </c>
      <c r="D271" s="60">
        <f t="shared" ref="D271:V271" si="89">+IFERROR(IF(D232&gt;0,+((D232/D39)*100)," "),"")</f>
        <v>47.549157809135885</v>
      </c>
      <c r="E271" s="60">
        <f t="shared" si="89"/>
        <v>42.397041856864199</v>
      </c>
      <c r="F271" s="60">
        <f t="shared" si="89"/>
        <v>34.423067701382038</v>
      </c>
      <c r="G271" s="60">
        <f t="shared" si="89"/>
        <v>43.468421899435008</v>
      </c>
      <c r="H271" s="60">
        <f t="shared" si="89"/>
        <v>66.884669937554136</v>
      </c>
      <c r="I271" s="60">
        <f t="shared" si="89"/>
        <v>22.139356312985651</v>
      </c>
      <c r="J271" s="60">
        <f t="shared" si="89"/>
        <v>57.872097508162234</v>
      </c>
      <c r="K271" s="60">
        <f t="shared" si="89"/>
        <v>69.791308520967306</v>
      </c>
      <c r="L271" s="60">
        <f t="shared" si="89"/>
        <v>60.437434331941908</v>
      </c>
      <c r="M271" s="60">
        <f t="shared" si="89"/>
        <v>62.331467681096562</v>
      </c>
      <c r="N271" s="60">
        <f t="shared" si="89"/>
        <v>56.228296205665828</v>
      </c>
      <c r="O271" s="60">
        <f t="shared" si="89"/>
        <v>68.512910932641077</v>
      </c>
      <c r="P271" s="60">
        <f t="shared" si="89"/>
        <v>61.24818843301113</v>
      </c>
      <c r="Q271" s="60">
        <f t="shared" si="89"/>
        <v>72.603996657307974</v>
      </c>
      <c r="R271" s="60">
        <f t="shared" si="89"/>
        <v>77.939452309076941</v>
      </c>
      <c r="S271" s="60">
        <f t="shared" si="89"/>
        <v>78.369225864218151</v>
      </c>
      <c r="T271" s="60">
        <f t="shared" si="89"/>
        <v>84.486864156131062</v>
      </c>
      <c r="U271" s="60">
        <f t="shared" si="89"/>
        <v>78.197436007782954</v>
      </c>
      <c r="V271" s="60">
        <f t="shared" si="89"/>
        <v>85.348711670755435</v>
      </c>
    </row>
    <row r="272" spans="3:22" x14ac:dyDescent="0.2">
      <c r="C272" s="89" t="s">
        <v>150</v>
      </c>
      <c r="D272" s="63">
        <f t="shared" ref="D272:V272" si="90">+IFERROR(IF(D233&gt;0,+((D233/D40)*100)," "),"")</f>
        <v>68.435940076317991</v>
      </c>
      <c r="E272" s="63">
        <f t="shared" si="90"/>
        <v>74.57357383501477</v>
      </c>
      <c r="F272" s="63">
        <f t="shared" si="90"/>
        <v>48.983420744496584</v>
      </c>
      <c r="G272" s="63">
        <f t="shared" si="90"/>
        <v>65.931975613972597</v>
      </c>
      <c r="H272" s="63">
        <f t="shared" si="90"/>
        <v>64.032399690046532</v>
      </c>
      <c r="I272" s="63">
        <f t="shared" si="90"/>
        <v>71.189579759100198</v>
      </c>
      <c r="J272" s="63">
        <f t="shared" si="90"/>
        <v>63.601450051562047</v>
      </c>
      <c r="K272" s="63">
        <f t="shared" si="90"/>
        <v>72.088561620212801</v>
      </c>
      <c r="L272" s="63">
        <f t="shared" si="90"/>
        <v>75.061993880064719</v>
      </c>
      <c r="M272" s="63">
        <f t="shared" si="90"/>
        <v>65.596796349104068</v>
      </c>
      <c r="N272" s="63">
        <f t="shared" si="90"/>
        <v>61.289292694170072</v>
      </c>
      <c r="O272" s="63">
        <f t="shared" si="90"/>
        <v>42.835080175078637</v>
      </c>
      <c r="P272" s="63">
        <f t="shared" si="90"/>
        <v>56.750839607288064</v>
      </c>
      <c r="Q272" s="63">
        <f t="shared" si="90"/>
        <v>63.462734282190482</v>
      </c>
      <c r="R272" s="63">
        <f t="shared" si="90"/>
        <v>68.688777926694328</v>
      </c>
      <c r="S272" s="63">
        <f t="shared" si="90"/>
        <v>67.793623328684944</v>
      </c>
      <c r="T272" s="63">
        <f t="shared" si="90"/>
        <v>62.080919243942354</v>
      </c>
      <c r="U272" s="63">
        <f t="shared" si="90"/>
        <v>66.810356888339498</v>
      </c>
      <c r="V272" s="63">
        <f t="shared" si="90"/>
        <v>78.196557879690971</v>
      </c>
    </row>
    <row r="273" spans="3:22" x14ac:dyDescent="0.2">
      <c r="C273" s="87" t="s">
        <v>151</v>
      </c>
      <c r="D273" s="60">
        <f t="shared" ref="D273:V273" si="91">+IFERROR(IF(D234&gt;0,+((D234/D41)*100)," "),"")</f>
        <v>67.426549802509356</v>
      </c>
      <c r="E273" s="60">
        <f t="shared" si="91"/>
        <v>27.013173032341648</v>
      </c>
      <c r="F273" s="60">
        <f t="shared" si="91"/>
        <v>27.890536621761541</v>
      </c>
      <c r="G273" s="60">
        <f t="shared" si="91"/>
        <v>46.602539581465372</v>
      </c>
      <c r="H273" s="60">
        <f t="shared" si="91"/>
        <v>30.176671500234121</v>
      </c>
      <c r="I273" s="60">
        <f t="shared" si="91"/>
        <v>8.1309130935734402</v>
      </c>
      <c r="J273" s="60">
        <f t="shared" si="91"/>
        <v>22.758169607052135</v>
      </c>
      <c r="K273" s="60">
        <f t="shared" si="91"/>
        <v>56.29212552312972</v>
      </c>
      <c r="L273" s="60" t="str">
        <f t="shared" si="91"/>
        <v xml:space="preserve"> </v>
      </c>
      <c r="M273" s="60" t="str">
        <f t="shared" si="91"/>
        <v xml:space="preserve"> </v>
      </c>
      <c r="N273" s="60" t="str">
        <f t="shared" si="91"/>
        <v xml:space="preserve"> </v>
      </c>
      <c r="O273" s="60" t="str">
        <f t="shared" si="91"/>
        <v xml:space="preserve"> </v>
      </c>
      <c r="P273" s="60" t="str">
        <f t="shared" si="91"/>
        <v xml:space="preserve"> </v>
      </c>
      <c r="Q273" s="60" t="str">
        <f t="shared" si="91"/>
        <v xml:space="preserve"> </v>
      </c>
      <c r="R273" s="60" t="str">
        <f t="shared" si="91"/>
        <v xml:space="preserve"> </v>
      </c>
      <c r="S273" s="60" t="str">
        <f t="shared" si="91"/>
        <v xml:space="preserve"> </v>
      </c>
      <c r="T273" s="60" t="str">
        <f t="shared" si="91"/>
        <v xml:space="preserve"> </v>
      </c>
      <c r="U273" s="60" t="str">
        <f t="shared" si="91"/>
        <v xml:space="preserve"> </v>
      </c>
      <c r="V273" s="60" t="str">
        <f t="shared" si="91"/>
        <v xml:space="preserve"> </v>
      </c>
    </row>
    <row r="274" spans="3:22" x14ac:dyDescent="0.2">
      <c r="C274" s="79" t="s">
        <v>154</v>
      </c>
      <c r="D274" s="45">
        <f t="shared" ref="D274:V274" si="92">+IFERROR(IF(D235&gt;0,+((D235/D42)*100)," "),"")</f>
        <v>69.652560943080914</v>
      </c>
      <c r="E274" s="45">
        <f t="shared" si="92"/>
        <v>72.859159324641212</v>
      </c>
      <c r="F274" s="45">
        <f t="shared" si="92"/>
        <v>68.963953331441957</v>
      </c>
      <c r="G274" s="45">
        <f t="shared" si="92"/>
        <v>73.14135087039611</v>
      </c>
      <c r="H274" s="45">
        <f t="shared" si="92"/>
        <v>75.517540398428707</v>
      </c>
      <c r="I274" s="45">
        <f t="shared" si="92"/>
        <v>78.581304483473176</v>
      </c>
      <c r="J274" s="45">
        <f t="shared" si="92"/>
        <v>69.923420478542852</v>
      </c>
      <c r="K274" s="45">
        <f t="shared" si="92"/>
        <v>74.344003628516234</v>
      </c>
      <c r="L274" s="45">
        <f t="shared" si="92"/>
        <v>80.004480742062299</v>
      </c>
      <c r="M274" s="45">
        <f t="shared" si="92"/>
        <v>78.606944845983406</v>
      </c>
      <c r="N274" s="45">
        <f t="shared" si="92"/>
        <v>77.443271509908712</v>
      </c>
      <c r="O274" s="45">
        <f t="shared" si="92"/>
        <v>68.294679732248582</v>
      </c>
      <c r="P274" s="45">
        <f t="shared" si="92"/>
        <v>75.811745800291845</v>
      </c>
      <c r="Q274" s="45">
        <f t="shared" si="92"/>
        <v>79.276658590371355</v>
      </c>
      <c r="R274" s="45">
        <f t="shared" si="92"/>
        <v>78.939959286896027</v>
      </c>
      <c r="S274" s="45">
        <f t="shared" si="92"/>
        <v>79.160048740503015</v>
      </c>
      <c r="T274" s="45">
        <f t="shared" si="92"/>
        <v>82.309420476977024</v>
      </c>
      <c r="U274" s="45">
        <f t="shared" si="92"/>
        <v>81.431105301915565</v>
      </c>
      <c r="V274" s="45">
        <f t="shared" si="92"/>
        <v>84.807822629714607</v>
      </c>
    </row>
    <row r="275" spans="3:22" x14ac:dyDescent="0.2">
      <c r="C275" s="1" t="s">
        <v>52</v>
      </c>
      <c r="D275" s="11"/>
      <c r="E275" s="11"/>
      <c r="F275" s="11"/>
      <c r="G275" s="11"/>
      <c r="H275" s="11"/>
      <c r="I275" s="11"/>
      <c r="J275" s="11"/>
      <c r="K275" s="11"/>
      <c r="L275" s="11"/>
      <c r="M275" s="11"/>
      <c r="N275" s="11"/>
      <c r="O275" s="11"/>
      <c r="P275" s="11"/>
      <c r="Q275" s="11"/>
      <c r="R275" s="11"/>
      <c r="S275" s="11"/>
      <c r="T275" s="11"/>
      <c r="U275" s="11"/>
      <c r="V275" s="11"/>
    </row>
  </sheetData>
  <mergeCells count="173">
    <mergeCell ref="C128:C129"/>
    <mergeCell ref="K89:K90"/>
    <mergeCell ref="D9:V9"/>
    <mergeCell ref="H50:H51"/>
    <mergeCell ref="P6:P7"/>
    <mergeCell ref="R6:R7"/>
    <mergeCell ref="T50:T51"/>
    <mergeCell ref="H11:H12"/>
    <mergeCell ref="K243:K244"/>
    <mergeCell ref="J11:J12"/>
    <mergeCell ref="M243:M244"/>
    <mergeCell ref="S128:S129"/>
    <mergeCell ref="J166:J167"/>
    <mergeCell ref="L166:L167"/>
    <mergeCell ref="H128:H129"/>
    <mergeCell ref="E89:E90"/>
    <mergeCell ref="K204:K205"/>
    <mergeCell ref="J128:J129"/>
    <mergeCell ref="P243:P244"/>
    <mergeCell ref="M204:M205"/>
    <mergeCell ref="N166:N167"/>
    <mergeCell ref="T128:T129"/>
    <mergeCell ref="P166:P167"/>
    <mergeCell ref="V128:V129"/>
    <mergeCell ref="I6:I7"/>
    <mergeCell ref="K6:K7"/>
    <mergeCell ref="N89:N90"/>
    <mergeCell ref="P89:P90"/>
    <mergeCell ref="M50:M51"/>
    <mergeCell ref="D243:D244"/>
    <mergeCell ref="U6:U7"/>
    <mergeCell ref="S243:S244"/>
    <mergeCell ref="U243:U244"/>
    <mergeCell ref="S166:S167"/>
    <mergeCell ref="R204:R205"/>
    <mergeCell ref="L6:L7"/>
    <mergeCell ref="N6:N7"/>
    <mergeCell ref="Q89:Q90"/>
    <mergeCell ref="S89:S90"/>
    <mergeCell ref="U89:U90"/>
    <mergeCell ref="F11:F12"/>
    <mergeCell ref="D240:V240"/>
    <mergeCell ref="U166:U167"/>
    <mergeCell ref="I243:I244"/>
    <mergeCell ref="F204:F205"/>
    <mergeCell ref="M128:M129"/>
    <mergeCell ref="F243:F244"/>
    <mergeCell ref="H243:H244"/>
    <mergeCell ref="O128:O129"/>
    <mergeCell ref="G204:G205"/>
    <mergeCell ref="V11:V12"/>
    <mergeCell ref="M89:M90"/>
    <mergeCell ref="S204:S205"/>
    <mergeCell ref="O89:O90"/>
    <mergeCell ref="V166:V167"/>
    <mergeCell ref="G89:G90"/>
    <mergeCell ref="T11:T12"/>
    <mergeCell ref="Q11:Q12"/>
    <mergeCell ref="S50:S51"/>
    <mergeCell ref="G11:G12"/>
    <mergeCell ref="T166:T167"/>
    <mergeCell ref="U50:U51"/>
    <mergeCell ref="P128:P129"/>
    <mergeCell ref="V243:V244"/>
    <mergeCell ref="G50:G51"/>
    <mergeCell ref="I50:I51"/>
    <mergeCell ref="D163:V163"/>
    <mergeCell ref="R11:R12"/>
    <mergeCell ref="E204:E205"/>
    <mergeCell ref="T243:T244"/>
    <mergeCell ref="E243:E244"/>
    <mergeCell ref="O243:O244"/>
    <mergeCell ref="J243:J244"/>
    <mergeCell ref="I11:I12"/>
    <mergeCell ref="A7:C7"/>
    <mergeCell ref="L243:L244"/>
    <mergeCell ref="I204:I205"/>
    <mergeCell ref="C50:C51"/>
    <mergeCell ref="G6:G7"/>
    <mergeCell ref="Q6:Q7"/>
    <mergeCell ref="S6:S7"/>
    <mergeCell ref="L241:Q241"/>
    <mergeCell ref="C243:C244"/>
    <mergeCell ref="C204:C205"/>
    <mergeCell ref="C166:C167"/>
    <mergeCell ref="O166:O167"/>
    <mergeCell ref="N50:N51"/>
    <mergeCell ref="P50:P51"/>
    <mergeCell ref="D11:D12"/>
    <mergeCell ref="D204:D205"/>
    <mergeCell ref="G243:G244"/>
    <mergeCell ref="D50:D51"/>
    <mergeCell ref="H204:H205"/>
    <mergeCell ref="D89:D90"/>
    <mergeCell ref="J204:J205"/>
    <mergeCell ref="K166:K167"/>
    <mergeCell ref="N243:N244"/>
    <mergeCell ref="S11:S12"/>
    <mergeCell ref="R128:R129"/>
    <mergeCell ref="U11:U12"/>
    <mergeCell ref="D202:V202"/>
    <mergeCell ref="M11:M12"/>
    <mergeCell ref="R243:R244"/>
    <mergeCell ref="F89:F90"/>
    <mergeCell ref="L204:L205"/>
    <mergeCell ref="G166:G167"/>
    <mergeCell ref="Q166:Q167"/>
    <mergeCell ref="K11:K12"/>
    <mergeCell ref="J89:J90"/>
    <mergeCell ref="L89:L90"/>
    <mergeCell ref="F50:F51"/>
    <mergeCell ref="V89:V90"/>
    <mergeCell ref="R50:R51"/>
    <mergeCell ref="L164:Q164"/>
    <mergeCell ref="I166:I167"/>
    <mergeCell ref="J50:J51"/>
    <mergeCell ref="L50:L51"/>
    <mergeCell ref="F166:F167"/>
    <mergeCell ref="H166:H167"/>
    <mergeCell ref="P11:P12"/>
    <mergeCell ref="P204:P205"/>
    <mergeCell ref="E128:E129"/>
    <mergeCell ref="G128:G129"/>
    <mergeCell ref="E166:E167"/>
    <mergeCell ref="E50:E51"/>
    <mergeCell ref="C89:C90"/>
    <mergeCell ref="H6:H7"/>
    <mergeCell ref="J6:J7"/>
    <mergeCell ref="U204:U205"/>
    <mergeCell ref="V6:V7"/>
    <mergeCell ref="K50:K51"/>
    <mergeCell ref="D166:D167"/>
    <mergeCell ref="M6:M7"/>
    <mergeCell ref="E6:E7"/>
    <mergeCell ref="R89:R90"/>
    <mergeCell ref="T89:T90"/>
    <mergeCell ref="C11:C12"/>
    <mergeCell ref="E11:E12"/>
    <mergeCell ref="O50:O51"/>
    <mergeCell ref="L128:L129"/>
    <mergeCell ref="Q50:Q51"/>
    <mergeCell ref="N128:N129"/>
    <mergeCell ref="A5:C6"/>
    <mergeCell ref="T6:T7"/>
    <mergeCell ref="V50:V51"/>
    <mergeCell ref="I128:I129"/>
    <mergeCell ref="L11:L12"/>
    <mergeCell ref="K128:K129"/>
    <mergeCell ref="N11:N12"/>
    <mergeCell ref="Q243:Q244"/>
    <mergeCell ref="D86:V86"/>
    <mergeCell ref="U128:U129"/>
    <mergeCell ref="D2:V2"/>
    <mergeCell ref="Q128:Q129"/>
    <mergeCell ref="M166:M167"/>
    <mergeCell ref="T204:T205"/>
    <mergeCell ref="V204:V205"/>
    <mergeCell ref="N204:N205"/>
    <mergeCell ref="D126:V126"/>
    <mergeCell ref="O6:O7"/>
    <mergeCell ref="D47:V47"/>
    <mergeCell ref="L87:Q87"/>
    <mergeCell ref="D4:V4"/>
    <mergeCell ref="H89:H90"/>
    <mergeCell ref="D6:D7"/>
    <mergeCell ref="I89:I90"/>
    <mergeCell ref="F6:F7"/>
    <mergeCell ref="O204:O205"/>
    <mergeCell ref="D128:D129"/>
    <mergeCell ref="F128:F129"/>
    <mergeCell ref="Q204:Q205"/>
    <mergeCell ref="R166:R167"/>
    <mergeCell ref="O11:O12"/>
  </mergeCells>
  <pageMargins left="0.7" right="0.7" top="0.75" bottom="0.75" header="0.3" footer="0.3"/>
  <pageSetup orientation="portrait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15"/>
  <dimension ref="A1:K297"/>
  <sheetViews>
    <sheetView showGridLines="0" zoomScaleNormal="100" workbookViewId="0">
      <pane xSplit="3" ySplit="8" topLeftCell="D9" activePane="bottomRight" state="frozen"/>
      <selection activeCell="C204" sqref="C204:V204"/>
      <selection pane="topRight" activeCell="C204" sqref="C204:V204"/>
      <selection pane="bottomLeft" activeCell="C204" sqref="C204:V204"/>
      <selection pane="bottomRight" activeCell="K14" sqref="K14"/>
    </sheetView>
  </sheetViews>
  <sheetFormatPr baseColWidth="10" defaultColWidth="11.42578125" defaultRowHeight="11.25" x14ac:dyDescent="0.2"/>
  <cols>
    <col min="1" max="2" width="2.7109375" style="3" customWidth="1"/>
    <col min="3" max="3" width="54.28515625" style="3" customWidth="1"/>
    <col min="4" max="4" width="10.7109375" style="3" customWidth="1"/>
    <col min="5" max="33" width="10.7109375" style="9" customWidth="1"/>
    <col min="34" max="34" width="11.42578125" style="9" customWidth="1"/>
    <col min="35" max="16384" width="11.42578125" style="9"/>
  </cols>
  <sheetData>
    <row r="1" spans="1:11" ht="16.5" customHeight="1" x14ac:dyDescent="0.2"/>
    <row r="2" spans="1:11" ht="16.5" customHeight="1" x14ac:dyDescent="0.2">
      <c r="D2" s="179"/>
      <c r="E2" s="178"/>
      <c r="F2" s="178"/>
      <c r="G2" s="178"/>
      <c r="H2" s="178"/>
      <c r="I2" s="178"/>
      <c r="J2" s="178"/>
      <c r="K2" s="178"/>
    </row>
    <row r="3" spans="1:11" ht="16.5" customHeight="1" x14ac:dyDescent="0.2">
      <c r="D3" s="158"/>
      <c r="E3" s="178"/>
      <c r="F3" s="178"/>
      <c r="G3" s="178"/>
      <c r="H3" s="178"/>
      <c r="I3" s="178"/>
      <c r="J3" s="178"/>
      <c r="K3" s="178"/>
    </row>
    <row r="4" spans="1:11" ht="16.5" customHeight="1" x14ac:dyDescent="0.2">
      <c r="D4" s="158"/>
      <c r="E4" s="178"/>
      <c r="F4" s="178"/>
      <c r="G4" s="178"/>
      <c r="H4" s="178"/>
      <c r="I4" s="178"/>
      <c r="J4" s="178"/>
      <c r="K4" s="178"/>
    </row>
    <row r="5" spans="1:11" ht="16.5" customHeight="1" x14ac:dyDescent="0.2">
      <c r="D5" s="139"/>
      <c r="E5" s="139"/>
      <c r="F5" s="139"/>
      <c r="G5" s="139"/>
      <c r="H5" s="139"/>
      <c r="I5" s="139"/>
      <c r="J5" s="139"/>
      <c r="K5" s="139"/>
    </row>
    <row r="6" spans="1:11" ht="16.5" customHeight="1" x14ac:dyDescent="0.2">
      <c r="A6" s="165" t="s">
        <v>13</v>
      </c>
      <c r="B6" s="158"/>
      <c r="C6" s="158"/>
      <c r="D6" s="161"/>
      <c r="E6" s="178"/>
      <c r="F6" s="178"/>
      <c r="G6" s="178"/>
      <c r="H6" s="178"/>
      <c r="I6" s="178"/>
      <c r="J6" s="178"/>
      <c r="K6" s="178"/>
    </row>
    <row r="7" spans="1:11" s="102" customFormat="1" ht="16.5" customHeight="1" x14ac:dyDescent="0.25">
      <c r="A7" s="176"/>
      <c r="B7" s="176"/>
      <c r="C7" s="176"/>
      <c r="D7" s="151">
        <v>2019</v>
      </c>
      <c r="E7" s="151">
        <v>2020</v>
      </c>
      <c r="F7" s="151">
        <v>2021</v>
      </c>
      <c r="G7" s="151">
        <v>2022</v>
      </c>
      <c r="H7" s="151">
        <v>2023</v>
      </c>
      <c r="I7" s="151">
        <v>2024</v>
      </c>
      <c r="J7" s="151">
        <v>2025</v>
      </c>
      <c r="K7" s="151" t="s">
        <v>36</v>
      </c>
    </row>
    <row r="8" spans="1:11" s="102" customFormat="1" ht="16.5" customHeight="1" x14ac:dyDescent="0.25">
      <c r="A8" s="162" t="s">
        <v>227</v>
      </c>
      <c r="B8" s="176"/>
      <c r="C8" s="176"/>
      <c r="D8" s="176"/>
      <c r="E8" s="176"/>
      <c r="F8" s="176"/>
      <c r="G8" s="176"/>
      <c r="H8" s="176"/>
      <c r="I8" s="176"/>
      <c r="J8" s="176"/>
      <c r="K8" s="176"/>
    </row>
    <row r="9" spans="1:11" s="102" customFormat="1" ht="16.5" customHeight="1" x14ac:dyDescent="0.25">
      <c r="A9" s="99"/>
      <c r="B9" s="98"/>
      <c r="C9" s="98"/>
      <c r="D9" s="98"/>
    </row>
    <row r="10" spans="1:11" ht="16.5" customHeight="1" x14ac:dyDescent="0.2">
      <c r="D10" s="160" t="s">
        <v>119</v>
      </c>
      <c r="E10" s="178"/>
      <c r="F10" s="178"/>
      <c r="G10" s="178"/>
      <c r="H10" s="178"/>
      <c r="I10" s="178"/>
      <c r="J10" s="178"/>
      <c r="K10" s="178"/>
    </row>
    <row r="11" spans="1:11" x14ac:dyDescent="0.2">
      <c r="C11" s="2"/>
      <c r="D11" s="2"/>
      <c r="E11" s="2"/>
      <c r="F11" s="2"/>
      <c r="G11" s="2"/>
      <c r="H11" s="2"/>
      <c r="I11" s="2"/>
    </row>
    <row r="12" spans="1:11" ht="9.9499999999999993" customHeight="1" x14ac:dyDescent="0.2">
      <c r="C12" s="177" t="s">
        <v>120</v>
      </c>
      <c r="D12" s="153">
        <v>2019</v>
      </c>
      <c r="E12" s="153">
        <v>2020</v>
      </c>
      <c r="F12" s="153">
        <v>2021</v>
      </c>
      <c r="G12" s="153">
        <v>2022</v>
      </c>
      <c r="H12" s="153">
        <v>2023</v>
      </c>
      <c r="I12" s="153">
        <v>2024</v>
      </c>
      <c r="J12" s="153">
        <v>2025</v>
      </c>
      <c r="K12" s="153" t="s">
        <v>36</v>
      </c>
    </row>
    <row r="13" spans="1:11" ht="9.9499999999999993" customHeight="1" thickBot="1" x14ac:dyDescent="0.25">
      <c r="C13" s="156"/>
      <c r="D13" s="154"/>
      <c r="E13" s="154"/>
      <c r="F13" s="154"/>
      <c r="G13" s="154"/>
      <c r="H13" s="154"/>
      <c r="I13" s="154"/>
      <c r="J13" s="154"/>
      <c r="K13" s="154"/>
    </row>
    <row r="14" spans="1:11" x14ac:dyDescent="0.2">
      <c r="C14" s="87" t="s">
        <v>123</v>
      </c>
      <c r="D14" s="42">
        <f>69.265996218*Deflactores!$T$5</f>
        <v>104.8065528585244</v>
      </c>
      <c r="E14" s="42">
        <f>93.975763766*Deflactores!$U$5</f>
        <v>139.94189961711206</v>
      </c>
      <c r="F14" s="42">
        <f>91.179941857*Deflactores!$V$5</f>
        <v>128.55383844431964</v>
      </c>
      <c r="G14" s="42">
        <f>76.979530766*Deflactores!$W$5</f>
        <v>95.94483509190141</v>
      </c>
      <c r="H14" s="42">
        <f>81.439274579*Deflactores!$X$5</f>
        <v>92.883709482711851</v>
      </c>
      <c r="I14" s="42">
        <f>124.945710223*Deflactores!$Y$5</f>
        <v>135.46006046167233</v>
      </c>
      <c r="J14" s="42">
        <f>123.023101576*Deflactores!$Z$5</f>
        <v>126.90357916345113</v>
      </c>
      <c r="K14" s="42">
        <f>99.532016*Deflactores!$AA$5</f>
        <v>99.532015999999999</v>
      </c>
    </row>
    <row r="15" spans="1:11" x14ac:dyDescent="0.2">
      <c r="C15" s="88" t="s">
        <v>124</v>
      </c>
      <c r="D15" s="50">
        <f>129.137686505*Deflactores!$T$5</f>
        <v>195.39855781640605</v>
      </c>
      <c r="E15" s="50">
        <f>149.775903585*Deflactores!$U$5</f>
        <v>223.03542556721979</v>
      </c>
      <c r="F15" s="50">
        <f>201.943780378*Deflactores!$V$5</f>
        <v>284.71884922084479</v>
      </c>
      <c r="G15" s="50">
        <f>238.252096659*Deflactores!$W$5</f>
        <v>296.94982415174456</v>
      </c>
      <c r="H15" s="50">
        <f>254.753766513*Deflactores!$X$5</f>
        <v>290.55360525671631</v>
      </c>
      <c r="I15" s="50">
        <f>280.287470301*Deflactores!$Y$5</f>
        <v>303.87403941967062</v>
      </c>
      <c r="J15" s="50">
        <f>267.363934371*Deflactores!$Z$5</f>
        <v>275.79730779215771</v>
      </c>
      <c r="K15" s="50">
        <f>295.190067302*Deflactores!$AA$5</f>
        <v>295.19006730199999</v>
      </c>
    </row>
    <row r="16" spans="1:11" x14ac:dyDescent="0.2">
      <c r="C16" s="87" t="s">
        <v>125</v>
      </c>
      <c r="D16" s="42">
        <f>0*Deflactores!$T$5</f>
        <v>0</v>
      </c>
      <c r="E16" s="42">
        <f>0*Deflactores!$U$5</f>
        <v>0</v>
      </c>
      <c r="F16" s="42">
        <f>0*Deflactores!$V$5</f>
        <v>0</v>
      </c>
      <c r="G16" s="42">
        <f>0*Deflactores!$W$5</f>
        <v>0</v>
      </c>
      <c r="H16" s="42">
        <f>0*Deflactores!$X$5</f>
        <v>0</v>
      </c>
      <c r="I16" s="42">
        <f>0*Deflactores!$Y$5</f>
        <v>0</v>
      </c>
      <c r="J16" s="42">
        <f>0*Deflactores!$Z$5</f>
        <v>0</v>
      </c>
      <c r="K16" s="42">
        <f>0*Deflactores!$AA$5</f>
        <v>0</v>
      </c>
    </row>
    <row r="17" spans="3:11" x14ac:dyDescent="0.2">
      <c r="C17" s="88" t="s">
        <v>126</v>
      </c>
      <c r="D17" s="50">
        <f>351.81286574*Deflactores!$T$5</f>
        <v>532.32893082834687</v>
      </c>
      <c r="E17" s="50">
        <f>380.127647753*Deflactores!$U$5</f>
        <v>566.05855586337088</v>
      </c>
      <c r="F17" s="50">
        <f>423.618027762*Deflactores!$V$5</f>
        <v>597.25551907485305</v>
      </c>
      <c r="G17" s="50">
        <f>444.673058611*Deflactores!$W$5</f>
        <v>554.22633593250612</v>
      </c>
      <c r="H17" s="50">
        <f>488.476218378*Deflactores!$X$5</f>
        <v>557.12042367252855</v>
      </c>
      <c r="I17" s="50">
        <f>512.968430559*Deflactores!$Y$5</f>
        <v>556.13541668964149</v>
      </c>
      <c r="J17" s="50">
        <f>544.504285906*Deflactores!$Z$5</f>
        <v>561.67940708780498</v>
      </c>
      <c r="K17" s="50">
        <f>578.787048837*Deflactores!$AA$5</f>
        <v>578.78704883700004</v>
      </c>
    </row>
    <row r="18" spans="3:11" x14ac:dyDescent="0.2">
      <c r="C18" s="87" t="s">
        <v>127</v>
      </c>
      <c r="D18" s="42">
        <f>0*Deflactores!$T$5</f>
        <v>0</v>
      </c>
      <c r="E18" s="42">
        <f>0*Deflactores!$U$5</f>
        <v>0</v>
      </c>
      <c r="F18" s="42">
        <f>0*Deflactores!$V$5</f>
        <v>0</v>
      </c>
      <c r="G18" s="42">
        <f>0*Deflactores!$W$5</f>
        <v>0</v>
      </c>
      <c r="H18" s="42">
        <f>0*Deflactores!$X$5</f>
        <v>0</v>
      </c>
      <c r="I18" s="42">
        <f>0*Deflactores!$Y$5</f>
        <v>0</v>
      </c>
      <c r="J18" s="42">
        <f>0*Deflactores!$Z$5</f>
        <v>0</v>
      </c>
      <c r="K18" s="42">
        <f>0*Deflactores!$AA$5</f>
        <v>0</v>
      </c>
    </row>
    <row r="19" spans="3:11" x14ac:dyDescent="0.2">
      <c r="C19" s="88" t="s">
        <v>128</v>
      </c>
      <c r="D19" s="50">
        <f>10.081667694*Deflactores!$T$5</f>
        <v>15.254596710740818</v>
      </c>
      <c r="E19" s="50">
        <f>11.359510347*Deflactores!$U$5</f>
        <v>16.915759904199422</v>
      </c>
      <c r="F19" s="50">
        <f>16.405886238*Deflactores!$V$5</f>
        <v>23.130521976899299</v>
      </c>
      <c r="G19" s="50">
        <f>23.72595271*Deflactores!$W$5</f>
        <v>29.571271707005842</v>
      </c>
      <c r="H19" s="50">
        <f>15.98364996*Deflactores!$X$5</f>
        <v>18.229787863813122</v>
      </c>
      <c r="I19" s="50">
        <f>18.680102932*Deflactores!$Y$5</f>
        <v>20.25205881884839</v>
      </c>
      <c r="J19" s="50">
        <f>19.77255738*Deflactores!$Z$5</f>
        <v>20.396236711578887</v>
      </c>
      <c r="K19" s="50">
        <f>23.987375*Deflactores!$AA$5</f>
        <v>23.987375</v>
      </c>
    </row>
    <row r="20" spans="3:11" x14ac:dyDescent="0.2">
      <c r="C20" s="87" t="s">
        <v>129</v>
      </c>
      <c r="D20" s="42">
        <f>2206.0487627644*Deflactores!$T$5</f>
        <v>3337.9779240519442</v>
      </c>
      <c r="E20" s="42">
        <f>1892.445895378*Deflactores!$U$5</f>
        <v>2818.0933350138835</v>
      </c>
      <c r="F20" s="42">
        <f>2352.325438836*Deflactores!$V$5</f>
        <v>3316.5239884321199</v>
      </c>
      <c r="G20" s="42">
        <f>2745.350646853*Deflactores!$W$5</f>
        <v>3421.7175976616154</v>
      </c>
      <c r="H20" s="42">
        <f>2648.8707*Deflactores!$X$5</f>
        <v>3021.1091371817165</v>
      </c>
      <c r="I20" s="42">
        <f>2928.604639961*Deflactores!$Y$5</f>
        <v>3175.0506751245393</v>
      </c>
      <c r="J20" s="42">
        <f>2765.605375879*Deflactores!$Z$5</f>
        <v>2852.8399646623348</v>
      </c>
      <c r="K20" s="42">
        <f>3154.52*Deflactores!$AA$5</f>
        <v>3154.52</v>
      </c>
    </row>
    <row r="21" spans="3:11" x14ac:dyDescent="0.2">
      <c r="C21" s="88" t="s">
        <v>130</v>
      </c>
      <c r="D21" s="50">
        <f>0*Deflactores!$T$5</f>
        <v>0</v>
      </c>
      <c r="E21" s="50">
        <f>0*Deflactores!$U$5</f>
        <v>0</v>
      </c>
      <c r="F21" s="50">
        <f>0*Deflactores!$V$5</f>
        <v>0</v>
      </c>
      <c r="G21" s="50">
        <f>0*Deflactores!$W$5</f>
        <v>0</v>
      </c>
      <c r="H21" s="50">
        <f>0*Deflactores!$X$5</f>
        <v>0</v>
      </c>
      <c r="I21" s="50">
        <f>0*Deflactores!$Y$5</f>
        <v>0</v>
      </c>
      <c r="J21" s="50">
        <f>0*Deflactores!$Z$5</f>
        <v>0</v>
      </c>
      <c r="K21" s="50">
        <f>0*Deflactores!$AA$5</f>
        <v>0</v>
      </c>
    </row>
    <row r="22" spans="3:11" x14ac:dyDescent="0.2">
      <c r="C22" s="87" t="s">
        <v>131</v>
      </c>
      <c r="D22" s="42">
        <f>23.92491915*Deflactores!$T$5</f>
        <v>36.200855260041465</v>
      </c>
      <c r="E22" s="42">
        <f>25.199122631*Deflactores!$U$5</f>
        <v>37.524707949673925</v>
      </c>
      <c r="F22" s="42">
        <f>29.496360368*Deflactores!$V$5</f>
        <v>41.586672114687225</v>
      </c>
      <c r="G22" s="42">
        <f>32.598041209*Deflactores!$W$5</f>
        <v>40.629160206545492</v>
      </c>
      <c r="H22" s="42">
        <f>39.564147831*Deflactores!$X$5</f>
        <v>45.123987560828198</v>
      </c>
      <c r="I22" s="42">
        <f>49.386459767*Deflactores!$Y$5</f>
        <v>53.542397046571772</v>
      </c>
      <c r="J22" s="42">
        <f>59.035689513*Deflactores!$Z$5</f>
        <v>60.897833021659608</v>
      </c>
      <c r="K22" s="42">
        <f>79.386581*Deflactores!$AA$5</f>
        <v>79.386581000000007</v>
      </c>
    </row>
    <row r="23" spans="3:11" x14ac:dyDescent="0.2">
      <c r="C23" s="88" t="s">
        <v>132</v>
      </c>
      <c r="D23" s="50">
        <f>368.224789105*Deflactores!$T$5</f>
        <v>557.16185329509881</v>
      </c>
      <c r="E23" s="50">
        <f>303.28929749*Deflactores!$U$5</f>
        <v>451.63645096807033</v>
      </c>
      <c r="F23" s="50">
        <f>448.847231154*Deflactores!$V$5</f>
        <v>632.82596221047845</v>
      </c>
      <c r="G23" s="50">
        <f>457.359850456*Deflactores!$W$5</f>
        <v>570.03874917147357</v>
      </c>
      <c r="H23" s="50">
        <f>520.316743384*Deflactores!$X$5</f>
        <v>593.43540915984943</v>
      </c>
      <c r="I23" s="50">
        <f>524.275323799*Deflactores!$Y$5</f>
        <v>568.39380026431934</v>
      </c>
      <c r="J23" s="50">
        <f>556.26519656*Deflactores!$Z$5</f>
        <v>573.81128831250453</v>
      </c>
      <c r="K23" s="50">
        <f>598.748893*Deflactores!$AA$5</f>
        <v>598.74889299999995</v>
      </c>
    </row>
    <row r="24" spans="3:11" x14ac:dyDescent="0.2">
      <c r="C24" s="87" t="s">
        <v>133</v>
      </c>
      <c r="D24" s="42">
        <f>68.121022743*Deflactores!$T$5</f>
        <v>103.07409061757836</v>
      </c>
      <c r="E24" s="42">
        <f>62.45681145*Deflactores!$U$5</f>
        <v>93.006159121028645</v>
      </c>
      <c r="F24" s="42">
        <f>97.386389181*Deflactores!$V$5</f>
        <v>137.30425668711678</v>
      </c>
      <c r="G24" s="42">
        <f>47.0045408*Deflactores!$W$5</f>
        <v>58.58496240169913</v>
      </c>
      <c r="H24" s="42">
        <f>59.315842393*Deflactores!$X$5</f>
        <v>67.651332861631531</v>
      </c>
      <c r="I24" s="42">
        <f>48.512851476*Deflactores!$Y$5</f>
        <v>52.595273438186425</v>
      </c>
      <c r="J24" s="42">
        <f>41.465715*Deflactores!$Z$5</f>
        <v>42.77365453041196</v>
      </c>
      <c r="K24" s="42">
        <f>42.564540014*Deflactores!$AA$5</f>
        <v>42.564540014000002</v>
      </c>
    </row>
    <row r="25" spans="3:11" x14ac:dyDescent="0.2">
      <c r="C25" s="88" t="s">
        <v>134</v>
      </c>
      <c r="D25" s="50">
        <f>252.665*Deflactores!$T$5</f>
        <v>382.30804613934828</v>
      </c>
      <c r="E25" s="50">
        <f>293.356195675*Deflactores!$U$5</f>
        <v>436.84479531797592</v>
      </c>
      <c r="F25" s="50">
        <f>346.174916*Deflactores!$V$5</f>
        <v>488.06912264469088</v>
      </c>
      <c r="G25" s="50">
        <f>365.151244824*Deflactores!$W$5</f>
        <v>455.11288026342498</v>
      </c>
      <c r="H25" s="50">
        <f>407.304081827*Deflactores!$X$5</f>
        <v>464.54139238240629</v>
      </c>
      <c r="I25" s="50">
        <f>493.208453895*Deflactores!$Y$5</f>
        <v>534.71261130601215</v>
      </c>
      <c r="J25" s="50">
        <f>442.088900109*Deflactores!$Z$5</f>
        <v>456.03356616405063</v>
      </c>
      <c r="K25" s="50">
        <f>599.034869*Deflactores!$AA$5</f>
        <v>599.03486899999996</v>
      </c>
    </row>
    <row r="26" spans="3:11" x14ac:dyDescent="0.2">
      <c r="C26" s="87" t="s">
        <v>135</v>
      </c>
      <c r="D26" s="42">
        <f>0*Deflactores!$T$5</f>
        <v>0</v>
      </c>
      <c r="E26" s="42">
        <f>0*Deflactores!$U$5</f>
        <v>0</v>
      </c>
      <c r="F26" s="42">
        <f>0*Deflactores!$V$5</f>
        <v>0</v>
      </c>
      <c r="G26" s="42">
        <f>0*Deflactores!$W$5</f>
        <v>0</v>
      </c>
      <c r="H26" s="42">
        <f>0*Deflactores!$X$5</f>
        <v>0</v>
      </c>
      <c r="I26" s="42">
        <f>4534.189286913*Deflactores!$Y$5</f>
        <v>4915.7474382569053</v>
      </c>
      <c r="J26" s="42">
        <f>4393.176075248*Deflactores!$Z$5</f>
        <v>4531.7485960130934</v>
      </c>
      <c r="K26" s="42">
        <f>4634.901638911*Deflactores!$AA$5</f>
        <v>4634.9016389110002</v>
      </c>
    </row>
    <row r="27" spans="3:11" x14ac:dyDescent="0.2">
      <c r="C27" s="88" t="s">
        <v>136</v>
      </c>
      <c r="D27" s="50">
        <f>2639.988657234*Deflactores!$T$5</f>
        <v>3994.5734683362248</v>
      </c>
      <c r="E27" s="50">
        <f>2570.458132205*Deflactores!$U$5</f>
        <v>3827.740041599583</v>
      </c>
      <c r="F27" s="50">
        <f>2977.909*Deflactores!$V$5</f>
        <v>4198.5290261346636</v>
      </c>
      <c r="G27" s="50">
        <f>3200.618203527*Deflactores!$W$5</f>
        <v>3989.1485785097407</v>
      </c>
      <c r="H27" s="50">
        <f>3896.937817041*Deflactores!$X$5</f>
        <v>4444.563657294234</v>
      </c>
      <c r="I27" s="50">
        <f>64.1165088*Deflactores!$Y$5</f>
        <v>69.511999596770238</v>
      </c>
      <c r="J27" s="50">
        <f>36.758051233*Deflactores!$Z$5</f>
        <v>37.917498459908998</v>
      </c>
      <c r="K27" s="50">
        <f>67.6371*Deflactores!$AA$5</f>
        <v>67.637100000000004</v>
      </c>
    </row>
    <row r="28" spans="3:11" x14ac:dyDescent="0.2">
      <c r="C28" s="87" t="s">
        <v>137</v>
      </c>
      <c r="D28" s="42">
        <f>45.151440557*Deflactores!$T$5</f>
        <v>68.318758117363302</v>
      </c>
      <c r="E28" s="42">
        <f>38.42789807*Deflactores!$U$5</f>
        <v>57.224042015758229</v>
      </c>
      <c r="F28" s="42">
        <f>109.989438877*Deflactores!$V$5</f>
        <v>155.07319118661749</v>
      </c>
      <c r="G28" s="42">
        <f>98.378398775*Deflactores!$W$5</f>
        <v>122.61570255299119</v>
      </c>
      <c r="H28" s="42">
        <f>54.872029584*Deflactores!$X$5</f>
        <v>62.583043389746379</v>
      </c>
      <c r="I28" s="42">
        <f>66.238031157*Deflactores!$Y$5</f>
        <v>71.812050924959877</v>
      </c>
      <c r="J28" s="42">
        <f>61.597597522*Deflactores!$Z$5</f>
        <v>63.540550459804869</v>
      </c>
      <c r="K28" s="42">
        <f>67.597446*Deflactores!$AA$5</f>
        <v>67.597446000000005</v>
      </c>
    </row>
    <row r="29" spans="3:11" x14ac:dyDescent="0.2">
      <c r="C29" s="88" t="s">
        <v>138</v>
      </c>
      <c r="D29" s="50">
        <f>0*Deflactores!$T$5</f>
        <v>0</v>
      </c>
      <c r="E29" s="50">
        <f>0*Deflactores!$U$5</f>
        <v>0</v>
      </c>
      <c r="F29" s="50">
        <f>0*Deflactores!$V$5</f>
        <v>0</v>
      </c>
      <c r="G29" s="50">
        <f>0*Deflactores!$W$5</f>
        <v>0</v>
      </c>
      <c r="H29" s="50">
        <f>0*Deflactores!$X$5</f>
        <v>0</v>
      </c>
      <c r="I29" s="50">
        <f>0*Deflactores!$Y$5</f>
        <v>0</v>
      </c>
      <c r="J29" s="50">
        <f>0*Deflactores!$Z$5</f>
        <v>0</v>
      </c>
      <c r="K29" s="50">
        <f>0*Deflactores!$AA$5</f>
        <v>0</v>
      </c>
    </row>
    <row r="30" spans="3:11" x14ac:dyDescent="0.2">
      <c r="C30" s="87" t="s">
        <v>160</v>
      </c>
      <c r="D30" s="42">
        <f>106.570360693*Deflactores!$T$5</f>
        <v>161.2518804460706</v>
      </c>
      <c r="E30" s="42">
        <f>116.069788985*Deflactores!$U$5</f>
        <v>172.84272144000283</v>
      </c>
      <c r="F30" s="42">
        <f>131.144217016*Deflactores!$V$5</f>
        <v>184.89913618964832</v>
      </c>
      <c r="G30" s="42">
        <f>164.184372976*Deflactores!$W$5</f>
        <v>204.63417265732562</v>
      </c>
      <c r="H30" s="42">
        <f>173.596287573*Deflactores!$X$5</f>
        <v>197.99129137092845</v>
      </c>
      <c r="I30" s="42">
        <f>228.9817870285*Deflactores!$Y$5</f>
        <v>248.25091361794202</v>
      </c>
      <c r="J30" s="42">
        <f>217.966224135*Deflactores!$Z$5</f>
        <v>224.84146168584891</v>
      </c>
      <c r="K30" s="42">
        <f>204.946*Deflactores!$AA$5</f>
        <v>204.946</v>
      </c>
    </row>
    <row r="31" spans="3:11" x14ac:dyDescent="0.2">
      <c r="C31" s="88" t="s">
        <v>161</v>
      </c>
      <c r="D31" s="50">
        <f>444.320240828*Deflactores!$T$5</f>
        <v>672.30207243234065</v>
      </c>
      <c r="E31" s="50">
        <f>478.711208054*Deflactores!$U$5</f>
        <v>712.8620522828528</v>
      </c>
      <c r="F31" s="50">
        <f>552.4648*Deflactores!$V$5</f>
        <v>778.91550706139151</v>
      </c>
      <c r="G31" s="50">
        <f>707.174405134*Deflactores!$W$5</f>
        <v>881.39965269524214</v>
      </c>
      <c r="H31" s="50">
        <f>1076.44896482*Deflactores!$X$5</f>
        <v>1227.7193459565624</v>
      </c>
      <c r="I31" s="50">
        <f>929.512151636*Deflactores!$Y$5</f>
        <v>1007.7318543849765</v>
      </c>
      <c r="J31" s="50">
        <f>847.998097531*Deflactores!$Z$5</f>
        <v>874.74622507383697</v>
      </c>
      <c r="K31" s="50">
        <f>1015.367589758*Deflactores!$AA$5</f>
        <v>1015.367589758</v>
      </c>
    </row>
    <row r="32" spans="3:11" x14ac:dyDescent="0.2">
      <c r="C32" s="87" t="s">
        <v>140</v>
      </c>
      <c r="D32" s="42">
        <f>808.882828519*Deflactores!$T$5</f>
        <v>1223.9226395692651</v>
      </c>
      <c r="E32" s="42">
        <f>1155.308874116*Deflactores!$U$5</f>
        <v>1720.4022825595134</v>
      </c>
      <c r="F32" s="42">
        <f>1545.138664447*Deflactores!$V$5</f>
        <v>2178.4780972432932</v>
      </c>
      <c r="G32" s="42">
        <f>1198.354958409*Deflactores!$W$5</f>
        <v>1493.5914485581143</v>
      </c>
      <c r="H32" s="42">
        <f>2016.561893797*Deflactores!$X$5</f>
        <v>2299.9437318864161</v>
      </c>
      <c r="I32" s="42">
        <f>4743.915674858*Deflactores!$Y$5</f>
        <v>5143.1225849564862</v>
      </c>
      <c r="J32" s="42">
        <f>3963.608638279*Deflactores!$Z$5</f>
        <v>4088.6314534188668</v>
      </c>
      <c r="K32" s="42">
        <f>3420.984603088*Deflactores!$AA$5</f>
        <v>3420.9846030879999</v>
      </c>
    </row>
    <row r="33" spans="1:11" x14ac:dyDescent="0.2">
      <c r="C33" s="88" t="s">
        <v>141</v>
      </c>
      <c r="D33" s="50">
        <f>20.727*Deflactores!$T$5</f>
        <v>31.362075761701352</v>
      </c>
      <c r="E33" s="50">
        <f>21.347*Deflactores!$U$5</f>
        <v>31.788405982684836</v>
      </c>
      <c r="F33" s="50">
        <f>20.93313*Deflactores!$V$5</f>
        <v>29.513445143169349</v>
      </c>
      <c r="G33" s="50">
        <f>30.577919*Deflactores!$W$5</f>
        <v>38.111344232878913</v>
      </c>
      <c r="H33" s="50">
        <f>49.815*Deflactores!$X$5</f>
        <v>56.815363493849361</v>
      </c>
      <c r="I33" s="50">
        <f>17.75*Deflactores!$Y$5</f>
        <v>19.243686469134008</v>
      </c>
      <c r="J33" s="50">
        <f>19.572818033*Deflactores!$Z$5</f>
        <v>20.190197051471543</v>
      </c>
      <c r="K33" s="50">
        <f>22.275956669*Deflactores!$AA$5</f>
        <v>22.275956668999999</v>
      </c>
    </row>
    <row r="34" spans="1:11" x14ac:dyDescent="0.2">
      <c r="C34" s="87" t="s">
        <v>142</v>
      </c>
      <c r="D34" s="42">
        <f>141.477228913*Deflactores!$T$5</f>
        <v>214.06955042818888</v>
      </c>
      <c r="E34" s="42">
        <f>343.527796928999*Deflactores!$U$5</f>
        <v>511.55670937913209</v>
      </c>
      <c r="F34" s="42">
        <f>725.726626879*Deflactores!$V$5</f>
        <v>1023.1959096098243</v>
      </c>
      <c r="G34" s="42">
        <f>303.420755592*Deflactores!$W$5</f>
        <v>378.17396480666099</v>
      </c>
      <c r="H34" s="42">
        <f>328.9172*Deflactores!$X$5</f>
        <v>375.13901992129172</v>
      </c>
      <c r="I34" s="42">
        <f>297.381662781*Deflactores!$Y$5</f>
        <v>322.40673128041141</v>
      </c>
      <c r="J34" s="42">
        <f>259.1457439*Deflactores!$Z$5</f>
        <v>267.319893618263</v>
      </c>
      <c r="K34" s="42">
        <f>356.011905331*Deflactores!$AA$5</f>
        <v>356.01190533099998</v>
      </c>
    </row>
    <row r="35" spans="1:11" x14ac:dyDescent="0.2">
      <c r="C35" s="88" t="s">
        <v>143</v>
      </c>
      <c r="D35" s="50">
        <f>65.425576861*Deflactores!$T$5</f>
        <v>98.995604683152251</v>
      </c>
      <c r="E35" s="50">
        <f>37.175760739*Deflactores!$U$5</f>
        <v>55.359449809644794</v>
      </c>
      <c r="F35" s="50">
        <f>140.260395277*Deflactores!$V$5</f>
        <v>197.75195977701321</v>
      </c>
      <c r="G35" s="50">
        <f>129.934163842*Deflactores!$W$5</f>
        <v>161.94580297611981</v>
      </c>
      <c r="H35" s="50">
        <f>85.558953356*Deflactores!$X$5</f>
        <v>97.582315267980391</v>
      </c>
      <c r="I35" s="50">
        <f>56.133921012*Deflactores!$Y$5</f>
        <v>60.857666266933052</v>
      </c>
      <c r="J35" s="50">
        <f>8.979918869*Deflactores!$Z$5</f>
        <v>9.2631695224291608</v>
      </c>
      <c r="K35" s="50">
        <f>54.002496961*Deflactores!$AA$5</f>
        <v>54.002496960999999</v>
      </c>
    </row>
    <row r="36" spans="1:11" x14ac:dyDescent="0.2">
      <c r="C36" s="87" t="s">
        <v>144</v>
      </c>
      <c r="D36" s="42">
        <f>0*Deflactores!$T$5</f>
        <v>0</v>
      </c>
      <c r="E36" s="42">
        <f>0*Deflactores!$U$5</f>
        <v>0</v>
      </c>
      <c r="F36" s="42">
        <f>0*Deflactores!$V$5</f>
        <v>0</v>
      </c>
      <c r="G36" s="42">
        <f>0*Deflactores!$W$5</f>
        <v>0</v>
      </c>
      <c r="H36" s="42">
        <f>0*Deflactores!$X$5</f>
        <v>0</v>
      </c>
      <c r="I36" s="42">
        <f>0*Deflactores!$Y$5</f>
        <v>0</v>
      </c>
      <c r="J36" s="42">
        <f>0*Deflactores!$Z$5</f>
        <v>0</v>
      </c>
      <c r="K36" s="42">
        <f>0*Deflactores!$AA$5</f>
        <v>0</v>
      </c>
    </row>
    <row r="37" spans="1:11" x14ac:dyDescent="0.2">
      <c r="C37" s="88" t="s">
        <v>145</v>
      </c>
      <c r="D37" s="50">
        <f>97.254704591*Deflactores!$T$5</f>
        <v>147.15633779923897</v>
      </c>
      <c r="E37" s="50">
        <f>77.879200865*Deflactores!$U$5</f>
        <v>115.97206421060008</v>
      </c>
      <c r="F37" s="50">
        <f>108.4391*Deflactores!$V$5</f>
        <v>152.88738135313045</v>
      </c>
      <c r="G37" s="50">
        <f>136.836093997*Deflactores!$W$5</f>
        <v>170.54814887181311</v>
      </c>
      <c r="H37" s="50">
        <f>173.870283784*Deflactores!$X$5</f>
        <v>198.30379150791333</v>
      </c>
      <c r="I37" s="50">
        <f>219.620652433*Deflactores!$Y$5</f>
        <v>238.10202690520029</v>
      </c>
      <c r="J37" s="50">
        <f>251.249795192*Deflactores!$Z$5</f>
        <v>259.1748855742477</v>
      </c>
      <c r="K37" s="50">
        <f>259.311080432*Deflactores!$AA$5</f>
        <v>259.31108043199998</v>
      </c>
    </row>
    <row r="38" spans="1:11" x14ac:dyDescent="0.2">
      <c r="C38" s="87" t="s">
        <v>146</v>
      </c>
      <c r="D38" s="42">
        <f>222.986*Deflactores!$T$5</f>
        <v>337.40067669217626</v>
      </c>
      <c r="E38" s="42">
        <f>189.62263943*Deflactores!$U$5</f>
        <v>282.37229801419875</v>
      </c>
      <c r="F38" s="42">
        <f>227.302273946*Deflactores!$V$5</f>
        <v>320.47157749571727</v>
      </c>
      <c r="G38" s="42">
        <f>203.453*Deflactores!$W$5</f>
        <v>253.57733854327736</v>
      </c>
      <c r="H38" s="42">
        <f>244.357829316*Deflactores!$X$5</f>
        <v>278.69675589996064</v>
      </c>
      <c r="I38" s="42">
        <f>420.620371775*Deflactores!$Y$5</f>
        <v>456.01614405457377</v>
      </c>
      <c r="J38" s="42">
        <f>604.242437338*Deflactores!$Z$5</f>
        <v>623.30185955577281</v>
      </c>
      <c r="K38" s="42">
        <f>651.103961587*Deflactores!$AA$5</f>
        <v>651.10396158699996</v>
      </c>
    </row>
    <row r="39" spans="1:11" x14ac:dyDescent="0.2">
      <c r="C39" s="88" t="s">
        <v>162</v>
      </c>
      <c r="D39" s="50">
        <f>618.754639111*Deflactores!$T$5</f>
        <v>936.23919861549473</v>
      </c>
      <c r="E39" s="50">
        <f>540.529464013*Deflactores!$U$5</f>
        <v>804.91732082485953</v>
      </c>
      <c r="F39" s="50">
        <f>587.184659048*Deflactores!$V$5</f>
        <v>827.8667463357724</v>
      </c>
      <c r="G39" s="50">
        <f>670.557441*Deflactores!$W$5</f>
        <v>835.76143497107807</v>
      </c>
      <c r="H39" s="50">
        <f>786.755919*Deflactores!$X$5</f>
        <v>897.31654158230458</v>
      </c>
      <c r="I39" s="50">
        <f>835.887706989*Deflactores!$Y$5</f>
        <v>906.22878629293928</v>
      </c>
      <c r="J39" s="50">
        <f>862.921839466*Deflactores!$Z$5</f>
        <v>890.14070173554933</v>
      </c>
      <c r="K39" s="50">
        <f>1158.035193*Deflactores!$AA$5</f>
        <v>1158.0351929999999</v>
      </c>
    </row>
    <row r="40" spans="1:11" x14ac:dyDescent="0.2">
      <c r="C40" s="87" t="s">
        <v>148</v>
      </c>
      <c r="D40" s="42">
        <f>0*Deflactores!$T$5</f>
        <v>0</v>
      </c>
      <c r="E40" s="42">
        <f>0*Deflactores!$U$5</f>
        <v>0</v>
      </c>
      <c r="F40" s="42">
        <f>0*Deflactores!$V$5</f>
        <v>0</v>
      </c>
      <c r="G40" s="42">
        <f>0*Deflactores!$W$5</f>
        <v>0</v>
      </c>
      <c r="H40" s="42">
        <f>0*Deflactores!$X$5</f>
        <v>0</v>
      </c>
      <c r="I40" s="42">
        <f>0*Deflactores!$Y$5</f>
        <v>0</v>
      </c>
      <c r="J40" s="42">
        <f>0*Deflactores!$Z$5</f>
        <v>0</v>
      </c>
      <c r="K40" s="42">
        <f>0*Deflactores!$AA$5</f>
        <v>0</v>
      </c>
    </row>
    <row r="41" spans="1:11" x14ac:dyDescent="0.2">
      <c r="C41" s="88" t="s">
        <v>149</v>
      </c>
      <c r="D41" s="50">
        <f>1562.439008477*Deflactores!$T$5</f>
        <v>2364.1303882324123</v>
      </c>
      <c r="E41" s="50">
        <f>1531.753467546*Deflactores!$U$5</f>
        <v>2280.9763007325387</v>
      </c>
      <c r="F41" s="50">
        <f>2380.088034962*Deflactores!$V$5</f>
        <v>3355.666240823266</v>
      </c>
      <c r="G41" s="50">
        <f>2389.839010958*Deflactores!$W$5</f>
        <v>2978.6192189135963</v>
      </c>
      <c r="H41" s="50">
        <f>2415.951667433*Deflactores!$X$5</f>
        <v>2755.4586403448229</v>
      </c>
      <c r="I41" s="50">
        <f>3126.680338393*Deflactores!$Y$5</f>
        <v>3389.7947110558152</v>
      </c>
      <c r="J41" s="50">
        <f>2086.591800379*Deflactores!$Z$5</f>
        <v>2152.4084853089266</v>
      </c>
      <c r="K41" s="50">
        <f>1977.081804581*Deflactores!$AA$5</f>
        <v>1977.0818045809999</v>
      </c>
    </row>
    <row r="42" spans="1:11" x14ac:dyDescent="0.2">
      <c r="C42" s="87" t="s">
        <v>163</v>
      </c>
      <c r="D42" s="42">
        <f>1657.924781199*Deflactores!$T$5</f>
        <v>2508.610150777497</v>
      </c>
      <c r="E42" s="42">
        <f>1614.863195126*Deflactores!$U$5</f>
        <v>2404.7372864178051</v>
      </c>
      <c r="F42" s="42">
        <f>1705.768063*Deflactores!$V$5</f>
        <v>2404.9481446071727</v>
      </c>
      <c r="G42" s="42">
        <f>1764.436184*Deflactores!$W$5</f>
        <v>2199.1370565593843</v>
      </c>
      <c r="H42" s="42">
        <f>2307.017421138*Deflactores!$X$5</f>
        <v>2631.2161671905737</v>
      </c>
      <c r="I42" s="42">
        <f>2284.916554*Deflactores!$Y$5</f>
        <v>2477.1953675104287</v>
      </c>
      <c r="J42" s="42">
        <f>3070.410328867*Deflactores!$Z$5</f>
        <v>3167.2592809159473</v>
      </c>
      <c r="K42" s="42">
        <f>3053.157348*Deflactores!$AA$5</f>
        <v>3053.1573480000002</v>
      </c>
    </row>
    <row r="43" spans="1:11" x14ac:dyDescent="0.2">
      <c r="C43" s="88" t="s">
        <v>150</v>
      </c>
      <c r="D43" s="50">
        <f>2942.355600993*Deflactores!$T$5</f>
        <v>4452.0856504177527</v>
      </c>
      <c r="E43" s="50">
        <f>2879.539785289*Deflactores!$U$5</f>
        <v>4288.0020489089729</v>
      </c>
      <c r="F43" s="50">
        <f>3515.740545*Deflactores!$V$5</f>
        <v>4956.8132291957209</v>
      </c>
      <c r="G43" s="50">
        <f>3450.752820011*Deflactores!$W$5</f>
        <v>4300.9083968734712</v>
      </c>
      <c r="H43" s="50">
        <f>3599.159126825*Deflactores!$X$5</f>
        <v>4104.9389553903011</v>
      </c>
      <c r="I43" s="50">
        <f>4177.91062794*Deflactores!$Y$5</f>
        <v>4529.4874490219809</v>
      </c>
      <c r="J43" s="50">
        <f>4824.254594801*Deflactores!$Z$5</f>
        <v>4976.4244847766522</v>
      </c>
      <c r="K43" s="50">
        <f>7243.268578923*Deflactores!$AA$5</f>
        <v>7243.268578923</v>
      </c>
    </row>
    <row r="44" spans="1:11" x14ac:dyDescent="0.2">
      <c r="C44" s="87" t="s">
        <v>151</v>
      </c>
      <c r="D44" s="42">
        <f>0*Deflactores!$T$5</f>
        <v>0</v>
      </c>
      <c r="E44" s="42">
        <f>0*Deflactores!$U$5</f>
        <v>0</v>
      </c>
      <c r="F44" s="42">
        <f>0*Deflactores!$V$5</f>
        <v>0</v>
      </c>
      <c r="G44" s="42">
        <f>0*Deflactores!$W$5</f>
        <v>0</v>
      </c>
      <c r="H44" s="42">
        <f>0*Deflactores!$X$5</f>
        <v>0</v>
      </c>
      <c r="I44" s="42">
        <f>0*Deflactores!$Y$5</f>
        <v>0</v>
      </c>
      <c r="J44" s="42">
        <f>0*Deflactores!$Z$5</f>
        <v>0</v>
      </c>
      <c r="K44" s="42">
        <f>0*Deflactores!$AA$5</f>
        <v>0</v>
      </c>
    </row>
    <row r="45" spans="1:11" ht="21.75" customHeight="1" x14ac:dyDescent="0.2">
      <c r="C45" s="79" t="s">
        <v>152</v>
      </c>
      <c r="D45" s="44">
        <f t="shared" ref="D45:K45" si="0">SUM(D14:D44)</f>
        <v>22474.92985988691</v>
      </c>
      <c r="E45" s="44">
        <f t="shared" si="0"/>
        <v>22049.81011350068</v>
      </c>
      <c r="F45" s="44">
        <f t="shared" si="0"/>
        <v>26414.978322962408</v>
      </c>
      <c r="G45" s="44">
        <f t="shared" si="0"/>
        <v>23530.947878309606</v>
      </c>
      <c r="H45" s="44">
        <f t="shared" si="0"/>
        <v>24778.917405919088</v>
      </c>
      <c r="I45" s="44">
        <f t="shared" si="0"/>
        <v>29255.525743164915</v>
      </c>
      <c r="J45" s="44">
        <f t="shared" si="0"/>
        <v>27158.04158061658</v>
      </c>
      <c r="K45" s="44">
        <f t="shared" si="0"/>
        <v>29657.434093394004</v>
      </c>
    </row>
    <row r="46" spans="1:11" s="31" customFormat="1" x14ac:dyDescent="0.2">
      <c r="A46" s="5"/>
      <c r="B46" s="5"/>
      <c r="C46" s="72" t="str">
        <f>+'C1 Aprop Resumen 2000-2026'!B20</f>
        <v>* Información con corte a 28 de febrero</v>
      </c>
      <c r="D46" s="121">
        <f>+D45-'C7 Ejec. Prop 19-26'!D33</f>
        <v>0</v>
      </c>
      <c r="E46" s="121">
        <f>+E45-'C7 Ejec. Prop 19-26'!E33</f>
        <v>0</v>
      </c>
      <c r="F46" s="121">
        <f>+F45-'C7 Ejec. Prop 19-26'!F33</f>
        <v>0</v>
      </c>
      <c r="G46" s="121">
        <f>+G45-'C7 Ejec. Prop 19-26'!G33</f>
        <v>0</v>
      </c>
      <c r="H46" s="121">
        <f>+H45-'C7 Ejec. Prop 19-26'!H33</f>
        <v>0</v>
      </c>
      <c r="I46" s="121">
        <f>+I45-'C7 Ejec. Prop 19-26'!I33</f>
        <v>0</v>
      </c>
      <c r="J46" s="121">
        <f>+J45-'C7 Ejec. Prop 19-26'!J33</f>
        <v>0</v>
      </c>
      <c r="K46" s="121">
        <f>+K45-'C7 Ejec. Prop 19-26'!K33</f>
        <v>0</v>
      </c>
    </row>
    <row r="47" spans="1:11" x14ac:dyDescent="0.2">
      <c r="C47" s="1" t="s">
        <v>52</v>
      </c>
      <c r="D47" s="10"/>
    </row>
    <row r="48" spans="1:11" x14ac:dyDescent="0.2">
      <c r="D48" s="10"/>
    </row>
    <row r="49" spans="3:11" x14ac:dyDescent="0.2">
      <c r="D49" s="10"/>
    </row>
    <row r="51" spans="3:11" ht="18" customHeight="1" x14ac:dyDescent="0.2">
      <c r="D51" s="160" t="s">
        <v>153</v>
      </c>
      <c r="E51" s="178"/>
      <c r="F51" s="178"/>
      <c r="G51" s="178"/>
      <c r="H51" s="178"/>
      <c r="I51" s="178"/>
      <c r="J51" s="178"/>
      <c r="K51" s="178"/>
    </row>
    <row r="52" spans="3:11" ht="11.25" hidden="1" customHeight="1" x14ac:dyDescent="0.2">
      <c r="D52" s="28"/>
    </row>
    <row r="53" spans="3:11" x14ac:dyDescent="0.2">
      <c r="C53" s="2"/>
      <c r="D53" s="2"/>
      <c r="E53" s="2"/>
      <c r="F53" s="2"/>
      <c r="G53" s="2"/>
      <c r="H53" s="2"/>
      <c r="I53" s="2"/>
    </row>
    <row r="54" spans="3:11" ht="12" thickBot="1" x14ac:dyDescent="0.25">
      <c r="C54" s="177" t="s">
        <v>120</v>
      </c>
      <c r="D54" s="153">
        <v>2019</v>
      </c>
      <c r="E54" s="153">
        <v>2020</v>
      </c>
      <c r="F54" s="153">
        <v>2021</v>
      </c>
      <c r="G54" s="153">
        <v>2022</v>
      </c>
      <c r="H54" s="153">
        <v>2023</v>
      </c>
      <c r="I54" s="153">
        <v>2024</v>
      </c>
      <c r="J54" s="153">
        <v>2025</v>
      </c>
      <c r="K54" s="153" t="s">
        <v>36</v>
      </c>
    </row>
    <row r="55" spans="3:11" ht="12" customHeight="1" thickBot="1" x14ac:dyDescent="0.25">
      <c r="C55" s="156"/>
      <c r="D55" s="154"/>
      <c r="E55" s="154"/>
      <c r="F55" s="154"/>
      <c r="G55" s="154"/>
      <c r="H55" s="154"/>
      <c r="I55" s="154"/>
      <c r="J55" s="154"/>
      <c r="K55" s="154"/>
    </row>
    <row r="56" spans="3:11" x14ac:dyDescent="0.2">
      <c r="C56" s="87" t="s">
        <v>123</v>
      </c>
      <c r="D56" s="42">
        <f>60.70700371652*Deflactores!$T$5</f>
        <v>91.855919806213421</v>
      </c>
      <c r="E56" s="42">
        <f>84.55009401387*Deflactores!$U$5</f>
        <v>125.90587503569917</v>
      </c>
      <c r="F56" s="42">
        <f>86.9368905809199*Deflactores!$V$5</f>
        <v>122.57159589023216</v>
      </c>
      <c r="G56" s="42">
        <f>68.88567513719*Deflactores!$W$5</f>
        <v>85.856911252453656</v>
      </c>
      <c r="H56" s="42">
        <f>71.24765676576*Deflactores!$X$5</f>
        <v>81.259891944829278</v>
      </c>
      <c r="I56" s="42">
        <f>118.60804915405*Deflactores!$Y$5</f>
        <v>128.58907665555907</v>
      </c>
      <c r="J56" s="42">
        <f>113.935315915449*Deflactores!$Z$5</f>
        <v>117.52914044242966</v>
      </c>
      <c r="K56" s="42">
        <f>36.689241577*Deflactores!$AA$5</f>
        <v>36.689241576999997</v>
      </c>
    </row>
    <row r="57" spans="3:11" x14ac:dyDescent="0.2">
      <c r="C57" s="88" t="s">
        <v>124</v>
      </c>
      <c r="D57" s="50">
        <f>124.328856942959*Deflactores!$T$5</f>
        <v>188.12230572735126</v>
      </c>
      <c r="E57" s="50">
        <f>144.021200306449*Deflactores!$U$5</f>
        <v>214.46593832646153</v>
      </c>
      <c r="F57" s="50">
        <f>180.884463282789*Deflactores!$V$5</f>
        <v>255.02749394611433</v>
      </c>
      <c r="G57" s="50">
        <f>213.34929406589*Deflactores!$W$5</f>
        <v>265.9117642370249</v>
      </c>
      <c r="H57" s="50">
        <f>225.9729453473*Deflactores!$X$5</f>
        <v>257.72829528621111</v>
      </c>
      <c r="I57" s="50">
        <f>247.62751558465*Deflactores!$Y$5</f>
        <v>268.46570541079438</v>
      </c>
      <c r="J57" s="50">
        <f>256.88568760146*Deflactores!$Z$5</f>
        <v>264.98854910067706</v>
      </c>
      <c r="K57" s="50">
        <f>219.67729188991*Deflactores!$AA$5</f>
        <v>219.67729188991001</v>
      </c>
    </row>
    <row r="58" spans="3:11" x14ac:dyDescent="0.2">
      <c r="C58" s="87" t="s">
        <v>125</v>
      </c>
      <c r="D58" s="42">
        <f>0*Deflactores!$T$5</f>
        <v>0</v>
      </c>
      <c r="E58" s="42">
        <f>0*Deflactores!$U$5</f>
        <v>0</v>
      </c>
      <c r="F58" s="42">
        <f>0*Deflactores!$V$5</f>
        <v>0</v>
      </c>
      <c r="G58" s="42">
        <f>0*Deflactores!$W$5</f>
        <v>0</v>
      </c>
      <c r="H58" s="42">
        <f>0*Deflactores!$X$5</f>
        <v>0</v>
      </c>
      <c r="I58" s="42">
        <f>0*Deflactores!$Y$5</f>
        <v>0</v>
      </c>
      <c r="J58" s="42">
        <f>0*Deflactores!$Z$5</f>
        <v>0</v>
      </c>
      <c r="K58" s="42">
        <f>0*Deflactores!$AA$5</f>
        <v>0</v>
      </c>
    </row>
    <row r="59" spans="3:11" x14ac:dyDescent="0.2">
      <c r="C59" s="88" t="s">
        <v>126</v>
      </c>
      <c r="D59" s="50">
        <f>336.69346902338*Deflactores!$T$5</f>
        <v>509.45173367980362</v>
      </c>
      <c r="E59" s="50">
        <f>350.77093917672*Deflactores!$U$5</f>
        <v>522.34267210742598</v>
      </c>
      <c r="F59" s="50">
        <f>373.02493085056*Deflactores!$V$5</f>
        <v>525.92473431792303</v>
      </c>
      <c r="G59" s="50">
        <f>411.33678883529*Deflactores!$W$5</f>
        <v>512.67707115545568</v>
      </c>
      <c r="H59" s="50">
        <f>443.54076421665*Deflactores!$X$5</f>
        <v>505.87031503179173</v>
      </c>
      <c r="I59" s="50">
        <f>461.045969761709*Deflactores!$Y$5</f>
        <v>499.84361070153051</v>
      </c>
      <c r="J59" s="50">
        <f>489.288760237309*Deflactores!$Z$5</f>
        <v>504.72223609322117</v>
      </c>
      <c r="K59" s="50">
        <f>162.86126429704*Deflactores!$AA$5</f>
        <v>162.86126429704001</v>
      </c>
    </row>
    <row r="60" spans="3:11" x14ac:dyDescent="0.2">
      <c r="C60" s="87" t="s">
        <v>127</v>
      </c>
      <c r="D60" s="42">
        <f>0*Deflactores!$T$5</f>
        <v>0</v>
      </c>
      <c r="E60" s="42">
        <f>0*Deflactores!$U$5</f>
        <v>0</v>
      </c>
      <c r="F60" s="42">
        <f>0*Deflactores!$V$5</f>
        <v>0</v>
      </c>
      <c r="G60" s="42">
        <f>0*Deflactores!$W$5</f>
        <v>0</v>
      </c>
      <c r="H60" s="42">
        <f>0*Deflactores!$X$5</f>
        <v>0</v>
      </c>
      <c r="I60" s="42">
        <f>0*Deflactores!$Y$5</f>
        <v>0</v>
      </c>
      <c r="J60" s="42">
        <f>0*Deflactores!$Z$5</f>
        <v>0</v>
      </c>
      <c r="K60" s="42">
        <f>0*Deflactores!$AA$5</f>
        <v>0</v>
      </c>
    </row>
    <row r="61" spans="3:11" x14ac:dyDescent="0.2">
      <c r="C61" s="88" t="s">
        <v>128</v>
      </c>
      <c r="D61" s="50">
        <f>9.67589047123999*Deflactores!$T$5</f>
        <v>14.640614175758804</v>
      </c>
      <c r="E61" s="50">
        <f>11.05793322114*Deflactores!$U$5</f>
        <v>16.466673095189776</v>
      </c>
      <c r="F61" s="50">
        <f>11.2876361612*Deflactores!$V$5</f>
        <v>15.914343943769083</v>
      </c>
      <c r="G61" s="50">
        <f>22.7492003578*Deflactores!$W$5</f>
        <v>28.3538786880444</v>
      </c>
      <c r="H61" s="50">
        <f>13.48445123598*Deflactores!$X$5</f>
        <v>15.379383689396567</v>
      </c>
      <c r="I61" s="50">
        <f>11.9262319684899*Deflactores!$Y$5</f>
        <v>12.929840493508875</v>
      </c>
      <c r="J61" s="50">
        <f>18.89695694104*Deflactores!$Z$5</f>
        <v>19.493017493418726</v>
      </c>
      <c r="K61" s="50">
        <f>7.71031324062*Deflactores!$AA$5</f>
        <v>7.7103132406199997</v>
      </c>
    </row>
    <row r="62" spans="3:11" x14ac:dyDescent="0.2">
      <c r="C62" s="87" t="s">
        <v>129</v>
      </c>
      <c r="D62" s="42">
        <f>2069.50067085458*Deflactores!$T$5</f>
        <v>3131.3666632041836</v>
      </c>
      <c r="E62" s="42">
        <f>1853.43658726311*Deflactores!$U$5</f>
        <v>2760.0034992777255</v>
      </c>
      <c r="F62" s="42">
        <f>1825.42220457594*Deflactores!$V$5</f>
        <v>2573.6475194046598</v>
      </c>
      <c r="G62" s="42">
        <f>2564.98058669211*Deflactores!$W$5</f>
        <v>3196.9101000651717</v>
      </c>
      <c r="H62" s="42">
        <f>2361.03649381141*Deflactores!$X$5</f>
        <v>2692.8263900057987</v>
      </c>
      <c r="I62" s="42">
        <f>2633.21656217436*Deflactores!$Y$5</f>
        <v>2854.8052917078485</v>
      </c>
      <c r="J62" s="42">
        <f>2699.37020121435*Deflactores!$Z$5</f>
        <v>2784.5155554759208</v>
      </c>
      <c r="K62" s="42">
        <f>563.62552600589*Deflactores!$AA$5</f>
        <v>563.62552600589004</v>
      </c>
    </row>
    <row r="63" spans="3:11" x14ac:dyDescent="0.2">
      <c r="C63" s="88" t="s">
        <v>130</v>
      </c>
      <c r="D63" s="50">
        <f>0*Deflactores!$T$5</f>
        <v>0</v>
      </c>
      <c r="E63" s="50">
        <f>0*Deflactores!$U$5</f>
        <v>0</v>
      </c>
      <c r="F63" s="50">
        <f>0*Deflactores!$V$5</f>
        <v>0</v>
      </c>
      <c r="G63" s="50">
        <f>0*Deflactores!$W$5</f>
        <v>0</v>
      </c>
      <c r="H63" s="50">
        <f>0*Deflactores!$X$5</f>
        <v>0</v>
      </c>
      <c r="I63" s="50">
        <f>0*Deflactores!$Y$5</f>
        <v>0</v>
      </c>
      <c r="J63" s="50">
        <f>0*Deflactores!$Z$5</f>
        <v>0</v>
      </c>
      <c r="K63" s="50">
        <f>0*Deflactores!$AA$5</f>
        <v>0</v>
      </c>
    </row>
    <row r="64" spans="3:11" x14ac:dyDescent="0.2">
      <c r="C64" s="87" t="s">
        <v>131</v>
      </c>
      <c r="D64" s="42">
        <f>21.68704354706*Deflactores!$T$5</f>
        <v>32.814720064177742</v>
      </c>
      <c r="E64" s="42">
        <f>20.60487504441*Deflactores!$U$5</f>
        <v>30.683287259764665</v>
      </c>
      <c r="F64" s="42">
        <f>24.39402736355*Deflactores!$V$5</f>
        <v>34.392935428916026</v>
      </c>
      <c r="G64" s="42">
        <f>29.28348064693*Deflactores!$W$5</f>
        <v>36.497997501791957</v>
      </c>
      <c r="H64" s="42">
        <f>35.33026852938*Deflactores!$X$5</f>
        <v>40.295132968624536</v>
      </c>
      <c r="I64" s="42">
        <f>46.1357764065199*Deflactores!$Y$5</f>
        <v>50.018164291669805</v>
      </c>
      <c r="J64" s="42">
        <f>55.46484717602*Deflactores!$Z$5</f>
        <v>57.214356768939709</v>
      </c>
      <c r="K64" s="42">
        <f>17.93888413842*Deflactores!$AA$5</f>
        <v>17.938884138420001</v>
      </c>
    </row>
    <row r="65" spans="3:11" x14ac:dyDescent="0.2">
      <c r="C65" s="88" t="s">
        <v>132</v>
      </c>
      <c r="D65" s="50">
        <f>340.216875732059*Deflactores!$T$5</f>
        <v>514.7830092207347</v>
      </c>
      <c r="E65" s="50">
        <f>222.08220358878*Deflactores!$U$5</f>
        <v>330.70872952683777</v>
      </c>
      <c r="F65" s="50">
        <f>260.7059227921*Deflactores!$V$5</f>
        <v>367.56710300007637</v>
      </c>
      <c r="G65" s="50">
        <f>319.3632566372*Deflactores!$W$5</f>
        <v>398.04419028755945</v>
      </c>
      <c r="H65" s="50">
        <f>409.29115673819*Deflactores!$X$5</f>
        <v>466.8077054079763</v>
      </c>
      <c r="I65" s="50">
        <f>456.07440670332*Deflactores!$Y$5</f>
        <v>494.45368389830986</v>
      </c>
      <c r="J65" s="50">
        <f>494.028590405649*Deflactores!$Z$5</f>
        <v>509.61157317937534</v>
      </c>
      <c r="K65" s="50">
        <f>210.88428930959*Deflactores!$AA$5</f>
        <v>210.88428930959</v>
      </c>
    </row>
    <row r="66" spans="3:11" x14ac:dyDescent="0.2">
      <c r="C66" s="87" t="s">
        <v>133</v>
      </c>
      <c r="D66" s="42">
        <f>67.77441973651*Deflactores!$T$5</f>
        <v>102.54964473786721</v>
      </c>
      <c r="E66" s="42">
        <f>60.49360399882*Deflactores!$U$5</f>
        <v>90.082692803216233</v>
      </c>
      <c r="F66" s="42">
        <f>88.24275720931*Deflactores!$V$5</f>
        <v>124.41272634235695</v>
      </c>
      <c r="G66" s="42">
        <f>43.78108992185*Deflactores!$W$5</f>
        <v>54.567355904836134</v>
      </c>
      <c r="H66" s="42">
        <f>50.05947120509*Deflactores!$X$5</f>
        <v>57.094189557905722</v>
      </c>
      <c r="I66" s="42">
        <f>43.0927113940499*Deflactores!$Y$5</f>
        <v>46.719021249125355</v>
      </c>
      <c r="J66" s="42">
        <f>41.13881599731*Deflactores!$Z$5</f>
        <v>42.43644425904926</v>
      </c>
      <c r="K66" s="42">
        <f>14.94544632958*Deflactores!$AA$5</f>
        <v>14.945446329579999</v>
      </c>
    </row>
    <row r="67" spans="3:11" x14ac:dyDescent="0.2">
      <c r="C67" s="88" t="s">
        <v>134</v>
      </c>
      <c r="D67" s="50">
        <f>228.716490426399*Deflactores!$T$5</f>
        <v>346.07149615010212</v>
      </c>
      <c r="E67" s="50">
        <f>251.620361239389*Deflactores!$U$5</f>
        <v>374.69481409975702</v>
      </c>
      <c r="F67" s="50">
        <f>274.53792736379*Deflactores!$V$5</f>
        <v>387.06873071397484</v>
      </c>
      <c r="G67" s="50">
        <f>327.25495291412*Deflactores!$W$5</f>
        <v>407.88014915026122</v>
      </c>
      <c r="H67" s="50">
        <f>351.098005796029*Deflactores!$X$5</f>
        <v>400.43683270635387</v>
      </c>
      <c r="I67" s="50">
        <f>386.55340349605*Deflactores!$Y$5</f>
        <v>419.08239439181051</v>
      </c>
      <c r="J67" s="50">
        <f>410.64822481348*Deflactores!$Z$5</f>
        <v>423.60116789735173</v>
      </c>
      <c r="K67" s="50">
        <f>75.37641554013*Deflactores!$AA$5</f>
        <v>75.376415540129997</v>
      </c>
    </row>
    <row r="68" spans="3:11" x14ac:dyDescent="0.2">
      <c r="C68" s="87" t="s">
        <v>135</v>
      </c>
      <c r="D68" s="42">
        <f>0*Deflactores!$T$5</f>
        <v>0</v>
      </c>
      <c r="E68" s="42">
        <f>0*Deflactores!$U$5</f>
        <v>0</v>
      </c>
      <c r="F68" s="42">
        <f>0*Deflactores!$V$5</f>
        <v>0</v>
      </c>
      <c r="G68" s="42">
        <f>0*Deflactores!$W$5</f>
        <v>0</v>
      </c>
      <c r="H68" s="42">
        <f>0*Deflactores!$X$5</f>
        <v>0</v>
      </c>
      <c r="I68" s="42">
        <f>4284.64188479462*Deflactores!$Y$5</f>
        <v>4645.2002852680034</v>
      </c>
      <c r="J68" s="42">
        <f>4370.67416369404*Deflactores!$Z$5</f>
        <v>4508.5369139986142</v>
      </c>
      <c r="K68" s="42">
        <f>2205.17373910829*Deflactores!$AA$5</f>
        <v>2205.1737391082902</v>
      </c>
    </row>
    <row r="69" spans="3:11" x14ac:dyDescent="0.2">
      <c r="C69" s="88" t="s">
        <v>136</v>
      </c>
      <c r="D69" s="50">
        <f>2560.59790624545*Deflactores!$T$5</f>
        <v>3874.4471236032059</v>
      </c>
      <c r="E69" s="50">
        <f>2495.13312718541*Deflactores!$U$5</f>
        <v>3715.5715008111588</v>
      </c>
      <c r="F69" s="50">
        <f>2658.88961538585*Deflactores!$V$5</f>
        <v>3748.7462603744848</v>
      </c>
      <c r="G69" s="50">
        <f>3064.26585905367*Deflactores!$W$5</f>
        <v>3819.2033596351939</v>
      </c>
      <c r="H69" s="50">
        <f>3738.01043879347*Deflactores!$X$5</f>
        <v>4263.3026563054173</v>
      </c>
      <c r="I69" s="50">
        <f>1.78110219585*Deflactores!$Y$5</f>
        <v>1.9309843507844235</v>
      </c>
      <c r="J69" s="50">
        <f>31.62720305825*Deflactores!$Z$5</f>
        <v>32.62480961384059</v>
      </c>
      <c r="K69" s="50">
        <f>0*Deflactores!$AA$5</f>
        <v>0</v>
      </c>
    </row>
    <row r="70" spans="3:11" x14ac:dyDescent="0.2">
      <c r="C70" s="87" t="s">
        <v>137</v>
      </c>
      <c r="D70" s="42">
        <f>39.14409166372*Deflactores!$T$5</f>
        <v>59.229023417791709</v>
      </c>
      <c r="E70" s="42">
        <f>32.11227249834*Deflactores!$U$5</f>
        <v>47.819269930380699</v>
      </c>
      <c r="F70" s="42">
        <f>61.53311583762*Deflactores!$V$5</f>
        <v>86.755026064515107</v>
      </c>
      <c r="G70" s="42">
        <f>32.6701203550499*Deflactores!$W$5</f>
        <v>40.718997358220847</v>
      </c>
      <c r="H70" s="42">
        <f>17.05515875453*Deflactores!$X$5</f>
        <v>19.451872811079578</v>
      </c>
      <c r="I70" s="42">
        <f>45.60857075062*Deflactores!$Y$5</f>
        <v>49.446593567901246</v>
      </c>
      <c r="J70" s="42">
        <f>46.26856419762*Deflactores!$Z$5</f>
        <v>47.727998434542492</v>
      </c>
      <c r="K70" s="42">
        <f>29.27204203853*Deflactores!$AA$5</f>
        <v>29.27204203853</v>
      </c>
    </row>
    <row r="71" spans="3:11" x14ac:dyDescent="0.2">
      <c r="C71" s="88" t="s">
        <v>138</v>
      </c>
      <c r="D71" s="50">
        <f>0*Deflactores!$T$5</f>
        <v>0</v>
      </c>
      <c r="E71" s="50">
        <f>0*Deflactores!$U$5</f>
        <v>0</v>
      </c>
      <c r="F71" s="50">
        <f>0*Deflactores!$V$5</f>
        <v>0</v>
      </c>
      <c r="G71" s="50">
        <f>0*Deflactores!$W$5</f>
        <v>0</v>
      </c>
      <c r="H71" s="50">
        <f>0*Deflactores!$X$5</f>
        <v>0</v>
      </c>
      <c r="I71" s="50">
        <f>0*Deflactores!$Y$5</f>
        <v>0</v>
      </c>
      <c r="J71" s="50">
        <f>0*Deflactores!$Z$5</f>
        <v>0</v>
      </c>
      <c r="K71" s="50">
        <f>0*Deflactores!$AA$5</f>
        <v>0</v>
      </c>
    </row>
    <row r="72" spans="3:11" x14ac:dyDescent="0.2">
      <c r="C72" s="87" t="s">
        <v>160</v>
      </c>
      <c r="D72" s="42">
        <f>105.34285262394*Deflactores!$T$5</f>
        <v>159.3945349035435</v>
      </c>
      <c r="E72" s="42">
        <f>114.65188405367*Deflactores!$U$5</f>
        <v>170.73128013199846</v>
      </c>
      <c r="F72" s="42">
        <f>130.98816436786*Deflactores!$V$5</f>
        <v>184.67911886446444</v>
      </c>
      <c r="G72" s="42">
        <f>162.83769024*Deflactores!$W$5</f>
        <v>202.95571019151259</v>
      </c>
      <c r="H72" s="42">
        <f>161.1216549083*Deflactores!$X$5</f>
        <v>183.76363324993721</v>
      </c>
      <c r="I72" s="42">
        <f>203.592628587*Deflactores!$Y$5</f>
        <v>220.72522320873679</v>
      </c>
      <c r="J72" s="42">
        <f>206.78910705747*Deflactores!$Z$5</f>
        <v>213.31178844808525</v>
      </c>
      <c r="K72" s="42">
        <f>136.97638713298*Deflactores!$AA$5</f>
        <v>136.97638713297999</v>
      </c>
    </row>
    <row r="73" spans="3:11" x14ac:dyDescent="0.2">
      <c r="C73" s="88" t="s">
        <v>161</v>
      </c>
      <c r="D73" s="50">
        <f>416.45202139396*Deflactores!$T$5</f>
        <v>630.13459960780847</v>
      </c>
      <c r="E73" s="50">
        <f>442.07470402892*Deflactores!$U$5</f>
        <v>658.30562450679474</v>
      </c>
      <c r="F73" s="50">
        <f>457.424314834819*Deflactores!$V$5</f>
        <v>644.91872085203011</v>
      </c>
      <c r="G73" s="50">
        <f>554.22042981805*Deflactores!$W$5</f>
        <v>690.76268995577527</v>
      </c>
      <c r="H73" s="50">
        <f>783.071035170869*Deflactores!$X$5</f>
        <v>893.11383127045713</v>
      </c>
      <c r="I73" s="50">
        <f>696.02965615171*Deflactores!$Y$5</f>
        <v>754.60149161705124</v>
      </c>
      <c r="J73" s="50">
        <f>739.48603516233*Deflactores!$Z$5</f>
        <v>762.81140209683042</v>
      </c>
      <c r="K73" s="50">
        <f>192.47808649659*Deflactores!$AA$5</f>
        <v>192.47808649659001</v>
      </c>
    </row>
    <row r="74" spans="3:11" x14ac:dyDescent="0.2">
      <c r="C74" s="87" t="s">
        <v>140</v>
      </c>
      <c r="D74" s="42">
        <f>751.70519225326*Deflactores!$T$5</f>
        <v>1137.4070145178277</v>
      </c>
      <c r="E74" s="42">
        <f>1076.52966178362*Deflactores!$U$5</f>
        <v>1603.0899864702349</v>
      </c>
      <c r="F74" s="42">
        <f>1356.58742706484*Deflactores!$V$5</f>
        <v>1912.6412825311559</v>
      </c>
      <c r="G74" s="42">
        <f>1007.20879222426*Deflactores!$W$5</f>
        <v>1255.3529556684673</v>
      </c>
      <c r="H74" s="42">
        <f>1709.28872815034*Deflactores!$X$5</f>
        <v>1949.4903223085623</v>
      </c>
      <c r="I74" s="42">
        <f>4680.83584098342*Deflactores!$Y$5</f>
        <v>5074.7344978800083</v>
      </c>
      <c r="J74" s="42">
        <f>3902.11758516703*Deflactores!$Z$5</f>
        <v>4025.2008080646842</v>
      </c>
      <c r="K74" s="42">
        <f>1781.21175091535*Deflactores!$AA$5</f>
        <v>1781.21175091535</v>
      </c>
    </row>
    <row r="75" spans="3:11" x14ac:dyDescent="0.2">
      <c r="C75" s="88" t="s">
        <v>141</v>
      </c>
      <c r="D75" s="50">
        <f>17.3557480164*Deflactores!$T$5</f>
        <v>26.261025917466817</v>
      </c>
      <c r="E75" s="50">
        <f>15.01673610455*Deflactores!$U$5</f>
        <v>22.361835565947281</v>
      </c>
      <c r="F75" s="50">
        <f>15.0011632230599*Deflactores!$V$5</f>
        <v>21.150014731074993</v>
      </c>
      <c r="G75" s="50">
        <f>16.50460117378*Deflactores!$W$5</f>
        <v>20.570809176396434</v>
      </c>
      <c r="H75" s="50">
        <f>25.5308261296699*Deflactores!$X$5</f>
        <v>29.118602165120198</v>
      </c>
      <c r="I75" s="50">
        <f>17.309933012*Deflactores!$Y$5</f>
        <v>18.766587249838899</v>
      </c>
      <c r="J75" s="50">
        <f>17.4729732990599*Deflactores!$Z$5</f>
        <v>18.024117599638654</v>
      </c>
      <c r="K75" s="50">
        <f>1.046449496*Deflactores!$AA$5</f>
        <v>1.0464494959999999</v>
      </c>
    </row>
    <row r="76" spans="3:11" x14ac:dyDescent="0.2">
      <c r="C76" s="87" t="s">
        <v>142</v>
      </c>
      <c r="D76" s="42">
        <f>134.65217050812*Deflactores!$T$5</f>
        <v>203.74253741270746</v>
      </c>
      <c r="E76" s="42">
        <f>306.77641807752*Deflactores!$U$5</f>
        <v>456.82921833335183</v>
      </c>
      <c r="F76" s="42">
        <f>296.14602133777*Deflactores!$V$5</f>
        <v>417.53380192642641</v>
      </c>
      <c r="G76" s="42">
        <f>205.53007196422*Deflactores!$W$5</f>
        <v>256.16613487781046</v>
      </c>
      <c r="H76" s="42">
        <f>296.13657339312*Deflactores!$X$5</f>
        <v>337.751822968044</v>
      </c>
      <c r="I76" s="42">
        <f>260.43505163991*Deflactores!$Y$5</f>
        <v>282.35101292006493</v>
      </c>
      <c r="J76" s="42">
        <f>227.29341067056*Deflactores!$Z$5</f>
        <v>234.46285262563504</v>
      </c>
      <c r="K76" s="42">
        <f>85.02599241749*Deflactores!$AA$5</f>
        <v>85.025992417490002</v>
      </c>
    </row>
    <row r="77" spans="3:11" x14ac:dyDescent="0.2">
      <c r="C77" s="88" t="s">
        <v>143</v>
      </c>
      <c r="D77" s="50">
        <f>39.56563614643*Deflactores!$T$5</f>
        <v>59.866863433407978</v>
      </c>
      <c r="E77" s="50">
        <f>12.6386797227*Deflactores!$U$5</f>
        <v>18.820606273027316</v>
      </c>
      <c r="F77" s="50">
        <f>84.47601866599*Deflactores!$V$5</f>
        <v>119.10203313178899</v>
      </c>
      <c r="G77" s="50">
        <f>76.30782267257*Deflactores!$W$5</f>
        <v>95.10763952039369</v>
      </c>
      <c r="H77" s="50">
        <f>9.256403069*Deflactores!$X$5</f>
        <v>10.557179664976768</v>
      </c>
      <c r="I77" s="50">
        <f>9.98104586236*Deflactores!$Y$5</f>
        <v>10.820964349819894</v>
      </c>
      <c r="J77" s="50">
        <f>4.97713718202*Deflactores!$Z$5</f>
        <v>5.134129397604541</v>
      </c>
      <c r="K77" s="50">
        <f>2.050314272*Deflactores!$AA$5</f>
        <v>2.050314272</v>
      </c>
    </row>
    <row r="78" spans="3:11" x14ac:dyDescent="0.2">
      <c r="C78" s="87" t="s">
        <v>144</v>
      </c>
      <c r="D78" s="42">
        <f>0*Deflactores!$T$5</f>
        <v>0</v>
      </c>
      <c r="E78" s="42">
        <f>0*Deflactores!$U$5</f>
        <v>0</v>
      </c>
      <c r="F78" s="42">
        <f>0*Deflactores!$V$5</f>
        <v>0</v>
      </c>
      <c r="G78" s="42">
        <f>0*Deflactores!$W$5</f>
        <v>0</v>
      </c>
      <c r="H78" s="42">
        <f>0*Deflactores!$X$5</f>
        <v>0</v>
      </c>
      <c r="I78" s="42">
        <f>0*Deflactores!$Y$5</f>
        <v>0</v>
      </c>
      <c r="J78" s="42">
        <f>0*Deflactores!$Z$5</f>
        <v>0</v>
      </c>
      <c r="K78" s="42">
        <f>0*Deflactores!$AA$5</f>
        <v>0</v>
      </c>
    </row>
    <row r="79" spans="3:11" x14ac:dyDescent="0.2">
      <c r="C79" s="88" t="s">
        <v>145</v>
      </c>
      <c r="D79" s="50">
        <f>91.84518733699*Deflactores!$T$5</f>
        <v>138.97118365466946</v>
      </c>
      <c r="E79" s="50">
        <f>74.70980765997*Deflactores!$U$5</f>
        <v>111.25243344654628</v>
      </c>
      <c r="F79" s="50">
        <f>98.19620508167*Deflactores!$V$5</f>
        <v>138.44600936148942</v>
      </c>
      <c r="G79" s="50">
        <f>118.22444814541*Deflactores!$W$5</f>
        <v>147.3511863253959</v>
      </c>
      <c r="H79" s="50">
        <f>143.98992076911*Deflactores!$X$5</f>
        <v>164.22442412822551</v>
      </c>
      <c r="I79" s="50">
        <f>161.43573696125*Deflactores!$Y$5</f>
        <v>175.0207722251202</v>
      </c>
      <c r="J79" s="50">
        <f>237.57854548888*Deflactores!$Z$5</f>
        <v>245.07240809857288</v>
      </c>
      <c r="K79" s="50">
        <f>115.85539150586*Deflactores!$AA$5</f>
        <v>115.85539150586</v>
      </c>
    </row>
    <row r="80" spans="3:11" x14ac:dyDescent="0.2">
      <c r="C80" s="87" t="s">
        <v>146</v>
      </c>
      <c r="D80" s="42">
        <f>217.78133506764*Deflactores!$T$5</f>
        <v>329.52548511003965</v>
      </c>
      <c r="E80" s="42">
        <f>170.57588764258*Deflactores!$U$5</f>
        <v>254.00925503532889</v>
      </c>
      <c r="F80" s="42">
        <f>219.05635709501*Deflactores!$V$5</f>
        <v>308.8457282014727</v>
      </c>
      <c r="G80" s="42">
        <f>193.64703343684*Deflactores!$W$5</f>
        <v>241.35549417170023</v>
      </c>
      <c r="H80" s="42">
        <f>225.03187703727*Deflactores!$X$5</f>
        <v>256.65498126218426</v>
      </c>
      <c r="I80" s="42">
        <f>406.88087774329*Deflactores!$Y$5</f>
        <v>441.12045304664332</v>
      </c>
      <c r="J80" s="42">
        <f>569.46690938242*Deflactores!$Z$5</f>
        <v>587.42941845872053</v>
      </c>
      <c r="K80" s="42">
        <f>425.06396135107*Deflactores!$AA$5</f>
        <v>425.06396135107002</v>
      </c>
    </row>
    <row r="81" spans="1:11" x14ac:dyDescent="0.2">
      <c r="C81" s="88" t="s">
        <v>162</v>
      </c>
      <c r="D81" s="50">
        <f>565.99376968855*Deflactores!$T$5</f>
        <v>856.40659456859407</v>
      </c>
      <c r="E81" s="50">
        <f>492.58247737255*Deflactores!$U$5</f>
        <v>733.51814169088323</v>
      </c>
      <c r="F81" s="50">
        <f>501.791754048479*Deflactores!$V$5</f>
        <v>707.47200282062511</v>
      </c>
      <c r="G81" s="50">
        <f>587.30476349706*Deflactores!$W$5</f>
        <v>731.99794960690394</v>
      </c>
      <c r="H81" s="50">
        <f>700.190015494569*Deflactores!$X$5</f>
        <v>798.5857722591179</v>
      </c>
      <c r="I81" s="50">
        <f>750.266754268569*Deflactores!$Y$5</f>
        <v>813.40271478079728</v>
      </c>
      <c r="J81" s="50">
        <f>817.54907319147*Deflactores!$Z$5</f>
        <v>843.33675708595445</v>
      </c>
      <c r="K81" s="50">
        <f>298.88065983631*Deflactores!$AA$5</f>
        <v>298.88065983630997</v>
      </c>
    </row>
    <row r="82" spans="1:11" x14ac:dyDescent="0.2">
      <c r="C82" s="87" t="s">
        <v>148</v>
      </c>
      <c r="D82" s="42">
        <f>0*Deflactores!$T$5</f>
        <v>0</v>
      </c>
      <c r="E82" s="42">
        <f>0*Deflactores!$U$5</f>
        <v>0</v>
      </c>
      <c r="F82" s="42">
        <f>0*Deflactores!$V$5</f>
        <v>0</v>
      </c>
      <c r="G82" s="42">
        <f>0*Deflactores!$W$5</f>
        <v>0</v>
      </c>
      <c r="H82" s="42">
        <f>0*Deflactores!$X$5</f>
        <v>0</v>
      </c>
      <c r="I82" s="42">
        <f>0*Deflactores!$Y$5</f>
        <v>0</v>
      </c>
      <c r="J82" s="42">
        <f>0*Deflactores!$Z$5</f>
        <v>0</v>
      </c>
      <c r="K82" s="42">
        <f>0*Deflactores!$AA$5</f>
        <v>0</v>
      </c>
    </row>
    <row r="83" spans="1:11" x14ac:dyDescent="0.2">
      <c r="C83" s="88" t="s">
        <v>149</v>
      </c>
      <c r="D83" s="50">
        <f>1454.20316765824*Deflactores!$T$5</f>
        <v>2200.3584656247317</v>
      </c>
      <c r="E83" s="50">
        <f>1521.57167098143*Deflactores!$U$5</f>
        <v>2265.8143068773061</v>
      </c>
      <c r="F83" s="50">
        <f>2053.15504425257*Deflactores!$V$5</f>
        <v>2894.7261479276949</v>
      </c>
      <c r="G83" s="50">
        <f>2076.24613014967*Deflactores!$W$5</f>
        <v>2587.7670412534217</v>
      </c>
      <c r="H83" s="50">
        <f>2356.19215933144*Deflactores!$X$5</f>
        <v>2687.301294665735</v>
      </c>
      <c r="I83" s="50">
        <f>2930.10466142832*Deflactores!$Y$5</f>
        <v>3176.6769254239239</v>
      </c>
      <c r="J83" s="50">
        <f>2008.33191736332*Deflactores!$Z$5</f>
        <v>2071.680076316024</v>
      </c>
      <c r="K83" s="50">
        <f>1448.32691390419*Deflactores!$AA$5</f>
        <v>1448.32691390419</v>
      </c>
    </row>
    <row r="84" spans="1:11" x14ac:dyDescent="0.2">
      <c r="C84" s="87" t="s">
        <v>163</v>
      </c>
      <c r="D84" s="42">
        <f>1622.29730847848*Deflactores!$T$5</f>
        <v>2454.7021323156405</v>
      </c>
      <c r="E84" s="42">
        <f>1569.31744521449*Deflactores!$U$5</f>
        <v>2336.9138550704065</v>
      </c>
      <c r="F84" s="42">
        <f>1628.30967645341*Deflactores!$V$5</f>
        <v>2295.7402123857996</v>
      </c>
      <c r="G84" s="42">
        <f>1691.44057163466*Deflactores!$W$5</f>
        <v>2108.1576504609752</v>
      </c>
      <c r="H84" s="42">
        <f>2240.95554587326*Deflactores!$X$5</f>
        <v>2555.870800207706</v>
      </c>
      <c r="I84" s="42">
        <f>2219.81945541802*Deflactores!$Y$5</f>
        <v>2406.6202601773621</v>
      </c>
      <c r="J84" s="42">
        <f>2963.16374322216*Deflactores!$Z$5</f>
        <v>3056.6298511825253</v>
      </c>
      <c r="K84" s="42">
        <f>434.95004392176*Deflactores!$AA$5</f>
        <v>434.95004392176003</v>
      </c>
    </row>
    <row r="85" spans="1:11" x14ac:dyDescent="0.2">
      <c r="C85" s="88" t="s">
        <v>150</v>
      </c>
      <c r="D85" s="50">
        <f>2828.48818552141*Deflactores!$T$5</f>
        <v>4279.7925780575888</v>
      </c>
      <c r="E85" s="50">
        <f>2780.81734594343*Deflactores!$U$5</f>
        <v>4140.9917438769799</v>
      </c>
      <c r="F85" s="50">
        <f>3069.22629308236*Deflactores!$V$5</f>
        <v>4327.2765149243924</v>
      </c>
      <c r="G85" s="50">
        <f>3087.29014013735*Deflactores!$W$5</f>
        <v>3847.9000901777367</v>
      </c>
      <c r="H85" s="50">
        <f>2646.51009242193*Deflactores!$X$5</f>
        <v>3018.4167999817892</v>
      </c>
      <c r="I85" s="50">
        <f>3699.2129170455*Deflactores!$Y$5</f>
        <v>4010.5066793348865</v>
      </c>
      <c r="J85" s="50">
        <f>4541.25018484412*Deflactores!$Z$5</f>
        <v>4684.4933589760076</v>
      </c>
      <c r="K85" s="50">
        <f>1625.64162003781*Deflactores!$AA$5</f>
        <v>1625.6416200378101</v>
      </c>
    </row>
    <row r="86" spans="1:11" x14ac:dyDescent="0.2">
      <c r="C86" s="87" t="s">
        <v>151</v>
      </c>
      <c r="D86" s="42">
        <f>0*Deflactores!$T$5</f>
        <v>0</v>
      </c>
      <c r="E86" s="42">
        <f>0*Deflactores!$U$5</f>
        <v>0</v>
      </c>
      <c r="F86" s="42">
        <f>0*Deflactores!$V$5</f>
        <v>0</v>
      </c>
      <c r="G86" s="42">
        <f>0*Deflactores!$W$5</f>
        <v>0</v>
      </c>
      <c r="H86" s="42">
        <f>0*Deflactores!$X$5</f>
        <v>0</v>
      </c>
      <c r="I86" s="42">
        <f>0*Deflactores!$Y$5</f>
        <v>0</v>
      </c>
      <c r="J86" s="42">
        <f>0*Deflactores!$Z$5</f>
        <v>0</v>
      </c>
      <c r="K86" s="42">
        <f>0*Deflactores!$AA$5</f>
        <v>0</v>
      </c>
    </row>
    <row r="87" spans="1:11" x14ac:dyDescent="0.2">
      <c r="C87" s="79" t="s">
        <v>154</v>
      </c>
      <c r="D87" s="44">
        <f t="shared" ref="D87:K87" si="1">SUM(D56:D86)</f>
        <v>21341.895268911219</v>
      </c>
      <c r="E87" s="44">
        <f t="shared" si="1"/>
        <v>21001.383239552426</v>
      </c>
      <c r="F87" s="44">
        <f t="shared" si="1"/>
        <v>22214.56005708544</v>
      </c>
      <c r="G87" s="44">
        <f t="shared" si="1"/>
        <v>21032.067126622507</v>
      </c>
      <c r="H87" s="44">
        <f t="shared" si="1"/>
        <v>21685.302129847238</v>
      </c>
      <c r="I87" s="44">
        <f t="shared" si="1"/>
        <v>26856.832234201098</v>
      </c>
      <c r="J87" s="44">
        <f t="shared" si="1"/>
        <v>26060.588731107662</v>
      </c>
      <c r="K87" s="44">
        <f t="shared" si="1"/>
        <v>10091.662024762411</v>
      </c>
    </row>
    <row r="88" spans="1:11" s="31" customFormat="1" x14ac:dyDescent="0.2">
      <c r="A88" s="5"/>
      <c r="B88" s="5"/>
      <c r="C88" s="72" t="str">
        <f>+'C1 Aprop Resumen 2000-2026'!B20</f>
        <v>* Información con corte a 28 de febrero</v>
      </c>
      <c r="D88" s="121">
        <f>+D87-'C7 Ejec. Prop 19-26'!D66</f>
        <v>0</v>
      </c>
      <c r="E88" s="121">
        <f>+E87-'C7 Ejec. Prop 19-26'!E66</f>
        <v>-2.9103830456733704E-11</v>
      </c>
      <c r="F88" s="121">
        <f>+F87-'C7 Ejec. Prop 19-26'!F66</f>
        <v>0</v>
      </c>
      <c r="G88" s="121">
        <f>+G87-'C7 Ejec. Prop 19-26'!G66</f>
        <v>0</v>
      </c>
      <c r="H88" s="121">
        <f>+H87-'C7 Ejec. Prop 19-26'!H66</f>
        <v>0</v>
      </c>
      <c r="I88" s="121">
        <f>+I87-'C7 Ejec. Prop 19-26'!I66</f>
        <v>3.2741809263825417E-11</v>
      </c>
      <c r="J88" s="121">
        <f>+J87-'C7 Ejec. Prop 19-26'!J66</f>
        <v>6.9121597334742546E-11</v>
      </c>
      <c r="K88" s="121">
        <f>+K87-'C7 Ejec. Prop 19-26'!K66</f>
        <v>0</v>
      </c>
    </row>
    <row r="89" spans="1:11" x14ac:dyDescent="0.2">
      <c r="C89" s="1" t="s">
        <v>52</v>
      </c>
      <c r="D89" s="11"/>
      <c r="E89" s="11"/>
      <c r="F89" s="11"/>
      <c r="G89" s="11"/>
      <c r="H89" s="11"/>
    </row>
    <row r="90" spans="1:11" x14ac:dyDescent="0.2">
      <c r="D90" s="11"/>
      <c r="E90" s="11"/>
      <c r="F90" s="11"/>
      <c r="G90" s="11"/>
      <c r="H90" s="11"/>
      <c r="I90" s="11"/>
    </row>
    <row r="91" spans="1:11" x14ac:dyDescent="0.2">
      <c r="D91" s="11"/>
      <c r="E91" s="11"/>
      <c r="F91" s="11"/>
      <c r="G91" s="11"/>
      <c r="H91" s="11"/>
    </row>
    <row r="92" spans="1:11" x14ac:dyDescent="0.2">
      <c r="D92" s="11"/>
      <c r="E92" s="11"/>
      <c r="F92" s="11"/>
      <c r="G92" s="11"/>
      <c r="H92" s="11"/>
    </row>
    <row r="93" spans="1:11" ht="18" customHeight="1" x14ac:dyDescent="0.2">
      <c r="D93" s="160" t="s">
        <v>155</v>
      </c>
      <c r="E93" s="178"/>
      <c r="F93" s="178"/>
      <c r="G93" s="178"/>
      <c r="H93" s="178"/>
      <c r="I93" s="178"/>
      <c r="J93" s="178"/>
      <c r="K93" s="178"/>
    </row>
    <row r="94" spans="1:11" x14ac:dyDescent="0.2">
      <c r="D94" s="29"/>
      <c r="E94" s="29"/>
      <c r="F94" s="29"/>
      <c r="G94" s="29"/>
      <c r="H94" s="29"/>
    </row>
    <row r="95" spans="1:11" x14ac:dyDescent="0.2">
      <c r="C95" s="177" t="s">
        <v>120</v>
      </c>
      <c r="D95" s="153">
        <v>2019</v>
      </c>
      <c r="E95" s="153">
        <v>2020</v>
      </c>
      <c r="F95" s="153">
        <v>2021</v>
      </c>
      <c r="G95" s="153">
        <v>2022</v>
      </c>
      <c r="H95" s="153">
        <v>2023</v>
      </c>
      <c r="I95" s="153">
        <v>2024</v>
      </c>
      <c r="J95" s="153">
        <v>2025</v>
      </c>
      <c r="K95" s="153" t="s">
        <v>36</v>
      </c>
    </row>
    <row r="96" spans="1:11" ht="12" customHeight="1" thickBot="1" x14ac:dyDescent="0.25">
      <c r="C96" s="156"/>
      <c r="D96" s="154"/>
      <c r="E96" s="154"/>
      <c r="F96" s="154"/>
      <c r="G96" s="154"/>
      <c r="H96" s="154"/>
      <c r="I96" s="154"/>
      <c r="J96" s="154"/>
      <c r="K96" s="154"/>
    </row>
    <row r="97" spans="3:11" x14ac:dyDescent="0.2">
      <c r="C97" s="87" t="s">
        <v>123</v>
      </c>
      <c r="D97" s="47">
        <f t="shared" ref="D97:I106" si="2">+IFERROR(IF(D56&gt;0,+((D56/D14)*100)," "),"0")</f>
        <v>87.643298344338547</v>
      </c>
      <c r="E97" s="47">
        <f t="shared" si="2"/>
        <v>89.970105722577614</v>
      </c>
      <c r="F97" s="47">
        <f t="shared" si="2"/>
        <v>95.34650802614614</v>
      </c>
      <c r="G97" s="47">
        <f t="shared" si="2"/>
        <v>89.485704123848905</v>
      </c>
      <c r="H97" s="47">
        <f t="shared" si="2"/>
        <v>87.485623041308358</v>
      </c>
      <c r="I97" s="47">
        <f t="shared" si="2"/>
        <v>94.927668138715049</v>
      </c>
      <c r="J97" s="47">
        <f t="shared" ref="J97:K128" si="3">+IFERROR(IF(J56&gt;0,+((J56/J14)*100)," "),"")</f>
        <v>92.612943793376203</v>
      </c>
      <c r="K97" s="47">
        <f t="shared" si="3"/>
        <v>36.861748662862411</v>
      </c>
    </row>
    <row r="98" spans="3:11" x14ac:dyDescent="0.2">
      <c r="C98" s="88" t="s">
        <v>124</v>
      </c>
      <c r="D98" s="116">
        <f t="shared" si="2"/>
        <v>96.276199696472958</v>
      </c>
      <c r="E98" s="116">
        <f t="shared" si="2"/>
        <v>96.157790979184369</v>
      </c>
      <c r="F98" s="116">
        <f t="shared" si="2"/>
        <v>89.57169314361056</v>
      </c>
      <c r="G98" s="116">
        <f t="shared" si="2"/>
        <v>89.547708942619579</v>
      </c>
      <c r="H98" s="116">
        <f t="shared" si="2"/>
        <v>88.702494349879885</v>
      </c>
      <c r="I98" s="116">
        <f t="shared" si="2"/>
        <v>88.34769364421588</v>
      </c>
      <c r="J98" s="116">
        <f t="shared" si="3"/>
        <v>96.080904930505639</v>
      </c>
      <c r="K98" s="116">
        <f t="shared" si="3"/>
        <v>74.418930791856511</v>
      </c>
    </row>
    <row r="99" spans="3:11" x14ac:dyDescent="0.2">
      <c r="C99" s="87" t="s">
        <v>125</v>
      </c>
      <c r="D99" s="47" t="str">
        <f t="shared" si="2"/>
        <v xml:space="preserve"> </v>
      </c>
      <c r="E99" s="47" t="str">
        <f t="shared" si="2"/>
        <v xml:space="preserve"> </v>
      </c>
      <c r="F99" s="47" t="str">
        <f t="shared" si="2"/>
        <v xml:space="preserve"> </v>
      </c>
      <c r="G99" s="47" t="str">
        <f t="shared" si="2"/>
        <v xml:space="preserve"> </v>
      </c>
      <c r="H99" s="47" t="str">
        <f t="shared" si="2"/>
        <v xml:space="preserve"> </v>
      </c>
      <c r="I99" s="47" t="str">
        <f t="shared" si="2"/>
        <v xml:space="preserve"> </v>
      </c>
      <c r="J99" s="47" t="str">
        <f t="shared" si="3"/>
        <v xml:space="preserve"> </v>
      </c>
      <c r="K99" s="47" t="str">
        <f t="shared" si="3"/>
        <v xml:space="preserve"> </v>
      </c>
    </row>
    <row r="100" spans="3:11" x14ac:dyDescent="0.2">
      <c r="C100" s="88" t="s">
        <v>126</v>
      </c>
      <c r="D100" s="116">
        <f t="shared" si="2"/>
        <v>95.702432119752629</v>
      </c>
      <c r="E100" s="116">
        <f t="shared" si="2"/>
        <v>92.277144598712397</v>
      </c>
      <c r="F100" s="116">
        <f t="shared" si="2"/>
        <v>88.056906553593478</v>
      </c>
      <c r="G100" s="116">
        <f t="shared" si="2"/>
        <v>92.503195520807893</v>
      </c>
      <c r="H100" s="116">
        <f t="shared" si="2"/>
        <v>90.800892147716112</v>
      </c>
      <c r="I100" s="116">
        <f t="shared" si="2"/>
        <v>89.878039718602324</v>
      </c>
      <c r="J100" s="116">
        <f t="shared" si="3"/>
        <v>89.859487409393324</v>
      </c>
      <c r="K100" s="116">
        <f t="shared" si="3"/>
        <v>28.138373970925802</v>
      </c>
    </row>
    <row r="101" spans="3:11" x14ac:dyDescent="0.2">
      <c r="C101" s="87" t="s">
        <v>127</v>
      </c>
      <c r="D101" s="47" t="str">
        <f t="shared" si="2"/>
        <v xml:space="preserve"> </v>
      </c>
      <c r="E101" s="47" t="str">
        <f t="shared" si="2"/>
        <v xml:space="preserve"> </v>
      </c>
      <c r="F101" s="47" t="str">
        <f t="shared" si="2"/>
        <v xml:space="preserve"> </v>
      </c>
      <c r="G101" s="47" t="str">
        <f t="shared" si="2"/>
        <v xml:space="preserve"> </v>
      </c>
      <c r="H101" s="47" t="str">
        <f t="shared" si="2"/>
        <v xml:space="preserve"> </v>
      </c>
      <c r="I101" s="47" t="str">
        <f t="shared" si="2"/>
        <v xml:space="preserve"> </v>
      </c>
      <c r="J101" s="47" t="str">
        <f t="shared" si="3"/>
        <v xml:space="preserve"> </v>
      </c>
      <c r="K101" s="47" t="str">
        <f t="shared" si="3"/>
        <v xml:space="preserve"> </v>
      </c>
    </row>
    <row r="102" spans="3:11" x14ac:dyDescent="0.2">
      <c r="C102" s="88" t="s">
        <v>128</v>
      </c>
      <c r="D102" s="116">
        <f t="shared" si="2"/>
        <v>95.975098217118344</v>
      </c>
      <c r="E102" s="116">
        <f t="shared" si="2"/>
        <v>97.345157347036121</v>
      </c>
      <c r="F102" s="116">
        <f t="shared" si="2"/>
        <v>68.802355431766344</v>
      </c>
      <c r="G102" s="116">
        <f t="shared" si="2"/>
        <v>95.883190175169148</v>
      </c>
      <c r="H102" s="116">
        <f t="shared" si="2"/>
        <v>84.364029928868646</v>
      </c>
      <c r="I102" s="116">
        <f t="shared" si="2"/>
        <v>63.844573083479304</v>
      </c>
      <c r="J102" s="116">
        <f t="shared" si="3"/>
        <v>95.571637891183101</v>
      </c>
      <c r="K102" s="116">
        <f t="shared" si="3"/>
        <v>32.143213839029904</v>
      </c>
    </row>
    <row r="103" spans="3:11" x14ac:dyDescent="0.2">
      <c r="C103" s="87" t="s">
        <v>129</v>
      </c>
      <c r="D103" s="47">
        <f t="shared" si="2"/>
        <v>93.810286779939005</v>
      </c>
      <c r="E103" s="47">
        <f t="shared" si="2"/>
        <v>97.938683044510597</v>
      </c>
      <c r="F103" s="47">
        <f t="shared" si="2"/>
        <v>77.600750918172807</v>
      </c>
      <c r="G103" s="47">
        <f t="shared" si="2"/>
        <v>93.429980961898323</v>
      </c>
      <c r="H103" s="47">
        <f t="shared" si="2"/>
        <v>89.133701158437432</v>
      </c>
      <c r="I103" s="47">
        <f t="shared" si="2"/>
        <v>89.91369221519183</v>
      </c>
      <c r="J103" s="47">
        <f t="shared" si="3"/>
        <v>97.60503883734323</v>
      </c>
      <c r="K103" s="47">
        <f t="shared" si="3"/>
        <v>17.867235776152633</v>
      </c>
    </row>
    <row r="104" spans="3:11" x14ac:dyDescent="0.2">
      <c r="C104" s="88" t="s">
        <v>130</v>
      </c>
      <c r="D104" s="116" t="str">
        <f t="shared" si="2"/>
        <v xml:space="preserve"> </v>
      </c>
      <c r="E104" s="116" t="str">
        <f t="shared" si="2"/>
        <v xml:space="preserve"> </v>
      </c>
      <c r="F104" s="116" t="str">
        <f t="shared" si="2"/>
        <v xml:space="preserve"> </v>
      </c>
      <c r="G104" s="116" t="str">
        <f t="shared" si="2"/>
        <v xml:space="preserve"> </v>
      </c>
      <c r="H104" s="116" t="str">
        <f t="shared" si="2"/>
        <v xml:space="preserve"> </v>
      </c>
      <c r="I104" s="116" t="str">
        <f t="shared" si="2"/>
        <v xml:space="preserve"> </v>
      </c>
      <c r="J104" s="116" t="str">
        <f t="shared" si="3"/>
        <v xml:space="preserve"> </v>
      </c>
      <c r="K104" s="116" t="str">
        <f t="shared" si="3"/>
        <v xml:space="preserve"> </v>
      </c>
    </row>
    <row r="105" spans="3:11" x14ac:dyDescent="0.2">
      <c r="C105" s="87" t="s">
        <v>131</v>
      </c>
      <c r="D105" s="47">
        <f t="shared" si="2"/>
        <v>90.646256361790051</v>
      </c>
      <c r="E105" s="47">
        <f t="shared" si="2"/>
        <v>81.768224021664352</v>
      </c>
      <c r="F105" s="47">
        <f t="shared" si="2"/>
        <v>82.701821713619211</v>
      </c>
      <c r="G105" s="47">
        <f t="shared" si="2"/>
        <v>89.83202536367466</v>
      </c>
      <c r="H105" s="47">
        <f t="shared" si="2"/>
        <v>89.298697093881046</v>
      </c>
      <c r="I105" s="47">
        <f t="shared" si="2"/>
        <v>93.41786518852237</v>
      </c>
      <c r="J105" s="47">
        <f t="shared" si="3"/>
        <v>93.951383702914697</v>
      </c>
      <c r="K105" s="47">
        <f t="shared" si="3"/>
        <v>22.59687205627359</v>
      </c>
    </row>
    <row r="106" spans="3:11" x14ac:dyDescent="0.2">
      <c r="C106" s="88" t="s">
        <v>132</v>
      </c>
      <c r="D106" s="116">
        <f t="shared" si="2"/>
        <v>92.393800145553342</v>
      </c>
      <c r="E106" s="116">
        <f t="shared" si="2"/>
        <v>73.224543505727382</v>
      </c>
      <c r="F106" s="116">
        <f t="shared" si="2"/>
        <v>58.083442360069171</v>
      </c>
      <c r="G106" s="116">
        <f t="shared" si="2"/>
        <v>69.827567137514649</v>
      </c>
      <c r="H106" s="116">
        <f t="shared" si="2"/>
        <v>78.66192313479489</v>
      </c>
      <c r="I106" s="116">
        <f t="shared" si="2"/>
        <v>86.991392880846831</v>
      </c>
      <c r="J106" s="116">
        <f t="shared" si="3"/>
        <v>88.811702306880164</v>
      </c>
      <c r="K106" s="116">
        <f t="shared" si="3"/>
        <v>35.220823249119562</v>
      </c>
    </row>
    <row r="107" spans="3:11" x14ac:dyDescent="0.2">
      <c r="C107" s="87" t="s">
        <v>133</v>
      </c>
      <c r="D107" s="47">
        <f t="shared" ref="D107:I116" si="4">+IFERROR(IF(D66&gt;0,+((D66/D24)*100)," "),"0")</f>
        <v>99.491195239687414</v>
      </c>
      <c r="E107" s="47">
        <f t="shared" si="4"/>
        <v>96.856696002242046</v>
      </c>
      <c r="F107" s="47">
        <f t="shared" si="4"/>
        <v>90.610975467325446</v>
      </c>
      <c r="G107" s="47">
        <f t="shared" si="4"/>
        <v>93.142256421851911</v>
      </c>
      <c r="H107" s="47">
        <f t="shared" si="4"/>
        <v>84.394774120240143</v>
      </c>
      <c r="I107" s="47">
        <f t="shared" si="4"/>
        <v>88.827413938693084</v>
      </c>
      <c r="J107" s="47">
        <f t="shared" si="3"/>
        <v>99.211640260658712</v>
      </c>
      <c r="K107" s="47">
        <f t="shared" si="3"/>
        <v>35.112434727743462</v>
      </c>
    </row>
    <row r="108" spans="3:11" x14ac:dyDescent="0.2">
      <c r="C108" s="88" t="s">
        <v>134</v>
      </c>
      <c r="D108" s="116">
        <f t="shared" si="4"/>
        <v>90.521635535748516</v>
      </c>
      <c r="E108" s="116">
        <f t="shared" si="4"/>
        <v>85.772983475062262</v>
      </c>
      <c r="F108" s="116">
        <f t="shared" si="4"/>
        <v>79.306129553242968</v>
      </c>
      <c r="G108" s="116">
        <f t="shared" si="4"/>
        <v>89.621754698345413</v>
      </c>
      <c r="H108" s="116">
        <f t="shared" si="4"/>
        <v>86.200463354343654</v>
      </c>
      <c r="I108" s="116">
        <f t="shared" si="4"/>
        <v>78.375259070142391</v>
      </c>
      <c r="J108" s="116">
        <f t="shared" si="3"/>
        <v>92.888155461996874</v>
      </c>
      <c r="K108" s="116">
        <f t="shared" si="3"/>
        <v>12.582976290839257</v>
      </c>
    </row>
    <row r="109" spans="3:11" x14ac:dyDescent="0.2">
      <c r="C109" s="87" t="s">
        <v>135</v>
      </c>
      <c r="D109" s="47" t="str">
        <f t="shared" si="4"/>
        <v xml:space="preserve"> </v>
      </c>
      <c r="E109" s="47" t="str">
        <f t="shared" si="4"/>
        <v xml:space="preserve"> </v>
      </c>
      <c r="F109" s="47" t="str">
        <f t="shared" si="4"/>
        <v xml:space="preserve"> </v>
      </c>
      <c r="G109" s="47" t="str">
        <f t="shared" si="4"/>
        <v xml:space="preserve"> </v>
      </c>
      <c r="H109" s="47" t="str">
        <f t="shared" si="4"/>
        <v xml:space="preserve"> </v>
      </c>
      <c r="I109" s="47">
        <f t="shared" si="4"/>
        <v>94.496317062927943</v>
      </c>
      <c r="J109" s="47">
        <f t="shared" si="3"/>
        <v>99.48779855010271</v>
      </c>
      <c r="K109" s="47">
        <f t="shared" si="3"/>
        <v>47.577573612250589</v>
      </c>
    </row>
    <row r="110" spans="3:11" x14ac:dyDescent="0.2">
      <c r="C110" s="88" t="s">
        <v>136</v>
      </c>
      <c r="D110" s="116">
        <f t="shared" si="4"/>
        <v>96.992761663160692</v>
      </c>
      <c r="E110" s="116">
        <f t="shared" si="4"/>
        <v>97.06958833229568</v>
      </c>
      <c r="F110" s="116">
        <f t="shared" si="4"/>
        <v>89.287134542588433</v>
      </c>
      <c r="G110" s="116">
        <f t="shared" si="4"/>
        <v>95.739812254923962</v>
      </c>
      <c r="H110" s="116">
        <f t="shared" si="4"/>
        <v>95.92173686855989</v>
      </c>
      <c r="I110" s="116">
        <f t="shared" si="4"/>
        <v>2.7779151254255439</v>
      </c>
      <c r="J110" s="116">
        <f t="shared" si="3"/>
        <v>86.041566397993037</v>
      </c>
      <c r="K110" s="116" t="str">
        <f t="shared" si="3"/>
        <v xml:space="preserve"> </v>
      </c>
    </row>
    <row r="111" spans="3:11" x14ac:dyDescent="0.2">
      <c r="C111" s="87" t="s">
        <v>137</v>
      </c>
      <c r="D111" s="47">
        <f t="shared" si="4"/>
        <v>86.69511134269078</v>
      </c>
      <c r="E111" s="47">
        <f t="shared" si="4"/>
        <v>83.564998636783358</v>
      </c>
      <c r="F111" s="47">
        <f t="shared" si="4"/>
        <v>55.944567465638052</v>
      </c>
      <c r="G111" s="47">
        <f t="shared" si="4"/>
        <v>33.20863193735174</v>
      </c>
      <c r="H111" s="47">
        <f t="shared" si="4"/>
        <v>31.08169842418782</v>
      </c>
      <c r="I111" s="47">
        <f t="shared" si="4"/>
        <v>68.855565230368569</v>
      </c>
      <c r="J111" s="47">
        <f t="shared" si="3"/>
        <v>75.114235065896622</v>
      </c>
      <c r="K111" s="47">
        <f t="shared" si="3"/>
        <v>43.303473386450129</v>
      </c>
    </row>
    <row r="112" spans="3:11" x14ac:dyDescent="0.2">
      <c r="C112" s="88" t="s">
        <v>138</v>
      </c>
      <c r="D112" s="116" t="str">
        <f t="shared" si="4"/>
        <v xml:space="preserve"> </v>
      </c>
      <c r="E112" s="116" t="str">
        <f t="shared" si="4"/>
        <v xml:space="preserve"> </v>
      </c>
      <c r="F112" s="116" t="str">
        <f t="shared" si="4"/>
        <v xml:space="preserve"> </v>
      </c>
      <c r="G112" s="116" t="str">
        <f t="shared" si="4"/>
        <v xml:space="preserve"> </v>
      </c>
      <c r="H112" s="116" t="str">
        <f t="shared" si="4"/>
        <v xml:space="preserve"> </v>
      </c>
      <c r="I112" s="116" t="str">
        <f t="shared" si="4"/>
        <v xml:space="preserve"> </v>
      </c>
      <c r="J112" s="116" t="str">
        <f t="shared" si="3"/>
        <v xml:space="preserve"> </v>
      </c>
      <c r="K112" s="116" t="str">
        <f t="shared" si="3"/>
        <v xml:space="preserve"> </v>
      </c>
    </row>
    <row r="113" spans="3:11" x14ac:dyDescent="0.2">
      <c r="C113" s="87" t="s">
        <v>160</v>
      </c>
      <c r="D113" s="47">
        <f t="shared" si="4"/>
        <v>98.848171235343656</v>
      </c>
      <c r="E113" s="47">
        <f t="shared" si="4"/>
        <v>98.778403110982438</v>
      </c>
      <c r="F113" s="47">
        <f t="shared" si="4"/>
        <v>99.881006839881508</v>
      </c>
      <c r="G113" s="47">
        <f t="shared" si="4"/>
        <v>99.179774109076234</v>
      </c>
      <c r="H113" s="47">
        <f t="shared" si="4"/>
        <v>92.813998018561179</v>
      </c>
      <c r="I113" s="47">
        <f t="shared" si="4"/>
        <v>88.912149402371483</v>
      </c>
      <c r="J113" s="47">
        <f t="shared" si="3"/>
        <v>94.872087580593544</v>
      </c>
      <c r="K113" s="47">
        <f t="shared" si="3"/>
        <v>66.835355231612226</v>
      </c>
    </row>
    <row r="114" spans="3:11" x14ac:dyDescent="0.2">
      <c r="C114" s="88" t="s">
        <v>161</v>
      </c>
      <c r="D114" s="116">
        <f t="shared" si="4"/>
        <v>93.72789783735557</v>
      </c>
      <c r="E114" s="116">
        <f t="shared" si="4"/>
        <v>92.346846405788071</v>
      </c>
      <c r="F114" s="116">
        <f t="shared" si="4"/>
        <v>82.797006222807141</v>
      </c>
      <c r="G114" s="116">
        <f t="shared" si="4"/>
        <v>78.37110984143051</v>
      </c>
      <c r="H114" s="116">
        <f t="shared" si="4"/>
        <v>72.745765081562553</v>
      </c>
      <c r="I114" s="116">
        <f t="shared" si="4"/>
        <v>74.881178791116824</v>
      </c>
      <c r="J114" s="116">
        <f t="shared" si="3"/>
        <v>87.203737521981523</v>
      </c>
      <c r="K114" s="116">
        <f t="shared" si="3"/>
        <v>18.956493041349166</v>
      </c>
    </row>
    <row r="115" spans="3:11" x14ac:dyDescent="0.2">
      <c r="C115" s="87" t="s">
        <v>140</v>
      </c>
      <c r="D115" s="47">
        <f t="shared" si="4"/>
        <v>92.931283215589104</v>
      </c>
      <c r="E115" s="47">
        <f t="shared" si="4"/>
        <v>93.181112506154776</v>
      </c>
      <c r="F115" s="47">
        <f t="shared" si="4"/>
        <v>87.797131628335649</v>
      </c>
      <c r="G115" s="47">
        <f t="shared" si="4"/>
        <v>84.049286495337256</v>
      </c>
      <c r="H115" s="47">
        <f t="shared" si="4"/>
        <v>84.762522460042462</v>
      </c>
      <c r="I115" s="47">
        <f t="shared" si="4"/>
        <v>98.670300270957739</v>
      </c>
      <c r="J115" s="47">
        <f t="shared" si="3"/>
        <v>98.448609367783874</v>
      </c>
      <c r="K115" s="47">
        <f t="shared" si="3"/>
        <v>52.067225011989649</v>
      </c>
    </row>
    <row r="116" spans="3:11" x14ac:dyDescent="0.2">
      <c r="C116" s="88" t="s">
        <v>141</v>
      </c>
      <c r="D116" s="116">
        <f t="shared" si="4"/>
        <v>83.734973784918225</v>
      </c>
      <c r="E116" s="116">
        <f t="shared" si="4"/>
        <v>70.345885157399167</v>
      </c>
      <c r="F116" s="116">
        <f t="shared" si="4"/>
        <v>71.662303836358447</v>
      </c>
      <c r="G116" s="116">
        <f t="shared" si="4"/>
        <v>53.975553973375355</v>
      </c>
      <c r="H116" s="116">
        <f t="shared" si="4"/>
        <v>51.251282002749974</v>
      </c>
      <c r="I116" s="116">
        <f t="shared" si="4"/>
        <v>97.520749363380276</v>
      </c>
      <c r="J116" s="116">
        <f t="shared" si="3"/>
        <v>89.271627977127565</v>
      </c>
      <c r="K116" s="116">
        <f t="shared" si="3"/>
        <v>4.6976635461689318</v>
      </c>
    </row>
    <row r="117" spans="3:11" x14ac:dyDescent="0.2">
      <c r="C117" s="87" t="s">
        <v>142</v>
      </c>
      <c r="D117" s="47">
        <f t="shared" ref="D117:I126" si="5">+IFERROR(IF(D76&gt;0,+((D76/D34)*100)," "),"0")</f>
        <v>95.175860838299982</v>
      </c>
      <c r="E117" s="47">
        <f t="shared" si="5"/>
        <v>89.301774360030947</v>
      </c>
      <c r="F117" s="47">
        <f t="shared" si="5"/>
        <v>40.806828683047094</v>
      </c>
      <c r="G117" s="47">
        <f t="shared" si="5"/>
        <v>67.737644237030906</v>
      </c>
      <c r="H117" s="47">
        <f t="shared" si="5"/>
        <v>90.033775489126143</v>
      </c>
      <c r="I117" s="47">
        <f t="shared" si="5"/>
        <v>87.576029135226634</v>
      </c>
      <c r="J117" s="47">
        <f t="shared" si="3"/>
        <v>87.708718364392169</v>
      </c>
      <c r="K117" s="47">
        <f t="shared" si="3"/>
        <v>23.882907044481446</v>
      </c>
    </row>
    <row r="118" spans="3:11" x14ac:dyDescent="0.2">
      <c r="C118" s="88" t="s">
        <v>143</v>
      </c>
      <c r="D118" s="116">
        <f t="shared" si="5"/>
        <v>60.474264110027235</v>
      </c>
      <c r="E118" s="116">
        <f t="shared" si="5"/>
        <v>33.997097763331396</v>
      </c>
      <c r="F118" s="116">
        <f t="shared" si="5"/>
        <v>60.227991300864701</v>
      </c>
      <c r="G118" s="116">
        <f t="shared" si="5"/>
        <v>58.72806690422108</v>
      </c>
      <c r="H118" s="116">
        <f t="shared" si="5"/>
        <v>10.818742756804509</v>
      </c>
      <c r="I118" s="116">
        <f t="shared" si="5"/>
        <v>17.780774409516674</v>
      </c>
      <c r="J118" s="116">
        <f t="shared" si="3"/>
        <v>55.425190969172448</v>
      </c>
      <c r="K118" s="116">
        <f t="shared" si="3"/>
        <v>3.7967027218773124</v>
      </c>
    </row>
    <row r="119" spans="3:11" x14ac:dyDescent="0.2">
      <c r="C119" s="87" t="s">
        <v>144</v>
      </c>
      <c r="D119" s="47" t="str">
        <f t="shared" si="5"/>
        <v xml:space="preserve"> </v>
      </c>
      <c r="E119" s="47" t="str">
        <f t="shared" si="5"/>
        <v xml:space="preserve"> </v>
      </c>
      <c r="F119" s="47" t="str">
        <f t="shared" si="5"/>
        <v xml:space="preserve"> </v>
      </c>
      <c r="G119" s="47" t="str">
        <f t="shared" si="5"/>
        <v xml:space="preserve"> </v>
      </c>
      <c r="H119" s="47" t="str">
        <f t="shared" si="5"/>
        <v xml:space="preserve"> </v>
      </c>
      <c r="I119" s="47" t="str">
        <f t="shared" si="5"/>
        <v xml:space="preserve"> </v>
      </c>
      <c r="J119" s="47" t="str">
        <f t="shared" si="3"/>
        <v xml:space="preserve"> </v>
      </c>
      <c r="K119" s="47" t="str">
        <f t="shared" si="3"/>
        <v xml:space="preserve"> </v>
      </c>
    </row>
    <row r="120" spans="3:11" x14ac:dyDescent="0.2">
      <c r="C120" s="88" t="s">
        <v>145</v>
      </c>
      <c r="D120" s="116">
        <f t="shared" si="5"/>
        <v>94.437783470980179</v>
      </c>
      <c r="E120" s="116">
        <f t="shared" si="5"/>
        <v>95.930372718482303</v>
      </c>
      <c r="F120" s="116">
        <f t="shared" si="5"/>
        <v>90.55424204154221</v>
      </c>
      <c r="G120" s="116">
        <f t="shared" si="5"/>
        <v>86.398584388123467</v>
      </c>
      <c r="H120" s="116">
        <f t="shared" si="5"/>
        <v>82.814565913971506</v>
      </c>
      <c r="I120" s="116">
        <f t="shared" si="5"/>
        <v>73.50662843991843</v>
      </c>
      <c r="J120" s="116">
        <f t="shared" si="3"/>
        <v>94.558702150315113</v>
      </c>
      <c r="K120" s="116">
        <f t="shared" si="3"/>
        <v>44.678149237915484</v>
      </c>
    </row>
    <row r="121" spans="3:11" x14ac:dyDescent="0.2">
      <c r="C121" s="87" t="s">
        <v>146</v>
      </c>
      <c r="D121" s="47">
        <f t="shared" si="5"/>
        <v>97.665923003076415</v>
      </c>
      <c r="E121" s="47">
        <f t="shared" si="5"/>
        <v>89.955444220862049</v>
      </c>
      <c r="F121" s="47">
        <f t="shared" si="5"/>
        <v>96.372268210150409</v>
      </c>
      <c r="G121" s="47">
        <f t="shared" si="5"/>
        <v>95.180230046664335</v>
      </c>
      <c r="H121" s="47">
        <f t="shared" si="5"/>
        <v>92.091126225492076</v>
      </c>
      <c r="I121" s="47">
        <f t="shared" si="5"/>
        <v>96.733516740111767</v>
      </c>
      <c r="J121" s="47">
        <f t="shared" si="3"/>
        <v>94.244772328672568</v>
      </c>
      <c r="K121" s="47">
        <f t="shared" si="3"/>
        <v>65.283577804536719</v>
      </c>
    </row>
    <row r="122" spans="3:11" x14ac:dyDescent="0.2">
      <c r="C122" s="88" t="s">
        <v>162</v>
      </c>
      <c r="D122" s="116">
        <f t="shared" si="5"/>
        <v>91.473054731637319</v>
      </c>
      <c r="E122" s="116">
        <f t="shared" si="5"/>
        <v>91.129625703568138</v>
      </c>
      <c r="F122" s="116">
        <f t="shared" si="5"/>
        <v>85.457231607861118</v>
      </c>
      <c r="G122" s="116">
        <f t="shared" si="5"/>
        <v>87.584556905552247</v>
      </c>
      <c r="H122" s="116">
        <f t="shared" si="5"/>
        <v>88.997108071908784</v>
      </c>
      <c r="I122" s="116">
        <f t="shared" si="5"/>
        <v>89.756883370273357</v>
      </c>
      <c r="J122" s="116">
        <f t="shared" si="3"/>
        <v>94.741961067689743</v>
      </c>
      <c r="K122" s="116">
        <f t="shared" si="3"/>
        <v>25.809289876763703</v>
      </c>
    </row>
    <row r="123" spans="3:11" x14ac:dyDescent="0.2">
      <c r="C123" s="87" t="s">
        <v>148</v>
      </c>
      <c r="D123" s="47" t="str">
        <f t="shared" si="5"/>
        <v xml:space="preserve"> </v>
      </c>
      <c r="E123" s="47" t="str">
        <f t="shared" si="5"/>
        <v xml:space="preserve"> </v>
      </c>
      <c r="F123" s="47" t="str">
        <f t="shared" si="5"/>
        <v xml:space="preserve"> </v>
      </c>
      <c r="G123" s="47" t="str">
        <f t="shared" si="5"/>
        <v xml:space="preserve"> </v>
      </c>
      <c r="H123" s="47" t="str">
        <f t="shared" si="5"/>
        <v xml:space="preserve"> </v>
      </c>
      <c r="I123" s="47" t="str">
        <f t="shared" si="5"/>
        <v xml:space="preserve"> </v>
      </c>
      <c r="J123" s="47" t="str">
        <f t="shared" si="3"/>
        <v xml:space="preserve"> </v>
      </c>
      <c r="K123" s="47" t="str">
        <f t="shared" si="3"/>
        <v xml:space="preserve"> </v>
      </c>
    </row>
    <row r="124" spans="3:11" x14ac:dyDescent="0.2">
      <c r="C124" s="88" t="s">
        <v>149</v>
      </c>
      <c r="D124" s="116">
        <f t="shared" si="5"/>
        <v>93.072635780883132</v>
      </c>
      <c r="E124" s="116">
        <f t="shared" si="5"/>
        <v>99.335284901892081</v>
      </c>
      <c r="F124" s="116">
        <f t="shared" si="5"/>
        <v>86.263827811955281</v>
      </c>
      <c r="G124" s="116">
        <f t="shared" si="5"/>
        <v>86.878075076587606</v>
      </c>
      <c r="H124" s="116">
        <f t="shared" si="5"/>
        <v>97.526460942612488</v>
      </c>
      <c r="I124" s="116">
        <f t="shared" si="5"/>
        <v>93.712958931205847</v>
      </c>
      <c r="J124" s="116">
        <f t="shared" si="3"/>
        <v>96.249391807182178</v>
      </c>
      <c r="K124" s="116">
        <f t="shared" si="3"/>
        <v>73.255790961625479</v>
      </c>
    </row>
    <row r="125" spans="3:11" x14ac:dyDescent="0.2">
      <c r="C125" s="87" t="s">
        <v>163</v>
      </c>
      <c r="D125" s="47">
        <f t="shared" si="5"/>
        <v>97.851080270677031</v>
      </c>
      <c r="E125" s="47">
        <f t="shared" si="5"/>
        <v>97.179590813080836</v>
      </c>
      <c r="F125" s="47">
        <f t="shared" si="5"/>
        <v>95.459031727305231</v>
      </c>
      <c r="G125" s="47">
        <f t="shared" si="5"/>
        <v>95.862949704428644</v>
      </c>
      <c r="H125" s="47">
        <f t="shared" si="5"/>
        <v>97.136481300078202</v>
      </c>
      <c r="I125" s="47">
        <f t="shared" si="5"/>
        <v>97.151007616973132</v>
      </c>
      <c r="J125" s="47">
        <f t="shared" si="3"/>
        <v>96.507092728403691</v>
      </c>
      <c r="K125" s="47">
        <f t="shared" si="3"/>
        <v>14.245909867916836</v>
      </c>
    </row>
    <row r="126" spans="3:11" x14ac:dyDescent="0.2">
      <c r="C126" s="88" t="s">
        <v>150</v>
      </c>
      <c r="D126" s="116">
        <f t="shared" si="5"/>
        <v>96.130059349958884</v>
      </c>
      <c r="E126" s="116">
        <f t="shared" si="5"/>
        <v>96.571589673810948</v>
      </c>
      <c r="F126" s="116">
        <f t="shared" si="5"/>
        <v>87.299567581781261</v>
      </c>
      <c r="G126" s="116">
        <f t="shared" si="5"/>
        <v>89.467148218617083</v>
      </c>
      <c r="H126" s="116">
        <f t="shared" si="5"/>
        <v>73.531344382557222</v>
      </c>
      <c r="I126" s="116">
        <f t="shared" si="5"/>
        <v>88.542174461722951</v>
      </c>
      <c r="J126" s="116">
        <f t="shared" si="3"/>
        <v>94.133717356835433</v>
      </c>
      <c r="K126" s="116">
        <f t="shared" si="3"/>
        <v>22.443481176001434</v>
      </c>
    </row>
    <row r="127" spans="3:11" x14ac:dyDescent="0.2">
      <c r="C127" s="87" t="s">
        <v>151</v>
      </c>
      <c r="D127" s="47" t="str">
        <f t="shared" ref="D127:I127" si="6">+IFERROR(IF(D86&gt;0,+((D86/D44)*100)," "),"0")</f>
        <v xml:space="preserve"> </v>
      </c>
      <c r="E127" s="47" t="str">
        <f t="shared" si="6"/>
        <v xml:space="preserve"> </v>
      </c>
      <c r="F127" s="47" t="str">
        <f t="shared" si="6"/>
        <v xml:space="preserve"> </v>
      </c>
      <c r="G127" s="47" t="str">
        <f t="shared" si="6"/>
        <v xml:space="preserve"> </v>
      </c>
      <c r="H127" s="47" t="str">
        <f t="shared" si="6"/>
        <v xml:space="preserve"> </v>
      </c>
      <c r="I127" s="47" t="str">
        <f t="shared" si="6"/>
        <v xml:space="preserve"> </v>
      </c>
      <c r="J127" s="47" t="str">
        <f t="shared" si="3"/>
        <v xml:space="preserve"> </v>
      </c>
      <c r="K127" s="47" t="str">
        <f t="shared" si="3"/>
        <v xml:space="preserve"> </v>
      </c>
    </row>
    <row r="128" spans="3:11" x14ac:dyDescent="0.2">
      <c r="C128" s="91" t="s">
        <v>154</v>
      </c>
      <c r="D128" s="74">
        <f t="shared" ref="D128:I128" si="7">+IFERROR(IF(D87&gt;0,+((D87/D45)*100)," "),"")</f>
        <v>94.95867351738471</v>
      </c>
      <c r="E128" s="74">
        <f t="shared" si="7"/>
        <v>95.24518864991802</v>
      </c>
      <c r="F128" s="74">
        <f t="shared" si="7"/>
        <v>84.098346723890501</v>
      </c>
      <c r="G128" s="74">
        <f t="shared" si="7"/>
        <v>89.380450100820113</v>
      </c>
      <c r="H128" s="74">
        <f t="shared" si="7"/>
        <v>87.515131410330056</v>
      </c>
      <c r="I128" s="74">
        <f t="shared" si="7"/>
        <v>91.800887360486996</v>
      </c>
      <c r="J128" s="74">
        <f t="shared" si="3"/>
        <v>95.959013295376209</v>
      </c>
      <c r="K128" s="74">
        <f t="shared" si="3"/>
        <v>34.027427972975794</v>
      </c>
    </row>
    <row r="129" spans="1:11" s="31" customFormat="1" x14ac:dyDescent="0.2">
      <c r="A129" s="5"/>
      <c r="B129" s="5"/>
      <c r="C129" s="72" t="str">
        <f>+'C1 Aprop Resumen 2000-2026'!B20</f>
        <v>* Información con corte a 28 de febrero</v>
      </c>
      <c r="D129" s="47"/>
      <c r="E129" s="47"/>
      <c r="F129" s="47"/>
      <c r="G129" s="47"/>
      <c r="H129" s="47"/>
      <c r="I129" s="47"/>
    </row>
    <row r="130" spans="1:11" x14ac:dyDescent="0.2">
      <c r="C130" s="1" t="s">
        <v>52</v>
      </c>
      <c r="D130" s="11"/>
      <c r="E130" s="11"/>
      <c r="F130" s="11"/>
      <c r="G130" s="11"/>
      <c r="H130" s="11"/>
    </row>
    <row r="131" spans="1:11" x14ac:dyDescent="0.2">
      <c r="D131" s="11"/>
      <c r="E131" s="11"/>
      <c r="F131" s="11"/>
      <c r="G131" s="11"/>
      <c r="H131" s="11"/>
    </row>
    <row r="132" spans="1:11" x14ac:dyDescent="0.2">
      <c r="E132" s="3"/>
      <c r="F132" s="3"/>
      <c r="G132" s="3"/>
      <c r="H132" s="3"/>
    </row>
    <row r="133" spans="1:11" x14ac:dyDescent="0.2">
      <c r="E133" s="3"/>
      <c r="F133" s="3"/>
      <c r="G133" s="3"/>
      <c r="H133" s="3"/>
    </row>
    <row r="134" spans="1:11" x14ac:dyDescent="0.2">
      <c r="E134" s="3"/>
      <c r="F134" s="3"/>
      <c r="G134" s="3"/>
      <c r="H134" s="3"/>
    </row>
    <row r="135" spans="1:11" ht="18" customHeight="1" x14ac:dyDescent="0.2">
      <c r="D135" s="173" t="s">
        <v>156</v>
      </c>
      <c r="E135" s="178"/>
      <c r="F135" s="178"/>
      <c r="G135" s="178"/>
      <c r="H135" s="178"/>
      <c r="I135" s="178"/>
      <c r="J135" s="178"/>
      <c r="K135" s="178"/>
    </row>
    <row r="136" spans="1:11" x14ac:dyDescent="0.2">
      <c r="C136" s="2"/>
      <c r="D136" s="2"/>
      <c r="E136" s="2"/>
      <c r="F136" s="2"/>
      <c r="G136" s="2"/>
      <c r="H136" s="2"/>
      <c r="I136" s="2"/>
    </row>
    <row r="137" spans="1:11" x14ac:dyDescent="0.2">
      <c r="C137" s="177" t="s">
        <v>120</v>
      </c>
      <c r="D137" s="153">
        <v>2019</v>
      </c>
      <c r="E137" s="153">
        <v>2020</v>
      </c>
      <c r="F137" s="153">
        <v>2021</v>
      </c>
      <c r="G137" s="153">
        <v>2022</v>
      </c>
      <c r="H137" s="153">
        <v>2023</v>
      </c>
      <c r="I137" s="153">
        <v>2024</v>
      </c>
      <c r="J137" s="153">
        <v>2025</v>
      </c>
      <c r="K137" s="153" t="s">
        <v>36</v>
      </c>
    </row>
    <row r="138" spans="1:11" ht="12" customHeight="1" thickBot="1" x14ac:dyDescent="0.25">
      <c r="C138" s="156"/>
      <c r="D138" s="154"/>
      <c r="E138" s="154"/>
      <c r="F138" s="154"/>
      <c r="G138" s="154"/>
      <c r="H138" s="154"/>
      <c r="I138" s="154"/>
      <c r="J138" s="154"/>
      <c r="K138" s="154"/>
    </row>
    <row r="139" spans="1:11" x14ac:dyDescent="0.2">
      <c r="C139" s="87" t="s">
        <v>123</v>
      </c>
      <c r="D139" s="42">
        <f>49.61057772652*Deflactores!$T$5</f>
        <v>75.065889768943592</v>
      </c>
      <c r="E139" s="42">
        <f>83.59030179765*Deflactores!$U$5</f>
        <v>124.47662199647951</v>
      </c>
      <c r="F139" s="42">
        <f>86.5332466953299*Deflactores!$V$5</f>
        <v>122.00250174737172</v>
      </c>
      <c r="G139" s="42">
        <f>68.28185885982*Deflactores!$W$5</f>
        <v>85.10433387790232</v>
      </c>
      <c r="H139" s="42">
        <f>60.07193128048*Deflactores!$X$5</f>
        <v>68.513672818990486</v>
      </c>
      <c r="I139" s="42">
        <f>98.4904136306699*Deflactores!$Y$5</f>
        <v>106.77851493655967</v>
      </c>
      <c r="J139" s="42">
        <f>102.27154009939*Deflactores!$Z$5</f>
        <v>105.49745794819843</v>
      </c>
      <c r="K139" s="42">
        <f>5.621553794*Deflactores!$AA$5</f>
        <v>5.6215537940000004</v>
      </c>
    </row>
    <row r="140" spans="1:11" x14ac:dyDescent="0.2">
      <c r="C140" s="88" t="s">
        <v>124</v>
      </c>
      <c r="D140" s="50">
        <f>121.821190618349*Deflactores!$T$5</f>
        <v>184.3279495128732</v>
      </c>
      <c r="E140" s="50">
        <f>136.79034628072*Deflactores!$U$5</f>
        <v>203.69827432817584</v>
      </c>
      <c r="F140" s="50">
        <f>171.11267016216*Deflactores!$V$5</f>
        <v>241.25032444417724</v>
      </c>
      <c r="G140" s="50">
        <f>201.72709720802*Deflactores!$W$5</f>
        <v>251.42622827911464</v>
      </c>
      <c r="H140" s="50">
        <f>206.87078075747*Deflactores!$X$5</f>
        <v>235.94175659925875</v>
      </c>
      <c r="I140" s="50">
        <f>226.36622079013*Deflactores!$Y$5</f>
        <v>245.4152439486212</v>
      </c>
      <c r="J140" s="50">
        <f>244.53433325218*Deflactores!$Z$5</f>
        <v>252.24760000770218</v>
      </c>
      <c r="K140" s="50">
        <f>106.11133814681*Deflactores!$AA$5</f>
        <v>106.11133814681</v>
      </c>
    </row>
    <row r="141" spans="1:11" x14ac:dyDescent="0.2">
      <c r="C141" s="87" t="s">
        <v>125</v>
      </c>
      <c r="D141" s="42">
        <f>0*Deflactores!$T$5</f>
        <v>0</v>
      </c>
      <c r="E141" s="42">
        <f>0*Deflactores!$U$5</f>
        <v>0</v>
      </c>
      <c r="F141" s="42">
        <f>0*Deflactores!$V$5</f>
        <v>0</v>
      </c>
      <c r="G141" s="42">
        <f>0*Deflactores!$W$5</f>
        <v>0</v>
      </c>
      <c r="H141" s="42">
        <f>0*Deflactores!$X$5</f>
        <v>0</v>
      </c>
      <c r="I141" s="42">
        <f>0*Deflactores!$Y$5</f>
        <v>0</v>
      </c>
      <c r="J141" s="42">
        <f>0*Deflactores!$Z$5</f>
        <v>0</v>
      </c>
      <c r="K141" s="42">
        <f>0*Deflactores!$AA$5</f>
        <v>0</v>
      </c>
    </row>
    <row r="142" spans="1:11" x14ac:dyDescent="0.2">
      <c r="C142" s="88" t="s">
        <v>126</v>
      </c>
      <c r="D142" s="50">
        <f>334.10304250885*Deflactores!$T$5</f>
        <v>505.53215281408217</v>
      </c>
      <c r="E142" s="50">
        <f>345.55115459238*Deflactores!$U$5</f>
        <v>514.56974703555829</v>
      </c>
      <c r="F142" s="50">
        <f>369.67123296363*Deflactores!$V$5</f>
        <v>521.19638367888001</v>
      </c>
      <c r="G142" s="50">
        <f>403.41904846892*Deflactores!$W$5</f>
        <v>502.80865176925454</v>
      </c>
      <c r="H142" s="50">
        <f>433.94006209724*Deflactores!$X$5</f>
        <v>494.92045292779795</v>
      </c>
      <c r="I142" s="50">
        <f>453.698495143369*Deflactores!$Y$5</f>
        <v>491.87783617222038</v>
      </c>
      <c r="J142" s="50">
        <f>481.789806698059*Deflactores!$Z$5</f>
        <v>496.98674550714327</v>
      </c>
      <c r="K142" s="50">
        <f>33.85466839321*Deflactores!$AA$5</f>
        <v>33.854668393209998</v>
      </c>
    </row>
    <row r="143" spans="1:11" x14ac:dyDescent="0.2">
      <c r="C143" s="87" t="s">
        <v>127</v>
      </c>
      <c r="D143" s="42">
        <f>0*Deflactores!$T$5</f>
        <v>0</v>
      </c>
      <c r="E143" s="42">
        <f>0*Deflactores!$U$5</f>
        <v>0</v>
      </c>
      <c r="F143" s="42">
        <f>0*Deflactores!$V$5</f>
        <v>0</v>
      </c>
      <c r="G143" s="42">
        <f>0*Deflactores!$W$5</f>
        <v>0</v>
      </c>
      <c r="H143" s="42">
        <f>0*Deflactores!$X$5</f>
        <v>0</v>
      </c>
      <c r="I143" s="42">
        <f>0*Deflactores!$Y$5</f>
        <v>0</v>
      </c>
      <c r="J143" s="42">
        <f>0*Deflactores!$Z$5</f>
        <v>0</v>
      </c>
      <c r="K143" s="42">
        <f>0*Deflactores!$AA$5</f>
        <v>0</v>
      </c>
    </row>
    <row r="144" spans="1:11" x14ac:dyDescent="0.2">
      <c r="C144" s="88" t="s">
        <v>128</v>
      </c>
      <c r="D144" s="50">
        <f>9.28942754715999*Deflactores!$T$5</f>
        <v>14.055856154622818</v>
      </c>
      <c r="E144" s="50">
        <f>10.29691158123*Deflactores!$U$5</f>
        <v>15.333414798892045</v>
      </c>
      <c r="F144" s="50">
        <f>10.1643318368199*Deflactores!$V$5</f>
        <v>14.330606559217561</v>
      </c>
      <c r="G144" s="50">
        <f>13.1794641353*Deflactores!$W$5</f>
        <v>16.426464288341535</v>
      </c>
      <c r="H144" s="50">
        <f>11.7315578921799*Deflactores!$X$5</f>
        <v>13.38016111599595</v>
      </c>
      <c r="I144" s="50">
        <f>10.34179552521*Deflactores!$Y$5</f>
        <v>11.212071583945594</v>
      </c>
      <c r="J144" s="50">
        <f>17.56177829004*Deflactores!$Z$5</f>
        <v>18.115723737498794</v>
      </c>
      <c r="K144" s="50">
        <f>0.4120380356*Deflactores!$AA$5</f>
        <v>0.41203803560000002</v>
      </c>
    </row>
    <row r="145" spans="3:11" x14ac:dyDescent="0.2">
      <c r="C145" s="87" t="s">
        <v>129</v>
      </c>
      <c r="D145" s="42">
        <f>2031.34138262102*Deflactores!$T$5</f>
        <v>3073.6277483301783</v>
      </c>
      <c r="E145" s="42">
        <f>1806.67559357634*Deflactores!$U$5</f>
        <v>2690.3704149347823</v>
      </c>
      <c r="F145" s="42">
        <f>1749.70744599179*Deflactores!$V$5</f>
        <v>2466.8979136838902</v>
      </c>
      <c r="G145" s="42">
        <f>2438.22402907456*Deflactores!$W$5</f>
        <v>3038.9247642698483</v>
      </c>
      <c r="H145" s="42">
        <f>2249.97417191694*Deflactores!$X$5</f>
        <v>2566.1567887028741</v>
      </c>
      <c r="I145" s="42">
        <f>2501.24948020647*Deflactores!$Y$5</f>
        <v>2711.7330015874768</v>
      </c>
      <c r="J145" s="42">
        <f>2599.64048179404*Deflactores!$Z$5</f>
        <v>2681.6400940278486</v>
      </c>
      <c r="K145" s="42">
        <f>211.45818686875*Deflactores!$AA$5</f>
        <v>211.45818686875</v>
      </c>
    </row>
    <row r="146" spans="3:11" x14ac:dyDescent="0.2">
      <c r="C146" s="88" t="s">
        <v>130</v>
      </c>
      <c r="D146" s="50">
        <f>0*Deflactores!$T$5</f>
        <v>0</v>
      </c>
      <c r="E146" s="50">
        <f>0*Deflactores!$U$5</f>
        <v>0</v>
      </c>
      <c r="F146" s="50">
        <f>0*Deflactores!$V$5</f>
        <v>0</v>
      </c>
      <c r="G146" s="50">
        <f>0*Deflactores!$W$5</f>
        <v>0</v>
      </c>
      <c r="H146" s="50">
        <f>0*Deflactores!$X$5</f>
        <v>0</v>
      </c>
      <c r="I146" s="50">
        <f>0*Deflactores!$Y$5</f>
        <v>0</v>
      </c>
      <c r="J146" s="50">
        <f>0*Deflactores!$Z$5</f>
        <v>0</v>
      </c>
      <c r="K146" s="50">
        <f>0*Deflactores!$AA$5</f>
        <v>0</v>
      </c>
    </row>
    <row r="147" spans="3:11" x14ac:dyDescent="0.2">
      <c r="C147" s="87" t="s">
        <v>131</v>
      </c>
      <c r="D147" s="42">
        <f>19.96924571948*Deflactores!$T$5</f>
        <v>30.215515856533127</v>
      </c>
      <c r="E147" s="42">
        <f>16.55172919757*Deflactores!$U$5</f>
        <v>24.647636082251065</v>
      </c>
      <c r="F147" s="42">
        <f>19.7144775911099*Deflactores!$V$5</f>
        <v>27.795277290661431</v>
      </c>
      <c r="G147" s="42">
        <f>23.33597948013*Deflactores!$W$5</f>
        <v>29.085221495244102</v>
      </c>
      <c r="H147" s="42">
        <f>30.10181859116*Deflactores!$X$5</f>
        <v>34.331943492575888</v>
      </c>
      <c r="I147" s="42">
        <f>37.9719214156*Deflactores!$Y$5</f>
        <v>41.167309879008542</v>
      </c>
      <c r="J147" s="42">
        <f>42.5251876634099*Deflactores!$Z$5</f>
        <v>43.866545794655451</v>
      </c>
      <c r="K147" s="42">
        <f>2.94241113513*Deflactores!$AA$5</f>
        <v>2.94241113513</v>
      </c>
    </row>
    <row r="148" spans="3:11" x14ac:dyDescent="0.2">
      <c r="C148" s="88" t="s">
        <v>132</v>
      </c>
      <c r="D148" s="50">
        <f>313.17791891757*Deflactores!$T$5</f>
        <v>473.87029574877181</v>
      </c>
      <c r="E148" s="50">
        <f>204.14320955294*Deflactores!$U$5</f>
        <v>303.99527914354059</v>
      </c>
      <c r="F148" s="50">
        <f>247.77738365886*Deflactores!$V$5</f>
        <v>349.33926366165934</v>
      </c>
      <c r="G148" s="50">
        <f>297.44479535998*Deflactores!$W$5</f>
        <v>370.72571832773912</v>
      </c>
      <c r="H148" s="50">
        <f>357.84885846881*Deflactores!$X$5</f>
        <v>408.13636394187483</v>
      </c>
      <c r="I148" s="50">
        <f>440.227254720059*Deflactores!$Y$5</f>
        <v>477.27297267607946</v>
      </c>
      <c r="J148" s="50">
        <f>463.574945478709*Deflactores!$Z$5</f>
        <v>478.19733885840043</v>
      </c>
      <c r="K148" s="50">
        <f>24.40709839346*Deflactores!$AA$5</f>
        <v>24.40709839346</v>
      </c>
    </row>
    <row r="149" spans="3:11" x14ac:dyDescent="0.2">
      <c r="C149" s="87" t="s">
        <v>133</v>
      </c>
      <c r="D149" s="42">
        <f>57.1027592465399*Deflactores!$T$5</f>
        <v>86.402328445610877</v>
      </c>
      <c r="E149" s="42">
        <f>47.07793453358*Deflactores!$U$5</f>
        <v>70.105049692214337</v>
      </c>
      <c r="F149" s="42">
        <f>79.47330531121*Deflactores!$V$5</f>
        <v>112.04874935801506</v>
      </c>
      <c r="G149" s="42">
        <f>35.41600876138*Deflactores!$W$5</f>
        <v>44.141385202165281</v>
      </c>
      <c r="H149" s="42">
        <f>47.12565268805*Deflactores!$X$5</f>
        <v>53.748089678941284</v>
      </c>
      <c r="I149" s="42">
        <f>42.42664916712*Deflactores!$Y$5</f>
        <v>45.99690898636635</v>
      </c>
      <c r="J149" s="42">
        <f>37.33652000296*Deflactores!$Z$5</f>
        <v>38.514213681698884</v>
      </c>
      <c r="K149" s="42">
        <f>2.79885917723999*Deflactores!$AA$5</f>
        <v>2.79885917723999</v>
      </c>
    </row>
    <row r="150" spans="3:11" x14ac:dyDescent="0.2">
      <c r="C150" s="88" t="s">
        <v>134</v>
      </c>
      <c r="D150" s="50">
        <f>224.778987212819*Deflactores!$T$5</f>
        <v>340.11365014748532</v>
      </c>
      <c r="E150" s="50">
        <f>247.558724183219*Deflactores!$U$5</f>
        <v>368.64651842842852</v>
      </c>
      <c r="F150" s="50">
        <f>266.95374552969*Deflactores!$V$5</f>
        <v>376.37585609290619</v>
      </c>
      <c r="G150" s="50">
        <f>324.817976983119*Deflactores!$W$5</f>
        <v>404.8427799756742</v>
      </c>
      <c r="H150" s="50">
        <f>350.006053039969*Deflactores!$X$5</f>
        <v>399.1914308644657</v>
      </c>
      <c r="I150" s="50">
        <f>378.109309925339*Deflactores!$Y$5</f>
        <v>409.92771894444189</v>
      </c>
      <c r="J150" s="50">
        <f>391.39056520795*Deflactores!$Z$5</f>
        <v>403.73607021288615</v>
      </c>
      <c r="K150" s="50">
        <f>40.76485907075*Deflactores!$AA$5</f>
        <v>40.764859070749999</v>
      </c>
    </row>
    <row r="151" spans="3:11" x14ac:dyDescent="0.2">
      <c r="C151" s="87" t="s">
        <v>135</v>
      </c>
      <c r="D151" s="42">
        <f>0*Deflactores!$T$5</f>
        <v>0</v>
      </c>
      <c r="E151" s="42">
        <f>0*Deflactores!$U$5</f>
        <v>0</v>
      </c>
      <c r="F151" s="42">
        <f>0*Deflactores!$V$5</f>
        <v>0</v>
      </c>
      <c r="G151" s="42">
        <f>0*Deflactores!$W$5</f>
        <v>0</v>
      </c>
      <c r="H151" s="42">
        <f>0*Deflactores!$X$5</f>
        <v>0</v>
      </c>
      <c r="I151" s="42">
        <f>3975.39102456501*Deflactores!$Y$5</f>
        <v>4309.9255475458294</v>
      </c>
      <c r="J151" s="42">
        <f>4196.82774082473*Deflactores!$Z$5</f>
        <v>4329.2069100867138</v>
      </c>
      <c r="K151" s="42">
        <f>328.51764144274*Deflactores!$AA$5</f>
        <v>328.51764144274</v>
      </c>
    </row>
    <row r="152" spans="3:11" x14ac:dyDescent="0.2">
      <c r="C152" s="88" t="s">
        <v>136</v>
      </c>
      <c r="D152" s="50">
        <f>2456.13971288237*Deflactores!$T$5</f>
        <v>3716.3911688493408</v>
      </c>
      <c r="E152" s="50">
        <f>2379.93853794639*Deflactores!$U$5</f>
        <v>3544.0320634317341</v>
      </c>
      <c r="F152" s="50">
        <f>2530.57636761098*Deflactores!$V$5</f>
        <v>3567.8384840722538</v>
      </c>
      <c r="G152" s="50">
        <f>2953.84750370085*Deflactores!$W$5</f>
        <v>3681.5814387163878</v>
      </c>
      <c r="H152" s="50">
        <f>3509.56740052714*Deflactores!$X$5</f>
        <v>4002.7571528076578</v>
      </c>
      <c r="I152" s="50">
        <f>0.83410458289*Deflactores!$Y$5</f>
        <v>0.90429560989312452</v>
      </c>
      <c r="J152" s="50">
        <f>31.62720305825*Deflactores!$Z$5</f>
        <v>32.62480961384059</v>
      </c>
      <c r="K152" s="50">
        <f>0*Deflactores!$AA$5</f>
        <v>0</v>
      </c>
    </row>
    <row r="153" spans="3:11" x14ac:dyDescent="0.2">
      <c r="C153" s="87" t="s">
        <v>137</v>
      </c>
      <c r="D153" s="42">
        <f>27.79769840714*Deflactores!$T$5</f>
        <v>42.060767281596448</v>
      </c>
      <c r="E153" s="42">
        <f>28.04238609993*Deflactores!$U$5</f>
        <v>41.758689936186478</v>
      </c>
      <c r="F153" s="42">
        <f>58.62941256624*Deflactores!$V$5</f>
        <v>82.661119075358926</v>
      </c>
      <c r="G153" s="42">
        <f>31.6200882098199*Deflactores!$W$5</f>
        <v>39.410270739432669</v>
      </c>
      <c r="H153" s="42">
        <f>12.2204430265699*Deflactores!$X$5</f>
        <v>13.9377479195111</v>
      </c>
      <c r="I153" s="42">
        <f>43.72305862044*Deflactores!$Y$5</f>
        <v>47.402413045820524</v>
      </c>
      <c r="J153" s="42">
        <f>43.45905880279*Deflactores!$Z$5</f>
        <v>44.8298737269428</v>
      </c>
      <c r="K153" s="42">
        <f>3.50538726598*Deflactores!$AA$5</f>
        <v>3.5053872659800001</v>
      </c>
    </row>
    <row r="154" spans="3:11" x14ac:dyDescent="0.2">
      <c r="C154" s="88" t="s">
        <v>138</v>
      </c>
      <c r="D154" s="50">
        <f>0*Deflactores!$T$5</f>
        <v>0</v>
      </c>
      <c r="E154" s="50">
        <f>0*Deflactores!$U$5</f>
        <v>0</v>
      </c>
      <c r="F154" s="50">
        <f>0*Deflactores!$V$5</f>
        <v>0</v>
      </c>
      <c r="G154" s="50">
        <f>0*Deflactores!$W$5</f>
        <v>0</v>
      </c>
      <c r="H154" s="50">
        <f>0*Deflactores!$X$5</f>
        <v>0</v>
      </c>
      <c r="I154" s="50">
        <f>0*Deflactores!$Y$5</f>
        <v>0</v>
      </c>
      <c r="J154" s="50">
        <f>0*Deflactores!$Z$5</f>
        <v>0</v>
      </c>
      <c r="K154" s="50">
        <f>0*Deflactores!$AA$5</f>
        <v>0</v>
      </c>
    </row>
    <row r="155" spans="3:11" x14ac:dyDescent="0.2">
      <c r="C155" s="87" t="s">
        <v>160</v>
      </c>
      <c r="D155" s="42">
        <f>84.2431983062399*Deflactores!$T$5</f>
        <v>127.4685949577038</v>
      </c>
      <c r="E155" s="42">
        <f>54.02429625702*Deflactores!$U$5</f>
        <v>80.449068363095165</v>
      </c>
      <c r="F155" s="42">
        <f>106.49085893182*Deflactores!$V$5</f>
        <v>150.14057254377417</v>
      </c>
      <c r="G155" s="42">
        <f>109.88018076664*Deflactores!$W$5</f>
        <v>136.95115725724753</v>
      </c>
      <c r="H155" s="42">
        <f>140.13500993934*Deflactores!$X$5</f>
        <v>159.82779339391337</v>
      </c>
      <c r="I155" s="42">
        <f>182.97525315366*Deflactores!$Y$5</f>
        <v>198.3728677915187</v>
      </c>
      <c r="J155" s="42">
        <f>161.13235430921*Deflactores!$Z$5</f>
        <v>166.21489963199923</v>
      </c>
      <c r="K155" s="42">
        <f>11.57224256781*Deflactores!$AA$5</f>
        <v>11.572242567809999</v>
      </c>
    </row>
    <row r="156" spans="3:11" x14ac:dyDescent="0.2">
      <c r="C156" s="88" t="s">
        <v>161</v>
      </c>
      <c r="D156" s="50">
        <f>395.880859350459*Deflactores!$T$5</f>
        <v>599.00832264951669</v>
      </c>
      <c r="E156" s="50">
        <f>414.63186890001*Deflactores!$U$5</f>
        <v>617.43974244403762</v>
      </c>
      <c r="F156" s="50">
        <f>427.00114778586*Deflactores!$V$5</f>
        <v>602.02535173900549</v>
      </c>
      <c r="G156" s="50">
        <f>520.36673021889*Deflactores!$W$5</f>
        <v>648.56851712864272</v>
      </c>
      <c r="H156" s="50">
        <f>587.02299024045*Deflactores!$X$5</f>
        <v>669.51569948323902</v>
      </c>
      <c r="I156" s="50">
        <f>666.50934930516*Deflactores!$Y$5</f>
        <v>722.59701108591662</v>
      </c>
      <c r="J156" s="50">
        <f>706.45754667322*Deflactores!$Z$5</f>
        <v>728.74110676260364</v>
      </c>
      <c r="K156" s="50">
        <f>46.4778773592999*Deflactores!$AA$5</f>
        <v>46.477877359299903</v>
      </c>
    </row>
    <row r="157" spans="3:11" x14ac:dyDescent="0.2">
      <c r="C157" s="87" t="s">
        <v>140</v>
      </c>
      <c r="D157" s="42">
        <f>699.49102921225*Deflactores!$T$5</f>
        <v>1058.4016332698914</v>
      </c>
      <c r="E157" s="42">
        <f>1042.73026013433*Deflactores!$U$5</f>
        <v>1552.7583660271066</v>
      </c>
      <c r="F157" s="42">
        <f>1267.83259333367*Deflactores!$V$5</f>
        <v>1787.5065837777443</v>
      </c>
      <c r="G157" s="42">
        <f>964.60817992651*Deflactores!$W$5</f>
        <v>1202.2569094721594</v>
      </c>
      <c r="H157" s="42">
        <f>1636.04083366758*Deflactores!$X$5</f>
        <v>1865.9491047998374</v>
      </c>
      <c r="I157" s="42">
        <f>4541.92028395739*Deflactores!$Y$5</f>
        <v>4924.129009142317</v>
      </c>
      <c r="J157" s="42">
        <f>3763.50392846767*Deflactores!$Z$5</f>
        <v>3882.2149059801418</v>
      </c>
      <c r="K157" s="42">
        <f>1650.37871134368*Deflactores!$AA$5</f>
        <v>1650.3787113436799</v>
      </c>
    </row>
    <row r="158" spans="3:11" x14ac:dyDescent="0.2">
      <c r="C158" s="88" t="s">
        <v>141</v>
      </c>
      <c r="D158" s="50">
        <f>16.4553359166*Deflactores!$T$5</f>
        <v>24.898610107620712</v>
      </c>
      <c r="E158" s="50">
        <f>12.89562348719*Deflactores!$U$5</f>
        <v>19.20322831361042</v>
      </c>
      <c r="F158" s="50">
        <f>11.9064471589599*Deflactores!$V$5</f>
        <v>16.786800400895977</v>
      </c>
      <c r="G158" s="50">
        <f>16.07636319398*Deflactores!$W$5</f>
        <v>20.037066999181878</v>
      </c>
      <c r="H158" s="50">
        <f>23.34408193986*Deflactores!$X$5</f>
        <v>26.624560892168024</v>
      </c>
      <c r="I158" s="50">
        <f>17.14936840246*Deflactores!$Y$5</f>
        <v>18.592510911583876</v>
      </c>
      <c r="J158" s="50">
        <f>17.2380957990599*Deflactores!$Z$5</f>
        <v>17.781831435226277</v>
      </c>
      <c r="K158" s="50">
        <f>1.046449496*Deflactores!$AA$5</f>
        <v>1.0464494959999999</v>
      </c>
    </row>
    <row r="159" spans="3:11" x14ac:dyDescent="0.2">
      <c r="C159" s="87" t="s">
        <v>142</v>
      </c>
      <c r="D159" s="42">
        <f>132.20875046588*Deflactores!$T$5</f>
        <v>200.04539240945613</v>
      </c>
      <c r="E159" s="42">
        <f>306.27322875795*Deflactores!$U$5</f>
        <v>456.07990525064031</v>
      </c>
      <c r="F159" s="42">
        <f>290.51699137718*Deflactores!$V$5</f>
        <v>409.5974796014263</v>
      </c>
      <c r="G159" s="42">
        <f>202.81481433027*Deflactores!$W$5</f>
        <v>252.78192425286832</v>
      </c>
      <c r="H159" s="42">
        <f>293.54689345355*Deflactores!$X$5</f>
        <v>334.79822250434034</v>
      </c>
      <c r="I159" s="42">
        <f>259.38453810125*Deflactores!$Y$5</f>
        <v>281.21209724854077</v>
      </c>
      <c r="J159" s="42">
        <f>225.84207716947*Deflactores!$Z$5</f>
        <v>232.96574018505524</v>
      </c>
      <c r="K159" s="42">
        <f>24.16003351377*Deflactores!$AA$5</f>
        <v>24.160033513769999</v>
      </c>
    </row>
    <row r="160" spans="3:11" x14ac:dyDescent="0.2">
      <c r="C160" s="88" t="s">
        <v>143</v>
      </c>
      <c r="D160" s="50">
        <f>34.37731507223*Deflactores!$T$5</f>
        <v>52.016401784105511</v>
      </c>
      <c r="E160" s="50">
        <f>9.04283904153*Deflactores!$U$5</f>
        <v>13.465940820172776</v>
      </c>
      <c r="F160" s="50">
        <f>49.21251642515*Deflactores!$V$5</f>
        <v>69.384315860599216</v>
      </c>
      <c r="G160" s="50">
        <f>69.58122759627*Deflactores!$W$5</f>
        <v>86.72382568178493</v>
      </c>
      <c r="H160" s="50">
        <f>6.69529607481*Deflactores!$X$5</f>
        <v>7.6361674232514902</v>
      </c>
      <c r="I160" s="50">
        <f>9.3469045964*Deflactores!$Y$5</f>
        <v>10.133459240001642</v>
      </c>
      <c r="J160" s="50">
        <f>4.44491553261*Deflactores!$Z$5</f>
        <v>4.5851200542115862</v>
      </c>
      <c r="K160" s="50">
        <f>0.058780018*Deflactores!$AA$5</f>
        <v>5.8780018000000003E-2</v>
      </c>
    </row>
    <row r="161" spans="1:11" x14ac:dyDescent="0.2">
      <c r="C161" s="87" t="s">
        <v>144</v>
      </c>
      <c r="D161" s="42">
        <f>0*Deflactores!$T$5</f>
        <v>0</v>
      </c>
      <c r="E161" s="42">
        <f>0*Deflactores!$U$5</f>
        <v>0</v>
      </c>
      <c r="F161" s="42">
        <f>0*Deflactores!$V$5</f>
        <v>0</v>
      </c>
      <c r="G161" s="42">
        <f>0*Deflactores!$W$5</f>
        <v>0</v>
      </c>
      <c r="H161" s="42">
        <f>0*Deflactores!$X$5</f>
        <v>0</v>
      </c>
      <c r="I161" s="42">
        <f>0*Deflactores!$Y$5</f>
        <v>0</v>
      </c>
      <c r="J161" s="42">
        <f>0*Deflactores!$Z$5</f>
        <v>0</v>
      </c>
      <c r="K161" s="42">
        <f>0*Deflactores!$AA$5</f>
        <v>0</v>
      </c>
    </row>
    <row r="162" spans="1:11" x14ac:dyDescent="0.2">
      <c r="C162" s="88" t="s">
        <v>145</v>
      </c>
      <c r="D162" s="50">
        <f>91.47373231699*Deflactores!$T$5</f>
        <v>138.40913413089351</v>
      </c>
      <c r="E162" s="50">
        <f>73.58368807993*Deflactores!$U$5</f>
        <v>109.57549774619672</v>
      </c>
      <c r="F162" s="50">
        <f>74.94174735737*Deflactores!$V$5</f>
        <v>105.65974364870407</v>
      </c>
      <c r="G162" s="50">
        <f>99.19816010856*Deflactores!$W$5</f>
        <v>123.63742696700737</v>
      </c>
      <c r="H162" s="50">
        <f>127.391837396459*Deflactores!$X$5</f>
        <v>145.29385823204197</v>
      </c>
      <c r="I162" s="50">
        <f>118.10396811954*Deflactores!$Y$5</f>
        <v>128.04257652129726</v>
      </c>
      <c r="J162" s="50">
        <f>168.1990992228*Deflactores!$Z$5</f>
        <v>173.50454857663806</v>
      </c>
      <c r="K162" s="50">
        <f>4.82695813398*Deflactores!$AA$5</f>
        <v>4.8269581339799998</v>
      </c>
    </row>
    <row r="163" spans="1:11" x14ac:dyDescent="0.2">
      <c r="C163" s="87" t="s">
        <v>146</v>
      </c>
      <c r="D163" s="42">
        <f>215.32947305473*Deflactores!$T$5</f>
        <v>325.81556653976315</v>
      </c>
      <c r="E163" s="42">
        <f>119.46329284322*Deflactores!$U$5</f>
        <v>177.89608155378485</v>
      </c>
      <c r="F163" s="42">
        <f>218.12428682316*Deflactores!$V$5</f>
        <v>307.53161011030221</v>
      </c>
      <c r="G163" s="42">
        <f>192.19723051931*Deflactores!$W$5</f>
        <v>239.54850599635</v>
      </c>
      <c r="H163" s="42">
        <f>220.86208339093*Deflactores!$X$5</f>
        <v>251.89921810427697</v>
      </c>
      <c r="I163" s="42">
        <f>388.63239332129*Deflactores!$Y$5</f>
        <v>421.33633401825773</v>
      </c>
      <c r="J163" s="42">
        <f>541.55910581915*Deflactores!$Z$5</f>
        <v>558.64132814560492</v>
      </c>
      <c r="K163" s="42">
        <f>116.63871384783*Deflactores!$AA$5</f>
        <v>116.63871384783</v>
      </c>
    </row>
    <row r="164" spans="1:11" x14ac:dyDescent="0.2">
      <c r="C164" s="88" t="s">
        <v>162</v>
      </c>
      <c r="D164" s="50">
        <f>548.24235006656*Deflactores!$T$5</f>
        <v>829.5468769508683</v>
      </c>
      <c r="E164" s="50">
        <f>473.635573172769*Deflactores!$U$5</f>
        <v>705.30378450637613</v>
      </c>
      <c r="F164" s="50">
        <f>487.87872383837*Deflactores!$V$5</f>
        <v>687.8561377358858</v>
      </c>
      <c r="G164" s="50">
        <f>557.27973769128*Deflactores!$W$5</f>
        <v>694.57571383980837</v>
      </c>
      <c r="H164" s="50">
        <f>655.11827281907*Deflactores!$X$5</f>
        <v>747.18022285813981</v>
      </c>
      <c r="I164" s="50">
        <f>702.60511774495*Deflactores!$Y$5</f>
        <v>761.73028718269302</v>
      </c>
      <c r="J164" s="50">
        <f>762.3533202902*Deflactores!$Z$5</f>
        <v>786.39998254474835</v>
      </c>
      <c r="K164" s="50">
        <f>66.90841684386*Deflactores!$AA$5</f>
        <v>66.908416843859996</v>
      </c>
    </row>
    <row r="165" spans="1:11" x14ac:dyDescent="0.2">
      <c r="C165" s="87" t="s">
        <v>148</v>
      </c>
      <c r="D165" s="42">
        <f>0*Deflactores!$T$5</f>
        <v>0</v>
      </c>
      <c r="E165" s="42">
        <f>0*Deflactores!$U$5</f>
        <v>0</v>
      </c>
      <c r="F165" s="42">
        <f>0*Deflactores!$V$5</f>
        <v>0</v>
      </c>
      <c r="G165" s="42">
        <f>0*Deflactores!$W$5</f>
        <v>0</v>
      </c>
      <c r="H165" s="42">
        <f>0*Deflactores!$X$5</f>
        <v>0</v>
      </c>
      <c r="I165" s="42">
        <f>0*Deflactores!$Y$5</f>
        <v>0</v>
      </c>
      <c r="J165" s="42">
        <f>0*Deflactores!$Z$5</f>
        <v>0</v>
      </c>
      <c r="K165" s="42">
        <f>0*Deflactores!$AA$5</f>
        <v>0</v>
      </c>
    </row>
    <row r="166" spans="1:11" x14ac:dyDescent="0.2">
      <c r="C166" s="88" t="s">
        <v>149</v>
      </c>
      <c r="D166" s="50">
        <f>1398.74309314629*Deflactores!$T$5</f>
        <v>2116.4416875770944</v>
      </c>
      <c r="E166" s="50">
        <f>1446.65410521725*Deflactores!$U$5</f>
        <v>2154.2524951123623</v>
      </c>
      <c r="F166" s="50">
        <f>1896.87109434472*Deflactores!$V$5</f>
        <v>2674.382712313281</v>
      </c>
      <c r="G166" s="50">
        <f>1923.36549638492*Deflactores!$W$5</f>
        <v>2397.2214890871974</v>
      </c>
      <c r="H166" s="50">
        <f>2211.3509788327*Deflactores!$X$5</f>
        <v>2522.105985644072</v>
      </c>
      <c r="I166" s="50">
        <f>2599.87672683293*Deflactores!$Y$5</f>
        <v>2818.6598642011986</v>
      </c>
      <c r="J166" s="50">
        <f>1502.19468582512*Deflactores!$Z$5</f>
        <v>1549.5779230842736</v>
      </c>
      <c r="K166" s="50">
        <f>271.81892193062*Deflactores!$AA$5</f>
        <v>271.81892193061998</v>
      </c>
    </row>
    <row r="167" spans="1:11" x14ac:dyDescent="0.2">
      <c r="C167" s="87" t="s">
        <v>163</v>
      </c>
      <c r="D167" s="42">
        <f>1446.879506759*Deflactores!$T$5</f>
        <v>2189.2770159226534</v>
      </c>
      <c r="E167" s="42">
        <f>1462.99955831022*Deflactores!$U$5</f>
        <v>2178.5929597626769</v>
      </c>
      <c r="F167" s="42">
        <f>1516.27015030322*Deflactores!$V$5</f>
        <v>2137.7766202760517</v>
      </c>
      <c r="G167" s="42">
        <f>1642.93222241793*Deflactores!$W$5</f>
        <v>2047.6983891499781</v>
      </c>
      <c r="H167" s="42">
        <f>2120.33202555315*Deflactores!$X$5</f>
        <v>2418.2963918388459</v>
      </c>
      <c r="I167" s="42">
        <f>2072.51670108476*Deflactores!$Y$5</f>
        <v>2246.9217801531859</v>
      </c>
      <c r="J167" s="42">
        <f>2679.1369046797*Deflactores!$Z$5</f>
        <v>2763.6440466647377</v>
      </c>
      <c r="K167" s="42">
        <f>181.33321296684*Deflactores!$AA$5</f>
        <v>181.33321296683999</v>
      </c>
    </row>
    <row r="168" spans="1:11" x14ac:dyDescent="0.2">
      <c r="C168" s="88" t="s">
        <v>150</v>
      </c>
      <c r="D168" s="50">
        <f>2243.91091664753*Deflactores!$T$5</f>
        <v>3395.2672441939771</v>
      </c>
      <c r="E168" s="50">
        <f>2072.55515565501*Deflactores!$U$5</f>
        <v>3086.2989979607446</v>
      </c>
      <c r="F168" s="50">
        <f>2290.43020684739*Deflactores!$V$5</f>
        <v>3229.2584178308966</v>
      </c>
      <c r="G168" s="50">
        <f>1928.22927244582*Deflactores!$W$5</f>
        <v>2403.2835446420113</v>
      </c>
      <c r="H168" s="50">
        <f>1913.07986061319*Deflactores!$X$5</f>
        <v>2181.9196561979538</v>
      </c>
      <c r="I168" s="50">
        <f>2386.91321570537*Deflactores!$Y$5</f>
        <v>2587.7751860319199</v>
      </c>
      <c r="J168" s="50">
        <f>3061.48649292441*Deflactores!$Z$5</f>
        <v>3158.0539633253929</v>
      </c>
      <c r="K168" s="50">
        <f>608.78082342783*Deflactores!$AA$5</f>
        <v>608.78082342783</v>
      </c>
    </row>
    <row r="169" spans="1:11" x14ac:dyDescent="0.2">
      <c r="C169" s="87" t="s">
        <v>151</v>
      </c>
      <c r="D169" s="42">
        <f>0*Deflactores!$T$5</f>
        <v>0</v>
      </c>
      <c r="E169" s="42">
        <f>0*Deflactores!$U$5</f>
        <v>0</v>
      </c>
      <c r="F169" s="42">
        <f>0*Deflactores!$V$5</f>
        <v>0</v>
      </c>
      <c r="G169" s="42">
        <f>0*Deflactores!$W$5</f>
        <v>0</v>
      </c>
      <c r="H169" s="42">
        <f>0*Deflactores!$X$5</f>
        <v>0</v>
      </c>
      <c r="I169" s="42">
        <f>0*Deflactores!$Y$5</f>
        <v>0</v>
      </c>
      <c r="J169" s="42">
        <f>0*Deflactores!$Z$5</f>
        <v>0</v>
      </c>
      <c r="K169" s="42">
        <f>0*Deflactores!$AA$5</f>
        <v>0</v>
      </c>
    </row>
    <row r="170" spans="1:11" x14ac:dyDescent="0.2">
      <c r="C170" s="79" t="s">
        <v>152</v>
      </c>
      <c r="D170" s="44">
        <f t="shared" ref="D170:K170" si="8">SUM(D139:D169)</f>
        <v>19598.259803403584</v>
      </c>
      <c r="E170" s="44">
        <f t="shared" si="8"/>
        <v>19052.949777669048</v>
      </c>
      <c r="F170" s="44">
        <f t="shared" si="8"/>
        <v>20059.64282550296</v>
      </c>
      <c r="G170" s="44">
        <f t="shared" si="8"/>
        <v>18717.761727415345</v>
      </c>
      <c r="H170" s="44">
        <f t="shared" si="8"/>
        <v>19622.062442242026</v>
      </c>
      <c r="I170" s="44">
        <f t="shared" si="8"/>
        <v>24019.116818444687</v>
      </c>
      <c r="J170" s="44">
        <f t="shared" si="8"/>
        <v>22947.788779594161</v>
      </c>
      <c r="K170" s="44">
        <f t="shared" si="8"/>
        <v>3744.3951831731897</v>
      </c>
    </row>
    <row r="171" spans="1:11" s="31" customFormat="1" x14ac:dyDescent="0.2">
      <c r="A171" s="5"/>
      <c r="B171" s="5"/>
      <c r="C171" s="72" t="str">
        <f>+'C1 Aprop Resumen 2000-2026'!B20</f>
        <v>* Información con corte a 28 de febrero</v>
      </c>
      <c r="D171" s="123">
        <f>+D170-'C7 Ejec. Prop 19-26'!D98</f>
        <v>0</v>
      </c>
      <c r="E171" s="123">
        <f>+E170-'C7 Ejec. Prop 19-26'!E98</f>
        <v>-3.2741809263825417E-11</v>
      </c>
      <c r="F171" s="123">
        <f>+F170-'C7 Ejec. Prop 19-26'!F98</f>
        <v>0</v>
      </c>
      <c r="G171" s="123">
        <f>+G170-'C7 Ejec. Prop 19-26'!G98</f>
        <v>0</v>
      </c>
      <c r="H171" s="123">
        <f>+H170-'C7 Ejec. Prop 19-26'!H98</f>
        <v>0</v>
      </c>
      <c r="I171" s="123">
        <f>+I170-'C7 Ejec. Prop 19-26'!I98</f>
        <v>2.9103830456733704E-11</v>
      </c>
      <c r="J171" s="123">
        <f>+J170-'C7 Ejec. Prop 19-26'!J98</f>
        <v>5.8207660913467407E-11</v>
      </c>
      <c r="K171" s="123">
        <f>+K170-'C7 Ejec. Prop 19-26'!K98</f>
        <v>0</v>
      </c>
    </row>
    <row r="172" spans="1:11" x14ac:dyDescent="0.2">
      <c r="C172" s="1" t="s">
        <v>52</v>
      </c>
      <c r="D172" s="11"/>
      <c r="E172" s="11"/>
      <c r="F172" s="11"/>
      <c r="G172" s="11"/>
      <c r="H172" s="11"/>
    </row>
    <row r="173" spans="1:11" x14ac:dyDescent="0.2">
      <c r="B173" s="9"/>
      <c r="D173" s="11"/>
      <c r="E173" s="11"/>
      <c r="F173" s="11"/>
      <c r="G173" s="11"/>
      <c r="H173" s="11"/>
    </row>
    <row r="174" spans="1:11" x14ac:dyDescent="0.2">
      <c r="D174" s="11"/>
      <c r="E174" s="11"/>
      <c r="F174" s="11"/>
      <c r="G174" s="11"/>
      <c r="H174" s="11"/>
    </row>
    <row r="175" spans="1:11" x14ac:dyDescent="0.2">
      <c r="D175" s="11"/>
      <c r="E175" s="11"/>
      <c r="F175" s="11"/>
      <c r="G175" s="11"/>
      <c r="H175" s="11"/>
    </row>
    <row r="176" spans="1:11" ht="18" customHeight="1" x14ac:dyDescent="0.2">
      <c r="D176" s="160" t="s">
        <v>157</v>
      </c>
      <c r="E176" s="178"/>
      <c r="F176" s="178"/>
      <c r="G176" s="178"/>
      <c r="H176" s="178"/>
      <c r="I176" s="178"/>
      <c r="J176" s="178"/>
      <c r="K176" s="178"/>
    </row>
    <row r="177" spans="3:11" x14ac:dyDescent="0.2">
      <c r="D177" s="28"/>
      <c r="E177" s="28"/>
      <c r="F177" s="28"/>
      <c r="G177" s="28"/>
      <c r="H177" s="28"/>
    </row>
    <row r="178" spans="3:11" ht="0.75" customHeight="1" x14ac:dyDescent="0.2">
      <c r="D178" s="29"/>
      <c r="E178" s="29"/>
      <c r="F178" s="29"/>
      <c r="G178" s="29"/>
      <c r="H178" s="29"/>
    </row>
    <row r="179" spans="3:11" x14ac:dyDescent="0.2">
      <c r="C179" s="177" t="s">
        <v>120</v>
      </c>
      <c r="D179" s="153">
        <v>2019</v>
      </c>
      <c r="E179" s="153">
        <v>2020</v>
      </c>
      <c r="F179" s="153">
        <v>2021</v>
      </c>
      <c r="G179" s="153">
        <v>2022</v>
      </c>
      <c r="H179" s="153">
        <v>2023</v>
      </c>
      <c r="I179" s="153">
        <v>2024</v>
      </c>
      <c r="J179" s="153">
        <v>2025</v>
      </c>
      <c r="K179" s="153" t="s">
        <v>36</v>
      </c>
    </row>
    <row r="180" spans="3:11" ht="12" customHeight="1" thickBot="1" x14ac:dyDescent="0.25">
      <c r="C180" s="156"/>
      <c r="D180" s="154"/>
      <c r="E180" s="154"/>
      <c r="F180" s="154"/>
      <c r="G180" s="154"/>
      <c r="H180" s="154"/>
      <c r="I180" s="154"/>
      <c r="J180" s="154"/>
      <c r="K180" s="154"/>
    </row>
    <row r="181" spans="3:11" x14ac:dyDescent="0.2">
      <c r="C181" s="87" t="s">
        <v>123</v>
      </c>
      <c r="D181" s="47">
        <f t="shared" ref="D181:D211" si="9">+IFERROR(IF(D139&gt;0,+((D139/D14)*100),""),"0")</f>
        <v>71.623279004580041</v>
      </c>
      <c r="E181" s="47">
        <f t="shared" ref="E181:K190" si="10">+IFERROR(IF(E139&gt;0,+((E139/E14)*100)," "),"0")</f>
        <v>88.948786844435929</v>
      </c>
      <c r="F181" s="47">
        <f t="shared" si="10"/>
        <v>94.903818683107247</v>
      </c>
      <c r="G181" s="47">
        <f t="shared" si="10"/>
        <v>88.701318623753494</v>
      </c>
      <c r="H181" s="47">
        <f t="shared" si="10"/>
        <v>73.762851635186593</v>
      </c>
      <c r="I181" s="47">
        <f t="shared" si="10"/>
        <v>78.82656671836645</v>
      </c>
      <c r="J181" s="47">
        <f t="shared" si="10"/>
        <v>83.131979920218228</v>
      </c>
      <c r="K181" s="47">
        <f t="shared" si="10"/>
        <v>5.6479854622858241</v>
      </c>
    </row>
    <row r="182" spans="3:11" x14ac:dyDescent="0.2">
      <c r="C182" s="88" t="s">
        <v>124</v>
      </c>
      <c r="D182" s="116">
        <f t="shared" si="9"/>
        <v>94.334344926980137</v>
      </c>
      <c r="E182" s="116">
        <f t="shared" si="10"/>
        <v>91.330009037862013</v>
      </c>
      <c r="F182" s="116">
        <f t="shared" si="10"/>
        <v>84.732825067387523</v>
      </c>
      <c r="G182" s="116">
        <f t="shared" si="10"/>
        <v>84.669599989604009</v>
      </c>
      <c r="H182" s="116">
        <f t="shared" si="10"/>
        <v>81.20420890692246</v>
      </c>
      <c r="I182" s="116">
        <f t="shared" si="10"/>
        <v>80.762161985705575</v>
      </c>
      <c r="J182" s="116">
        <f t="shared" si="10"/>
        <v>91.461226372012774</v>
      </c>
      <c r="K182" s="116">
        <f t="shared" si="10"/>
        <v>35.946784767066944</v>
      </c>
    </row>
    <row r="183" spans="3:11" x14ac:dyDescent="0.2">
      <c r="C183" s="87" t="s">
        <v>125</v>
      </c>
      <c r="D183" s="47" t="str">
        <f t="shared" si="9"/>
        <v/>
      </c>
      <c r="E183" s="47" t="str">
        <f t="shared" si="10"/>
        <v xml:space="preserve"> </v>
      </c>
      <c r="F183" s="47" t="str">
        <f t="shared" si="10"/>
        <v xml:space="preserve"> </v>
      </c>
      <c r="G183" s="47" t="str">
        <f t="shared" si="10"/>
        <v xml:space="preserve"> </v>
      </c>
      <c r="H183" s="47" t="str">
        <f t="shared" si="10"/>
        <v xml:space="preserve"> </v>
      </c>
      <c r="I183" s="47" t="str">
        <f t="shared" si="10"/>
        <v xml:space="preserve"> </v>
      </c>
      <c r="J183" s="47" t="str">
        <f t="shared" si="10"/>
        <v xml:space="preserve"> </v>
      </c>
      <c r="K183" s="47" t="str">
        <f t="shared" si="10"/>
        <v xml:space="preserve"> </v>
      </c>
    </row>
    <row r="184" spans="3:11" x14ac:dyDescent="0.2">
      <c r="C184" s="88" t="s">
        <v>126</v>
      </c>
      <c r="D184" s="116">
        <f t="shared" si="9"/>
        <v>94.966124051802566</v>
      </c>
      <c r="E184" s="116">
        <f t="shared" si="10"/>
        <v>90.903978343851691</v>
      </c>
      <c r="F184" s="116">
        <f t="shared" si="10"/>
        <v>87.265226864075132</v>
      </c>
      <c r="G184" s="116">
        <f t="shared" si="10"/>
        <v>90.722619834234436</v>
      </c>
      <c r="H184" s="116">
        <f t="shared" si="10"/>
        <v>88.835453144095951</v>
      </c>
      <c r="I184" s="116">
        <f t="shared" si="10"/>
        <v>88.445695312859229</v>
      </c>
      <c r="J184" s="116">
        <f t="shared" si="10"/>
        <v>88.482279968909637</v>
      </c>
      <c r="K184" s="116">
        <f t="shared" si="10"/>
        <v>5.8492442879011728</v>
      </c>
    </row>
    <row r="185" spans="3:11" x14ac:dyDescent="0.2">
      <c r="C185" s="87" t="s">
        <v>127</v>
      </c>
      <c r="D185" s="47" t="str">
        <f t="shared" si="9"/>
        <v/>
      </c>
      <c r="E185" s="47" t="str">
        <f t="shared" si="10"/>
        <v xml:space="preserve"> </v>
      </c>
      <c r="F185" s="47" t="str">
        <f t="shared" si="10"/>
        <v xml:space="preserve"> </v>
      </c>
      <c r="G185" s="47" t="str">
        <f t="shared" si="10"/>
        <v xml:space="preserve"> </v>
      </c>
      <c r="H185" s="47" t="str">
        <f t="shared" si="10"/>
        <v xml:space="preserve"> </v>
      </c>
      <c r="I185" s="47" t="str">
        <f t="shared" si="10"/>
        <v xml:space="preserve"> </v>
      </c>
      <c r="J185" s="47" t="str">
        <f t="shared" si="10"/>
        <v xml:space="preserve"> </v>
      </c>
      <c r="K185" s="47" t="str">
        <f t="shared" si="10"/>
        <v xml:space="preserve"> </v>
      </c>
    </row>
    <row r="186" spans="3:11" x14ac:dyDescent="0.2">
      <c r="C186" s="88" t="s">
        <v>128</v>
      </c>
      <c r="D186" s="116">
        <f t="shared" si="9"/>
        <v>92.141774844339466</v>
      </c>
      <c r="E186" s="116">
        <f t="shared" si="10"/>
        <v>90.645734425950607</v>
      </c>
      <c r="F186" s="116">
        <f t="shared" si="10"/>
        <v>61.95539630938589</v>
      </c>
      <c r="G186" s="116">
        <f t="shared" si="10"/>
        <v>55.548724624006887</v>
      </c>
      <c r="H186" s="116">
        <f t="shared" si="10"/>
        <v>73.397239814052469</v>
      </c>
      <c r="I186" s="116">
        <f t="shared" si="10"/>
        <v>55.362626013660552</v>
      </c>
      <c r="J186" s="116">
        <f t="shared" si="10"/>
        <v>88.818952210015027</v>
      </c>
      <c r="K186" s="116">
        <f t="shared" si="10"/>
        <v>1.7177287452253529</v>
      </c>
    </row>
    <row r="187" spans="3:11" x14ac:dyDescent="0.2">
      <c r="C187" s="87" t="s">
        <v>129</v>
      </c>
      <c r="D187" s="47">
        <f t="shared" si="9"/>
        <v>92.080529538048197</v>
      </c>
      <c r="E187" s="47">
        <f t="shared" si="10"/>
        <v>95.46775408421766</v>
      </c>
      <c r="F187" s="47">
        <f t="shared" si="10"/>
        <v>74.382031376474728</v>
      </c>
      <c r="G187" s="47">
        <f t="shared" si="10"/>
        <v>88.812845523740307</v>
      </c>
      <c r="H187" s="47">
        <f t="shared" si="10"/>
        <v>84.940883370295879</v>
      </c>
      <c r="I187" s="47">
        <f t="shared" si="10"/>
        <v>85.407550274173531</v>
      </c>
      <c r="J187" s="47">
        <f t="shared" si="10"/>
        <v>93.998966897719072</v>
      </c>
      <c r="K187" s="47">
        <f t="shared" si="10"/>
        <v>6.7033395530461064</v>
      </c>
    </row>
    <row r="188" spans="3:11" x14ac:dyDescent="0.2">
      <c r="C188" s="88" t="s">
        <v>130</v>
      </c>
      <c r="D188" s="116" t="str">
        <f t="shared" si="9"/>
        <v/>
      </c>
      <c r="E188" s="116" t="str">
        <f t="shared" si="10"/>
        <v xml:space="preserve"> </v>
      </c>
      <c r="F188" s="116" t="str">
        <f t="shared" si="10"/>
        <v xml:space="preserve"> </v>
      </c>
      <c r="G188" s="116" t="str">
        <f t="shared" si="10"/>
        <v xml:space="preserve"> </v>
      </c>
      <c r="H188" s="116" t="str">
        <f t="shared" si="10"/>
        <v xml:space="preserve"> </v>
      </c>
      <c r="I188" s="116" t="str">
        <f t="shared" si="10"/>
        <v xml:space="preserve"> </v>
      </c>
      <c r="J188" s="116" t="str">
        <f t="shared" si="10"/>
        <v xml:space="preserve"> </v>
      </c>
      <c r="K188" s="116" t="str">
        <f t="shared" si="10"/>
        <v xml:space="preserve"> </v>
      </c>
    </row>
    <row r="189" spans="3:11" x14ac:dyDescent="0.2">
      <c r="C189" s="87" t="s">
        <v>131</v>
      </c>
      <c r="D189" s="47">
        <f t="shared" si="9"/>
        <v>83.46630387455248</v>
      </c>
      <c r="E189" s="47">
        <f t="shared" si="10"/>
        <v>65.683751930347128</v>
      </c>
      <c r="F189" s="47">
        <f t="shared" si="10"/>
        <v>66.836983767318401</v>
      </c>
      <c r="G189" s="47">
        <f t="shared" si="10"/>
        <v>71.587060493951284</v>
      </c>
      <c r="H189" s="47">
        <f t="shared" si="10"/>
        <v>76.083576271480041</v>
      </c>
      <c r="I189" s="47">
        <f t="shared" si="10"/>
        <v>76.887312017802927</v>
      </c>
      <c r="J189" s="47">
        <f t="shared" si="10"/>
        <v>72.033015984416693</v>
      </c>
      <c r="K189" s="47">
        <f t="shared" si="10"/>
        <v>3.7064338809729063</v>
      </c>
    </row>
    <row r="190" spans="3:11" x14ac:dyDescent="0.2">
      <c r="C190" s="88" t="s">
        <v>132</v>
      </c>
      <c r="D190" s="116">
        <f t="shared" si="9"/>
        <v>85.050742965668917</v>
      </c>
      <c r="E190" s="116">
        <f t="shared" si="10"/>
        <v>67.309730756216652</v>
      </c>
      <c r="F190" s="116">
        <f t="shared" si="10"/>
        <v>55.20305495074944</v>
      </c>
      <c r="G190" s="116">
        <f t="shared" si="10"/>
        <v>65.035178549979761</v>
      </c>
      <c r="H190" s="116">
        <f t="shared" si="10"/>
        <v>68.775195689736478</v>
      </c>
      <c r="I190" s="116">
        <f t="shared" si="10"/>
        <v>83.968715431824535</v>
      </c>
      <c r="J190" s="116">
        <f t="shared" si="10"/>
        <v>83.337039301668185</v>
      </c>
      <c r="K190" s="116">
        <f t="shared" si="10"/>
        <v>4.0763496482088701</v>
      </c>
    </row>
    <row r="191" spans="3:11" x14ac:dyDescent="0.2">
      <c r="C191" s="87" t="s">
        <v>133</v>
      </c>
      <c r="D191" s="47">
        <f t="shared" si="9"/>
        <v>83.825457908891536</v>
      </c>
      <c r="E191" s="47">
        <f t="shared" ref="E191:K200" si="11">+IFERROR(IF(E149&gt;0,+((E149/E24)*100)," "),"0")</f>
        <v>75.376781876334491</v>
      </c>
      <c r="F191" s="47">
        <f t="shared" si="11"/>
        <v>81.606173079795397</v>
      </c>
      <c r="G191" s="47">
        <f t="shared" si="11"/>
        <v>75.345930751822181</v>
      </c>
      <c r="H191" s="47">
        <f t="shared" si="11"/>
        <v>79.448678104943184</v>
      </c>
      <c r="I191" s="47">
        <f t="shared" si="11"/>
        <v>87.454453564967338</v>
      </c>
      <c r="J191" s="47">
        <f t="shared" si="11"/>
        <v>90.041905711646351</v>
      </c>
      <c r="K191" s="47">
        <f t="shared" si="11"/>
        <v>6.5755654268069392</v>
      </c>
    </row>
    <row r="192" spans="3:11" x14ac:dyDescent="0.2">
      <c r="C192" s="88" t="s">
        <v>134</v>
      </c>
      <c r="D192" s="116">
        <f t="shared" si="9"/>
        <v>88.963246675566069</v>
      </c>
      <c r="E192" s="116">
        <f t="shared" si="11"/>
        <v>84.388442389497527</v>
      </c>
      <c r="F192" s="116">
        <f t="shared" si="11"/>
        <v>77.115277043842795</v>
      </c>
      <c r="G192" s="116">
        <f t="shared" si="11"/>
        <v>88.954366604906056</v>
      </c>
      <c r="H192" s="116">
        <f t="shared" si="11"/>
        <v>85.932370593976032</v>
      </c>
      <c r="I192" s="116">
        <f t="shared" si="11"/>
        <v>76.663185097357513</v>
      </c>
      <c r="J192" s="116">
        <f t="shared" si="11"/>
        <v>88.532095040488471</v>
      </c>
      <c r="K192" s="116">
        <f t="shared" si="11"/>
        <v>6.8050895165419831</v>
      </c>
    </row>
    <row r="193" spans="3:11" x14ac:dyDescent="0.2">
      <c r="C193" s="87" t="s">
        <v>135</v>
      </c>
      <c r="D193" s="47" t="str">
        <f t="shared" si="9"/>
        <v/>
      </c>
      <c r="E193" s="47" t="str">
        <f t="shared" si="11"/>
        <v xml:space="preserve"> </v>
      </c>
      <c r="F193" s="47" t="str">
        <f t="shared" si="11"/>
        <v xml:space="preserve"> </v>
      </c>
      <c r="G193" s="47" t="str">
        <f t="shared" si="11"/>
        <v xml:space="preserve"> </v>
      </c>
      <c r="H193" s="47" t="str">
        <f t="shared" si="11"/>
        <v xml:space="preserve"> </v>
      </c>
      <c r="I193" s="47">
        <f t="shared" si="11"/>
        <v>87.675894697187758</v>
      </c>
      <c r="J193" s="47">
        <f t="shared" si="11"/>
        <v>95.530606307142236</v>
      </c>
      <c r="K193" s="47">
        <f t="shared" si="11"/>
        <v>7.0879096696413884</v>
      </c>
    </row>
    <row r="194" spans="3:11" x14ac:dyDescent="0.2">
      <c r="C194" s="88" t="s">
        <v>136</v>
      </c>
      <c r="D194" s="116">
        <f t="shared" si="9"/>
        <v>93.035994914301838</v>
      </c>
      <c r="E194" s="116">
        <f t="shared" si="11"/>
        <v>92.58810747113094</v>
      </c>
      <c r="F194" s="116">
        <f t="shared" si="11"/>
        <v>84.978297443306019</v>
      </c>
      <c r="G194" s="116">
        <f t="shared" si="11"/>
        <v>92.289905132882936</v>
      </c>
      <c r="H194" s="116">
        <f t="shared" si="11"/>
        <v>90.05962027877581</v>
      </c>
      <c r="I194" s="116">
        <f t="shared" si="11"/>
        <v>1.3009201506773245</v>
      </c>
      <c r="J194" s="116">
        <f t="shared" si="11"/>
        <v>86.041566397993037</v>
      </c>
      <c r="K194" s="116" t="str">
        <f t="shared" si="11"/>
        <v xml:space="preserve"> </v>
      </c>
    </row>
    <row r="195" spans="3:11" x14ac:dyDescent="0.2">
      <c r="C195" s="87" t="s">
        <v>137</v>
      </c>
      <c r="D195" s="47">
        <f t="shared" si="9"/>
        <v>61.565474023021871</v>
      </c>
      <c r="E195" s="47">
        <f t="shared" si="11"/>
        <v>72.974030608825331</v>
      </c>
      <c r="F195" s="47">
        <f t="shared" si="11"/>
        <v>53.304583753540768</v>
      </c>
      <c r="G195" s="47">
        <f t="shared" si="11"/>
        <v>32.141291791237435</v>
      </c>
      <c r="H195" s="47">
        <f t="shared" si="11"/>
        <v>22.270805580213544</v>
      </c>
      <c r="I195" s="47">
        <f t="shared" si="11"/>
        <v>66.008994918351178</v>
      </c>
      <c r="J195" s="47">
        <f t="shared" si="11"/>
        <v>70.553171797436249</v>
      </c>
      <c r="K195" s="47">
        <f t="shared" si="11"/>
        <v>5.1856800417873767</v>
      </c>
    </row>
    <row r="196" spans="3:11" x14ac:dyDescent="0.2">
      <c r="C196" s="88" t="s">
        <v>138</v>
      </c>
      <c r="D196" s="116" t="str">
        <f t="shared" si="9"/>
        <v/>
      </c>
      <c r="E196" s="116" t="str">
        <f t="shared" si="11"/>
        <v xml:space="preserve"> </v>
      </c>
      <c r="F196" s="116" t="str">
        <f t="shared" si="11"/>
        <v xml:space="preserve"> </v>
      </c>
      <c r="G196" s="116" t="str">
        <f t="shared" si="11"/>
        <v xml:space="preserve"> </v>
      </c>
      <c r="H196" s="116" t="str">
        <f t="shared" si="11"/>
        <v xml:space="preserve"> </v>
      </c>
      <c r="I196" s="116" t="str">
        <f t="shared" si="11"/>
        <v xml:space="preserve"> </v>
      </c>
      <c r="J196" s="116" t="str">
        <f t="shared" si="11"/>
        <v xml:space="preserve"> </v>
      </c>
      <c r="K196" s="116" t="str">
        <f t="shared" si="11"/>
        <v xml:space="preserve"> </v>
      </c>
    </row>
    <row r="197" spans="3:11" x14ac:dyDescent="0.2">
      <c r="C197" s="87" t="s">
        <v>160</v>
      </c>
      <c r="D197" s="47">
        <f t="shared" si="9"/>
        <v>79.049369598101933</v>
      </c>
      <c r="E197" s="47">
        <f t="shared" si="11"/>
        <v>46.544666557463714</v>
      </c>
      <c r="F197" s="47">
        <f t="shared" si="11"/>
        <v>81.201338003968388</v>
      </c>
      <c r="G197" s="47">
        <f t="shared" si="11"/>
        <v>66.924871578796328</v>
      </c>
      <c r="H197" s="47">
        <f t="shared" si="11"/>
        <v>80.724658285339757</v>
      </c>
      <c r="I197" s="47">
        <f t="shared" si="11"/>
        <v>79.908212582377203</v>
      </c>
      <c r="J197" s="47">
        <f t="shared" si="11"/>
        <v>73.925377635303136</v>
      </c>
      <c r="K197" s="47">
        <f t="shared" si="11"/>
        <v>5.646483740990309</v>
      </c>
    </row>
    <row r="198" spans="3:11" x14ac:dyDescent="0.2">
      <c r="C198" s="88" t="s">
        <v>161</v>
      </c>
      <c r="D198" s="116">
        <f t="shared" si="9"/>
        <v>89.098092540804998</v>
      </c>
      <c r="E198" s="116">
        <f t="shared" si="11"/>
        <v>86.614197019852995</v>
      </c>
      <c r="F198" s="116">
        <f t="shared" si="11"/>
        <v>77.290199807455608</v>
      </c>
      <c r="G198" s="116">
        <f t="shared" si="11"/>
        <v>73.583931550843886</v>
      </c>
      <c r="H198" s="116">
        <f t="shared" si="11"/>
        <v>54.533285778077733</v>
      </c>
      <c r="I198" s="116">
        <f t="shared" si="11"/>
        <v>71.705286276468954</v>
      </c>
      <c r="J198" s="116">
        <f t="shared" si="11"/>
        <v>83.308859858308153</v>
      </c>
      <c r="K198" s="116">
        <f t="shared" si="11"/>
        <v>4.5774434626554621</v>
      </c>
    </row>
    <row r="199" spans="3:11" x14ac:dyDescent="0.2">
      <c r="C199" s="87" t="s">
        <v>140</v>
      </c>
      <c r="D199" s="47">
        <f t="shared" si="9"/>
        <v>86.476187223922466</v>
      </c>
      <c r="E199" s="47">
        <f t="shared" si="11"/>
        <v>90.255539751842448</v>
      </c>
      <c r="F199" s="47">
        <f t="shared" si="11"/>
        <v>82.052997734505794</v>
      </c>
      <c r="G199" s="47">
        <f t="shared" si="11"/>
        <v>80.494362138508222</v>
      </c>
      <c r="H199" s="47">
        <f t="shared" si="11"/>
        <v>81.130206749422697</v>
      </c>
      <c r="I199" s="47">
        <f t="shared" si="11"/>
        <v>95.742011352116705</v>
      </c>
      <c r="J199" s="47">
        <f t="shared" si="11"/>
        <v>94.951451364829623</v>
      </c>
      <c r="K199" s="47">
        <f t="shared" si="11"/>
        <v>48.242798574829663</v>
      </c>
    </row>
    <row r="200" spans="3:11" x14ac:dyDescent="0.2">
      <c r="C200" s="88" t="s">
        <v>141</v>
      </c>
      <c r="D200" s="116">
        <f t="shared" si="9"/>
        <v>79.390823161094218</v>
      </c>
      <c r="E200" s="116">
        <f t="shared" si="11"/>
        <v>60.409535237691472</v>
      </c>
      <c r="F200" s="116">
        <f t="shared" si="11"/>
        <v>56.878484770122299</v>
      </c>
      <c r="G200" s="116">
        <f t="shared" si="11"/>
        <v>52.575072862152595</v>
      </c>
      <c r="H200" s="116">
        <f t="shared" si="11"/>
        <v>46.861551620716654</v>
      </c>
      <c r="I200" s="116">
        <f t="shared" si="11"/>
        <v>96.616160013859158</v>
      </c>
      <c r="J200" s="116">
        <f t="shared" si="11"/>
        <v>88.071609157129373</v>
      </c>
      <c r="K200" s="116">
        <f t="shared" si="11"/>
        <v>4.6976635461689318</v>
      </c>
    </row>
    <row r="201" spans="3:11" x14ac:dyDescent="0.2">
      <c r="C201" s="87" t="s">
        <v>142</v>
      </c>
      <c r="D201" s="47">
        <f t="shared" si="9"/>
        <v>93.448784289647364</v>
      </c>
      <c r="E201" s="47">
        <f t="shared" ref="E201:K210" si="12">+IFERROR(IF(E159&gt;0,+((E159/E34)*100)," "),"0")</f>
        <v>89.155297328457863</v>
      </c>
      <c r="F201" s="47">
        <f t="shared" si="12"/>
        <v>40.031188138507929</v>
      </c>
      <c r="G201" s="47">
        <f t="shared" si="12"/>
        <v>66.84276226738703</v>
      </c>
      <c r="H201" s="47">
        <f t="shared" si="12"/>
        <v>89.246440579437632</v>
      </c>
      <c r="I201" s="47">
        <f t="shared" si="12"/>
        <v>87.222774825987798</v>
      </c>
      <c r="J201" s="47">
        <f t="shared" si="12"/>
        <v>87.14867308668542</v>
      </c>
      <c r="K201" s="47">
        <f t="shared" si="12"/>
        <v>6.7862993208913478</v>
      </c>
    </row>
    <row r="202" spans="3:11" x14ac:dyDescent="0.2">
      <c r="C202" s="88" t="s">
        <v>143</v>
      </c>
      <c r="D202" s="116">
        <f t="shared" si="9"/>
        <v>52.544152794046241</v>
      </c>
      <c r="E202" s="116">
        <f t="shared" si="12"/>
        <v>24.324556812749833</v>
      </c>
      <c r="F202" s="116">
        <f t="shared" si="12"/>
        <v>35.086537670138675</v>
      </c>
      <c r="G202" s="116">
        <f t="shared" si="12"/>
        <v>53.551141238635893</v>
      </c>
      <c r="H202" s="116">
        <f t="shared" si="12"/>
        <v>7.8253599561365812</v>
      </c>
      <c r="I202" s="116">
        <f t="shared" si="12"/>
        <v>16.651080893497301</v>
      </c>
      <c r="J202" s="116">
        <f t="shared" si="12"/>
        <v>49.498392997229637</v>
      </c>
      <c r="K202" s="116">
        <f t="shared" si="12"/>
        <v>0.10884685210472819</v>
      </c>
    </row>
    <row r="203" spans="3:11" x14ac:dyDescent="0.2">
      <c r="C203" s="87" t="s">
        <v>144</v>
      </c>
      <c r="D203" s="47" t="str">
        <f t="shared" si="9"/>
        <v/>
      </c>
      <c r="E203" s="47" t="str">
        <f t="shared" si="12"/>
        <v xml:space="preserve"> </v>
      </c>
      <c r="F203" s="47" t="str">
        <f t="shared" si="12"/>
        <v xml:space="preserve"> </v>
      </c>
      <c r="G203" s="47" t="str">
        <f t="shared" si="12"/>
        <v xml:space="preserve"> </v>
      </c>
      <c r="H203" s="47" t="str">
        <f t="shared" si="12"/>
        <v xml:space="preserve"> </v>
      </c>
      <c r="I203" s="47" t="str">
        <f t="shared" si="12"/>
        <v xml:space="preserve"> </v>
      </c>
      <c r="J203" s="47" t="str">
        <f t="shared" si="12"/>
        <v xml:space="preserve"> </v>
      </c>
      <c r="K203" s="47" t="str">
        <f t="shared" si="12"/>
        <v xml:space="preserve"> </v>
      </c>
    </row>
    <row r="204" spans="3:11" x14ac:dyDescent="0.2">
      <c r="C204" s="88" t="s">
        <v>145</v>
      </c>
      <c r="D204" s="116">
        <f t="shared" si="9"/>
        <v>94.055843058367614</v>
      </c>
      <c r="E204" s="116">
        <f t="shared" si="12"/>
        <v>94.48439026420408</v>
      </c>
      <c r="F204" s="116">
        <f t="shared" si="12"/>
        <v>69.10952539939008</v>
      </c>
      <c r="G204" s="116">
        <f t="shared" si="12"/>
        <v>72.494147714224312</v>
      </c>
      <c r="H204" s="116">
        <f t="shared" si="12"/>
        <v>73.26832085620714</v>
      </c>
      <c r="I204" s="116">
        <f t="shared" si="12"/>
        <v>53.776348813812113</v>
      </c>
      <c r="J204" s="116">
        <f t="shared" si="12"/>
        <v>66.944969684160611</v>
      </c>
      <c r="K204" s="116">
        <f t="shared" si="12"/>
        <v>1.8614546381660653</v>
      </c>
    </row>
    <row r="205" spans="3:11" x14ac:dyDescent="0.2">
      <c r="C205" s="87" t="s">
        <v>146</v>
      </c>
      <c r="D205" s="47">
        <f t="shared" si="9"/>
        <v>96.566364280596076</v>
      </c>
      <c r="E205" s="47">
        <f t="shared" si="12"/>
        <v>63.000543185309056</v>
      </c>
      <c r="F205" s="47">
        <f t="shared" si="12"/>
        <v>95.962210600224608</v>
      </c>
      <c r="G205" s="47">
        <f t="shared" si="12"/>
        <v>94.467631600079642</v>
      </c>
      <c r="H205" s="47">
        <f t="shared" si="12"/>
        <v>90.384696905010713</v>
      </c>
      <c r="I205" s="47">
        <f t="shared" si="12"/>
        <v>92.395047743711956</v>
      </c>
      <c r="J205" s="47">
        <f t="shared" si="12"/>
        <v>89.62612891027608</v>
      </c>
      <c r="K205" s="47">
        <f t="shared" si="12"/>
        <v>17.913992346711417</v>
      </c>
    </row>
    <row r="206" spans="3:11" x14ac:dyDescent="0.2">
      <c r="C206" s="88" t="s">
        <v>162</v>
      </c>
      <c r="D206" s="116">
        <f t="shared" si="9"/>
        <v>88.604159938784605</v>
      </c>
      <c r="E206" s="116">
        <f t="shared" si="12"/>
        <v>87.624376598530404</v>
      </c>
      <c r="F206" s="116">
        <f t="shared" si="12"/>
        <v>83.087784450868611</v>
      </c>
      <c r="G206" s="116">
        <f t="shared" si="12"/>
        <v>83.106935158337919</v>
      </c>
      <c r="H206" s="116">
        <f t="shared" si="12"/>
        <v>83.268299227002061</v>
      </c>
      <c r="I206" s="116">
        <f t="shared" si="12"/>
        <v>84.054964784186737</v>
      </c>
      <c r="J206" s="116">
        <f t="shared" si="12"/>
        <v>88.345581885140987</v>
      </c>
      <c r="K206" s="116">
        <f t="shared" si="12"/>
        <v>5.7777533228957747</v>
      </c>
    </row>
    <row r="207" spans="3:11" x14ac:dyDescent="0.2">
      <c r="C207" s="87" t="s">
        <v>148</v>
      </c>
      <c r="D207" s="47" t="str">
        <f t="shared" si="9"/>
        <v/>
      </c>
      <c r="E207" s="47" t="str">
        <f t="shared" si="12"/>
        <v xml:space="preserve"> </v>
      </c>
      <c r="F207" s="47" t="str">
        <f t="shared" si="12"/>
        <v xml:space="preserve"> </v>
      </c>
      <c r="G207" s="47" t="str">
        <f t="shared" si="12"/>
        <v xml:space="preserve"> </v>
      </c>
      <c r="H207" s="47" t="str">
        <f t="shared" si="12"/>
        <v xml:space="preserve"> </v>
      </c>
      <c r="I207" s="47" t="str">
        <f t="shared" si="12"/>
        <v xml:space="preserve"> </v>
      </c>
      <c r="J207" s="47" t="str">
        <f t="shared" si="12"/>
        <v xml:space="preserve"> </v>
      </c>
      <c r="K207" s="47" t="str">
        <f t="shared" si="12"/>
        <v xml:space="preserve"> </v>
      </c>
    </row>
    <row r="208" spans="3:11" x14ac:dyDescent="0.2">
      <c r="C208" s="88" t="s">
        <v>149</v>
      </c>
      <c r="D208" s="116">
        <f t="shared" si="9"/>
        <v>89.523052455642798</v>
      </c>
      <c r="E208" s="116">
        <f t="shared" si="12"/>
        <v>94.444317304854124</v>
      </c>
      <c r="F208" s="116">
        <f t="shared" si="12"/>
        <v>79.697518179196464</v>
      </c>
      <c r="G208" s="116">
        <f t="shared" si="12"/>
        <v>80.480964933864414</v>
      </c>
      <c r="H208" s="116">
        <f t="shared" si="12"/>
        <v>91.531259033104234</v>
      </c>
      <c r="I208" s="116">
        <f t="shared" si="12"/>
        <v>83.151344091963438</v>
      </c>
      <c r="J208" s="116">
        <f t="shared" si="12"/>
        <v>71.992743647907929</v>
      </c>
      <c r="K208" s="116">
        <f t="shared" si="12"/>
        <v>13.748491402874762</v>
      </c>
    </row>
    <row r="209" spans="1:11" x14ac:dyDescent="0.2">
      <c r="C209" s="87" t="s">
        <v>163</v>
      </c>
      <c r="D209" s="47">
        <f t="shared" si="9"/>
        <v>87.270515717403427</v>
      </c>
      <c r="E209" s="47">
        <f t="shared" si="12"/>
        <v>90.595882222460901</v>
      </c>
      <c r="F209" s="47">
        <f t="shared" si="12"/>
        <v>88.890757377441858</v>
      </c>
      <c r="G209" s="47">
        <f t="shared" si="12"/>
        <v>93.113723087075968</v>
      </c>
      <c r="H209" s="47">
        <f t="shared" si="12"/>
        <v>91.907932992861291</v>
      </c>
      <c r="I209" s="47">
        <f t="shared" si="12"/>
        <v>90.704262151569139</v>
      </c>
      <c r="J209" s="47">
        <f t="shared" si="12"/>
        <v>87.256640569871919</v>
      </c>
      <c r="K209" s="47">
        <f t="shared" si="12"/>
        <v>5.9392030052307669</v>
      </c>
    </row>
    <row r="210" spans="1:11" x14ac:dyDescent="0.2">
      <c r="C210" s="88" t="s">
        <v>150</v>
      </c>
      <c r="D210" s="116">
        <f t="shared" si="9"/>
        <v>76.262397240165157</v>
      </c>
      <c r="E210" s="116">
        <f t="shared" si="12"/>
        <v>71.975222090810647</v>
      </c>
      <c r="F210" s="116">
        <f t="shared" si="12"/>
        <v>65.147873613847409</v>
      </c>
      <c r="G210" s="116">
        <f t="shared" si="12"/>
        <v>55.878510372112764</v>
      </c>
      <c r="H210" s="116">
        <f t="shared" si="12"/>
        <v>53.15352262017975</v>
      </c>
      <c r="I210" s="116">
        <f t="shared" si="12"/>
        <v>57.131744268121977</v>
      </c>
      <c r="J210" s="116">
        <f t="shared" si="12"/>
        <v>63.460301125560633</v>
      </c>
      <c r="K210" s="116">
        <f t="shared" si="12"/>
        <v>8.4047804771357733</v>
      </c>
    </row>
    <row r="211" spans="1:11" x14ac:dyDescent="0.2">
      <c r="C211" s="87" t="s">
        <v>151</v>
      </c>
      <c r="D211" s="47" t="str">
        <f t="shared" si="9"/>
        <v/>
      </c>
      <c r="E211" s="47" t="str">
        <f t="shared" ref="E211:K211" si="13">+IFERROR(IF(E169&gt;0,+((E169/E44)*100)," "),"0")</f>
        <v xml:space="preserve"> </v>
      </c>
      <c r="F211" s="47" t="str">
        <f t="shared" si="13"/>
        <v xml:space="preserve"> </v>
      </c>
      <c r="G211" s="47" t="str">
        <f t="shared" si="13"/>
        <v xml:space="preserve"> </v>
      </c>
      <c r="H211" s="47" t="str">
        <f t="shared" si="13"/>
        <v xml:space="preserve"> </v>
      </c>
      <c r="I211" s="47" t="str">
        <f t="shared" si="13"/>
        <v xml:space="preserve"> </v>
      </c>
      <c r="J211" s="47" t="str">
        <f t="shared" si="13"/>
        <v xml:space="preserve"> </v>
      </c>
      <c r="K211" s="47" t="str">
        <f t="shared" si="13"/>
        <v xml:space="preserve"> </v>
      </c>
    </row>
    <row r="212" spans="1:11" x14ac:dyDescent="0.2">
      <c r="C212" s="91" t="s">
        <v>154</v>
      </c>
      <c r="D212" s="74">
        <f t="shared" ref="D212:K212" si="14">+IFERROR(IF(D170&gt;0,+((D170/D45)*100)," "),"")</f>
        <v>87.20053822451483</v>
      </c>
      <c r="E212" s="74">
        <f t="shared" si="14"/>
        <v>86.408679619437123</v>
      </c>
      <c r="F212" s="74">
        <f t="shared" si="14"/>
        <v>75.940409945614888</v>
      </c>
      <c r="G212" s="74">
        <f t="shared" si="14"/>
        <v>79.545294240649923</v>
      </c>
      <c r="H212" s="74">
        <f t="shared" si="14"/>
        <v>79.188538065649254</v>
      </c>
      <c r="I212" s="74">
        <f t="shared" si="14"/>
        <v>82.101128618604193</v>
      </c>
      <c r="J212" s="74">
        <f t="shared" si="14"/>
        <v>84.497214983176889</v>
      </c>
      <c r="K212" s="74">
        <f t="shared" si="14"/>
        <v>12.625485978934464</v>
      </c>
    </row>
    <row r="213" spans="1:11" s="31" customFormat="1" x14ac:dyDescent="0.2">
      <c r="A213" s="5"/>
      <c r="B213" s="5"/>
      <c r="C213" s="72" t="str">
        <f>+'C1 Aprop Resumen 2000-2026'!B20</f>
        <v>* Información con corte a 28 de febrero</v>
      </c>
      <c r="D213" s="69"/>
      <c r="E213" s="69"/>
      <c r="F213" s="69"/>
      <c r="G213" s="69"/>
      <c r="H213" s="69"/>
      <c r="I213" s="69"/>
    </row>
    <row r="214" spans="1:11" x14ac:dyDescent="0.2">
      <c r="C214" s="1" t="s">
        <v>52</v>
      </c>
      <c r="D214" s="11"/>
      <c r="E214" s="11"/>
      <c r="F214" s="11"/>
      <c r="G214" s="11"/>
      <c r="H214" s="11"/>
    </row>
    <row r="215" spans="1:11" x14ac:dyDescent="0.2">
      <c r="E215" s="3"/>
      <c r="F215" s="3"/>
      <c r="G215" s="3"/>
      <c r="H215" s="3"/>
    </row>
    <row r="216" spans="1:11" x14ac:dyDescent="0.2">
      <c r="E216" s="3"/>
      <c r="F216" s="3"/>
      <c r="G216" s="3"/>
      <c r="H216" s="3"/>
    </row>
    <row r="217" spans="1:11" x14ac:dyDescent="0.2">
      <c r="E217" s="3"/>
      <c r="F217" s="3"/>
      <c r="G217" s="3"/>
      <c r="H217" s="3"/>
    </row>
    <row r="218" spans="1:11" ht="18" customHeight="1" x14ac:dyDescent="0.2">
      <c r="D218" s="160" t="s">
        <v>158</v>
      </c>
      <c r="E218" s="178"/>
      <c r="F218" s="178"/>
      <c r="G218" s="178"/>
      <c r="H218" s="178"/>
      <c r="I218" s="178"/>
      <c r="J218" s="178"/>
      <c r="K218" s="178"/>
    </row>
    <row r="219" spans="1:11" ht="15.75" customHeight="1" x14ac:dyDescent="0.2">
      <c r="C219" s="2"/>
      <c r="D219" s="2"/>
      <c r="E219" s="2"/>
      <c r="F219" s="2"/>
      <c r="G219" s="2"/>
      <c r="H219" s="2"/>
      <c r="I219" s="2"/>
    </row>
    <row r="220" spans="1:11" x14ac:dyDescent="0.2">
      <c r="C220" s="177" t="s">
        <v>120</v>
      </c>
      <c r="D220" s="153">
        <v>2019</v>
      </c>
      <c r="E220" s="153">
        <v>2020</v>
      </c>
      <c r="F220" s="153">
        <v>2021</v>
      </c>
      <c r="G220" s="153">
        <v>2022</v>
      </c>
      <c r="H220" s="153">
        <v>2023</v>
      </c>
      <c r="I220" s="153">
        <v>2024</v>
      </c>
      <c r="J220" s="153">
        <v>2025</v>
      </c>
      <c r="K220" s="153" t="s">
        <v>36</v>
      </c>
    </row>
    <row r="221" spans="1:11" ht="12" customHeight="1" thickBot="1" x14ac:dyDescent="0.25">
      <c r="C221" s="156"/>
      <c r="D221" s="154"/>
      <c r="E221" s="154"/>
      <c r="F221" s="154"/>
      <c r="G221" s="154"/>
      <c r="H221" s="154"/>
      <c r="I221" s="154"/>
      <c r="J221" s="154"/>
      <c r="K221" s="154"/>
    </row>
    <row r="222" spans="1:11" x14ac:dyDescent="0.2">
      <c r="C222" s="87" t="s">
        <v>123</v>
      </c>
      <c r="D222" s="42">
        <f>47.04287889152*Deflactores!$T$5</f>
        <v>71.180698212205883</v>
      </c>
      <c r="E222" s="42">
        <f>83.16287019781*Deflactores!$U$5</f>
        <v>123.8401218219565</v>
      </c>
      <c r="F222" s="42">
        <f>85.7415511326*Deflactores!$V$5</f>
        <v>120.88629678611082</v>
      </c>
      <c r="G222" s="42">
        <f>67.44785075045*Deflactores!$W$5</f>
        <v>84.064852736323886</v>
      </c>
      <c r="H222" s="42">
        <f>50.8432701442399*Deflactores!$X$5</f>
        <v>57.988133583478245</v>
      </c>
      <c r="I222" s="42">
        <f>83.70171116223*Deflactores!$Y$5</f>
        <v>90.745323185124988</v>
      </c>
      <c r="J222" s="42">
        <f>97.30148735229*Deflactores!$Z$5</f>
        <v>100.37063644753505</v>
      </c>
      <c r="K222" s="42">
        <f>3.032468463*Deflactores!$AA$5</f>
        <v>3.0324684629999998</v>
      </c>
    </row>
    <row r="223" spans="1:11" x14ac:dyDescent="0.2">
      <c r="C223" s="88" t="s">
        <v>124</v>
      </c>
      <c r="D223" s="50">
        <f>119.08895152514*Deflactores!$T$5</f>
        <v>180.19379167815026</v>
      </c>
      <c r="E223" s="50">
        <f>134.57995443697*Deflactores!$U$5</f>
        <v>200.40671891945613</v>
      </c>
      <c r="F223" s="50">
        <f>167.68443572062*Deflactores!$V$5</f>
        <v>236.41688533935564</v>
      </c>
      <c r="G223" s="50">
        <f>200.85603072802*Deflactores!$W$5</f>
        <v>250.34055876481568</v>
      </c>
      <c r="H223" s="50">
        <f>204.45975726587*Deflactores!$X$5</f>
        <v>233.19191867759935</v>
      </c>
      <c r="I223" s="50">
        <f>221.93537707853*Deflactores!$Y$5</f>
        <v>240.61153875539503</v>
      </c>
      <c r="J223" s="50">
        <f>243.70465191115*Deflactores!$Z$5</f>
        <v>251.39174829860838</v>
      </c>
      <c r="K223" s="50">
        <f>106.09472525181*Deflactores!$AA$5</f>
        <v>106.09472525181</v>
      </c>
    </row>
    <row r="224" spans="1:11" x14ac:dyDescent="0.2">
      <c r="C224" s="87" t="s">
        <v>125</v>
      </c>
      <c r="D224" s="42">
        <f>0*Deflactores!$T$5</f>
        <v>0</v>
      </c>
      <c r="E224" s="42">
        <f>0*Deflactores!$U$5</f>
        <v>0</v>
      </c>
      <c r="F224" s="42">
        <f>0*Deflactores!$V$5</f>
        <v>0</v>
      </c>
      <c r="G224" s="42">
        <f>0*Deflactores!$W$5</f>
        <v>0</v>
      </c>
      <c r="H224" s="42">
        <f>0*Deflactores!$X$5</f>
        <v>0</v>
      </c>
      <c r="I224" s="42">
        <f>0*Deflactores!$Y$5</f>
        <v>0</v>
      </c>
      <c r="J224" s="42">
        <f>0*Deflactores!$Z$5</f>
        <v>0</v>
      </c>
      <c r="K224" s="42">
        <f>0*Deflactores!$AA$5</f>
        <v>0</v>
      </c>
    </row>
    <row r="225" spans="3:11" x14ac:dyDescent="0.2">
      <c r="C225" s="88" t="s">
        <v>126</v>
      </c>
      <c r="D225" s="50">
        <f>324.208885192899*Deflactores!$T$5</f>
        <v>490.56127852735244</v>
      </c>
      <c r="E225" s="50">
        <f>331.11232960092*Deflactores!$U$5</f>
        <v>493.06849483424361</v>
      </c>
      <c r="F225" s="50">
        <f>364.35573398554*Deflactores!$V$5</f>
        <v>513.70210606734111</v>
      </c>
      <c r="G225" s="50">
        <f>395.18000721132*Deflactores!$W$5</f>
        <v>492.53977318672952</v>
      </c>
      <c r="H225" s="50">
        <f>424.98625075621*Deflactores!$X$5</f>
        <v>484.70838736529726</v>
      </c>
      <c r="I225" s="50">
        <f>423.26204099433*Deflactores!$Y$5</f>
        <v>458.88011330595111</v>
      </c>
      <c r="J225" s="50">
        <f>465.107812579189*Deflactores!$Z$5</f>
        <v>479.77855668611579</v>
      </c>
      <c r="K225" s="50">
        <f>33.5677184379899*Deflactores!$AA$5</f>
        <v>33.567718437989903</v>
      </c>
    </row>
    <row r="226" spans="3:11" x14ac:dyDescent="0.2">
      <c r="C226" s="87" t="s">
        <v>127</v>
      </c>
      <c r="D226" s="42">
        <f>0*Deflactores!$T$5</f>
        <v>0</v>
      </c>
      <c r="E226" s="42">
        <f>0*Deflactores!$U$5</f>
        <v>0</v>
      </c>
      <c r="F226" s="42">
        <f>0*Deflactores!$V$5</f>
        <v>0</v>
      </c>
      <c r="G226" s="42">
        <f>0*Deflactores!$W$5</f>
        <v>0</v>
      </c>
      <c r="H226" s="42">
        <f>0*Deflactores!$X$5</f>
        <v>0</v>
      </c>
      <c r="I226" s="42">
        <f>0*Deflactores!$Y$5</f>
        <v>0</v>
      </c>
      <c r="J226" s="42">
        <f>0*Deflactores!$Z$5</f>
        <v>0</v>
      </c>
      <c r="K226" s="42">
        <f>0*Deflactores!$AA$5</f>
        <v>0</v>
      </c>
    </row>
    <row r="227" spans="3:11" x14ac:dyDescent="0.2">
      <c r="C227" s="88" t="s">
        <v>128</v>
      </c>
      <c r="D227" s="50">
        <f>9.28540520616*Deflactores!$T$5</f>
        <v>14.04976994035249</v>
      </c>
      <c r="E227" s="50">
        <f>10.10470917212*Deflactores!$U$5</f>
        <v>15.047200894753816</v>
      </c>
      <c r="F227" s="50">
        <f>9.96112853679*Deflactores!$V$5</f>
        <v>14.044111923759631</v>
      </c>
      <c r="G227" s="50">
        <f>12.80936869458*Deflactores!$W$5</f>
        <v>15.965189119802467</v>
      </c>
      <c r="H227" s="50">
        <f>11.0427388461699*Deflactores!$X$5</f>
        <v>12.594544243958518</v>
      </c>
      <c r="I227" s="50">
        <f>9.61580464812*Deflactores!$Y$5</f>
        <v>10.424987594189449</v>
      </c>
      <c r="J227" s="50">
        <f>17.03901063849*Deflactores!$Z$5</f>
        <v>17.576466596338335</v>
      </c>
      <c r="K227" s="50">
        <f>0.3194943226*Deflactores!$AA$5</f>
        <v>0.31949432259999999</v>
      </c>
    </row>
    <row r="228" spans="3:11" x14ac:dyDescent="0.2">
      <c r="C228" s="87" t="s">
        <v>129</v>
      </c>
      <c r="D228" s="42">
        <f>1842.44130144725*Deflactores!$T$5</f>
        <v>2787.8025610303607</v>
      </c>
      <c r="E228" s="42">
        <f>1694.39016682*Deflactores!$U$5</f>
        <v>2523.1630915792966</v>
      </c>
      <c r="F228" s="42">
        <f>1684.78500428361*Deflactores!$V$5</f>
        <v>2375.3643053837945</v>
      </c>
      <c r="G228" s="42">
        <f>2405.27241792815*Deflactores!$W$5</f>
        <v>2997.854925755697</v>
      </c>
      <c r="H228" s="42">
        <f>2146.74523871694*Deflactores!$X$5</f>
        <v>2448.4213804354786</v>
      </c>
      <c r="I228" s="42">
        <f>2316.64109589137*Deflactores!$Y$5</f>
        <v>2511.5895724419456</v>
      </c>
      <c r="J228" s="42">
        <f>2438.90514701402*Deflactores!$Z$5</f>
        <v>2515.8347369826197</v>
      </c>
      <c r="K228" s="42">
        <f>162.63531309744*Deflactores!$AA$5</f>
        <v>162.63531309743999</v>
      </c>
    </row>
    <row r="229" spans="3:11" x14ac:dyDescent="0.2">
      <c r="C229" s="88" t="s">
        <v>130</v>
      </c>
      <c r="D229" s="50">
        <f>0*Deflactores!$T$5</f>
        <v>0</v>
      </c>
      <c r="E229" s="50">
        <f>0*Deflactores!$U$5</f>
        <v>0</v>
      </c>
      <c r="F229" s="50">
        <f>0*Deflactores!$V$5</f>
        <v>0</v>
      </c>
      <c r="G229" s="50">
        <f>0*Deflactores!$W$5</f>
        <v>0</v>
      </c>
      <c r="H229" s="50">
        <f>0*Deflactores!$X$5</f>
        <v>0</v>
      </c>
      <c r="I229" s="50">
        <f>0*Deflactores!$Y$5</f>
        <v>0</v>
      </c>
      <c r="J229" s="50">
        <f>0*Deflactores!$Z$5</f>
        <v>0</v>
      </c>
      <c r="K229" s="50">
        <f>0*Deflactores!$AA$5</f>
        <v>0</v>
      </c>
    </row>
    <row r="230" spans="3:11" x14ac:dyDescent="0.2">
      <c r="C230" s="87" t="s">
        <v>131</v>
      </c>
      <c r="D230" s="42">
        <f>19.89355809348*Deflactores!$T$5</f>
        <v>30.100992719521727</v>
      </c>
      <c r="E230" s="42">
        <f>16.09597709657*Deflactores!$U$5</f>
        <v>23.968963068991606</v>
      </c>
      <c r="F230" s="42">
        <f>18.5509067745999*Deflactores!$V$5</f>
        <v>26.154768515181573</v>
      </c>
      <c r="G230" s="42">
        <f>22.90962665413*Deflactores!$W$5</f>
        <v>28.553828913677428</v>
      </c>
      <c r="H230" s="42">
        <f>29.93287088091*Deflactores!$X$5</f>
        <v>34.139254030178876</v>
      </c>
      <c r="I230" s="42">
        <f>37.8150805181099*Deflactores!$Y$5</f>
        <v>40.997270608200822</v>
      </c>
      <c r="J230" s="42">
        <f>42.5204241624099*Deflactores!$Z$5</f>
        <v>43.861632040096318</v>
      </c>
      <c r="K230" s="42">
        <f>2.84103345113*Deflactores!$AA$5</f>
        <v>2.8410334511299999</v>
      </c>
    </row>
    <row r="231" spans="3:11" x14ac:dyDescent="0.2">
      <c r="C231" s="88" t="s">
        <v>132</v>
      </c>
      <c r="D231" s="50">
        <f>300.913184625479*Deflactores!$T$5</f>
        <v>455.31249548507253</v>
      </c>
      <c r="E231" s="50">
        <f>190.43597631758*Deflactores!$U$5</f>
        <v>283.58346038751057</v>
      </c>
      <c r="F231" s="50">
        <f>240.38502537422*Deflactores!$V$5</f>
        <v>338.91683946076932</v>
      </c>
      <c r="G231" s="50">
        <f>293.31150283918*Deflactores!$W$5</f>
        <v>365.57411418896845</v>
      </c>
      <c r="H231" s="50">
        <f>347.5187612029*Deflactores!$X$5</f>
        <v>396.35460681872928</v>
      </c>
      <c r="I231" s="50">
        <f>424.31521621453*Deflactores!$Y$5</f>
        <v>460.02191464311113</v>
      </c>
      <c r="J231" s="50">
        <f>453.48318144046*Deflactores!$Z$5</f>
        <v>467.78725359701042</v>
      </c>
      <c r="K231" s="50">
        <f>22.98148126436*Deflactores!$AA$5</f>
        <v>22.981481264359999</v>
      </c>
    </row>
    <row r="232" spans="3:11" x14ac:dyDescent="0.2">
      <c r="C232" s="87" t="s">
        <v>133</v>
      </c>
      <c r="D232" s="42">
        <f>39.9936900255399*Deflactores!$T$5</f>
        <v>60.514552833067107</v>
      </c>
      <c r="E232" s="42">
        <f>37.67520897296*Deflactores!$U$5</f>
        <v>56.103191938677234</v>
      </c>
      <c r="F232" s="42">
        <f>79.42526686462*Deflactores!$V$5</f>
        <v>111.98102035340864</v>
      </c>
      <c r="G232" s="42">
        <f>33.98189991703*Deflactores!$W$5</f>
        <v>42.353957619717995</v>
      </c>
      <c r="H232" s="42">
        <f>47.02711145243*Deflactores!$X$5</f>
        <v>53.635700717365786</v>
      </c>
      <c r="I232" s="42">
        <f>42.19948008393*Deflactores!$Y$5</f>
        <v>45.75062331806275</v>
      </c>
      <c r="J232" s="42">
        <f>37.32047077296*Deflactores!$Z$5</f>
        <v>38.497658216069048</v>
      </c>
      <c r="K232" s="42">
        <f>1.822943345*Deflactores!$AA$5</f>
        <v>1.8229433450000001</v>
      </c>
    </row>
    <row r="233" spans="3:11" x14ac:dyDescent="0.2">
      <c r="C233" s="88" t="s">
        <v>134</v>
      </c>
      <c r="D233" s="50">
        <f>220.254156904269*Deflactores!$T$5</f>
        <v>333.26711804223191</v>
      </c>
      <c r="E233" s="50">
        <f>245.07458892639*Deflactores!$U$5</f>
        <v>364.94732415944543</v>
      </c>
      <c r="F233" s="50">
        <f>262.468781359329*Deflactores!$V$5</f>
        <v>370.05254256974791</v>
      </c>
      <c r="G233" s="50">
        <f>318.32212297622*Deflactores!$W$5</f>
        <v>396.74655445609409</v>
      </c>
      <c r="H233" s="50">
        <f>343.46095039343*Deflactores!$X$5</f>
        <v>391.72656313451148</v>
      </c>
      <c r="I233" s="50">
        <f>365.01244173838*Deflactores!$Y$5</f>
        <v>395.72873161388333</v>
      </c>
      <c r="J233" s="50">
        <f>379.92950580542*Deflactores!$Z$5</f>
        <v>391.91349834993025</v>
      </c>
      <c r="K233" s="50">
        <f>40.71295539205*Deflactores!$AA$5</f>
        <v>40.712955392049999</v>
      </c>
    </row>
    <row r="234" spans="3:11" x14ac:dyDescent="0.2">
      <c r="C234" s="87" t="s">
        <v>135</v>
      </c>
      <c r="D234" s="42">
        <f>0*Deflactores!$T$5</f>
        <v>0</v>
      </c>
      <c r="E234" s="42">
        <f>0*Deflactores!$U$5</f>
        <v>0</v>
      </c>
      <c r="F234" s="42">
        <f>0*Deflactores!$V$5</f>
        <v>0</v>
      </c>
      <c r="G234" s="42">
        <f>0*Deflactores!$W$5</f>
        <v>0</v>
      </c>
      <c r="H234" s="42">
        <f>0*Deflactores!$X$5</f>
        <v>0</v>
      </c>
      <c r="I234" s="42">
        <f>3769.5021705729*Deflactores!$Y$5</f>
        <v>4086.7108684633799</v>
      </c>
      <c r="J234" s="42">
        <f>4180.70057208256*Deflactores!$Z$5</f>
        <v>4312.5710473183699</v>
      </c>
      <c r="K234" s="42">
        <f>328.51447494274*Deflactores!$AA$5</f>
        <v>328.51447494273998</v>
      </c>
    </row>
    <row r="235" spans="3:11" x14ac:dyDescent="0.2">
      <c r="C235" s="88" t="s">
        <v>136</v>
      </c>
      <c r="D235" s="50">
        <f>2399.65100420614*Deflactores!$T$5</f>
        <v>3630.9179618640269</v>
      </c>
      <c r="E235" s="50">
        <f>2348.60680257425*Deflactores!$U$5</f>
        <v>3497.3751128460949</v>
      </c>
      <c r="F235" s="50">
        <f>2495.5347253631*Deflactores!$V$5</f>
        <v>3518.4335653520538</v>
      </c>
      <c r="G235" s="50">
        <f>2902.27205544258*Deflactores!$W$5</f>
        <v>3617.2994428573506</v>
      </c>
      <c r="H235" s="50">
        <f>3438.89025333179*Deflactores!$X$5</f>
        <v>3922.1479425574903</v>
      </c>
      <c r="I235" s="50">
        <f>0.83410458289*Deflactores!$Y$5</f>
        <v>0.90429560989312452</v>
      </c>
      <c r="J235" s="50">
        <f>31.62720305825*Deflactores!$Z$5</f>
        <v>32.62480961384059</v>
      </c>
      <c r="K235" s="50">
        <f>0*Deflactores!$AA$5</f>
        <v>0</v>
      </c>
    </row>
    <row r="236" spans="3:11" x14ac:dyDescent="0.2">
      <c r="C236" s="87" t="s">
        <v>137</v>
      </c>
      <c r="D236" s="42">
        <f>27.5338719147799*Deflactores!$T$5</f>
        <v>41.661570753331802</v>
      </c>
      <c r="E236" s="42">
        <f>27.67561214605*Deflactores!$U$5</f>
        <v>41.21251673387178</v>
      </c>
      <c r="F236" s="42">
        <f>55.4399327904199*Deflactores!$V$5</f>
        <v>78.164298179539017</v>
      </c>
      <c r="G236" s="42">
        <f>31.34284590821*Deflactores!$W$5</f>
        <v>39.064724765798204</v>
      </c>
      <c r="H236" s="42">
        <f>11.82195870426*Deflactores!$X$5</f>
        <v>13.483265702937032</v>
      </c>
      <c r="I236" s="42">
        <f>43.30530063568*Deflactores!$Y$5</f>
        <v>46.949500162513552</v>
      </c>
      <c r="J236" s="42">
        <f>43.32607957355*Deflactores!$Z$5</f>
        <v>44.692699977226141</v>
      </c>
      <c r="K236" s="42">
        <f>3.50521932298*Deflactores!$AA$5</f>
        <v>3.5052193229799999</v>
      </c>
    </row>
    <row r="237" spans="3:11" x14ac:dyDescent="0.2">
      <c r="C237" s="88" t="s">
        <v>138</v>
      </c>
      <c r="D237" s="50">
        <f>0*Deflactores!$T$5</f>
        <v>0</v>
      </c>
      <c r="E237" s="50">
        <f>0*Deflactores!$U$5</f>
        <v>0</v>
      </c>
      <c r="F237" s="50">
        <f>0*Deflactores!$V$5</f>
        <v>0</v>
      </c>
      <c r="G237" s="50">
        <f>0*Deflactores!$W$5</f>
        <v>0</v>
      </c>
      <c r="H237" s="50">
        <f>0*Deflactores!$X$5</f>
        <v>0</v>
      </c>
      <c r="I237" s="50">
        <f>0*Deflactores!$Y$5</f>
        <v>0</v>
      </c>
      <c r="J237" s="50">
        <f>0*Deflactores!$Z$5</f>
        <v>0</v>
      </c>
      <c r="K237" s="50">
        <f>0*Deflactores!$AA$5</f>
        <v>0</v>
      </c>
    </row>
    <row r="238" spans="3:11" x14ac:dyDescent="0.2">
      <c r="C238" s="87" t="s">
        <v>160</v>
      </c>
      <c r="D238" s="42">
        <f>80.4385918922399*Deflactores!$T$5</f>
        <v>121.71183543633926</v>
      </c>
      <c r="E238" s="42">
        <f>54.02429625702*Deflactores!$U$5</f>
        <v>80.449068363095165</v>
      </c>
      <c r="F238" s="42">
        <f>106.49085893182*Deflactores!$V$5</f>
        <v>150.14057254377417</v>
      </c>
      <c r="G238" s="42">
        <f>109.88018076664*Deflactores!$W$5</f>
        <v>136.95115725724753</v>
      </c>
      <c r="H238" s="42">
        <f>140.13500993934*Deflactores!$X$5</f>
        <v>159.82779339391337</v>
      </c>
      <c r="I238" s="42">
        <f>182.96925315366*Deflactores!$Y$5</f>
        <v>198.36636288341646</v>
      </c>
      <c r="J238" s="42">
        <f>160.82773407621*Deflactores!$Z$5</f>
        <v>165.90067086229598</v>
      </c>
      <c r="K238" s="42">
        <f>9.26179631151*Deflactores!$AA$5</f>
        <v>9.2617963115100004</v>
      </c>
    </row>
    <row r="239" spans="3:11" x14ac:dyDescent="0.2">
      <c r="C239" s="88" t="s">
        <v>161</v>
      </c>
      <c r="D239" s="50">
        <f>387.977197497639*Deflactores!$T$5</f>
        <v>587.04927204774071</v>
      </c>
      <c r="E239" s="50">
        <f>413.482726998609*Deflactores!$U$5</f>
        <v>615.72852357049806</v>
      </c>
      <c r="F239" s="50">
        <f>418.99247860268*Deflactores!$V$5</f>
        <v>590.73399594999671</v>
      </c>
      <c r="G239" s="50">
        <f>509.42421444549*Deflactores!$W$5</f>
        <v>634.93011402430614</v>
      </c>
      <c r="H239" s="50">
        <f>582.99483978978*Deflactores!$X$5</f>
        <v>664.92148424560526</v>
      </c>
      <c r="I239" s="50">
        <f>642.48950683703*Deflactores!$Y$5</f>
        <v>696.55586643832885</v>
      </c>
      <c r="J239" s="50">
        <f>693.36450709543*Deflactores!$Z$5</f>
        <v>715.23507770574543</v>
      </c>
      <c r="K239" s="50">
        <f>39.16823616353*Deflactores!$AA$5</f>
        <v>39.168236163529997</v>
      </c>
    </row>
    <row r="240" spans="3:11" x14ac:dyDescent="0.2">
      <c r="C240" s="87" t="s">
        <v>140</v>
      </c>
      <c r="D240" s="42">
        <f>683.00558861372*Deflactores!$T$5</f>
        <v>1033.4574716924258</v>
      </c>
      <c r="E240" s="42">
        <f>1036.58844069615*Deflactores!$U$5</f>
        <v>1543.6124134448605</v>
      </c>
      <c r="F240" s="42">
        <f>1251.71506946325*Deflactores!$V$5</f>
        <v>1764.7826214943511</v>
      </c>
      <c r="G240" s="42">
        <f>950.96118853137*Deflactores!$W$5</f>
        <v>1185.247734099456</v>
      </c>
      <c r="H240" s="42">
        <f>1549.54198741726*Deflactores!$X$5</f>
        <v>1767.2948161014431</v>
      </c>
      <c r="I240" s="42">
        <f>4450.55169958082*Deflactores!$Y$5</f>
        <v>4825.0716350087214</v>
      </c>
      <c r="J240" s="42">
        <f>3752.10854764135*Deflactores!$Z$5</f>
        <v>3870.4600843713138</v>
      </c>
      <c r="K240" s="42">
        <f>1648.57845960868*Deflactores!$AA$5</f>
        <v>1648.5784596086801</v>
      </c>
    </row>
    <row r="241" spans="1:11" x14ac:dyDescent="0.2">
      <c r="C241" s="88" t="s">
        <v>141</v>
      </c>
      <c r="D241" s="50">
        <f>15.66657665377*Deflactores!$T$5</f>
        <v>23.705136485841482</v>
      </c>
      <c r="E241" s="50">
        <f>10.24848976612*Deflactores!$U$5</f>
        <v>15.261308539598694</v>
      </c>
      <c r="F241" s="50">
        <f>11.5963572428999*Deflactores!$V$5</f>
        <v>16.349607218266968</v>
      </c>
      <c r="G241" s="50">
        <f>15.18933317819*Deflactores!$W$5</f>
        <v>18.931501042366151</v>
      </c>
      <c r="H241" s="50">
        <f>19.92280871214*Deflactores!$X$5</f>
        <v>22.722505646866665</v>
      </c>
      <c r="I241" s="50">
        <f>16.9207066514599*Deflactores!$Y$5</f>
        <v>18.34460696545829</v>
      </c>
      <c r="J241" s="50">
        <f>17.07866379906*Deflactores!$Z$5</f>
        <v>17.617370523625251</v>
      </c>
      <c r="K241" s="50">
        <f>1.046449496*Deflactores!$AA$5</f>
        <v>1.0464494959999999</v>
      </c>
    </row>
    <row r="242" spans="1:11" x14ac:dyDescent="0.2">
      <c r="C242" s="87" t="s">
        <v>142</v>
      </c>
      <c r="D242" s="42">
        <f>129.0190560466*Deflactores!$T$5</f>
        <v>195.21905777182721</v>
      </c>
      <c r="E242" s="42">
        <f>292.23587417981*Deflactores!$U$5</f>
        <v>435.17649370556074</v>
      </c>
      <c r="F242" s="42">
        <f>286.8417833563*Deflactores!$V$5</f>
        <v>404.41583450993846</v>
      </c>
      <c r="G242" s="42">
        <f>195.5213611001*Deflactores!$W$5</f>
        <v>243.69159646759908</v>
      </c>
      <c r="H242" s="42">
        <f>288.08312965936*Deflactores!$X$5</f>
        <v>328.56665117017513</v>
      </c>
      <c r="I242" s="42">
        <f>254.41541833531*Deflactores!$Y$5</f>
        <v>275.82481934412806</v>
      </c>
      <c r="J242" s="42">
        <f>218.74019772588*Deflactores!$Z$5</f>
        <v>225.63984847339046</v>
      </c>
      <c r="K242" s="42">
        <f>23.64937607919*Deflactores!$AA$5</f>
        <v>23.649376079189999</v>
      </c>
    </row>
    <row r="243" spans="1:11" x14ac:dyDescent="0.2">
      <c r="C243" s="88" t="s">
        <v>143</v>
      </c>
      <c r="D243" s="50">
        <f>28.57912246323*Deflactores!$T$5</f>
        <v>43.243141983632952</v>
      </c>
      <c r="E243" s="50">
        <f>9.04283904153*Deflactores!$U$5</f>
        <v>13.465940820172776</v>
      </c>
      <c r="F243" s="50">
        <f>49.21251642515*Deflactores!$V$5</f>
        <v>69.384315860599216</v>
      </c>
      <c r="G243" s="50">
        <f>69.58122759627*Deflactores!$W$5</f>
        <v>86.72382568178493</v>
      </c>
      <c r="H243" s="50">
        <f>6.69529607481*Deflactores!$X$5</f>
        <v>7.6361674232514902</v>
      </c>
      <c r="I243" s="50">
        <f>9.34254185839999*Deflactores!$Y$5</f>
        <v>10.128729371707605</v>
      </c>
      <c r="J243" s="50">
        <f>4.44491553261*Deflactores!$Z$5</f>
        <v>4.5851200542115862</v>
      </c>
      <c r="K243" s="50">
        <f>0.058780018*Deflactores!$AA$5</f>
        <v>5.8780018000000003E-2</v>
      </c>
    </row>
    <row r="244" spans="1:11" x14ac:dyDescent="0.2">
      <c r="C244" s="87" t="s">
        <v>144</v>
      </c>
      <c r="D244" s="42">
        <f>0*Deflactores!$T$5</f>
        <v>0</v>
      </c>
      <c r="E244" s="42">
        <f>0*Deflactores!$U$5</f>
        <v>0</v>
      </c>
      <c r="F244" s="42">
        <f>0*Deflactores!$V$5</f>
        <v>0</v>
      </c>
      <c r="G244" s="42">
        <f>0*Deflactores!$W$5</f>
        <v>0</v>
      </c>
      <c r="H244" s="42">
        <f>0*Deflactores!$X$5</f>
        <v>0</v>
      </c>
      <c r="I244" s="42">
        <f>0*Deflactores!$Y$5</f>
        <v>0</v>
      </c>
      <c r="J244" s="42">
        <f>0*Deflactores!$Z$5</f>
        <v>0</v>
      </c>
      <c r="K244" s="42">
        <f>0*Deflactores!$AA$5</f>
        <v>0</v>
      </c>
    </row>
    <row r="245" spans="1:11" x14ac:dyDescent="0.2">
      <c r="C245" s="88" t="s">
        <v>145</v>
      </c>
      <c r="D245" s="50">
        <f>83.55486578564*Deflactores!$T$5</f>
        <v>126.42707729184299</v>
      </c>
      <c r="E245" s="50">
        <f>64.99266201322*Deflactores!$U$5</f>
        <v>96.782364077933948</v>
      </c>
      <c r="F245" s="50">
        <f>72.16398354687*Deflactores!$V$5</f>
        <v>101.74339765353406</v>
      </c>
      <c r="G245" s="50">
        <f>95.78450708156*Deflactores!$W$5</f>
        <v>119.38275857039064</v>
      </c>
      <c r="H245" s="50">
        <f>122.43214121835*Deflactores!$X$5</f>
        <v>139.63718973503669</v>
      </c>
      <c r="I245" s="50">
        <f>99.59645834548*Deflactores!$Y$5</f>
        <v>107.97763480769478</v>
      </c>
      <c r="J245" s="50">
        <f>168.05354704046*Deflactores!$Z$5</f>
        <v>173.35440528926054</v>
      </c>
      <c r="K245" s="50">
        <f>4.47227650198*Deflactores!$AA$5</f>
        <v>4.4722765019799997</v>
      </c>
    </row>
    <row r="246" spans="1:11" x14ac:dyDescent="0.2">
      <c r="C246" s="87" t="s">
        <v>146</v>
      </c>
      <c r="D246" s="42">
        <f>199.926914895319*Deflactores!$T$5</f>
        <v>302.50991710089312</v>
      </c>
      <c r="E246" s="42">
        <f>118.67051286893*Deflactores!$U$5</f>
        <v>176.7155310465626</v>
      </c>
      <c r="F246" s="42">
        <f>214.987206378989*Deflactores!$V$5</f>
        <v>303.10866659450926</v>
      </c>
      <c r="G246" s="42">
        <f>191.54014891702*Deflactores!$W$5</f>
        <v>238.72954041749662</v>
      </c>
      <c r="H246" s="42">
        <f>216.333400858849*Deflactores!$X$5</f>
        <v>246.73413240301375</v>
      </c>
      <c r="I246" s="42">
        <f>371.149246120469*Deflactores!$Y$5</f>
        <v>402.38195637170463</v>
      </c>
      <c r="J246" s="42">
        <f>531.670297824*Deflactores!$Z$5</f>
        <v>548.44060070361775</v>
      </c>
      <c r="K246" s="42">
        <f>116.36241027732*Deflactores!$AA$5</f>
        <v>116.36241027732</v>
      </c>
    </row>
    <row r="247" spans="1:11" x14ac:dyDescent="0.2">
      <c r="C247" s="88" t="s">
        <v>162</v>
      </c>
      <c r="D247" s="50">
        <f>538.85919096775*Deflactores!$T$5</f>
        <v>815.34919535001075</v>
      </c>
      <c r="E247" s="50">
        <f>459.823443801829*Deflactores!$U$5</f>
        <v>684.73576202411596</v>
      </c>
      <c r="F247" s="50">
        <f>473.776284333869*Deflactores!$V$5</f>
        <v>667.9732260690231</v>
      </c>
      <c r="G247" s="50">
        <f>543.64104906403*Deflactores!$W$5</f>
        <v>677.57688677253213</v>
      </c>
      <c r="H247" s="50">
        <f>637.55581559218*Deflactores!$X$5</f>
        <v>727.14976233036839</v>
      </c>
      <c r="I247" s="50">
        <f>679.979155137639*Deflactores!$Y$5</f>
        <v>737.20031926847093</v>
      </c>
      <c r="J247" s="50">
        <f>736.1380413505*Deflactores!$Z$5</f>
        <v>759.35780360764056</v>
      </c>
      <c r="K247" s="50">
        <f>65.84686118104*Deflactores!$AA$5</f>
        <v>65.846861181039998</v>
      </c>
    </row>
    <row r="248" spans="1:11" x14ac:dyDescent="0.2">
      <c r="C248" s="87" t="s">
        <v>148</v>
      </c>
      <c r="D248" s="42">
        <f>0*Deflactores!$T$5</f>
        <v>0</v>
      </c>
      <c r="E248" s="42">
        <f>0*Deflactores!$U$5</f>
        <v>0</v>
      </c>
      <c r="F248" s="42">
        <f>0*Deflactores!$V$5</f>
        <v>0</v>
      </c>
      <c r="G248" s="42">
        <f>0*Deflactores!$W$5</f>
        <v>0</v>
      </c>
      <c r="H248" s="42">
        <f>0*Deflactores!$X$5</f>
        <v>0</v>
      </c>
      <c r="I248" s="42">
        <f>0*Deflactores!$Y$5</f>
        <v>0</v>
      </c>
      <c r="J248" s="42">
        <f>0*Deflactores!$Z$5</f>
        <v>0</v>
      </c>
      <c r="K248" s="42">
        <f>0*Deflactores!$AA$5</f>
        <v>0</v>
      </c>
    </row>
    <row r="249" spans="1:11" x14ac:dyDescent="0.2">
      <c r="C249" s="88" t="s">
        <v>149</v>
      </c>
      <c r="D249" s="50">
        <f>1273.12870390146*Deflactores!$T$5</f>
        <v>1926.3742396948057</v>
      </c>
      <c r="E249" s="50">
        <f>1178.53004123154*Deflactores!$U$5</f>
        <v>1754.981562442427</v>
      </c>
      <c r="F249" s="50">
        <f>1822.15727607938*Deflactores!$V$5</f>
        <v>2569.0443239876536</v>
      </c>
      <c r="G249" s="50">
        <f>1798.86725608395*Deflactores!$W$5</f>
        <v>2242.0508480603198</v>
      </c>
      <c r="H249" s="50">
        <f>2088.20359728176*Deflactores!$X$5</f>
        <v>2381.6530448404501</v>
      </c>
      <c r="I249" s="50">
        <f>2309.23198837994*Deflactores!$Y$5</f>
        <v>2503.5569785283647</v>
      </c>
      <c r="J249" s="50">
        <f>1461.5845282764*Deflactores!$Z$5</f>
        <v>1507.6868125749156</v>
      </c>
      <c r="K249" s="50">
        <f>178.91311205168*Deflactores!$AA$5</f>
        <v>178.91311205168</v>
      </c>
    </row>
    <row r="250" spans="1:11" x14ac:dyDescent="0.2">
      <c r="C250" s="87" t="s">
        <v>163</v>
      </c>
      <c r="D250" s="42">
        <f>1434.06150267184*Deflactores!$T$5</f>
        <v>2169.8820617423421</v>
      </c>
      <c r="E250" s="42">
        <f>1460.76372051493*Deflactores!$U$5</f>
        <v>2175.2635120862769</v>
      </c>
      <c r="F250" s="42">
        <f>1512.82188874172*Deflactores!$V$5</f>
        <v>2132.9149451020753</v>
      </c>
      <c r="G250" s="42">
        <f>1639.23656998591*Deflactores!$W$5</f>
        <v>2043.0922456775661</v>
      </c>
      <c r="H250" s="42">
        <f>2102.98797606795*Deflactores!$X$5</f>
        <v>2398.5150312856604</v>
      </c>
      <c r="I250" s="42">
        <f>2047.17723763615*Deflactores!$Y$5</f>
        <v>2219.4499666376291</v>
      </c>
      <c r="J250" s="42">
        <f>2640.59044621319*Deflactores!$Z$5</f>
        <v>2723.8817298249733</v>
      </c>
      <c r="K250" s="42">
        <f>179.02439953604*Deflactores!$AA$5</f>
        <v>179.02439953603999</v>
      </c>
    </row>
    <row r="251" spans="1:11" x14ac:dyDescent="0.2">
      <c r="C251" s="88" t="s">
        <v>150</v>
      </c>
      <c r="D251" s="50">
        <f>2074.94867731764*Deflactores!$T$5</f>
        <v>3139.6100554676427</v>
      </c>
      <c r="E251" s="50">
        <f>1914.76087728529*Deflactores!$U$5</f>
        <v>2851.3231895304525</v>
      </c>
      <c r="F251" s="50">
        <f>2152.52079434794*Deflactores!$V$5</f>
        <v>3034.821089035383</v>
      </c>
      <c r="G251" s="50">
        <f>1772.18332065874*Deflactores!$W$5</f>
        <v>2208.7928409186929</v>
      </c>
      <c r="H251" s="50">
        <f>1781.10406621439*Deflactores!$X$5</f>
        <v>2031.3976702267132</v>
      </c>
      <c r="I251" s="50">
        <f>2290.55331390058*Deflactores!$Y$5</f>
        <v>2483.3064683683751</v>
      </c>
      <c r="J251" s="50">
        <f>2897.35780756318*Deflactores!$Z$5</f>
        <v>2988.7482203478044</v>
      </c>
      <c r="K251" s="50">
        <f>604.942345508799*Deflactores!$AA$5</f>
        <v>604.94234550879901</v>
      </c>
    </row>
    <row r="252" spans="1:11" x14ac:dyDescent="0.2">
      <c r="C252" s="87" t="s">
        <v>151</v>
      </c>
      <c r="D252" s="42">
        <f>0*Deflactores!$T$5</f>
        <v>0</v>
      </c>
      <c r="E252" s="42">
        <f>0*Deflactores!$U$5</f>
        <v>0</v>
      </c>
      <c r="F252" s="42">
        <f>0*Deflactores!$V$5</f>
        <v>0</v>
      </c>
      <c r="G252" s="42">
        <f>0*Deflactores!$W$5</f>
        <v>0</v>
      </c>
      <c r="H252" s="42">
        <f>0*Deflactores!$X$5</f>
        <v>0</v>
      </c>
      <c r="I252" s="42">
        <f>0*Deflactores!$Y$5</f>
        <v>0</v>
      </c>
      <c r="J252" s="42">
        <f>0*Deflactores!$Z$5</f>
        <v>0</v>
      </c>
      <c r="K252" s="42">
        <f>0*Deflactores!$AA$5</f>
        <v>0</v>
      </c>
    </row>
    <row r="253" spans="1:11" x14ac:dyDescent="0.2">
      <c r="C253" s="79" t="s">
        <v>152</v>
      </c>
      <c r="D253" s="44">
        <f t="shared" ref="D253:K253" si="15">SUM(D222:D252)</f>
        <v>18580.101253151017</v>
      </c>
      <c r="E253" s="44">
        <f t="shared" si="15"/>
        <v>18066.211866835853</v>
      </c>
      <c r="F253" s="44">
        <f t="shared" si="15"/>
        <v>19509.529335950167</v>
      </c>
      <c r="G253" s="44">
        <f t="shared" si="15"/>
        <v>18166.458971354736</v>
      </c>
      <c r="H253" s="44">
        <f t="shared" si="15"/>
        <v>18924.447946069522</v>
      </c>
      <c r="I253" s="44">
        <f t="shared" si="15"/>
        <v>22867.480083695649</v>
      </c>
      <c r="J253" s="44">
        <f t="shared" si="15"/>
        <v>22397.808488462557</v>
      </c>
      <c r="K253" s="44">
        <f t="shared" si="15"/>
        <v>3577.3523300248694</v>
      </c>
    </row>
    <row r="254" spans="1:11" s="31" customFormat="1" x14ac:dyDescent="0.2">
      <c r="A254" s="5"/>
      <c r="B254" s="5"/>
      <c r="C254" s="72" t="str">
        <f>+'C1 Aprop Resumen 2000-2026'!B20</f>
        <v>* Información con corte a 28 de febrero</v>
      </c>
      <c r="D254" s="123">
        <f>+D253-'C7 Ejec. Prop 19-26'!D131</f>
        <v>0</v>
      </c>
      <c r="E254" s="123">
        <f>+E253-'C7 Ejec. Prop 19-26'!E131</f>
        <v>0</v>
      </c>
      <c r="F254" s="123">
        <f>+F253-'C7 Ejec. Prop 19-26'!F131</f>
        <v>-5.8207660913467407E-11</v>
      </c>
      <c r="G254" s="123">
        <f>+G253-'C7 Ejec. Prop 19-26'!G131</f>
        <v>0</v>
      </c>
      <c r="H254" s="123">
        <f>+H253-'C7 Ejec. Prop 19-26'!H131</f>
        <v>0</v>
      </c>
      <c r="I254" s="123">
        <f>+I253-'C7 Ejec. Prop 19-26'!I131</f>
        <v>0</v>
      </c>
      <c r="J254" s="123">
        <f>+J253-'C7 Ejec. Prop 19-26'!J131</f>
        <v>5.4569682106375694E-11</v>
      </c>
      <c r="K254" s="123">
        <f>+K253-'C7 Ejec. Prop 19-26'!K131</f>
        <v>0</v>
      </c>
    </row>
    <row r="255" spans="1:11" x14ac:dyDescent="0.2">
      <c r="C255" s="1" t="s">
        <v>52</v>
      </c>
      <c r="E255" s="3"/>
      <c r="F255" s="3"/>
      <c r="G255" s="3"/>
      <c r="H255" s="3"/>
    </row>
    <row r="256" spans="1:11" x14ac:dyDescent="0.2">
      <c r="B256" s="9"/>
      <c r="E256" s="3"/>
      <c r="F256" s="3"/>
      <c r="G256" s="3"/>
      <c r="H256" s="3"/>
    </row>
    <row r="257" spans="3:11" x14ac:dyDescent="0.2">
      <c r="E257" s="3"/>
      <c r="F257" s="3"/>
      <c r="G257" s="3"/>
      <c r="H257" s="3"/>
    </row>
    <row r="258" spans="3:11" x14ac:dyDescent="0.2">
      <c r="E258" s="3"/>
      <c r="F258" s="3"/>
      <c r="G258" s="3"/>
      <c r="H258" s="3"/>
    </row>
    <row r="259" spans="3:11" ht="18" customHeight="1" x14ac:dyDescent="0.2">
      <c r="D259" s="160" t="s">
        <v>159</v>
      </c>
      <c r="E259" s="178"/>
      <c r="F259" s="178"/>
      <c r="G259" s="178"/>
      <c r="H259" s="178"/>
      <c r="I259" s="178"/>
      <c r="J259" s="178"/>
      <c r="K259" s="178"/>
    </row>
    <row r="260" spans="3:11" x14ac:dyDescent="0.2">
      <c r="D260" s="28"/>
      <c r="E260" s="28"/>
      <c r="F260" s="28"/>
      <c r="G260" s="28"/>
      <c r="H260" s="28"/>
    </row>
    <row r="261" spans="3:11" x14ac:dyDescent="0.2">
      <c r="D261" s="29"/>
      <c r="E261" s="29"/>
      <c r="F261" s="29"/>
      <c r="G261" s="29"/>
      <c r="H261" s="29"/>
    </row>
    <row r="262" spans="3:11" ht="13.5" customHeight="1" x14ac:dyDescent="0.2">
      <c r="C262" s="177" t="s">
        <v>120</v>
      </c>
      <c r="D262" s="153">
        <v>2019</v>
      </c>
      <c r="E262" s="153">
        <v>2020</v>
      </c>
      <c r="F262" s="153">
        <v>2021</v>
      </c>
      <c r="G262" s="153">
        <v>2022</v>
      </c>
      <c r="H262" s="153">
        <v>2023</v>
      </c>
      <c r="I262" s="153">
        <v>2024</v>
      </c>
      <c r="J262" s="153">
        <v>2025</v>
      </c>
      <c r="K262" s="153" t="s">
        <v>36</v>
      </c>
    </row>
    <row r="263" spans="3:11" ht="12" customHeight="1" thickBot="1" x14ac:dyDescent="0.25">
      <c r="C263" s="156"/>
      <c r="D263" s="154"/>
      <c r="E263" s="154"/>
      <c r="F263" s="154"/>
      <c r="G263" s="154"/>
      <c r="H263" s="154"/>
      <c r="I263" s="154"/>
      <c r="J263" s="154"/>
      <c r="K263" s="154"/>
    </row>
    <row r="264" spans="3:11" x14ac:dyDescent="0.2">
      <c r="C264" s="87" t="s">
        <v>123</v>
      </c>
      <c r="D264" s="47">
        <f t="shared" ref="D264:K273" si="16">+IFERROR(IF(D222&gt;0,+((D222/D14)*100)," "),"0")</f>
        <v>67.916266942097437</v>
      </c>
      <c r="E264" s="47">
        <f t="shared" si="16"/>
        <v>88.493955106218507</v>
      </c>
      <c r="F264" s="47">
        <f t="shared" si="16"/>
        <v>94.035540477828789</v>
      </c>
      <c r="G264" s="47">
        <f t="shared" si="16"/>
        <v>87.617903200106397</v>
      </c>
      <c r="H264" s="47">
        <f t="shared" si="16"/>
        <v>62.430897631485514</v>
      </c>
      <c r="I264" s="47">
        <f t="shared" si="16"/>
        <v>66.990464108644687</v>
      </c>
      <c r="J264" s="47">
        <f t="shared" si="16"/>
        <v>79.092045401066429</v>
      </c>
      <c r="K264" s="47">
        <f t="shared" si="16"/>
        <v>3.0467266562751023</v>
      </c>
    </row>
    <row r="265" spans="3:11" x14ac:dyDescent="0.2">
      <c r="C265" s="88" t="s">
        <v>124</v>
      </c>
      <c r="D265" s="116">
        <f t="shared" si="16"/>
        <v>92.218588351843422</v>
      </c>
      <c r="E265" s="116">
        <f t="shared" si="16"/>
        <v>89.854209666372626</v>
      </c>
      <c r="F265" s="116">
        <f t="shared" si="16"/>
        <v>83.035206831696868</v>
      </c>
      <c r="G265" s="116">
        <f t="shared" si="16"/>
        <v>84.303992932115349</v>
      </c>
      <c r="H265" s="116">
        <f t="shared" si="16"/>
        <v>80.257795621418808</v>
      </c>
      <c r="I265" s="116">
        <f t="shared" si="16"/>
        <v>79.181340799927369</v>
      </c>
      <c r="J265" s="116">
        <f t="shared" si="16"/>
        <v>91.150907277187244</v>
      </c>
      <c r="K265" s="116">
        <f t="shared" si="16"/>
        <v>35.941156903246245</v>
      </c>
    </row>
    <row r="266" spans="3:11" x14ac:dyDescent="0.2">
      <c r="C266" s="87" t="s">
        <v>125</v>
      </c>
      <c r="D266" s="47" t="str">
        <f t="shared" si="16"/>
        <v xml:space="preserve"> </v>
      </c>
      <c r="E266" s="47" t="str">
        <f t="shared" si="16"/>
        <v xml:space="preserve"> </v>
      </c>
      <c r="F266" s="47" t="str">
        <f t="shared" si="16"/>
        <v xml:space="preserve"> </v>
      </c>
      <c r="G266" s="47" t="str">
        <f t="shared" si="16"/>
        <v xml:space="preserve"> </v>
      </c>
      <c r="H266" s="47" t="str">
        <f t="shared" si="16"/>
        <v xml:space="preserve"> </v>
      </c>
      <c r="I266" s="47" t="str">
        <f t="shared" si="16"/>
        <v xml:space="preserve"> </v>
      </c>
      <c r="J266" s="47" t="str">
        <f t="shared" si="16"/>
        <v xml:space="preserve"> </v>
      </c>
      <c r="K266" s="47" t="str">
        <f t="shared" si="16"/>
        <v xml:space="preserve"> </v>
      </c>
    </row>
    <row r="267" spans="3:11" x14ac:dyDescent="0.2">
      <c r="C267" s="88" t="s">
        <v>126</v>
      </c>
      <c r="D267" s="116">
        <f t="shared" si="16"/>
        <v>92.153788779429931</v>
      </c>
      <c r="E267" s="116">
        <f t="shared" si="16"/>
        <v>87.105563501676869</v>
      </c>
      <c r="F267" s="116">
        <f t="shared" si="16"/>
        <v>86.010441035867544</v>
      </c>
      <c r="G267" s="116">
        <f t="shared" si="16"/>
        <v>88.869788614071055</v>
      </c>
      <c r="H267" s="116">
        <f t="shared" si="16"/>
        <v>87.002444493078841</v>
      </c>
      <c r="I267" s="116">
        <f t="shared" si="16"/>
        <v>82.512298180433106</v>
      </c>
      <c r="J267" s="116">
        <f t="shared" si="16"/>
        <v>85.418576973236625</v>
      </c>
      <c r="K267" s="116">
        <f t="shared" si="16"/>
        <v>5.7996664758549841</v>
      </c>
    </row>
    <row r="268" spans="3:11" x14ac:dyDescent="0.2">
      <c r="C268" s="87" t="s">
        <v>127</v>
      </c>
      <c r="D268" s="47" t="str">
        <f t="shared" si="16"/>
        <v xml:space="preserve"> </v>
      </c>
      <c r="E268" s="47" t="str">
        <f t="shared" si="16"/>
        <v xml:space="preserve"> </v>
      </c>
      <c r="F268" s="47" t="str">
        <f t="shared" si="16"/>
        <v xml:space="preserve"> </v>
      </c>
      <c r="G268" s="47" t="str">
        <f t="shared" si="16"/>
        <v xml:space="preserve"> </v>
      </c>
      <c r="H268" s="47" t="str">
        <f t="shared" si="16"/>
        <v xml:space="preserve"> </v>
      </c>
      <c r="I268" s="47" t="str">
        <f t="shared" si="16"/>
        <v xml:space="preserve"> </v>
      </c>
      <c r="J268" s="47" t="str">
        <f t="shared" si="16"/>
        <v xml:space="preserve"> </v>
      </c>
      <c r="K268" s="47" t="str">
        <f t="shared" si="16"/>
        <v xml:space="preserve"> </v>
      </c>
    </row>
    <row r="269" spans="3:11" x14ac:dyDescent="0.2">
      <c r="C269" s="88" t="s">
        <v>128</v>
      </c>
      <c r="D269" s="116">
        <f t="shared" si="16"/>
        <v>92.101877268639925</v>
      </c>
      <c r="E269" s="116">
        <f t="shared" si="16"/>
        <v>88.953738880026748</v>
      </c>
      <c r="F269" s="116">
        <f t="shared" si="16"/>
        <v>60.716796351529098</v>
      </c>
      <c r="G269" s="116">
        <f t="shared" si="16"/>
        <v>53.9888486298007</v>
      </c>
      <c r="H269" s="116">
        <f t="shared" si="16"/>
        <v>69.087716972062012</v>
      </c>
      <c r="I269" s="116">
        <f t="shared" si="16"/>
        <v>51.476186630897089</v>
      </c>
      <c r="J269" s="116">
        <f t="shared" si="16"/>
        <v>86.175047117197963</v>
      </c>
      <c r="K269" s="116">
        <f t="shared" si="16"/>
        <v>1.3319269932620805</v>
      </c>
    </row>
    <row r="270" spans="3:11" x14ac:dyDescent="0.2">
      <c r="C270" s="87" t="s">
        <v>129</v>
      </c>
      <c r="D270" s="47">
        <f t="shared" si="16"/>
        <v>83.517705163438279</v>
      </c>
      <c r="E270" s="47">
        <f t="shared" si="16"/>
        <v>89.534404706537728</v>
      </c>
      <c r="F270" s="47">
        <f t="shared" si="16"/>
        <v>71.622105362993111</v>
      </c>
      <c r="G270" s="47">
        <f t="shared" si="16"/>
        <v>87.612575853846494</v>
      </c>
      <c r="H270" s="47">
        <f t="shared" si="16"/>
        <v>81.043791179272745</v>
      </c>
      <c r="I270" s="47">
        <f t="shared" si="16"/>
        <v>79.103920832489706</v>
      </c>
      <c r="J270" s="47">
        <f t="shared" si="16"/>
        <v>88.187026547084869</v>
      </c>
      <c r="K270" s="47">
        <f t="shared" si="16"/>
        <v>5.1556278957635389</v>
      </c>
    </row>
    <row r="271" spans="3:11" x14ac:dyDescent="0.2">
      <c r="C271" s="88" t="s">
        <v>130</v>
      </c>
      <c r="D271" s="116" t="str">
        <f t="shared" si="16"/>
        <v xml:space="preserve"> </v>
      </c>
      <c r="E271" s="116" t="str">
        <f t="shared" si="16"/>
        <v xml:space="preserve"> </v>
      </c>
      <c r="F271" s="116" t="str">
        <f t="shared" si="16"/>
        <v xml:space="preserve"> </v>
      </c>
      <c r="G271" s="116" t="str">
        <f t="shared" si="16"/>
        <v xml:space="preserve"> </v>
      </c>
      <c r="H271" s="116" t="str">
        <f t="shared" si="16"/>
        <v xml:space="preserve"> </v>
      </c>
      <c r="I271" s="116" t="str">
        <f t="shared" si="16"/>
        <v xml:space="preserve"> </v>
      </c>
      <c r="J271" s="116" t="str">
        <f t="shared" si="16"/>
        <v xml:space="preserve"> </v>
      </c>
      <c r="K271" s="116" t="str">
        <f t="shared" si="16"/>
        <v xml:space="preserve"> </v>
      </c>
    </row>
    <row r="272" spans="3:11" x14ac:dyDescent="0.2">
      <c r="C272" s="87" t="s">
        <v>131</v>
      </c>
      <c r="D272" s="47">
        <f t="shared" si="16"/>
        <v>83.149949091802881</v>
      </c>
      <c r="E272" s="47">
        <f t="shared" si="16"/>
        <v>63.875148878273649</v>
      </c>
      <c r="F272" s="47">
        <f t="shared" si="16"/>
        <v>62.892189216420746</v>
      </c>
      <c r="G272" s="47">
        <f t="shared" si="16"/>
        <v>70.279151152814904</v>
      </c>
      <c r="H272" s="47">
        <f t="shared" si="16"/>
        <v>75.656554031618668</v>
      </c>
      <c r="I272" s="47">
        <f t="shared" si="16"/>
        <v>76.569733276119365</v>
      </c>
      <c r="J272" s="47">
        <f t="shared" si="16"/>
        <v>72.024947134811839</v>
      </c>
      <c r="K272" s="47">
        <f t="shared" si="16"/>
        <v>3.578732596041641</v>
      </c>
    </row>
    <row r="273" spans="3:11" x14ac:dyDescent="0.2">
      <c r="C273" s="88" t="s">
        <v>132</v>
      </c>
      <c r="D273" s="116">
        <f t="shared" si="16"/>
        <v>81.719969303770313</v>
      </c>
      <c r="E273" s="116">
        <f t="shared" si="16"/>
        <v>62.790206543262215</v>
      </c>
      <c r="F273" s="116">
        <f t="shared" si="16"/>
        <v>53.556089620110328</v>
      </c>
      <c r="G273" s="116">
        <f t="shared" si="16"/>
        <v>64.131449786582834</v>
      </c>
      <c r="H273" s="116">
        <f t="shared" si="16"/>
        <v>66.789847842053192</v>
      </c>
      <c r="I273" s="116">
        <f t="shared" si="16"/>
        <v>80.933661561612354</v>
      </c>
      <c r="J273" s="116">
        <f t="shared" si="16"/>
        <v>81.522839150255237</v>
      </c>
      <c r="K273" s="116">
        <f t="shared" si="16"/>
        <v>3.838250313785549</v>
      </c>
    </row>
    <row r="274" spans="3:11" x14ac:dyDescent="0.2">
      <c r="C274" s="87" t="s">
        <v>133</v>
      </c>
      <c r="D274" s="47">
        <f t="shared" ref="D274:K283" si="17">+IFERROR(IF(D232&gt;0,+((D232/D24)*100)," "),"0")</f>
        <v>58.709761561308305</v>
      </c>
      <c r="E274" s="47">
        <f t="shared" si="17"/>
        <v>60.322017884504099</v>
      </c>
      <c r="F274" s="47">
        <f t="shared" si="17"/>
        <v>81.556845399619576</v>
      </c>
      <c r="G274" s="47">
        <f t="shared" si="17"/>
        <v>72.294930103923065</v>
      </c>
      <c r="H274" s="47">
        <f t="shared" si="17"/>
        <v>79.282548397188023</v>
      </c>
      <c r="I274" s="47">
        <f t="shared" si="17"/>
        <v>86.986187783265407</v>
      </c>
      <c r="J274" s="47">
        <f t="shared" si="17"/>
        <v>90.003200892496366</v>
      </c>
      <c r="K274" s="47">
        <f t="shared" si="17"/>
        <v>4.2827746861599154</v>
      </c>
    </row>
    <row r="275" spans="3:11" x14ac:dyDescent="0.2">
      <c r="C275" s="88" t="s">
        <v>134</v>
      </c>
      <c r="D275" s="116">
        <f t="shared" si="17"/>
        <v>87.172404925204916</v>
      </c>
      <c r="E275" s="116">
        <f t="shared" si="17"/>
        <v>83.541644096687278</v>
      </c>
      <c r="F275" s="116">
        <f t="shared" si="17"/>
        <v>75.81969958774512</v>
      </c>
      <c r="G275" s="116">
        <f t="shared" si="17"/>
        <v>87.175417717567612</v>
      </c>
      <c r="H275" s="116">
        <f t="shared" si="17"/>
        <v>84.32543785291918</v>
      </c>
      <c r="I275" s="116">
        <f t="shared" si="17"/>
        <v>74.007742336080923</v>
      </c>
      <c r="J275" s="116">
        <f t="shared" si="17"/>
        <v>85.939616604657076</v>
      </c>
      <c r="K275" s="116">
        <f t="shared" si="17"/>
        <v>6.7964249660481784</v>
      </c>
    </row>
    <row r="276" spans="3:11" x14ac:dyDescent="0.2">
      <c r="C276" s="87" t="s">
        <v>135</v>
      </c>
      <c r="D276" s="47" t="str">
        <f t="shared" si="17"/>
        <v xml:space="preserve"> </v>
      </c>
      <c r="E276" s="47" t="str">
        <f t="shared" si="17"/>
        <v xml:space="preserve"> </v>
      </c>
      <c r="F276" s="47" t="str">
        <f t="shared" si="17"/>
        <v xml:space="preserve"> </v>
      </c>
      <c r="G276" s="47" t="str">
        <f t="shared" si="17"/>
        <v xml:space="preserve"> </v>
      </c>
      <c r="H276" s="47" t="str">
        <f t="shared" si="17"/>
        <v xml:space="preserve"> </v>
      </c>
      <c r="I276" s="47">
        <f t="shared" si="17"/>
        <v>83.135086165299469</v>
      </c>
      <c r="J276" s="47">
        <f t="shared" si="17"/>
        <v>95.163510418747634</v>
      </c>
      <c r="K276" s="47">
        <f t="shared" si="17"/>
        <v>7.0878413510394704</v>
      </c>
    </row>
    <row r="277" spans="3:11" x14ac:dyDescent="0.2">
      <c r="C277" s="88" t="s">
        <v>136</v>
      </c>
      <c r="D277" s="116">
        <f t="shared" si="17"/>
        <v>90.896261907440561</v>
      </c>
      <c r="E277" s="116">
        <f t="shared" si="17"/>
        <v>91.369191084997738</v>
      </c>
      <c r="F277" s="116">
        <f t="shared" si="17"/>
        <v>83.801577729980991</v>
      </c>
      <c r="G277" s="116">
        <f t="shared" si="17"/>
        <v>90.678483683069416</v>
      </c>
      <c r="H277" s="116">
        <f t="shared" si="17"/>
        <v>88.245961695713888</v>
      </c>
      <c r="I277" s="116">
        <f t="shared" si="17"/>
        <v>1.3009201506773245</v>
      </c>
      <c r="J277" s="116">
        <f t="shared" si="17"/>
        <v>86.041566397993037</v>
      </c>
      <c r="K277" s="116" t="str">
        <f t="shared" si="17"/>
        <v xml:space="preserve"> </v>
      </c>
    </row>
    <row r="278" spans="3:11" x14ac:dyDescent="0.2">
      <c r="C278" s="87" t="s">
        <v>137</v>
      </c>
      <c r="D278" s="47">
        <f t="shared" si="17"/>
        <v>60.981159349767886</v>
      </c>
      <c r="E278" s="47">
        <f t="shared" si="17"/>
        <v>72.019583521420543</v>
      </c>
      <c r="F278" s="47">
        <f t="shared" si="17"/>
        <v>50.404778273682957</v>
      </c>
      <c r="G278" s="47">
        <f t="shared" si="17"/>
        <v>31.859479620006649</v>
      </c>
      <c r="H278" s="47">
        <f t="shared" si="17"/>
        <v>21.544598940271626</v>
      </c>
      <c r="I278" s="47">
        <f t="shared" si="17"/>
        <v>65.378302886201524</v>
      </c>
      <c r="J278" s="47">
        <f t="shared" si="17"/>
        <v>70.337288005552139</v>
      </c>
      <c r="K278" s="47">
        <f t="shared" si="17"/>
        <v>5.1854315960102992</v>
      </c>
    </row>
    <row r="279" spans="3:11" x14ac:dyDescent="0.2">
      <c r="C279" s="88" t="s">
        <v>138</v>
      </c>
      <c r="D279" s="116" t="str">
        <f t="shared" si="17"/>
        <v xml:space="preserve"> </v>
      </c>
      <c r="E279" s="116" t="str">
        <f t="shared" si="17"/>
        <v xml:space="preserve"> </v>
      </c>
      <c r="F279" s="116" t="str">
        <f t="shared" si="17"/>
        <v xml:space="preserve"> </v>
      </c>
      <c r="G279" s="116" t="str">
        <f t="shared" si="17"/>
        <v xml:space="preserve"> </v>
      </c>
      <c r="H279" s="116" t="str">
        <f t="shared" si="17"/>
        <v xml:space="preserve"> </v>
      </c>
      <c r="I279" s="116" t="str">
        <f t="shared" si="17"/>
        <v xml:space="preserve"> </v>
      </c>
      <c r="J279" s="116" t="str">
        <f t="shared" si="17"/>
        <v xml:space="preserve"> </v>
      </c>
      <c r="K279" s="116" t="str">
        <f t="shared" si="17"/>
        <v xml:space="preserve"> </v>
      </c>
    </row>
    <row r="280" spans="3:11" x14ac:dyDescent="0.2">
      <c r="C280" s="87" t="s">
        <v>160</v>
      </c>
      <c r="D280" s="47">
        <f t="shared" si="17"/>
        <v>75.479327806688616</v>
      </c>
      <c r="E280" s="47">
        <f t="shared" si="17"/>
        <v>46.544666557463714</v>
      </c>
      <c r="F280" s="47">
        <f t="shared" si="17"/>
        <v>81.201338003968388</v>
      </c>
      <c r="G280" s="47">
        <f t="shared" si="17"/>
        <v>66.924871578796328</v>
      </c>
      <c r="H280" s="47">
        <f t="shared" si="17"/>
        <v>80.724658285339757</v>
      </c>
      <c r="I280" s="47">
        <f t="shared" si="17"/>
        <v>79.905592286641962</v>
      </c>
      <c r="J280" s="47">
        <f t="shared" si="17"/>
        <v>73.785621930395706</v>
      </c>
      <c r="K280" s="47">
        <f t="shared" si="17"/>
        <v>4.5191398278131807</v>
      </c>
    </row>
    <row r="281" spans="3:11" x14ac:dyDescent="0.2">
      <c r="C281" s="88" t="s">
        <v>161</v>
      </c>
      <c r="D281" s="116">
        <f t="shared" si="17"/>
        <v>87.319271517911375</v>
      </c>
      <c r="E281" s="116">
        <f t="shared" si="17"/>
        <v>86.374147929280767</v>
      </c>
      <c r="F281" s="116">
        <f t="shared" si="17"/>
        <v>75.840574567407742</v>
      </c>
      <c r="G281" s="116">
        <f t="shared" si="17"/>
        <v>72.036574110591715</v>
      </c>
      <c r="H281" s="116">
        <f t="shared" si="17"/>
        <v>54.159078492612643</v>
      </c>
      <c r="I281" s="116">
        <f t="shared" si="17"/>
        <v>69.121151961941322</v>
      </c>
      <c r="J281" s="116">
        <f t="shared" si="17"/>
        <v>81.764865878143425</v>
      </c>
      <c r="K281" s="116">
        <f t="shared" si="17"/>
        <v>3.8575424859547911</v>
      </c>
    </row>
    <row r="282" spans="3:11" x14ac:dyDescent="0.2">
      <c r="C282" s="87" t="s">
        <v>140</v>
      </c>
      <c r="D282" s="47">
        <f t="shared" si="17"/>
        <v>84.438136715579532</v>
      </c>
      <c r="E282" s="47">
        <f t="shared" si="17"/>
        <v>89.72392266001674</v>
      </c>
      <c r="F282" s="47">
        <f t="shared" si="17"/>
        <v>81.009885925755057</v>
      </c>
      <c r="G282" s="47">
        <f t="shared" si="17"/>
        <v>79.355551696795828</v>
      </c>
      <c r="H282" s="47">
        <f t="shared" si="17"/>
        <v>76.840784911372864</v>
      </c>
      <c r="I282" s="47">
        <f t="shared" si="17"/>
        <v>93.815995152865767</v>
      </c>
      <c r="J282" s="47">
        <f t="shared" si="17"/>
        <v>94.663951213672718</v>
      </c>
      <c r="K282" s="47">
        <f t="shared" si="17"/>
        <v>48.190174785369322</v>
      </c>
    </row>
    <row r="283" spans="3:11" x14ac:dyDescent="0.2">
      <c r="C283" s="88" t="s">
        <v>141</v>
      </c>
      <c r="D283" s="116">
        <f t="shared" si="17"/>
        <v>75.585355593042891</v>
      </c>
      <c r="E283" s="116">
        <f t="shared" si="17"/>
        <v>48.009039987445547</v>
      </c>
      <c r="F283" s="116">
        <f t="shared" si="17"/>
        <v>55.397149126288816</v>
      </c>
      <c r="G283" s="116">
        <f t="shared" si="17"/>
        <v>49.674188679059547</v>
      </c>
      <c r="H283" s="116">
        <f t="shared" si="17"/>
        <v>39.99359372104788</v>
      </c>
      <c r="I283" s="116">
        <f t="shared" si="17"/>
        <v>95.327924796957163</v>
      </c>
      <c r="J283" s="116">
        <f t="shared" si="17"/>
        <v>87.257050927797792</v>
      </c>
      <c r="K283" s="116">
        <f t="shared" si="17"/>
        <v>4.6976635461689318</v>
      </c>
    </row>
    <row r="284" spans="3:11" x14ac:dyDescent="0.2">
      <c r="C284" s="87" t="s">
        <v>142</v>
      </c>
      <c r="D284" s="47">
        <f t="shared" ref="D284:K293" si="18">+IFERROR(IF(D242&gt;0,+((D242/D34)*100)," "),"0")</f>
        <v>91.194220467760928</v>
      </c>
      <c r="E284" s="47">
        <f t="shared" si="18"/>
        <v>85.069061890269666</v>
      </c>
      <c r="F284" s="47">
        <f t="shared" si="18"/>
        <v>39.524770448325434</v>
      </c>
      <c r="G284" s="47">
        <f t="shared" si="18"/>
        <v>64.439019907725495</v>
      </c>
      <c r="H284" s="47">
        <f t="shared" si="18"/>
        <v>87.585304039849561</v>
      </c>
      <c r="I284" s="47">
        <f t="shared" si="18"/>
        <v>85.551817807498253</v>
      </c>
      <c r="J284" s="47">
        <f t="shared" si="18"/>
        <v>84.408176817400545</v>
      </c>
      <c r="K284" s="47">
        <f t="shared" si="18"/>
        <v>6.6428610181454832</v>
      </c>
    </row>
    <row r="285" spans="3:11" x14ac:dyDescent="0.2">
      <c r="C285" s="88" t="s">
        <v>143</v>
      </c>
      <c r="D285" s="116">
        <f t="shared" si="18"/>
        <v>43.681880748178678</v>
      </c>
      <c r="E285" s="116">
        <f t="shared" si="18"/>
        <v>24.324556812749833</v>
      </c>
      <c r="F285" s="116">
        <f t="shared" si="18"/>
        <v>35.086537670138675</v>
      </c>
      <c r="G285" s="116">
        <f t="shared" si="18"/>
        <v>53.551141238635893</v>
      </c>
      <c r="H285" s="116">
        <f t="shared" si="18"/>
        <v>7.8253599561365812</v>
      </c>
      <c r="I285" s="116">
        <f t="shared" si="18"/>
        <v>16.643308876290313</v>
      </c>
      <c r="J285" s="116">
        <f t="shared" si="18"/>
        <v>49.498392997229637</v>
      </c>
      <c r="K285" s="116">
        <f t="shared" si="18"/>
        <v>0.10884685210472819</v>
      </c>
    </row>
    <row r="286" spans="3:11" x14ac:dyDescent="0.2">
      <c r="C286" s="87" t="s">
        <v>144</v>
      </c>
      <c r="D286" s="47" t="str">
        <f t="shared" si="18"/>
        <v xml:space="preserve"> </v>
      </c>
      <c r="E286" s="47" t="str">
        <f t="shared" si="18"/>
        <v xml:space="preserve"> </v>
      </c>
      <c r="F286" s="47" t="str">
        <f t="shared" si="18"/>
        <v xml:space="preserve"> </v>
      </c>
      <c r="G286" s="47" t="str">
        <f t="shared" si="18"/>
        <v xml:space="preserve"> </v>
      </c>
      <c r="H286" s="47" t="str">
        <f t="shared" si="18"/>
        <v xml:space="preserve"> </v>
      </c>
      <c r="I286" s="47" t="str">
        <f t="shared" si="18"/>
        <v xml:space="preserve"> </v>
      </c>
      <c r="J286" s="47" t="str">
        <f t="shared" si="18"/>
        <v xml:space="preserve"> </v>
      </c>
      <c r="K286" s="47" t="str">
        <f t="shared" si="18"/>
        <v xml:space="preserve"> </v>
      </c>
    </row>
    <row r="287" spans="3:11" x14ac:dyDescent="0.2">
      <c r="C287" s="88" t="s">
        <v>145</v>
      </c>
      <c r="D287" s="116">
        <f t="shared" si="18"/>
        <v>85.913443608744672</v>
      </c>
      <c r="E287" s="116">
        <f t="shared" si="18"/>
        <v>83.453170154996556</v>
      </c>
      <c r="F287" s="116">
        <f t="shared" si="18"/>
        <v>66.547936626982334</v>
      </c>
      <c r="G287" s="116">
        <f t="shared" si="18"/>
        <v>69.999445529086771</v>
      </c>
      <c r="H287" s="116">
        <f t="shared" si="18"/>
        <v>70.415794208082232</v>
      </c>
      <c r="I287" s="116">
        <f t="shared" si="18"/>
        <v>45.349313574170367</v>
      </c>
      <c r="J287" s="116">
        <f t="shared" si="18"/>
        <v>66.88703842008583</v>
      </c>
      <c r="K287" s="116">
        <f t="shared" si="18"/>
        <v>1.7246762053242763</v>
      </c>
    </row>
    <row r="288" spans="3:11" x14ac:dyDescent="0.2">
      <c r="C288" s="87" t="s">
        <v>146</v>
      </c>
      <c r="D288" s="47">
        <f t="shared" si="18"/>
        <v>89.658953878413428</v>
      </c>
      <c r="E288" s="47">
        <f t="shared" si="18"/>
        <v>62.582460209208158</v>
      </c>
      <c r="F288" s="47">
        <f t="shared" si="18"/>
        <v>94.582074629866341</v>
      </c>
      <c r="G288" s="47">
        <f t="shared" si="18"/>
        <v>94.144666786442073</v>
      </c>
      <c r="H288" s="47">
        <f t="shared" si="18"/>
        <v>88.531397362795289</v>
      </c>
      <c r="I288" s="47">
        <f t="shared" si="18"/>
        <v>88.238533134815839</v>
      </c>
      <c r="J288" s="47">
        <f t="shared" si="18"/>
        <v>87.989565937520439</v>
      </c>
      <c r="K288" s="47">
        <f t="shared" si="18"/>
        <v>17.871556178785706</v>
      </c>
    </row>
    <row r="289" spans="1:11" x14ac:dyDescent="0.2">
      <c r="C289" s="88" t="s">
        <v>162</v>
      </c>
      <c r="D289" s="116">
        <f t="shared" si="18"/>
        <v>87.087701151131526</v>
      </c>
      <c r="E289" s="116">
        <f t="shared" si="18"/>
        <v>85.069080302858382</v>
      </c>
      <c r="F289" s="116">
        <f t="shared" si="18"/>
        <v>80.686080099912786</v>
      </c>
      <c r="G289" s="116">
        <f t="shared" si="18"/>
        <v>81.073002225327613</v>
      </c>
      <c r="H289" s="116">
        <f t="shared" si="18"/>
        <v>81.036036742188159</v>
      </c>
      <c r="I289" s="116">
        <f t="shared" si="18"/>
        <v>81.348146342172171</v>
      </c>
      <c r="J289" s="116">
        <f t="shared" si="18"/>
        <v>85.307615091309145</v>
      </c>
      <c r="K289" s="116">
        <f t="shared" si="18"/>
        <v>5.6860846353432031</v>
      </c>
    </row>
    <row r="290" spans="1:11" x14ac:dyDescent="0.2">
      <c r="C290" s="87" t="s">
        <v>148</v>
      </c>
      <c r="D290" s="47" t="str">
        <f t="shared" si="18"/>
        <v xml:space="preserve"> </v>
      </c>
      <c r="E290" s="47" t="str">
        <f t="shared" si="18"/>
        <v xml:space="preserve"> </v>
      </c>
      <c r="F290" s="47" t="str">
        <f t="shared" si="18"/>
        <v xml:space="preserve"> </v>
      </c>
      <c r="G290" s="47" t="str">
        <f t="shared" si="18"/>
        <v xml:space="preserve"> </v>
      </c>
      <c r="H290" s="47" t="str">
        <f t="shared" si="18"/>
        <v xml:space="preserve"> </v>
      </c>
      <c r="I290" s="47" t="str">
        <f t="shared" si="18"/>
        <v xml:space="preserve"> </v>
      </c>
      <c r="J290" s="47" t="str">
        <f t="shared" si="18"/>
        <v xml:space="preserve"> </v>
      </c>
      <c r="K290" s="47" t="str">
        <f t="shared" si="18"/>
        <v xml:space="preserve"> </v>
      </c>
    </row>
    <row r="291" spans="1:11" x14ac:dyDescent="0.2">
      <c r="C291" s="88" t="s">
        <v>149</v>
      </c>
      <c r="D291" s="116">
        <f t="shared" si="18"/>
        <v>81.483417720250898</v>
      </c>
      <c r="E291" s="116">
        <f t="shared" si="18"/>
        <v>76.939929708117191</v>
      </c>
      <c r="F291" s="116">
        <f t="shared" si="18"/>
        <v>76.558398232041526</v>
      </c>
      <c r="G291" s="116">
        <f t="shared" si="18"/>
        <v>75.271482632750619</v>
      </c>
      <c r="H291" s="116">
        <f t="shared" si="18"/>
        <v>86.433997228947916</v>
      </c>
      <c r="I291" s="116">
        <f t="shared" si="18"/>
        <v>73.855710800509939</v>
      </c>
      <c r="J291" s="116">
        <f t="shared" si="18"/>
        <v>70.046500135336686</v>
      </c>
      <c r="K291" s="116">
        <f t="shared" si="18"/>
        <v>9.0493530230832704</v>
      </c>
    </row>
    <row r="292" spans="1:11" x14ac:dyDescent="0.2">
      <c r="C292" s="87" t="s">
        <v>163</v>
      </c>
      <c r="D292" s="47">
        <f t="shared" si="18"/>
        <v>86.497380275282211</v>
      </c>
      <c r="E292" s="47">
        <f t="shared" si="18"/>
        <v>90.457428525451874</v>
      </c>
      <c r="F292" s="47">
        <f t="shared" si="18"/>
        <v>88.688604362838291</v>
      </c>
      <c r="G292" s="47">
        <f t="shared" si="18"/>
        <v>92.90427077219303</v>
      </c>
      <c r="H292" s="47">
        <f t="shared" si="18"/>
        <v>91.156137651990207</v>
      </c>
      <c r="I292" s="47">
        <f t="shared" si="18"/>
        <v>89.595273580225026</v>
      </c>
      <c r="J292" s="47">
        <f t="shared" si="18"/>
        <v>86.001223399596356</v>
      </c>
      <c r="K292" s="47">
        <f t="shared" si="18"/>
        <v>5.8635824862846206</v>
      </c>
    </row>
    <row r="293" spans="1:11" x14ac:dyDescent="0.2">
      <c r="C293" s="88" t="s">
        <v>150</v>
      </c>
      <c r="D293" s="116">
        <f t="shared" si="18"/>
        <v>70.519983261621292</v>
      </c>
      <c r="E293" s="116">
        <f t="shared" si="18"/>
        <v>66.495378430519523</v>
      </c>
      <c r="F293" s="116">
        <f t="shared" si="18"/>
        <v>61.22524591324585</v>
      </c>
      <c r="G293" s="116">
        <f t="shared" si="18"/>
        <v>51.356426063953521</v>
      </c>
      <c r="H293" s="116">
        <f t="shared" si="18"/>
        <v>49.486671843420048</v>
      </c>
      <c r="I293" s="116">
        <f t="shared" si="18"/>
        <v>54.825330599041123</v>
      </c>
      <c r="J293" s="116">
        <f t="shared" si="18"/>
        <v>60.058144748115126</v>
      </c>
      <c r="K293" s="116">
        <f t="shared" si="18"/>
        <v>8.3517867509304438</v>
      </c>
    </row>
    <row r="294" spans="1:11" x14ac:dyDescent="0.2">
      <c r="C294" s="87" t="s">
        <v>151</v>
      </c>
      <c r="D294" s="47" t="str">
        <f t="shared" ref="D294:K294" si="19">+IFERROR(IF(D252&gt;0,+((D252/D44)*100)," "),"0")</f>
        <v xml:space="preserve"> </v>
      </c>
      <c r="E294" s="47" t="str">
        <f t="shared" si="19"/>
        <v xml:space="preserve"> </v>
      </c>
      <c r="F294" s="47" t="str">
        <f t="shared" si="19"/>
        <v xml:space="preserve"> </v>
      </c>
      <c r="G294" s="47" t="str">
        <f t="shared" si="19"/>
        <v xml:space="preserve"> </v>
      </c>
      <c r="H294" s="47" t="str">
        <f t="shared" si="19"/>
        <v xml:space="preserve"> </v>
      </c>
      <c r="I294" s="47" t="str">
        <f t="shared" si="19"/>
        <v xml:space="preserve"> </v>
      </c>
      <c r="J294" s="47" t="str">
        <f t="shared" si="19"/>
        <v xml:space="preserve"> </v>
      </c>
      <c r="K294" s="47" t="str">
        <f t="shared" si="19"/>
        <v xml:space="preserve"> </v>
      </c>
    </row>
    <row r="295" spans="1:11" x14ac:dyDescent="0.2">
      <c r="C295" s="91" t="s">
        <v>154</v>
      </c>
      <c r="D295" s="74">
        <f t="shared" ref="D295:K295" si="20">+IFERROR(IF(D253&gt;0,+((D253/D45)*100)," "),"")</f>
        <v>82.670341438140127</v>
      </c>
      <c r="E295" s="74">
        <f t="shared" si="20"/>
        <v>81.933639218844135</v>
      </c>
      <c r="F295" s="74">
        <f t="shared" si="20"/>
        <v>73.857828302628704</v>
      </c>
      <c r="G295" s="74">
        <f t="shared" si="20"/>
        <v>77.202410482155898</v>
      </c>
      <c r="H295" s="74">
        <f t="shared" si="20"/>
        <v>76.373183041277358</v>
      </c>
      <c r="I295" s="74">
        <f t="shared" si="20"/>
        <v>78.164652669208209</v>
      </c>
      <c r="J295" s="74">
        <f t="shared" si="20"/>
        <v>82.472104705990546</v>
      </c>
      <c r="K295" s="74">
        <f t="shared" si="20"/>
        <v>12.062244895358971</v>
      </c>
    </row>
    <row r="296" spans="1:11" s="31" customFormat="1" x14ac:dyDescent="0.2">
      <c r="A296" s="5"/>
      <c r="B296" s="5"/>
      <c r="C296" s="72" t="str">
        <f>+'C1 Aprop Resumen 2000-2026'!B20</f>
        <v>* Información con corte a 28 de febrero</v>
      </c>
      <c r="D296" s="69"/>
      <c r="E296" s="69"/>
      <c r="F296" s="69"/>
      <c r="G296" s="69"/>
      <c r="H296" s="69"/>
      <c r="I296" s="69"/>
    </row>
    <row r="297" spans="1:11" x14ac:dyDescent="0.2">
      <c r="C297" s="1" t="s">
        <v>52</v>
      </c>
      <c r="D297" s="11"/>
    </row>
  </sheetData>
  <mergeCells count="82">
    <mergeCell ref="C137:C138"/>
    <mergeCell ref="I95:I96"/>
    <mergeCell ref="D218:K218"/>
    <mergeCell ref="D179:D180"/>
    <mergeCell ref="F95:F96"/>
    <mergeCell ref="E137:E138"/>
    <mergeCell ref="G137:G138"/>
    <mergeCell ref="C179:C180"/>
    <mergeCell ref="I179:I180"/>
    <mergeCell ref="I137:I138"/>
    <mergeCell ref="K137:K138"/>
    <mergeCell ref="D7:D8"/>
    <mergeCell ref="D2:K4"/>
    <mergeCell ref="E220:E221"/>
    <mergeCell ref="J137:J138"/>
    <mergeCell ref="F262:F263"/>
    <mergeCell ref="K179:K180"/>
    <mergeCell ref="E12:E13"/>
    <mergeCell ref="G12:G13"/>
    <mergeCell ref="F7:F8"/>
    <mergeCell ref="G7:G8"/>
    <mergeCell ref="I7:I8"/>
    <mergeCell ref="D12:D13"/>
    <mergeCell ref="H12:H13"/>
    <mergeCell ref="J12:J13"/>
    <mergeCell ref="H95:H96"/>
    <mergeCell ref="D51:K51"/>
    <mergeCell ref="C262:C263"/>
    <mergeCell ref="E179:E180"/>
    <mergeCell ref="D259:K259"/>
    <mergeCell ref="D93:K93"/>
    <mergeCell ref="D54:D55"/>
    <mergeCell ref="K95:K96"/>
    <mergeCell ref="J179:J180"/>
    <mergeCell ref="C54:C55"/>
    <mergeCell ref="H220:H221"/>
    <mergeCell ref="J220:J221"/>
    <mergeCell ref="K262:K263"/>
    <mergeCell ref="G220:G221"/>
    <mergeCell ref="H262:H263"/>
    <mergeCell ref="E54:E55"/>
    <mergeCell ref="C95:C96"/>
    <mergeCell ref="E95:E96"/>
    <mergeCell ref="C220:C221"/>
    <mergeCell ref="E262:E263"/>
    <mergeCell ref="F54:F55"/>
    <mergeCell ref="H54:H55"/>
    <mergeCell ref="G262:G263"/>
    <mergeCell ref="F137:F138"/>
    <mergeCell ref="H137:H138"/>
    <mergeCell ref="G179:G180"/>
    <mergeCell ref="F179:F180"/>
    <mergeCell ref="H179:H180"/>
    <mergeCell ref="D220:D221"/>
    <mergeCell ref="F220:F221"/>
    <mergeCell ref="D176:K176"/>
    <mergeCell ref="D262:D263"/>
    <mergeCell ref="I220:I221"/>
    <mergeCell ref="D137:D138"/>
    <mergeCell ref="D6:K6"/>
    <mergeCell ref="C12:C13"/>
    <mergeCell ref="J95:J96"/>
    <mergeCell ref="G95:G96"/>
    <mergeCell ref="D135:K135"/>
    <mergeCell ref="A6:C7"/>
    <mergeCell ref="E7:E8"/>
    <mergeCell ref="F12:F13"/>
    <mergeCell ref="D10:K10"/>
    <mergeCell ref="D95:D96"/>
    <mergeCell ref="A8:C8"/>
    <mergeCell ref="I12:I13"/>
    <mergeCell ref="K12:K13"/>
    <mergeCell ref="H7:H8"/>
    <mergeCell ref="J54:J55"/>
    <mergeCell ref="J7:J8"/>
    <mergeCell ref="K220:K221"/>
    <mergeCell ref="K7:K8"/>
    <mergeCell ref="I262:I263"/>
    <mergeCell ref="G54:G55"/>
    <mergeCell ref="J262:J263"/>
    <mergeCell ref="I54:I55"/>
    <mergeCell ref="K54:K55"/>
  </mergeCells>
  <pageMargins left="0.7" right="0.7" top="0.75" bottom="0.75" header="0.3" footer="0.3"/>
  <pageSetup orientation="portrait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Hoja16"/>
  <dimension ref="A1:X276"/>
  <sheetViews>
    <sheetView showGridLines="0" zoomScaleNormal="100" workbookViewId="0">
      <pane xSplit="3" ySplit="7" topLeftCell="D8" activePane="bottomRight" state="frozen"/>
      <selection activeCell="O5" sqref="O5:O6"/>
      <selection pane="topRight" activeCell="O5" sqref="O5:O6"/>
      <selection pane="bottomLeft" activeCell="O5" sqref="O5:O6"/>
      <selection pane="bottomRight" activeCell="A5" sqref="A5:C7"/>
    </sheetView>
  </sheetViews>
  <sheetFormatPr baseColWidth="10" defaultColWidth="11.42578125" defaultRowHeight="11.25" x14ac:dyDescent="0.2"/>
  <cols>
    <col min="1" max="2" width="2.7109375" style="3" customWidth="1"/>
    <col min="3" max="3" width="52.5703125" style="3" customWidth="1"/>
    <col min="4" max="22" width="10.7109375" style="3" customWidth="1"/>
    <col min="23" max="33" width="10.7109375" style="9" customWidth="1"/>
    <col min="34" max="34" width="11.42578125" style="9" customWidth="1"/>
    <col min="35" max="16384" width="11.42578125" style="9"/>
  </cols>
  <sheetData>
    <row r="1" spans="1:22" ht="16.5" customHeight="1" x14ac:dyDescent="0.2"/>
    <row r="2" spans="1:22" ht="16.5" customHeight="1" x14ac:dyDescent="0.2">
      <c r="D2" s="179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  <c r="Q2" s="158"/>
      <c r="R2" s="158"/>
      <c r="S2" s="158"/>
      <c r="T2" s="158"/>
      <c r="U2" s="158"/>
      <c r="V2" s="158"/>
    </row>
    <row r="3" spans="1:22" s="102" customFormat="1" ht="16.5" customHeight="1" x14ac:dyDescent="0.25">
      <c r="A3" s="120"/>
      <c r="B3" s="98"/>
      <c r="C3" s="98"/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</row>
    <row r="4" spans="1:22" s="102" customFormat="1" ht="15" customHeight="1" x14ac:dyDescent="0.25">
      <c r="A4" s="99"/>
      <c r="B4" s="98"/>
      <c r="C4" s="98"/>
      <c r="D4" s="161"/>
      <c r="E4" s="176"/>
      <c r="F4" s="176"/>
      <c r="G4" s="176"/>
      <c r="H4" s="176"/>
      <c r="I4" s="176"/>
      <c r="J4" s="176"/>
      <c r="K4" s="176"/>
      <c r="L4" s="176"/>
      <c r="M4" s="176"/>
      <c r="N4" s="176"/>
      <c r="O4" s="176"/>
      <c r="P4" s="176"/>
      <c r="Q4" s="176"/>
      <c r="R4" s="176"/>
      <c r="S4" s="176"/>
      <c r="T4" s="176"/>
      <c r="U4" s="176"/>
      <c r="V4" s="176"/>
    </row>
    <row r="5" spans="1:22" s="102" customFormat="1" ht="15" customHeight="1" x14ac:dyDescent="0.25">
      <c r="A5" s="165" t="s">
        <v>14</v>
      </c>
      <c r="B5" s="176"/>
      <c r="C5" s="176"/>
      <c r="D5" s="147"/>
      <c r="E5" s="147"/>
      <c r="F5" s="147"/>
      <c r="G5" s="147"/>
      <c r="H5" s="147"/>
      <c r="I5" s="147"/>
      <c r="J5" s="147"/>
      <c r="K5" s="147"/>
      <c r="L5" s="147"/>
      <c r="M5" s="147"/>
      <c r="N5" s="147"/>
      <c r="O5" s="147"/>
      <c r="P5" s="147"/>
      <c r="Q5" s="147"/>
      <c r="R5" s="147"/>
      <c r="S5" s="147"/>
      <c r="T5" s="147"/>
      <c r="U5" s="147"/>
      <c r="V5" s="147"/>
    </row>
    <row r="6" spans="1:22" s="102" customFormat="1" ht="15" customHeight="1" x14ac:dyDescent="0.25">
      <c r="A6" s="176"/>
      <c r="B6" s="176"/>
      <c r="C6" s="176"/>
      <c r="D6" s="151" t="s">
        <v>27</v>
      </c>
      <c r="E6" s="151" t="s">
        <v>28</v>
      </c>
      <c r="F6" s="151" t="s">
        <v>29</v>
      </c>
      <c r="G6" s="151" t="s">
        <v>30</v>
      </c>
      <c r="H6" s="151">
        <v>2004</v>
      </c>
      <c r="I6" s="151" t="s">
        <v>31</v>
      </c>
      <c r="J6" s="151" t="s">
        <v>32</v>
      </c>
      <c r="K6" s="151" t="s">
        <v>33</v>
      </c>
      <c r="L6" s="151" t="s">
        <v>34</v>
      </c>
      <c r="M6" s="151" t="s">
        <v>35</v>
      </c>
      <c r="N6" s="151">
        <v>2010</v>
      </c>
      <c r="O6" s="151">
        <v>2011</v>
      </c>
      <c r="P6" s="151">
        <v>2012</v>
      </c>
      <c r="Q6" s="151">
        <v>2013</v>
      </c>
      <c r="R6" s="151">
        <v>2014</v>
      </c>
      <c r="S6" s="151">
        <v>2015</v>
      </c>
      <c r="T6" s="151">
        <v>2016</v>
      </c>
      <c r="U6" s="151">
        <v>2017</v>
      </c>
      <c r="V6" s="151">
        <v>2018</v>
      </c>
    </row>
    <row r="7" spans="1:22" s="102" customFormat="1" ht="15" customHeight="1" x14ac:dyDescent="0.25">
      <c r="A7" s="162" t="s">
        <v>227</v>
      </c>
      <c r="B7" s="176"/>
      <c r="C7" s="176"/>
      <c r="D7" s="176"/>
      <c r="E7" s="176"/>
      <c r="F7" s="176"/>
      <c r="G7" s="176"/>
      <c r="H7" s="176"/>
      <c r="I7" s="176"/>
      <c r="J7" s="176"/>
      <c r="K7" s="176"/>
      <c r="L7" s="176"/>
      <c r="M7" s="176"/>
      <c r="N7" s="176"/>
      <c r="O7" s="176"/>
      <c r="P7" s="176"/>
      <c r="Q7" s="176"/>
      <c r="R7" s="176"/>
      <c r="S7" s="176"/>
      <c r="T7" s="176"/>
      <c r="U7" s="176"/>
      <c r="V7" s="176"/>
    </row>
    <row r="8" spans="1:22" s="102" customFormat="1" ht="15" customHeight="1" x14ac:dyDescent="0.25">
      <c r="A8" s="99"/>
      <c r="B8" s="98"/>
      <c r="C8" s="98"/>
      <c r="D8" s="98"/>
      <c r="E8" s="98"/>
      <c r="F8" s="98"/>
      <c r="G8" s="98"/>
      <c r="H8" s="98"/>
      <c r="I8" s="98"/>
      <c r="J8" s="98"/>
      <c r="K8" s="98"/>
      <c r="L8" s="98"/>
      <c r="M8" s="98"/>
      <c r="N8" s="98"/>
      <c r="O8" s="98"/>
      <c r="P8" s="98"/>
      <c r="Q8" s="98"/>
      <c r="R8" s="98"/>
      <c r="S8" s="98"/>
      <c r="T8" s="98"/>
      <c r="U8" s="98"/>
      <c r="V8" s="98"/>
    </row>
    <row r="9" spans="1:22" ht="15" customHeight="1" x14ac:dyDescent="0.2">
      <c r="C9" s="9"/>
      <c r="D9" s="160" t="s">
        <v>178</v>
      </c>
      <c r="E9" s="158"/>
      <c r="F9" s="158"/>
      <c r="G9" s="158"/>
      <c r="H9" s="158"/>
      <c r="I9" s="158"/>
      <c r="J9" s="158"/>
      <c r="K9" s="158"/>
      <c r="L9" s="158"/>
      <c r="M9" s="158"/>
      <c r="N9" s="158"/>
      <c r="O9" s="158"/>
      <c r="P9" s="158"/>
      <c r="Q9" s="158"/>
      <c r="R9" s="158"/>
      <c r="S9" s="158"/>
      <c r="T9" s="158"/>
      <c r="U9" s="158"/>
      <c r="V9" s="158"/>
    </row>
    <row r="10" spans="1:22" ht="15.75" customHeight="1" x14ac:dyDescent="0.2"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</row>
    <row r="11" spans="1:22" ht="9.9499999999999993" customHeight="1" x14ac:dyDescent="0.2">
      <c r="C11" s="177" t="s">
        <v>120</v>
      </c>
      <c r="D11" s="153" t="s">
        <v>27</v>
      </c>
      <c r="E11" s="153" t="s">
        <v>28</v>
      </c>
      <c r="F11" s="153" t="s">
        <v>29</v>
      </c>
      <c r="G11" s="153" t="s">
        <v>30</v>
      </c>
      <c r="H11" s="153" t="s">
        <v>121</v>
      </c>
      <c r="I11" s="153" t="s">
        <v>31</v>
      </c>
      <c r="J11" s="153" t="s">
        <v>32</v>
      </c>
      <c r="K11" s="153" t="s">
        <v>33</v>
      </c>
      <c r="L11" s="153" t="s">
        <v>34</v>
      </c>
      <c r="M11" s="153" t="s">
        <v>122</v>
      </c>
      <c r="N11" s="153">
        <v>2010</v>
      </c>
      <c r="O11" s="153">
        <v>2011</v>
      </c>
      <c r="P11" s="153">
        <v>2012</v>
      </c>
      <c r="Q11" s="153">
        <v>2013</v>
      </c>
      <c r="R11" s="153">
        <v>2014</v>
      </c>
      <c r="S11" s="153">
        <v>2015</v>
      </c>
      <c r="T11" s="153">
        <v>2016</v>
      </c>
      <c r="U11" s="153">
        <v>2017</v>
      </c>
      <c r="V11" s="153">
        <v>2018</v>
      </c>
    </row>
    <row r="12" spans="1:22" ht="9.9499999999999993" customHeight="1" thickBot="1" x14ac:dyDescent="0.25">
      <c r="C12" s="156"/>
      <c r="D12" s="154"/>
      <c r="E12" s="154"/>
      <c r="F12" s="154"/>
      <c r="G12" s="154"/>
      <c r="H12" s="154"/>
      <c r="I12" s="154"/>
      <c r="J12" s="154"/>
      <c r="K12" s="154"/>
      <c r="L12" s="154"/>
      <c r="M12" s="154"/>
      <c r="N12" s="154"/>
      <c r="O12" s="154"/>
      <c r="P12" s="154"/>
      <c r="Q12" s="154"/>
      <c r="R12" s="154"/>
      <c r="S12" s="154"/>
      <c r="T12" s="154"/>
      <c r="U12" s="154"/>
      <c r="V12" s="154"/>
    </row>
    <row r="13" spans="1:22" x14ac:dyDescent="0.2">
      <c r="C13" s="87" t="s">
        <v>123</v>
      </c>
      <c r="D13" s="56">
        <f>239.948334905*Deflactores!$A$5</f>
        <v>871.14661766748736</v>
      </c>
      <c r="E13" s="56">
        <f>236.429819511*Deflactores!$B$5</f>
        <v>797.38593875762706</v>
      </c>
      <c r="F13" s="56">
        <f>244.479754339*Deflactores!$C$5</f>
        <v>770.65245233385076</v>
      </c>
      <c r="G13" s="56">
        <f>287.346922097*Deflactores!$D$5</f>
        <v>850.56563677175666</v>
      </c>
      <c r="H13" s="56">
        <f>270.665247227*Deflactores!$E$5</f>
        <v>759.44047813922259</v>
      </c>
      <c r="I13" s="56">
        <f>289.96269958*Deflactores!$F$5</f>
        <v>775.9139303425527</v>
      </c>
      <c r="J13" s="56">
        <f>405.113899604*Deflactores!$G$5</f>
        <v>1037.5855696622102</v>
      </c>
      <c r="K13" s="56">
        <f>435.882848*Deflactores!$H$5</f>
        <v>1056.2441811542283</v>
      </c>
      <c r="L13" s="56">
        <f>744.0099*Deflactores!$I$5</f>
        <v>1674.406568575263</v>
      </c>
      <c r="M13" s="56">
        <f>345.1489*Deflactores!$J$5</f>
        <v>761.51914894290553</v>
      </c>
      <c r="N13" s="56">
        <f>415.6007*Deflactores!$K$5</f>
        <v>888.77540878846344</v>
      </c>
      <c r="O13" s="56">
        <f>288.6703*Deflactores!$L$5</f>
        <v>595.15126862088619</v>
      </c>
      <c r="P13" s="56">
        <f>442.2660538*Deflactores!$M$5</f>
        <v>890.10101573425015</v>
      </c>
      <c r="Q13" s="56">
        <f>1416.008288392*Deflactores!$N$5</f>
        <v>2795.6117458518293</v>
      </c>
      <c r="R13" s="56">
        <f>419.795023402*Deflactores!$O$5</f>
        <v>799.53437852259788</v>
      </c>
      <c r="S13" s="56">
        <f>534.333841182*Deflactores!$P$5</f>
        <v>953.15448168614319</v>
      </c>
      <c r="T13" s="56">
        <f>531.192156513*Deflactores!$Q$5</f>
        <v>896.02864027951694</v>
      </c>
      <c r="U13" s="56">
        <f>594.493720535*Deflactores!$R$5</f>
        <v>963.40412369790749</v>
      </c>
      <c r="V13" s="56">
        <f>685.432306883*Deflactores!$S$5</f>
        <v>1076.5402603187003</v>
      </c>
    </row>
    <row r="14" spans="1:22" x14ac:dyDescent="0.2">
      <c r="C14" s="88" t="s">
        <v>124</v>
      </c>
      <c r="D14" s="57">
        <f>93.775796859*Deflactores!$A$5</f>
        <v>340.45857532262016</v>
      </c>
      <c r="E14" s="57">
        <f>97.251305587*Deflactores!$B$5</f>
        <v>327.99087594484655</v>
      </c>
      <c r="F14" s="57">
        <f>102.819736516*Deflactores!$C$5</f>
        <v>324.10979104839316</v>
      </c>
      <c r="G14" s="57">
        <f>110.4942676*Deflactores!$D$5</f>
        <v>327.07024106942436</v>
      </c>
      <c r="H14" s="57">
        <f>111.317485167*Deflactores!$E$5</f>
        <v>312.33786024099948</v>
      </c>
      <c r="I14" s="57">
        <f>118.847202884*Deflactores!$F$5</f>
        <v>318.02435428251096</v>
      </c>
      <c r="J14" s="57">
        <f>124.194613801*Deflactores!$G$5</f>
        <v>318.08965141816236</v>
      </c>
      <c r="K14" s="57">
        <f>134.082646611*Deflactores!$H$5</f>
        <v>324.91302634745438</v>
      </c>
      <c r="L14" s="57">
        <f>1053.453945815*Deflactores!$I$5</f>
        <v>2370.8155046917591</v>
      </c>
      <c r="M14" s="57">
        <f>1263.270433444*Deflactores!$J$5</f>
        <v>2787.2162575659672</v>
      </c>
      <c r="N14" s="57">
        <f>1397.872596732*Deflactores!$K$5</f>
        <v>2989.3953224685956</v>
      </c>
      <c r="O14" s="57">
        <f>1107.068853688*Deflactores!$L$5</f>
        <v>2282.4427477405311</v>
      </c>
      <c r="P14" s="57">
        <f>237.813748668*Deflactores!$M$5</f>
        <v>478.62199105310685</v>
      </c>
      <c r="Q14" s="57">
        <f>272.289069*Deflactores!$N$5</f>
        <v>537.57772874894977</v>
      </c>
      <c r="R14" s="57">
        <f>280.407476344*Deflactores!$O$5</f>
        <v>534.05925471655303</v>
      </c>
      <c r="S14" s="57">
        <f>283.911320172*Deflactores!$P$5</f>
        <v>506.44620715908968</v>
      </c>
      <c r="T14" s="57">
        <f>290.024351777*Deflactores!$Q$5</f>
        <v>489.22056243564606</v>
      </c>
      <c r="U14" s="57">
        <f>303.55378375*Deflactores!$R$5</f>
        <v>491.92271831849496</v>
      </c>
      <c r="V14" s="57">
        <f>322.619312472*Deflactores!$S$5</f>
        <v>506.70602354862677</v>
      </c>
    </row>
    <row r="15" spans="1:22" x14ac:dyDescent="0.2">
      <c r="C15" s="87" t="s">
        <v>125</v>
      </c>
      <c r="D15" s="56">
        <f>8.076027476*Deflactores!$A$5</f>
        <v>29.320495275337262</v>
      </c>
      <c r="E15" s="56">
        <f>6.037456523*Deflactores!$B$5</f>
        <v>20.361995569161834</v>
      </c>
      <c r="F15" s="56">
        <f>5.864016031*Deflactores!$C$5</f>
        <v>18.484632181644269</v>
      </c>
      <c r="G15" s="56">
        <f>6.296606322*Deflactores!$D$5</f>
        <v>18.638365522373952</v>
      </c>
      <c r="H15" s="56">
        <f>6.689113126*Deflactores!$E$5</f>
        <v>18.768509525259951</v>
      </c>
      <c r="I15" s="56">
        <f>6.715021627*Deflactores!$F$5</f>
        <v>17.968789883966817</v>
      </c>
      <c r="J15" s="56">
        <f>7.379951357*Deflactores!$G$5</f>
        <v>18.901674418767932</v>
      </c>
      <c r="K15" s="56">
        <f>8.298163276*Deflactores!$H$5</f>
        <v>20.108354147816133</v>
      </c>
      <c r="L15" s="56">
        <f>8.039089093*Deflactores!$I$5</f>
        <v>18.092102783418543</v>
      </c>
      <c r="M15" s="56">
        <f>28.940939704*Deflactores!$J$5</f>
        <v>63.85383170277531</v>
      </c>
      <c r="N15" s="56">
        <f>26.312060741*Deflactores!$K$5</f>
        <v>56.26918467930674</v>
      </c>
      <c r="O15" s="56">
        <f>10.479912615*Deflactores!$L$5</f>
        <v>21.606425350489047</v>
      </c>
      <c r="P15" s="56">
        <f>16.938482499*Deflactores!$M$5</f>
        <v>34.090250309318947</v>
      </c>
      <c r="Q15" s="56">
        <f>17.628*Deflactores!$N$5</f>
        <v>34.802793359238692</v>
      </c>
      <c r="R15" s="56">
        <f>22.785*Deflactores!$O$5</f>
        <v>43.395918958267956</v>
      </c>
      <c r="S15" s="56">
        <f>21.30448316*Deflactores!$P$5</f>
        <v>38.003326832231011</v>
      </c>
      <c r="T15" s="56">
        <f>21.872865769*Deflactores!$Q$5</f>
        <v>36.895714542678526</v>
      </c>
      <c r="U15" s="56">
        <f>23.431825456*Deflactores!$R$5</f>
        <v>37.972339303710058</v>
      </c>
      <c r="V15" s="56">
        <f>23.7000418*Deflactores!$S$5</f>
        <v>37.223295302436341</v>
      </c>
    </row>
    <row r="16" spans="1:22" x14ac:dyDescent="0.2">
      <c r="C16" s="88" t="s">
        <v>126</v>
      </c>
      <c r="D16" s="57">
        <f>156.143214566*Deflactores!$A$5</f>
        <v>566.88717300227961</v>
      </c>
      <c r="E16" s="57">
        <f>156.9940454*Deflactores!$B$5</f>
        <v>529.47992994095341</v>
      </c>
      <c r="F16" s="57">
        <f>159.196142188899*Deflactores!$C$5</f>
        <v>501.82027428678748</v>
      </c>
      <c r="G16" s="57">
        <f>162.95288252*Deflactores!$D$5</f>
        <v>482.3511637881021</v>
      </c>
      <c r="H16" s="57">
        <f>157.803685026*Deflactores!$E$5</f>
        <v>442.77020133200875</v>
      </c>
      <c r="I16" s="57">
        <f>177.998474508*Deflactores!$F$5</f>
        <v>476.30780148801978</v>
      </c>
      <c r="J16" s="57">
        <f>259.575076922*Deflactores!$G$5</f>
        <v>664.82871686579404</v>
      </c>
      <c r="K16" s="57">
        <f>248.998823052*Deflactores!$H$5</f>
        <v>603.38129653343537</v>
      </c>
      <c r="L16" s="57">
        <f>253.893415943*Deflactores!$I$5</f>
        <v>571.391326073713</v>
      </c>
      <c r="M16" s="57">
        <f>297.85042*Deflactores!$J$5</f>
        <v>657.16216494007938</v>
      </c>
      <c r="N16" s="57">
        <f>248.149599999999*Deflactores!$K$5</f>
        <v>530.67586792008001</v>
      </c>
      <c r="O16" s="57">
        <f>378.1715*Deflactores!$L$5</f>
        <v>779.67580309184359</v>
      </c>
      <c r="P16" s="57">
        <f>507.921555731*Deflactores!$M$5</f>
        <v>1022.2387379383438</v>
      </c>
      <c r="Q16" s="57">
        <f>708.939313226*Deflactores!$N$5</f>
        <v>1399.6521682802968</v>
      </c>
      <c r="R16" s="57">
        <f>623.18542838*Deflactores!$O$5</f>
        <v>1186.9082442814122</v>
      </c>
      <c r="S16" s="57">
        <f>583.550582592*Deflactores!$P$5</f>
        <v>1040.9482054472235</v>
      </c>
      <c r="T16" s="57">
        <f>563.890997796*Deflactores!$Q$5</f>
        <v>951.18588974994498</v>
      </c>
      <c r="U16" s="57">
        <f>631.324340478*Deflactores!$R$5</f>
        <v>1023.0898191153541</v>
      </c>
      <c r="V16" s="57">
        <f>591.964505489*Deflactores!$S$5</f>
        <v>929.73969338643712</v>
      </c>
    </row>
    <row r="17" spans="3:22" x14ac:dyDescent="0.2">
      <c r="C17" s="87" t="s">
        <v>127</v>
      </c>
      <c r="D17" s="56">
        <f>194.10744778*Deflactores!$A$5</f>
        <v>704.71856645541504</v>
      </c>
      <c r="E17" s="56">
        <f>198.518820268*Deflactores!$B$5</f>
        <v>669.52686504542646</v>
      </c>
      <c r="F17" s="56">
        <f>194.468797251*Deflactores!$C$5</f>
        <v>613.00722388688314</v>
      </c>
      <c r="G17" s="56">
        <f>213.374907985*Deflactores!$D$5</f>
        <v>631.60364884684918</v>
      </c>
      <c r="H17" s="56">
        <f>230.193360479*Deflactores!$E$5</f>
        <v>645.88327292728013</v>
      </c>
      <c r="I17" s="56">
        <f>243.807433626*Deflactores!$F$5</f>
        <v>652.40661762872094</v>
      </c>
      <c r="J17" s="56">
        <f>259.254682913*Deflactores!$G$5</f>
        <v>664.00811752158597</v>
      </c>
      <c r="K17" s="56">
        <f>276.467705615*Deflactores!$H$5</f>
        <v>669.94470342844033</v>
      </c>
      <c r="L17" s="56">
        <f>302.109*Deflactores!$I$5</f>
        <v>679.90129435872302</v>
      </c>
      <c r="M17" s="56">
        <f>328.419350642*Deflactores!$J$5</f>
        <v>724.60791385189839</v>
      </c>
      <c r="N17" s="56">
        <f>339.682733535*Deflactores!$K$5</f>
        <v>726.42240582355214</v>
      </c>
      <c r="O17" s="56">
        <f>353.797018673*Deflactores!$L$5</f>
        <v>729.42295933292519</v>
      </c>
      <c r="P17" s="56">
        <f>382.936160401*Deflactores!$M$5</f>
        <v>770.69416114048545</v>
      </c>
      <c r="Q17" s="56">
        <f>405.385*Deflactores!$N$5</f>
        <v>800.34776412156668</v>
      </c>
      <c r="R17" s="56">
        <f>411.6535*Deflactores!$O$5</f>
        <v>784.02817313528021</v>
      </c>
      <c r="S17" s="56">
        <f>420.938028437*Deflactores!$P$5</f>
        <v>750.87695630379528</v>
      </c>
      <c r="T17" s="56">
        <f>448.293177029*Deflactores!$Q$5</f>
        <v>756.19250196901044</v>
      </c>
      <c r="U17" s="56">
        <f>486.381577794*Deflactores!$R$5</f>
        <v>788.20347726422642</v>
      </c>
      <c r="V17" s="56">
        <f>515.535488892*Deflactores!$S$5</f>
        <v>809.70024879503819</v>
      </c>
    </row>
    <row r="18" spans="3:22" x14ac:dyDescent="0.2">
      <c r="C18" s="88" t="s">
        <v>128</v>
      </c>
      <c r="D18" s="57">
        <f>40.541004522*Deflactores!$A$5</f>
        <v>147.18651404755667</v>
      </c>
      <c r="E18" s="57">
        <f>43.467022193*Deflactores!$B$5</f>
        <v>146.59738085513087</v>
      </c>
      <c r="F18" s="57">
        <f>50.080684435*Deflactores!$C$5</f>
        <v>157.86502395153022</v>
      </c>
      <c r="G18" s="57">
        <f>54.607382254*Deflactores!$D$5</f>
        <v>161.64141421926567</v>
      </c>
      <c r="H18" s="57">
        <f>60.290253197*Deflactores!$E$5</f>
        <v>169.16415825140714</v>
      </c>
      <c r="I18" s="57">
        <f>72.18536791*Deflactores!$F$5</f>
        <v>193.16150873681033</v>
      </c>
      <c r="J18" s="57">
        <f>76.214977348*Deflactores!$G$5</f>
        <v>195.20327682095711</v>
      </c>
      <c r="K18" s="57">
        <f>86.824813281*Deflactores!$H$5</f>
        <v>210.39644993752682</v>
      </c>
      <c r="L18" s="57">
        <f>108.022563263*Deflactores!$I$5</f>
        <v>243.10656280501655</v>
      </c>
      <c r="M18" s="57">
        <f>107.519907084*Deflactores!$J$5</f>
        <v>237.22650756536657</v>
      </c>
      <c r="N18" s="57">
        <f>117.912257637*Deflactores!$K$5</f>
        <v>252.15913972833852</v>
      </c>
      <c r="O18" s="57">
        <f>123.973447429*Deflactores!$L$5</f>
        <v>255.59593249694925</v>
      </c>
      <c r="P18" s="57">
        <f>155.658134943*Deflactores!$M$5</f>
        <v>313.27627980853021</v>
      </c>
      <c r="Q18" s="57">
        <f>217.11863477*Deflactores!$N$5</f>
        <v>428.65526323691444</v>
      </c>
      <c r="R18" s="57">
        <f>201.485725434*Deflactores!$O$5</f>
        <v>383.74624587148088</v>
      </c>
      <c r="S18" s="57">
        <f>220.914620246*Deflactores!$P$5</f>
        <v>394.07154128900896</v>
      </c>
      <c r="T18" s="57">
        <f>209.312406401*Deflactores!$Q$5</f>
        <v>353.07356970835042</v>
      </c>
      <c r="U18" s="57">
        <f>217.105664315*Deflactores!$R$5</f>
        <v>351.8296073691339</v>
      </c>
      <c r="V18" s="57">
        <f>261.090605027*Deflactores!$S$5</f>
        <v>410.06901057920453</v>
      </c>
    </row>
    <row r="19" spans="3:22" x14ac:dyDescent="0.2">
      <c r="C19" s="87" t="s">
        <v>129</v>
      </c>
      <c r="D19" s="56">
        <f>6187.57362266394*Deflactores!$A$5</f>
        <v>22464.35189928018</v>
      </c>
      <c r="E19" s="56">
        <f>6997.2106694965*Deflactores!$B$5</f>
        <v>23598.873483561423</v>
      </c>
      <c r="F19" s="56">
        <f>7841.53240068584*Deflactores!$C$5</f>
        <v>24718.186546704499</v>
      </c>
      <c r="G19" s="56">
        <f>9027.40786831971*Deflactores!$D$5</f>
        <v>26721.716265064824</v>
      </c>
      <c r="H19" s="56">
        <f>10288.1799500345*Deflactores!$E$5</f>
        <v>28866.876632609514</v>
      </c>
      <c r="I19" s="56">
        <f>11324.0734353806*Deflactores!$F$5</f>
        <v>30302.195211524715</v>
      </c>
      <c r="J19" s="56">
        <f>12181.6132428751*Deflactores!$G$5</f>
        <v>31199.783883911168</v>
      </c>
      <c r="K19" s="56">
        <f>13679.6631413891*Deflactores!$H$5</f>
        <v>33148.963441759945</v>
      </c>
      <c r="L19" s="56">
        <f>15203.6307694155*Deflactores!$I$5</f>
        <v>34216.022161132925</v>
      </c>
      <c r="M19" s="56">
        <f>17408.3051282613*Deflactores!$J$5</f>
        <v>38408.807635811572</v>
      </c>
      <c r="N19" s="56">
        <f>18929.4001390561*Deflactores!$K$5</f>
        <v>40481.128512800824</v>
      </c>
      <c r="O19" s="56">
        <f>20481.0950050524*Deflactores!$L$5</f>
        <v>42225.853075296734</v>
      </c>
      <c r="P19" s="56">
        <f>22045.569281997*Deflactores!$M$5</f>
        <v>44368.731087869244</v>
      </c>
      <c r="Q19" s="56">
        <f>23554.215146291*Deflactores!$N$5</f>
        <v>46502.863766474693</v>
      </c>
      <c r="R19" s="56">
        <f>24658.7790661103*Deflactores!$O$5</f>
        <v>46964.686327090494</v>
      </c>
      <c r="S19" s="56">
        <f>25842.5158529113*Deflactores!$P$5</f>
        <v>46098.352574411823</v>
      </c>
      <c r="T19" s="56">
        <f>27872.7143658875*Deflactores!$Q$5</f>
        <v>47016.414018820928</v>
      </c>
      <c r="U19" s="56">
        <f>28980.4871029345*Deflactores!$R$5</f>
        <v>46964.197967667817</v>
      </c>
      <c r="V19" s="56">
        <f>30604.9008965486*Deflactores!$S$5</f>
        <v>48068.069811337933</v>
      </c>
    </row>
    <row r="20" spans="3:22" x14ac:dyDescent="0.2">
      <c r="C20" s="88" t="s">
        <v>130</v>
      </c>
      <c r="D20" s="57">
        <f>7.040751078*Deflactores!$A$5</f>
        <v>25.561863098015632</v>
      </c>
      <c r="E20" s="57">
        <f>7.033691301*Deflactores!$B$5</f>
        <v>23.721908482522441</v>
      </c>
      <c r="F20" s="57">
        <f>8.038457759*Deflactores!$C$5</f>
        <v>25.338937376243926</v>
      </c>
      <c r="G20" s="57">
        <f>7.032426302*Deflactores!$D$5</f>
        <v>20.816440670249762</v>
      </c>
      <c r="H20" s="57">
        <f>8.579946332*Deflactores!$E$5</f>
        <v>24.073864714956116</v>
      </c>
      <c r="I20" s="57">
        <f>8.770015362*Deflactores!$F$5</f>
        <v>23.467767056074621</v>
      </c>
      <c r="J20" s="57">
        <f>9.301780708*Deflactores!$G$5</f>
        <v>23.823900992331794</v>
      </c>
      <c r="K20" s="57">
        <f>9.830843245*Deflactores!$H$5</f>
        <v>23.822389481520965</v>
      </c>
      <c r="L20" s="57">
        <f>10.568003343*Deflactores!$I$5</f>
        <v>23.783466072487126</v>
      </c>
      <c r="M20" s="57">
        <f>11.110079229*Deflactores!$J$5</f>
        <v>24.512719232645193</v>
      </c>
      <c r="N20" s="57">
        <f>14.490858386*Deflactores!$K$5</f>
        <v>30.989164805816937</v>
      </c>
      <c r="O20" s="57">
        <f>12.192414686*Deflactores!$L$5</f>
        <v>25.137089156469589</v>
      </c>
      <c r="P20" s="57">
        <f>20.479986817*Deflactores!$M$5</f>
        <v>41.217852718760376</v>
      </c>
      <c r="Q20" s="57">
        <f>24.652914916*Deflactores!$N$5</f>
        <v>48.672016310667196</v>
      </c>
      <c r="R20" s="57">
        <f>25.257295687*Deflactores!$O$5</f>
        <v>48.104610785080659</v>
      </c>
      <c r="S20" s="57">
        <f>28.6916633*Deflactores!$P$5</f>
        <v>51.180713916470701</v>
      </c>
      <c r="T20" s="57">
        <f>63.544100396*Deflactores!$Q$5</f>
        <v>107.18782869343733</v>
      </c>
      <c r="U20" s="57">
        <f>56.405723673*Deflactores!$R$5</f>
        <v>91.408041682643145</v>
      </c>
      <c r="V20" s="57">
        <f>38.074689811*Deflactores!$S$5</f>
        <v>59.800123322293757</v>
      </c>
    </row>
    <row r="21" spans="3:22" x14ac:dyDescent="0.2">
      <c r="C21" s="87" t="s">
        <v>131</v>
      </c>
      <c r="D21" s="56">
        <f>5026.784184154*Deflactores!$A$5</f>
        <v>18250.037206984289</v>
      </c>
      <c r="E21" s="56">
        <f>7520.5951337695*Deflactores!$B$5</f>
        <v>25364.045970004347</v>
      </c>
      <c r="F21" s="56">
        <f>8475.066225064*Deflactores!$C$5</f>
        <v>26715.22060260623</v>
      </c>
      <c r="G21" s="56">
        <f>9908.728394185*Deflactores!$D$5</f>
        <v>29330.482521588638</v>
      </c>
      <c r="H21" s="56">
        <f>11169.727989218*Deflactores!$E$5</f>
        <v>31340.349940465443</v>
      </c>
      <c r="I21" s="56">
        <f>11996.112239753*Deflactores!$F$5</f>
        <v>32100.510204448256</v>
      </c>
      <c r="J21" s="56">
        <f>12913.102755517*Deflactores!$G$5</f>
        <v>33073.288997950418</v>
      </c>
      <c r="K21" s="56">
        <f>13738.101093922*Deflactores!$H$5</f>
        <v>33290.572012972742</v>
      </c>
      <c r="L21" s="56">
        <f>15421.91419892*Deflactores!$I$5</f>
        <v>34707.272624565565</v>
      </c>
      <c r="M21" s="56">
        <f>17870.245389914*Deflactores!$J$5</f>
        <v>39428.009362707482</v>
      </c>
      <c r="N21" s="56">
        <f>19823.485249836*Deflactores!$K$5</f>
        <v>42393.158160068226</v>
      </c>
      <c r="O21" s="56">
        <f>20824.423398305*Deflactores!$L$5</f>
        <v>42933.692880076982</v>
      </c>
      <c r="P21" s="56">
        <f>22161.411308599*Deflactores!$M$5</f>
        <v>44601.873796103828</v>
      </c>
      <c r="Q21" s="56">
        <f>23706.115138524*Deflactores!$N$5</f>
        <v>46802.758481754652</v>
      </c>
      <c r="R21" s="56">
        <f>25028.472035817*Deflactores!$O$5</f>
        <v>47668.797196207612</v>
      </c>
      <c r="S21" s="56">
        <f>26600.009693647*Deflactores!$P$5</f>
        <v>47449.583946075887</v>
      </c>
      <c r="T21" s="56">
        <f>29014.320625397*Deflactores!$Q$5</f>
        <v>48942.104923516825</v>
      </c>
      <c r="U21" s="56">
        <f>32320.775716977*Deflactores!$R$5</f>
        <v>52377.287650454891</v>
      </c>
      <c r="V21" s="56">
        <f>34817.577163403*Deflactores!$S$5</f>
        <v>54684.500871585537</v>
      </c>
    </row>
    <row r="22" spans="3:22" x14ac:dyDescent="0.2">
      <c r="C22" s="88" t="s">
        <v>132</v>
      </c>
      <c r="D22" s="57">
        <f>31.422493772*Deflactores!$A$5</f>
        <v>114.08122160544769</v>
      </c>
      <c r="E22" s="57">
        <f>32.852223326*Deflactores!$B$5</f>
        <v>110.79778765325729</v>
      </c>
      <c r="F22" s="57">
        <f>36.01638912*Deflactores!$C$5</f>
        <v>113.53135835146124</v>
      </c>
      <c r="G22" s="57">
        <f>36.593676*Deflactores!$D$5</f>
        <v>108.31966843985315</v>
      </c>
      <c r="H22" s="57">
        <f>37.3799408*Deflactores!$E$5</f>
        <v>104.88173271155007</v>
      </c>
      <c r="I22" s="57">
        <f>35.163247233*Deflactores!$F$5</f>
        <v>94.09366585317099</v>
      </c>
      <c r="J22" s="57">
        <f>54.620066*Deflactores!$G$5</f>
        <v>139.8939714262965</v>
      </c>
      <c r="K22" s="57">
        <f>77.19488*Deflactores!$H$5</f>
        <v>187.06091141007437</v>
      </c>
      <c r="L22" s="57">
        <f>71.574404135*Deflactores!$I$5</f>
        <v>161.07937868233265</v>
      </c>
      <c r="M22" s="57">
        <f>97.87242932*Deflactores!$J$5</f>
        <v>215.94079853866279</v>
      </c>
      <c r="N22" s="57">
        <f>71.045738801*Deflactores!$K$5</f>
        <v>151.93358804625973</v>
      </c>
      <c r="O22" s="57">
        <f>71.982737*Deflactores!$L$5</f>
        <v>148.40673683559965</v>
      </c>
      <c r="P22" s="57">
        <f>71.616626908*Deflactores!$M$5</f>
        <v>144.13503321486806</v>
      </c>
      <c r="Q22" s="57">
        <f>101.356571*Deflactores!$N$5</f>
        <v>200.10731768289116</v>
      </c>
      <c r="R22" s="57">
        <f>101.251424*Deflactores!$O$5</f>
        <v>192.84172000496937</v>
      </c>
      <c r="S22" s="57">
        <f>99.062634343*Deflactores!$P$5</f>
        <v>176.70973951938956</v>
      </c>
      <c r="T22" s="57">
        <f>81.586214126*Deflactores!$Q$5</f>
        <v>137.62173182066596</v>
      </c>
      <c r="U22" s="57">
        <f>83.18253012*Deflactores!$R$5</f>
        <v>134.80107487950389</v>
      </c>
      <c r="V22" s="57">
        <f>89.387012919*Deflactores!$S$5</f>
        <v>140.3912788916106</v>
      </c>
    </row>
    <row r="23" spans="3:22" x14ac:dyDescent="0.2">
      <c r="C23" s="87" t="s">
        <v>133</v>
      </c>
      <c r="D23" s="56">
        <f>618.551344317*Deflactores!$A$5</f>
        <v>2245.6872295812022</v>
      </c>
      <c r="E23" s="56">
        <f>634.01750337026*Deflactores!$B$5</f>
        <v>2138.2947513105069</v>
      </c>
      <c r="F23" s="56">
        <f>675.732500803*Deflactores!$C$5</f>
        <v>2130.0533055323249</v>
      </c>
      <c r="G23" s="56">
        <f>707.142005621*Deflactores!$D$5</f>
        <v>2093.1864726779427</v>
      </c>
      <c r="H23" s="56">
        <f>751.266400265*Deflactores!$E$5</f>
        <v>2107.9252695810078</v>
      </c>
      <c r="I23" s="56">
        <f>828.06493908984*Deflactores!$F$5</f>
        <v>2215.8268025463672</v>
      </c>
      <c r="J23" s="56">
        <f>911.05842762684*Deflactores!$G$5</f>
        <v>2333.420498651828</v>
      </c>
      <c r="K23" s="56">
        <f>1031.14874083732*Deflactores!$H$5</f>
        <v>2498.7100603094359</v>
      </c>
      <c r="L23" s="56">
        <f>1192.048836764*Deflactores!$I$5</f>
        <v>2682.7255959096015</v>
      </c>
      <c r="M23" s="56">
        <f>1378.522764643*Deflactores!$J$5</f>
        <v>3041.5031962418498</v>
      </c>
      <c r="N23" s="56">
        <f>1509.187595966*Deflactores!$K$5</f>
        <v>3227.4460137895821</v>
      </c>
      <c r="O23" s="56">
        <f>1597.482917926*Deflactores!$L$5</f>
        <v>3293.5289331942145</v>
      </c>
      <c r="P23" s="56">
        <f>1910.294646491*Deflactores!$M$5</f>
        <v>3844.6432652555968</v>
      </c>
      <c r="Q23" s="56">
        <f>2132.731411004*Deflactores!$N$5</f>
        <v>4210.6314152444857</v>
      </c>
      <c r="R23" s="56">
        <f>2542.889408243*Deflactores!$O$5</f>
        <v>4843.1434136471889</v>
      </c>
      <c r="S23" s="56">
        <f>2856.432446261*Deflactores!$P$5</f>
        <v>5095.3564568635111</v>
      </c>
      <c r="T23" s="56">
        <f>3065.102315878*Deflactores!$Q$5</f>
        <v>5170.2937001980163</v>
      </c>
      <c r="U23" s="56">
        <f>3269.505813905*Deflactores!$R$5</f>
        <v>5298.3829345341546</v>
      </c>
      <c r="V23" s="56">
        <f>3606.506133438*Deflactores!$S$5</f>
        <v>5664.3800018534375</v>
      </c>
    </row>
    <row r="24" spans="3:22" x14ac:dyDescent="0.2">
      <c r="C24" s="88" t="s">
        <v>134</v>
      </c>
      <c r="D24" s="57">
        <f>6486.02480785699*Deflactores!$A$5</f>
        <v>23547.896574106595</v>
      </c>
      <c r="E24" s="57">
        <f>5445.334890651*Deflactores!$B$5</f>
        <v>18364.999316126421</v>
      </c>
      <c r="F24" s="57">
        <f>5334.51245670099*Deflactores!$C$5</f>
        <v>16815.523714334358</v>
      </c>
      <c r="G24" s="57">
        <f>4044.375214605*Deflactores!$D$5</f>
        <v>11971.614502253709</v>
      </c>
      <c r="H24" s="57">
        <f>4936.32871992*Deflactores!$E$5</f>
        <v>13850.49570166782</v>
      </c>
      <c r="I24" s="57">
        <f>5612.83497033302*Deflactores!$F$5</f>
        <v>15019.438184647139</v>
      </c>
      <c r="J24" s="57">
        <f>5629.93768181802*Deflactores!$G$5</f>
        <v>14419.505483425815</v>
      </c>
      <c r="K24" s="57">
        <f>6824.14888976918*Deflactores!$H$5</f>
        <v>16536.478985630521</v>
      </c>
      <c r="L24" s="57">
        <f>7297.762510033*Deflactores!$I$5</f>
        <v>16423.735064145723</v>
      </c>
      <c r="M24" s="57">
        <f>7702.337225002*Deflactores!$J$5</f>
        <v>16994.048911802365</v>
      </c>
      <c r="N24" s="57">
        <f>8671.215414589*Deflactores!$K$5</f>
        <v>18543.671906217107</v>
      </c>
      <c r="O24" s="57">
        <f>7146.106467995*Deflactores!$L$5</f>
        <v>14733.12055354203</v>
      </c>
      <c r="P24" s="57">
        <f>7727.038565345*Deflactores!$M$5</f>
        <v>15551.374148063334</v>
      </c>
      <c r="Q24" s="57">
        <f>11758.37042017*Deflactores!$N$5</f>
        <v>23214.439299668775</v>
      </c>
      <c r="R24" s="57">
        <f>14554.090101597*Deflactores!$O$5</f>
        <v>27719.469587897005</v>
      </c>
      <c r="S24" s="57">
        <f>15074.9257115278*Deflactores!$P$5</f>
        <v>26890.928284166534</v>
      </c>
      <c r="T24" s="57">
        <f>16632.9407636171*Deflactores!$Q$5</f>
        <v>28056.873795177813</v>
      </c>
      <c r="U24" s="57">
        <f>19672.099514363*Deflactores!$R$5</f>
        <v>31879.532347082437</v>
      </c>
      <c r="V24" s="57">
        <f>11429.235615251*Deflactores!$S$5</f>
        <v>17950.762111635206</v>
      </c>
    </row>
    <row r="25" spans="3:22" x14ac:dyDescent="0.2">
      <c r="C25" s="87" t="s">
        <v>135</v>
      </c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</row>
    <row r="26" spans="3:22" x14ac:dyDescent="0.2">
      <c r="C26" s="88" t="s">
        <v>136</v>
      </c>
      <c r="D26" s="57">
        <f>144.146299941*Deflactores!$A$5</f>
        <v>523.3316650961624</v>
      </c>
      <c r="E26" s="57">
        <f>148.154102043*Deflactores!$B$5</f>
        <v>499.66623492200608</v>
      </c>
      <c r="F26" s="57">
        <f>167.268442622*Deflactores!$C$5</f>
        <v>527.26589100693047</v>
      </c>
      <c r="G26" s="57">
        <f>154.287524551*Deflactores!$D$5</f>
        <v>456.7011388462318</v>
      </c>
      <c r="H26" s="57">
        <f>157.962922181*Deflactores!$E$5</f>
        <v>443.21699360537849</v>
      </c>
      <c r="I26" s="57">
        <f>165.1148480762*Deflactores!$F$5</f>
        <v>441.83238366275185</v>
      </c>
      <c r="J26" s="57">
        <f>353.340006887*Deflactores!$G$5</f>
        <v>904.98127239936662</v>
      </c>
      <c r="K26" s="57">
        <f>270.279663512*Deflactores!$H$5</f>
        <v>654.94965718144704</v>
      </c>
      <c r="L26" s="57">
        <f>358.368026*Deflactores!$I$5</f>
        <v>806.51316158797158</v>
      </c>
      <c r="M26" s="57">
        <f>551.075084637*Deflactores!$J$5</f>
        <v>1215.8643109000432</v>
      </c>
      <c r="N26" s="57">
        <f>673.216515967*Deflactores!$K$5</f>
        <v>1439.6950827602445</v>
      </c>
      <c r="O26" s="57">
        <f>883.339490416*Deflactores!$L$5</f>
        <v>1821.1801433815999</v>
      </c>
      <c r="P26" s="57">
        <f>1447.981250636*Deflactores!$M$5</f>
        <v>2914.1951340857204</v>
      </c>
      <c r="Q26" s="57">
        <f>1218.125764988*Deflactores!$N$5</f>
        <v>2404.9341550057816</v>
      </c>
      <c r="R26" s="57">
        <f>1232.609347583*Deflactores!$O$5</f>
        <v>2347.6065549666628</v>
      </c>
      <c r="S26" s="57">
        <f>1186.205306827*Deflactores!$P$5</f>
        <v>2115.9747282727953</v>
      </c>
      <c r="T26" s="57">
        <f>1279.714731073*Deflactores!$Q$5</f>
        <v>2158.6558392658521</v>
      </c>
      <c r="U26" s="57">
        <f>1234.879973194*Deflactores!$R$5</f>
        <v>2001.1791838212023</v>
      </c>
      <c r="V26" s="57">
        <f>1464.824396191*Deflactores!$S$5</f>
        <v>2300.6537931773014</v>
      </c>
    </row>
    <row r="27" spans="3:22" x14ac:dyDescent="0.2">
      <c r="C27" s="87" t="s">
        <v>137</v>
      </c>
      <c r="D27" s="56">
        <f>42.630070512*Deflactores!$A$5</f>
        <v>154.77099164767506</v>
      </c>
      <c r="E27" s="56">
        <f>40.540950358*Deflactores!$B$5</f>
        <v>136.72887720424021</v>
      </c>
      <c r="F27" s="56">
        <f>41.811278342*Deflactores!$C$5</f>
        <v>131.79808805270628</v>
      </c>
      <c r="G27" s="56">
        <f>42.84058866*Deflactores!$D$5</f>
        <v>126.81093748054535</v>
      </c>
      <c r="H27" s="56">
        <f>45.372996918*Deflactores!$E$5</f>
        <v>127.30888367473447</v>
      </c>
      <c r="I27" s="56">
        <f>46.762557228*Deflactores!$F$5</f>
        <v>125.13236917783433</v>
      </c>
      <c r="J27" s="56">
        <f>48.206091336*Deflactores!$G$5</f>
        <v>123.46637523161951</v>
      </c>
      <c r="K27" s="56">
        <f>50.1282754*Deflactores!$H$5</f>
        <v>121.47231634713611</v>
      </c>
      <c r="L27" s="56">
        <f>52.7764*Deflactores!$I$5</f>
        <v>118.77415989458677</v>
      </c>
      <c r="M27" s="56">
        <f>59.564371*Deflactores!$J$5</f>
        <v>131.41982811256094</v>
      </c>
      <c r="N27" s="56">
        <f>59.1518453*Deflactores!$K$5</f>
        <v>126.49811582872562</v>
      </c>
      <c r="O27" s="56">
        <f>60.537936856*Deflactores!$L$5</f>
        <v>124.81100383219022</v>
      </c>
      <c r="P27" s="56">
        <f>115.605258354*Deflactores!$M$5</f>
        <v>232.66619040956067</v>
      </c>
      <c r="Q27" s="56">
        <f>155.918988071*Deflactores!$N$5</f>
        <v>307.82938067940864</v>
      </c>
      <c r="R27" s="56">
        <f>135.84*Deflactores!$O$5</f>
        <v>258.71852671894311</v>
      </c>
      <c r="S27" s="56">
        <f>131.518478365*Deflactores!$P$5</f>
        <v>234.60506787449324</v>
      </c>
      <c r="T27" s="56">
        <f>139.04514374*Deflactores!$Q$5</f>
        <v>234.54493737385047</v>
      </c>
      <c r="U27" s="56">
        <f>148.644735382*Deflactores!$R$5</f>
        <v>240.88555704865863</v>
      </c>
      <c r="V27" s="56">
        <f>155.765921267*Deflactores!$S$5</f>
        <v>244.64601937442953</v>
      </c>
    </row>
    <row r="28" spans="3:22" x14ac:dyDescent="0.2">
      <c r="C28" s="88" t="s">
        <v>138</v>
      </c>
      <c r="D28" s="57">
        <f>153.507405215*Deflactores!$A$5</f>
        <v>557.31771130191362</v>
      </c>
      <c r="E28" s="57">
        <f>169.250975*Deflactores!$B$5</f>
        <v>570.81779221059583</v>
      </c>
      <c r="F28" s="57">
        <f>182.675889679*Deflactores!$C$5</f>
        <v>575.83345804651697</v>
      </c>
      <c r="G28" s="57">
        <f>199.366316278*Deflactores!$D$5</f>
        <v>590.13730343209727</v>
      </c>
      <c r="H28" s="57">
        <f>225.85680243*Deflactores!$E$5</f>
        <v>633.71563134066366</v>
      </c>
      <c r="I28" s="57">
        <f>246.28378301828*Deflactores!$F$5</f>
        <v>659.03310438942663</v>
      </c>
      <c r="J28" s="57">
        <f>268.148516*Deflactores!$G$5</f>
        <v>686.78717516210622</v>
      </c>
      <c r="K28" s="57">
        <f>270.013713421*Deflactores!$H$5</f>
        <v>654.30519907215205</v>
      </c>
      <c r="L28" s="57">
        <f>313.912564*Deflactores!$I$5</f>
        <v>706.46541009723467</v>
      </c>
      <c r="M28" s="57">
        <f>315.182705452*Deflactores!$J$5</f>
        <v>695.40324659104954</v>
      </c>
      <c r="N28" s="57">
        <f>330.428525286*Deflactores!$K$5</f>
        <v>706.63198506747892</v>
      </c>
      <c r="O28" s="57">
        <f>319.171607793*Deflactores!$L$5</f>
        <v>658.03578437328633</v>
      </c>
      <c r="P28" s="57">
        <f>145.534705*Deflactores!$M$5</f>
        <v>292.9019481193663</v>
      </c>
      <c r="Q28" s="57">
        <f>186.83917618*Deflactores!$N$5</f>
        <v>368.87481506710532</v>
      </c>
      <c r="R28" s="57">
        <f>145.204945*Deflactores!$O$5</f>
        <v>276.5548398314574</v>
      </c>
      <c r="S28" s="57">
        <f>65.081073188*Deflactores!$P$5</f>
        <v>116.09280902902275</v>
      </c>
      <c r="T28" s="57">
        <f>83.6825*Deflactores!$Q$5</f>
        <v>141.1578009404505</v>
      </c>
      <c r="U28" s="57">
        <f>84.964*Deflactores!$R$5</f>
        <v>137.68802787724306</v>
      </c>
      <c r="V28" s="57">
        <f>88.922007596*Deflactores!$S$5</f>
        <v>139.6609413419429</v>
      </c>
    </row>
    <row r="29" spans="3:22" x14ac:dyDescent="0.2">
      <c r="C29" s="87" t="s">
        <v>139</v>
      </c>
      <c r="D29" s="56">
        <f>476.329499684*Deflactores!$A$5</f>
        <v>1729.3424132709677</v>
      </c>
      <c r="E29" s="56">
        <f>616.281723287*Deflactores!$B$5</f>
        <v>2078.4788546501827</v>
      </c>
      <c r="F29" s="56">
        <f>589.103984641*Deflactores!$C$5</f>
        <v>1856.9817025164095</v>
      </c>
      <c r="G29" s="56">
        <f>663.377193682*Deflactores!$D$5</f>
        <v>1963.6397739924919</v>
      </c>
      <c r="H29" s="56">
        <f>734.618169915199*Deflactores!$E$5</f>
        <v>2061.2131772582684</v>
      </c>
      <c r="I29" s="56">
        <f>860.15850491072*Deflactores!$F$5</f>
        <v>2301.7062788750668</v>
      </c>
      <c r="J29" s="56">
        <f>1091.26380799767*Deflactores!$G$5</f>
        <v>2794.9660107436989</v>
      </c>
      <c r="K29" s="56">
        <f>970.08819957216*Deflactores!$H$5</f>
        <v>2350.7463546821546</v>
      </c>
      <c r="L29" s="56">
        <f>1031.729047124*Deflactores!$I$5</f>
        <v>2321.9232613629506</v>
      </c>
      <c r="M29" s="56">
        <f>1471.814044389*Deflactores!$J$5</f>
        <v>3247.3363770979045</v>
      </c>
      <c r="N29" s="56">
        <f>2611.42199737317*Deflactores!$K$5</f>
        <v>5584.609586159323</v>
      </c>
      <c r="O29" s="56">
        <f>2553.626700902*Deflactores!$L$5</f>
        <v>5264.8096136872873</v>
      </c>
      <c r="P29" s="56">
        <f>2184.00831725789*Deflactores!$M$5</f>
        <v>4395.5171437200152</v>
      </c>
      <c r="Q29" s="56">
        <f>2645.094286815*Deflactores!$N$5</f>
        <v>5222.1845858705065</v>
      </c>
      <c r="R29" s="56">
        <f>2868.0913758684*Deflactores!$O$5</f>
        <v>5462.5174857183383</v>
      </c>
      <c r="S29" s="56">
        <f>2755.547428387*Deflactores!$P$5</f>
        <v>4915.3959162605115</v>
      </c>
      <c r="T29" s="56">
        <f>2761.183211775*Deflactores!$Q$5</f>
        <v>4657.6351108995214</v>
      </c>
      <c r="U29" s="56">
        <f>3034.27212175826*Deflactores!$R$5</f>
        <v>4917.1760332351669</v>
      </c>
      <c r="V29" s="56">
        <f>3358.088399294*Deflactores!$S$5</f>
        <v>5274.2150074438396</v>
      </c>
    </row>
    <row r="30" spans="3:22" x14ac:dyDescent="0.2">
      <c r="C30" s="88" t="s">
        <v>140</v>
      </c>
      <c r="D30" s="57">
        <f>113.479038322*Deflactores!$A$5</f>
        <v>411.99235847795632</v>
      </c>
      <c r="E30" s="57">
        <f>103.954361463*Deflactores!$B$5</f>
        <v>350.59767957597825</v>
      </c>
      <c r="F30" s="57">
        <f>117.556751533*Deflactores!$C$5</f>
        <v>370.56401296806939</v>
      </c>
      <c r="G30" s="57">
        <f>88.541694921*Deflactores!$D$5</f>
        <v>262.08919368869499</v>
      </c>
      <c r="H30" s="57">
        <f>2382.397647511*Deflactores!$E$5</f>
        <v>6684.6010970374346</v>
      </c>
      <c r="I30" s="57">
        <f>2148.576253886*Deflactores!$F$5</f>
        <v>5749.3955195206518</v>
      </c>
      <c r="J30" s="57">
        <f>224.735596033*Deflactores!$G$5</f>
        <v>575.59716331928666</v>
      </c>
      <c r="K30" s="57">
        <f>158.462942*Deflactores!$H$5</f>
        <v>383.99207765128665</v>
      </c>
      <c r="L30" s="57">
        <f>133.8311*Deflactores!$I$5</f>
        <v>301.18910100477541</v>
      </c>
      <c r="M30" s="57">
        <f>133.9316*Deflactores!$J$5</f>
        <v>295.49993654495682</v>
      </c>
      <c r="N30" s="57">
        <f>984.565636397*Deflactores!$K$5</f>
        <v>2105.5251494230338</v>
      </c>
      <c r="O30" s="57">
        <f>739.4337*Deflactores!$L$5</f>
        <v>1524.4897192958049</v>
      </c>
      <c r="P30" s="57">
        <f>225.867848339*Deflactores!$M$5</f>
        <v>454.57977048170517</v>
      </c>
      <c r="Q30" s="57">
        <f>363.986864*Deflactores!$N$5</f>
        <v>718.61581650041512</v>
      </c>
      <c r="R30" s="57">
        <f>493.70511651063*Deflactores!$O$5</f>
        <v>940.30227015042954</v>
      </c>
      <c r="S30" s="57">
        <f>780.217987245*Deflactores!$P$5</f>
        <v>1391.7671199519107</v>
      </c>
      <c r="T30" s="57">
        <f>577.577387253*Deflactores!$Q$5</f>
        <v>974.27244474728241</v>
      </c>
      <c r="U30" s="57">
        <f>713.480833939*Deflactores!$R$5</f>
        <v>1156.2281549040965</v>
      </c>
      <c r="V30" s="57">
        <f>662.694158987*Deflactores!$S$5</f>
        <v>1040.8277159735978</v>
      </c>
    </row>
    <row r="31" spans="3:22" x14ac:dyDescent="0.2">
      <c r="C31" s="87" t="s">
        <v>141</v>
      </c>
      <c r="D31" s="56">
        <f>373.354260334*Deflactores!$A$5</f>
        <v>1355.4847180351624</v>
      </c>
      <c r="E31" s="56">
        <f>365.651269198*Deflactores!$B$5</f>
        <v>1233.1996917749195</v>
      </c>
      <c r="F31" s="56">
        <f>393.977807932*Deflactores!$C$5</f>
        <v>1241.902278038556</v>
      </c>
      <c r="G31" s="56">
        <f>405.628212574*Deflactores!$D$5</f>
        <v>1200.6859736055471</v>
      </c>
      <c r="H31" s="56">
        <f>463.035734381*Deflactores!$E$5</f>
        <v>1299.19922530333</v>
      </c>
      <c r="I31" s="56">
        <f>479.169613397*Deflactores!$F$5</f>
        <v>1282.2145005896202</v>
      </c>
      <c r="J31" s="56">
        <f>537.39267685*Deflactores!$G$5</f>
        <v>1376.3805371446254</v>
      </c>
      <c r="K31" s="56">
        <f>599.535879961*Deflactores!$H$5</f>
        <v>1452.8130379702075</v>
      </c>
      <c r="L31" s="56">
        <f>688.684012058*Deflactores!$I$5</f>
        <v>1549.8947439579511</v>
      </c>
      <c r="M31" s="56">
        <f>782.002638691*Deflactores!$J$5</f>
        <v>1725.3712351019424</v>
      </c>
      <c r="N31" s="56">
        <f>889.755587581*Deflactores!$K$5</f>
        <v>1902.7708232303814</v>
      </c>
      <c r="O31" s="56">
        <f>912.019430689*Deflactores!$L$5</f>
        <v>1880.3095475407645</v>
      </c>
      <c r="P31" s="56">
        <f>1101.405533718*Deflactores!$M$5</f>
        <v>2216.6797018996435</v>
      </c>
      <c r="Q31" s="56">
        <f>1207.608646431*Deflactores!$N$5</f>
        <v>2384.170307497619</v>
      </c>
      <c r="R31" s="56">
        <f>1326.812165225*Deflactores!$O$5</f>
        <v>2527.0236205814408</v>
      </c>
      <c r="S31" s="56">
        <f>1392.00306612468*Deflactores!$P$5</f>
        <v>2483.0805364350313</v>
      </c>
      <c r="T31" s="56">
        <f>1492.533810772*Deflactores!$Q$5</f>
        <v>2517.6445560044926</v>
      </c>
      <c r="U31" s="56">
        <f>1550.074898198*Deflactores!$R$5</f>
        <v>2511.9669012158197</v>
      </c>
      <c r="V31" s="56">
        <f>1662.073255797*Deflactores!$S$5</f>
        <v>2610.4529324000409</v>
      </c>
    </row>
    <row r="32" spans="3:22" x14ac:dyDescent="0.2">
      <c r="C32" s="88" t="s">
        <v>142</v>
      </c>
      <c r="D32" s="57">
        <f>41.134605612*Deflactores!$A$5</f>
        <v>149.34161790356785</v>
      </c>
      <c r="E32" s="57">
        <f>43.225514813*Deflactores!$B$5</f>
        <v>145.78287027724988</v>
      </c>
      <c r="F32" s="57">
        <f>47.388501207*Deflactores!$C$5</f>
        <v>149.37868686239278</v>
      </c>
      <c r="G32" s="57">
        <f>48.113432266*Deflactores!$D$5</f>
        <v>142.41889857024617</v>
      </c>
      <c r="H32" s="57">
        <f>57.39658867*Deflactores!$E$5</f>
        <v>161.04502956948832</v>
      </c>
      <c r="I32" s="57">
        <f>50.262703345*Deflactores!$F$5</f>
        <v>134.49844327753215</v>
      </c>
      <c r="J32" s="57">
        <f>72.741298244*Deflactores!$G$5</f>
        <v>186.30642258941702</v>
      </c>
      <c r="K32" s="57">
        <f>80.475028218*Deflactores!$H$5</f>
        <v>195.00946337646403</v>
      </c>
      <c r="L32" s="57">
        <f>73.771268783*Deflactores!$I$5</f>
        <v>166.0234588577201</v>
      </c>
      <c r="M32" s="57">
        <f>82.894139826*Deflactores!$J$5</f>
        <v>182.89345500637472</v>
      </c>
      <c r="N32" s="57">
        <f>197.637726515*Deflactores!$K$5</f>
        <v>422.65460855910891</v>
      </c>
      <c r="O32" s="57">
        <f>81.770437239*Deflactores!$L$5</f>
        <v>168.58602862322658</v>
      </c>
      <c r="P32" s="57">
        <f>106.457275998*Deflactores!$M$5</f>
        <v>214.25503649658859</v>
      </c>
      <c r="Q32" s="57">
        <f>172.050227183*Deflactores!$N$5</f>
        <v>339.67713320059119</v>
      </c>
      <c r="R32" s="57">
        <f>194.133588457*Deflactores!$O$5</f>
        <v>369.74349228693069</v>
      </c>
      <c r="S32" s="57">
        <f>187.792927642*Deflactores!$P$5</f>
        <v>334.98846005144935</v>
      </c>
      <c r="T32" s="57">
        <f>176.863365279*Deflactores!$Q$5</f>
        <v>298.33768959712319</v>
      </c>
      <c r="U32" s="57">
        <f>185.530658485*Deflactores!$R$5</f>
        <v>300.66087375318887</v>
      </c>
      <c r="V32" s="57">
        <f>174.99591142*Deflactores!$S$5</f>
        <v>274.84864973975073</v>
      </c>
    </row>
    <row r="33" spans="3:22" x14ac:dyDescent="0.2">
      <c r="C33" s="87" t="s">
        <v>143</v>
      </c>
      <c r="D33" s="56">
        <f>47.685443339*Deflactores!$A$5</f>
        <v>173.12482161291649</v>
      </c>
      <c r="E33" s="56">
        <f>51.497351627*Deflactores!$B$5</f>
        <v>173.68056261074346</v>
      </c>
      <c r="F33" s="56">
        <f>50.053656011*Deflactores!$C$5</f>
        <v>157.77982458074945</v>
      </c>
      <c r="G33" s="56">
        <f>47.347336371*Deflactores!$D$5</f>
        <v>140.15120473867995</v>
      </c>
      <c r="H33" s="56">
        <f>75.454549054*Deflactores!$E$5</f>
        <v>211.71258371153363</v>
      </c>
      <c r="I33" s="56">
        <f>91.3059031658*Deflactores!$F$5</f>
        <v>244.32632987439237</v>
      </c>
      <c r="J33" s="56">
        <f>168.998034364*Deflactores!$G$5</f>
        <v>432.84104033154574</v>
      </c>
      <c r="K33" s="56">
        <f>225.011115945*Deflactores!$H$5</f>
        <v>545.25357674070631</v>
      </c>
      <c r="L33" s="56">
        <f>238.34049656*Deflactores!$I$5</f>
        <v>536.38922411859551</v>
      </c>
      <c r="M33" s="56">
        <f>266.924622674*Deflactores!$J$5</f>
        <v>588.9290433508861</v>
      </c>
      <c r="N33" s="56">
        <f>257.543389531*Deflactores!$K$5</f>
        <v>550.76478771855056</v>
      </c>
      <c r="O33" s="56">
        <f>249.617230872*Deflactores!$L$5</f>
        <v>514.63559508236017</v>
      </c>
      <c r="P33" s="56">
        <f>490.917800242*Deflactores!$M$5</f>
        <v>988.01711974718125</v>
      </c>
      <c r="Q33" s="56">
        <f>507.164294802*Deflactores!$N$5</f>
        <v>1001.2896614010676</v>
      </c>
      <c r="R33" s="56">
        <f>564.832994555*Deflactores!$O$5</f>
        <v>1075.7712028380331</v>
      </c>
      <c r="S33" s="56">
        <f>544.6774584718*Deflactores!$P$5</f>
        <v>971.60561544703307</v>
      </c>
      <c r="T33" s="56">
        <f>719.005515257*Deflactores!$Q$5</f>
        <v>1212.8370614851808</v>
      </c>
      <c r="U33" s="56">
        <f>1775.987384293*Deflactores!$R$5</f>
        <v>2878.068363991415</v>
      </c>
      <c r="V33" s="56">
        <f>752.990063475*Deflactores!$S$5</f>
        <v>1182.6465003336075</v>
      </c>
    </row>
    <row r="34" spans="3:22" x14ac:dyDescent="0.2">
      <c r="C34" s="88" t="s">
        <v>144</v>
      </c>
      <c r="D34" s="57">
        <f>683.481112568*Deflactores!$A$5</f>
        <v>2481.4185924189019</v>
      </c>
      <c r="E34" s="57">
        <f>760.070378193*Deflactores!$B$5</f>
        <v>2563.4221321608393</v>
      </c>
      <c r="F34" s="57">
        <f>789.963169484*Deflactores!$C$5</f>
        <v>2490.1327942767439</v>
      </c>
      <c r="G34" s="57">
        <f>779.795028311999*Deflactores!$D$5</f>
        <v>2308.2441599417784</v>
      </c>
      <c r="H34" s="57">
        <f>970.428904733*Deflactores!$E$5</f>
        <v>2722.8578436317048</v>
      </c>
      <c r="I34" s="57">
        <f>1005.48043377299*Deflactores!$F$5</f>
        <v>2690.5746028071085</v>
      </c>
      <c r="J34" s="57">
        <f>1138.140955315*Deflactores!$G$5</f>
        <v>2915.0286688034098</v>
      </c>
      <c r="K34" s="57">
        <f>1226.455430559*Deflactores!$H$5</f>
        <v>2971.9829947815415</v>
      </c>
      <c r="L34" s="57">
        <f>1366.125711945*Deflactores!$I$5</f>
        <v>3074.4884786886109</v>
      </c>
      <c r="M34" s="57">
        <f>1599.524877745*Deflactores!$J$5</f>
        <v>3529.1111274391351</v>
      </c>
      <c r="N34" s="57">
        <f>1709.532783034*Deflactores!$K$5</f>
        <v>3655.8906134622075</v>
      </c>
      <c r="O34" s="57">
        <f>1907.763642385*Deflactores!$L$5</f>
        <v>3933.2343922954155</v>
      </c>
      <c r="P34" s="57">
        <f>2247.591541903*Deflactores!$M$5</f>
        <v>4523.4842177334876</v>
      </c>
      <c r="Q34" s="57">
        <f>2500.445921539*Deflactores!$N$5</f>
        <v>4936.6066889762305</v>
      </c>
      <c r="R34" s="57">
        <f>2757.547421931*Deflactores!$O$5</f>
        <v>5251.9773730830984</v>
      </c>
      <c r="S34" s="57">
        <f>2987.891266268*Deflactores!$P$5</f>
        <v>5329.8551050675369</v>
      </c>
      <c r="T34" s="57">
        <f>3332.867664156*Deflactores!$Q$5</f>
        <v>5621.9672010013664</v>
      </c>
      <c r="U34" s="57">
        <f>3578.445731815*Deflactores!$R$5</f>
        <v>5799.034128328999</v>
      </c>
      <c r="V34" s="57">
        <f>3971.255960177*Deflactores!$S$5</f>
        <v>6237.2562282666031</v>
      </c>
    </row>
    <row r="35" spans="3:22" x14ac:dyDescent="0.2">
      <c r="C35" s="87" t="s">
        <v>145</v>
      </c>
      <c r="D35" s="56">
        <f>191.514445006*Deflactores!$A$5</f>
        <v>695.30451656393802</v>
      </c>
      <c r="E35" s="56">
        <f>196.112026466*Deflactores!$B$5</f>
        <v>661.40968448346052</v>
      </c>
      <c r="F35" s="56">
        <f>255.935537998*Deflactores!$C$5</f>
        <v>806.76353152764261</v>
      </c>
      <c r="G35" s="56">
        <f>333.511884*Deflactores!$D$5</f>
        <v>987.21693594354292</v>
      </c>
      <c r="H35" s="56">
        <f>151.396726244*Deflactores!$E$5</f>
        <v>424.79336872911597</v>
      </c>
      <c r="I35" s="56">
        <f>152.522135874*Deflactores!$F$5</f>
        <v>408.1354259760069</v>
      </c>
      <c r="J35" s="56">
        <f>469.406654991*Deflactores!$G$5</f>
        <v>1202.2534205766863</v>
      </c>
      <c r="K35" s="56">
        <f>372.636697557*Deflactores!$H$5</f>
        <v>902.98424286497561</v>
      </c>
      <c r="L35" s="56">
        <f>280.183648098*Deflactores!$I$5</f>
        <v>630.55792776772353</v>
      </c>
      <c r="M35" s="56">
        <f>326.387432517*Deflactores!$J$5</f>
        <v>720.12479204194426</v>
      </c>
      <c r="N35" s="56">
        <f>684.781172484*Deflactores!$K$5</f>
        <v>1464.4264711419166</v>
      </c>
      <c r="O35" s="56">
        <f>589.597209628*Deflactores!$L$5</f>
        <v>1215.5719770459195</v>
      </c>
      <c r="P35" s="56">
        <f>421.224129747*Deflactores!$M$5</f>
        <v>847.75221276451555</v>
      </c>
      <c r="Q35" s="56">
        <f>581.489725346*Deflactores!$N$5</f>
        <v>1148.0296546254426</v>
      </c>
      <c r="R35" s="56">
        <f>1122.299*Deflactores!$O$5</f>
        <v>2137.5113649745522</v>
      </c>
      <c r="S35" s="56">
        <f>873.896639085*Deflactores!$P$5</f>
        <v>1558.872812980997</v>
      </c>
      <c r="T35" s="56">
        <f>727.59129923431*Deflactores!$Q$5</f>
        <v>1227.3197835069516</v>
      </c>
      <c r="U35" s="56">
        <f>756.745009396*Deflactores!$R$5</f>
        <v>1226.3397197599102</v>
      </c>
      <c r="V35" s="56">
        <f>1809.837729859*Deflactores!$S$5</f>
        <v>2842.5318755358721</v>
      </c>
    </row>
    <row r="36" spans="3:22" x14ac:dyDescent="0.2">
      <c r="C36" s="88" t="s">
        <v>146</v>
      </c>
      <c r="D36" s="57">
        <f>205.282682934*Deflactores!$A$5</f>
        <v>745.29091845735866</v>
      </c>
      <c r="E36" s="57">
        <f>215.767388449*Deflactores!$B$5</f>
        <v>727.69958521954868</v>
      </c>
      <c r="F36" s="57">
        <f>233.421446389*Deflactores!$C$5</f>
        <v>735.79430155007049</v>
      </c>
      <c r="G36" s="57">
        <f>221.518021281*Deflactores!$D$5</f>
        <v>655.70779548384951</v>
      </c>
      <c r="H36" s="57">
        <f>239.802808862999*Deflactores!$E$5</f>
        <v>672.84574465265052</v>
      </c>
      <c r="I36" s="57">
        <f>296.991545396*Deflactores!$F$5</f>
        <v>794.72248534208882</v>
      </c>
      <c r="J36" s="57">
        <f>297.157930715999*Deflactores!$G$5</f>
        <v>761.08665025562868</v>
      </c>
      <c r="K36" s="57">
        <f>297.629911609*Deflactores!$H$5</f>
        <v>721.22558553727151</v>
      </c>
      <c r="L36" s="57">
        <f>284.384210031*Deflactores!$I$5</f>
        <v>640.01136177756985</v>
      </c>
      <c r="M36" s="57">
        <f>289.70280863*Deflactores!$J$5</f>
        <v>639.18568558175036</v>
      </c>
      <c r="N36" s="57">
        <f>368.636706422*Deflactores!$K$5</f>
        <v>788.34140424846692</v>
      </c>
      <c r="O36" s="57">
        <f>366.796571091999*Deflactores!$L$5</f>
        <v>756.2241235457692</v>
      </c>
      <c r="P36" s="57">
        <f>569.026295143*Deflactores!$M$5</f>
        <v>1145.2176329936572</v>
      </c>
      <c r="Q36" s="57">
        <f>576.6463*Deflactores!$N$5</f>
        <v>1138.467325860538</v>
      </c>
      <c r="R36" s="57">
        <f>609.0095*Deflactores!$O$5</f>
        <v>1159.9090150017682</v>
      </c>
      <c r="S36" s="57">
        <f>769.994416629*Deflactores!$P$5</f>
        <v>1373.5301276440325</v>
      </c>
      <c r="T36" s="57">
        <f>934.04317284331*Deflactores!$Q$5</f>
        <v>1575.5681326681533</v>
      </c>
      <c r="U36" s="57">
        <f>873.011714841*Deflactores!$R$5</f>
        <v>1414.7552060894893</v>
      </c>
      <c r="V36" s="57">
        <f>850.664274404*Deflactores!$S$5</f>
        <v>1336.0536557945156</v>
      </c>
    </row>
    <row r="37" spans="3:22" x14ac:dyDescent="0.2">
      <c r="C37" s="90" t="s">
        <v>147</v>
      </c>
      <c r="D37" s="58">
        <f>4283.178401431*Deflactores!$A$5</f>
        <v>15550.332444483653</v>
      </c>
      <c r="E37" s="58">
        <f>5217.6430609925*Deflactores!$B$5</f>
        <v>17597.083222821457</v>
      </c>
      <c r="F37" s="58">
        <f>6442.34999781717*Deflactores!$C$5</f>
        <v>20307.664485487341</v>
      </c>
      <c r="G37" s="58">
        <f>7338.81899758999*Deflactores!$D$5</f>
        <v>21723.383039163466</v>
      </c>
      <c r="H37" s="58">
        <f>9508.33276660216*Deflactores!$E$5</f>
        <v>26678.758564519747</v>
      </c>
      <c r="I37" s="58">
        <f>12525.523773343*Deflactores!$F$5</f>
        <v>33517.167534482403</v>
      </c>
      <c r="J37" s="58">
        <f>13832.676078727*Deflactores!$G$5</f>
        <v>35428.518012165157</v>
      </c>
      <c r="K37" s="58">
        <f>15136.018451397*Deflactores!$H$5</f>
        <v>36678.046609283221</v>
      </c>
      <c r="L37" s="58">
        <f>17158.327833348*Deflactores!$I$5</f>
        <v>38615.100188755088</v>
      </c>
      <c r="M37" s="58">
        <f>20198.6562960902*Deflactores!$J$5</f>
        <v>44565.297911680638</v>
      </c>
      <c r="N37" s="58">
        <f>22784.6470306129*Deflactores!$K$5</f>
        <v>48725.697475326269</v>
      </c>
      <c r="O37" s="58">
        <f>20917.765797016*Deflactores!$L$5</f>
        <v>43126.136810086296</v>
      </c>
      <c r="P37" s="58">
        <f>23715.918369726*Deflactores!$M$5</f>
        <v>47730.461898642054</v>
      </c>
      <c r="Q37" s="58">
        <f>23811.1178173584*Deflactores!$N$5</f>
        <v>47010.064275584926</v>
      </c>
      <c r="R37" s="58">
        <f>28516.7838972525*Deflactores!$O$5</f>
        <v>54312.575947141107</v>
      </c>
      <c r="S37" s="58">
        <f>27553.353853031*Deflactores!$P$5</f>
        <v>49150.176699280637</v>
      </c>
      <c r="T37" s="58">
        <f>28908.402542236*Deflactores!$Q$5</f>
        <v>48763.439566974717</v>
      </c>
      <c r="U37" s="58">
        <f>35233.105959658*Deflactores!$R$5</f>
        <v>57096.85132026799</v>
      </c>
      <c r="V37" s="58">
        <f>45399.858658675*Deflactores!$S$5</f>
        <v>71305.03649747702</v>
      </c>
    </row>
    <row r="38" spans="3:22" ht="22.5" customHeight="1" x14ac:dyDescent="0.2">
      <c r="C38" s="89" t="s">
        <v>148</v>
      </c>
      <c r="D38" s="59">
        <f>0*Deflactores!$A$5</f>
        <v>0</v>
      </c>
      <c r="E38" s="59">
        <f>0*Deflactores!$B$5</f>
        <v>0</v>
      </c>
      <c r="F38" s="59">
        <f>0*Deflactores!$C$5</f>
        <v>0</v>
      </c>
      <c r="G38" s="59">
        <f>0*Deflactores!$D$5</f>
        <v>0</v>
      </c>
      <c r="H38" s="59">
        <f>0*Deflactores!$E$5</f>
        <v>0</v>
      </c>
      <c r="I38" s="59">
        <f>0*Deflactores!$F$5</f>
        <v>0</v>
      </c>
      <c r="J38" s="59">
        <f>0*Deflactores!$G$5</f>
        <v>0</v>
      </c>
      <c r="K38" s="59">
        <f>0*Deflactores!$H$5</f>
        <v>0</v>
      </c>
      <c r="L38" s="59">
        <f>0*Deflactores!$I$5</f>
        <v>0</v>
      </c>
      <c r="M38" s="59">
        <f>0*Deflactores!$J$5</f>
        <v>0</v>
      </c>
      <c r="N38" s="59">
        <f>0*Deflactores!$K$5</f>
        <v>0</v>
      </c>
      <c r="O38" s="59">
        <f>0*Deflactores!$L$5</f>
        <v>0</v>
      </c>
      <c r="P38" s="59">
        <f>0*Deflactores!$M$5</f>
        <v>0</v>
      </c>
      <c r="Q38" s="59">
        <f>0*Deflactores!$N$5</f>
        <v>0</v>
      </c>
      <c r="R38" s="59">
        <f>0*Deflactores!$O$5</f>
        <v>0</v>
      </c>
      <c r="S38" s="59">
        <f>0*Deflactores!$P$5</f>
        <v>0</v>
      </c>
      <c r="T38" s="59">
        <f>0*Deflactores!$Q$5</f>
        <v>0</v>
      </c>
      <c r="U38" s="59">
        <f>0.25044*Deflactores!$R$5</f>
        <v>0.40584941506493044</v>
      </c>
      <c r="V38" s="59">
        <f>139.020442846*Deflactores!$S$5</f>
        <v>218.34556414715402</v>
      </c>
    </row>
    <row r="39" spans="3:22" x14ac:dyDescent="0.2">
      <c r="C39" s="90" t="s">
        <v>149</v>
      </c>
      <c r="D39" s="56">
        <f>233.667013917*Deflactores!$A$5</f>
        <v>848.34191041520967</v>
      </c>
      <c r="E39" s="56">
        <f>202.147470344*Deflactores!$B$5</f>
        <v>681.76489218286019</v>
      </c>
      <c r="F39" s="56">
        <f>197.591604539*Deflactores!$C$5</f>
        <v>622.85098007507941</v>
      </c>
      <c r="G39" s="56">
        <f>207.887552941*Deflactores!$D$5</f>
        <v>615.3607199053065</v>
      </c>
      <c r="H39" s="56">
        <f>193.916522*Deflactores!$E$5</f>
        <v>544.09665701657332</v>
      </c>
      <c r="I39" s="56">
        <f>154.8174*Deflactores!$F$5</f>
        <v>414.27734495992627</v>
      </c>
      <c r="J39" s="56">
        <f>250.587586389*Deflactores!$G$5</f>
        <v>641.80978195975388</v>
      </c>
      <c r="K39" s="56">
        <f>245.137826*Deflactores!$H$5</f>
        <v>594.02521453034478</v>
      </c>
      <c r="L39" s="56">
        <f>303.06654512*Deflactores!$I$5</f>
        <v>682.05626546681606</v>
      </c>
      <c r="M39" s="56">
        <f>423.6116*Deflactores!$J$5</f>
        <v>934.63529831427104</v>
      </c>
      <c r="N39" s="56">
        <f>500.639163*Deflactores!$K$5</f>
        <v>1070.6328857262251</v>
      </c>
      <c r="O39" s="56">
        <f>519.983384*Deflactores!$L$5</f>
        <v>1072.0492224152654</v>
      </c>
      <c r="P39" s="56">
        <f>663.332692*Deflactores!$M$5</f>
        <v>1335.0179102507786</v>
      </c>
      <c r="Q39" s="56">
        <f>458.511943896*Deflactores!$N$5</f>
        <v>905.23578603104909</v>
      </c>
      <c r="R39" s="56">
        <f>544.64690707*Deflactores!$O$5</f>
        <v>1037.3251279386009</v>
      </c>
      <c r="S39" s="56">
        <f>505.873192309*Deflactores!$P$5</f>
        <v>902.38585553102803</v>
      </c>
      <c r="T39" s="56">
        <f>188.501450641*Deflactores!$Q$5</f>
        <v>317.96911237795752</v>
      </c>
      <c r="U39" s="56">
        <f>194.359899423*Deflactores!$R$5</f>
        <v>314.96906042526456</v>
      </c>
      <c r="V39" s="56">
        <f>351.506680191*Deflactores!$S$5</f>
        <v>552.0765350518767</v>
      </c>
    </row>
    <row r="40" spans="3:22" x14ac:dyDescent="0.2">
      <c r="C40" s="88" t="s">
        <v>150</v>
      </c>
      <c r="D40" s="57">
        <f>299.271295241*Deflactores!$A$5</f>
        <v>1086.5221328474097</v>
      </c>
      <c r="E40" s="57">
        <f>332.627969437*Deflactores!$B$5</f>
        <v>1121.8249297619814</v>
      </c>
      <c r="F40" s="57">
        <f>492.803558377299*Deflactores!$C$5</f>
        <v>1553.4221711287526</v>
      </c>
      <c r="G40" s="57">
        <f>309.881844198*Deflactores!$D$5</f>
        <v>917.27047643580795</v>
      </c>
      <c r="H40" s="57">
        <f>371.9509*Deflactores!$E$5</f>
        <v>1043.6307292284553</v>
      </c>
      <c r="I40" s="57">
        <f>360.925709603*Deflactores!$F$5</f>
        <v>965.8045200481871</v>
      </c>
      <c r="J40" s="57">
        <f>386.220435183*Deflactores!$G$5</f>
        <v>989.19526248361547</v>
      </c>
      <c r="K40" s="57">
        <f>374.925998*Deflactores!$H$5</f>
        <v>908.53174326084479</v>
      </c>
      <c r="L40" s="57">
        <f>355.795763*Deflactores!$I$5</f>
        <v>800.72424122104769</v>
      </c>
      <c r="M40" s="57">
        <f>472.818*Deflactores!$J$5</f>
        <v>1043.2018209094297</v>
      </c>
      <c r="N40" s="57">
        <f>555.092147395*Deflactores!$K$5</f>
        <v>1187.0823370034198</v>
      </c>
      <c r="O40" s="57">
        <f>439.1082*Deflactores!$L$5</f>
        <v>905.30893649895336</v>
      </c>
      <c r="P40" s="57">
        <f>649.400865758*Deflactores!$M$5</f>
        <v>1306.9788315503251</v>
      </c>
      <c r="Q40" s="57">
        <f>607.64192*Deflactores!$N$5</f>
        <v>1199.6616847158527</v>
      </c>
      <c r="R40" s="57">
        <f>619.889937561*Deflactores!$O$5</f>
        <v>1180.6317091701972</v>
      </c>
      <c r="S40" s="57">
        <f>625.218900848*Deflactores!$P$5</f>
        <v>1115.2769138857052</v>
      </c>
      <c r="T40" s="57">
        <f>712.846391423*Deflactores!$Q$5</f>
        <v>1202.447692428002</v>
      </c>
      <c r="U40" s="57">
        <f>941.490304806*Deflactores!$R$5</f>
        <v>1525.7278769159007</v>
      </c>
      <c r="V40" s="57">
        <f>914.063514604*Deflactores!$S$5</f>
        <v>1435.628528270677</v>
      </c>
    </row>
    <row r="41" spans="3:22" x14ac:dyDescent="0.2">
      <c r="C41" s="87" t="s">
        <v>151</v>
      </c>
      <c r="D41" s="56">
        <f>47.862238267*Deflactores!$A$5</f>
        <v>173.76668605264658</v>
      </c>
      <c r="E41" s="56">
        <f>44.023806514*Deflactores!$B$5</f>
        <v>148.47519808395742</v>
      </c>
      <c r="F41" s="56">
        <f>31.248879*Deflactores!$C$5</f>
        <v>98.50314722028557</v>
      </c>
      <c r="G41" s="56">
        <f>33.057834267*Deflactores!$D$5</f>
        <v>97.8533462213814</v>
      </c>
      <c r="H41" s="56">
        <f>37.119348058*Deflactores!$E$5</f>
        <v>104.15055396358871</v>
      </c>
      <c r="I41" s="56">
        <f>20.243046283*Deflactores!$F$5</f>
        <v>54.168559012243747</v>
      </c>
      <c r="J41" s="56">
        <f>40.857964155*Deflactores!$G$5</f>
        <v>104.64620950908804</v>
      </c>
      <c r="K41" s="56">
        <f>39.697776365*Deflactores!$H$5</f>
        <v>96.196823258099627</v>
      </c>
      <c r="L41" s="56">
        <f>10.368929992*Deflactores!$I$5</f>
        <v>23.335448208016921</v>
      </c>
      <c r="M41" s="56">
        <f>7.587874974*Deflactores!$J$5</f>
        <v>16.741505166279399</v>
      </c>
      <c r="N41" s="56">
        <f>12.147811019*Deflactores!$K$5</f>
        <v>25.97848296284565</v>
      </c>
      <c r="O41" s="56">
        <f>328.752697737*Deflactores!$L$5</f>
        <v>677.78910792247859</v>
      </c>
      <c r="P41" s="56">
        <f>1363.636620691*Deflactores!$M$5</f>
        <v>2744.4438268336285</v>
      </c>
      <c r="Q41" s="56">
        <f>1466.663509854*Deflactores!$N$5</f>
        <v>2895.6198695816033</v>
      </c>
      <c r="R41" s="56">
        <f>1522.792129923*Deflactores!$O$5</f>
        <v>2900.2836892879859</v>
      </c>
      <c r="S41" s="56">
        <f>1603.414310913*Deflactores!$P$5</f>
        <v>2860.1997827157434</v>
      </c>
      <c r="T41" s="56">
        <f>1750.229531092*Deflactores!$Q$5</f>
        <v>2952.332348459744</v>
      </c>
      <c r="U41" s="56">
        <f>1946.609139626*Deflactores!$R$5</f>
        <v>3154.5686818290192</v>
      </c>
      <c r="V41" s="56">
        <f>1965.945401832*Deflactores!$S$5</f>
        <v>3087.714648708316</v>
      </c>
    </row>
    <row r="42" spans="3:22" ht="21.75" customHeight="1" x14ac:dyDescent="0.2">
      <c r="C42" s="79" t="s">
        <v>179</v>
      </c>
      <c r="D42" s="44">
        <f t="shared" ref="D42:V42" si="0">+SUM(D13:D41)</f>
        <v>95943.01743501189</v>
      </c>
      <c r="E42" s="44">
        <f t="shared" si="0"/>
        <v>100782.70841119166</v>
      </c>
      <c r="F42" s="44">
        <f t="shared" si="0"/>
        <v>104530.42921593242</v>
      </c>
      <c r="G42" s="44">
        <f t="shared" si="0"/>
        <v>104905.67723836264</v>
      </c>
      <c r="H42" s="44">
        <f t="shared" si="0"/>
        <v>122456.11370540914</v>
      </c>
      <c r="I42" s="44">
        <f t="shared" si="0"/>
        <v>131972.30424043356</v>
      </c>
      <c r="J42" s="44">
        <f t="shared" si="0"/>
        <v>133212.19774574036</v>
      </c>
      <c r="K42" s="44">
        <f t="shared" si="0"/>
        <v>137802.13070965104</v>
      </c>
      <c r="L42" s="44">
        <f t="shared" si="0"/>
        <v>144745.77808256319</v>
      </c>
      <c r="M42" s="44">
        <f t="shared" si="0"/>
        <v>162875.42402274275</v>
      </c>
      <c r="N42" s="44">
        <f t="shared" si="0"/>
        <v>180029.22448375437</v>
      </c>
      <c r="O42" s="44">
        <f t="shared" si="0"/>
        <v>171666.80641036225</v>
      </c>
      <c r="P42" s="44">
        <f t="shared" si="0"/>
        <v>183403.16619493792</v>
      </c>
      <c r="Q42" s="44">
        <f t="shared" si="0"/>
        <v>198957.38090133315</v>
      </c>
      <c r="R42" s="44">
        <f t="shared" si="0"/>
        <v>212407.16729080741</v>
      </c>
      <c r="S42" s="44">
        <f t="shared" si="0"/>
        <v>204299.41998409905</v>
      </c>
      <c r="T42" s="44">
        <f t="shared" si="0"/>
        <v>206769.22215464342</v>
      </c>
      <c r="U42" s="44">
        <f t="shared" si="0"/>
        <v>225078.53704024866</v>
      </c>
      <c r="V42" s="44">
        <f t="shared" si="0"/>
        <v>230420.47782359301</v>
      </c>
    </row>
    <row r="43" spans="3:22" x14ac:dyDescent="0.2">
      <c r="C43" s="1" t="s">
        <v>52</v>
      </c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</row>
    <row r="44" spans="3:22" x14ac:dyDescent="0.2"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</row>
    <row r="45" spans="3:22" x14ac:dyDescent="0.2"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</row>
    <row r="47" spans="3:22" ht="18" customHeight="1" x14ac:dyDescent="0.2">
      <c r="C47" s="9"/>
      <c r="D47" s="160" t="s">
        <v>180</v>
      </c>
      <c r="E47" s="158"/>
      <c r="F47" s="158"/>
      <c r="G47" s="158"/>
      <c r="H47" s="158"/>
      <c r="I47" s="158"/>
      <c r="J47" s="158"/>
      <c r="K47" s="158"/>
      <c r="L47" s="158"/>
      <c r="M47" s="158"/>
      <c r="N47" s="158"/>
      <c r="O47" s="158"/>
      <c r="P47" s="158"/>
      <c r="Q47" s="158"/>
      <c r="R47" s="158"/>
      <c r="S47" s="158"/>
      <c r="T47" s="158"/>
      <c r="U47" s="158"/>
      <c r="V47" s="158"/>
    </row>
    <row r="48" spans="3:22" ht="1.5" customHeight="1" x14ac:dyDescent="0.2">
      <c r="H48" s="27"/>
      <c r="I48" s="27"/>
      <c r="J48" s="27"/>
      <c r="L48" s="175"/>
      <c r="M48" s="158"/>
      <c r="N48" s="158"/>
      <c r="O48" s="158"/>
      <c r="P48" s="158"/>
      <c r="Q48" s="158"/>
      <c r="R48" s="28"/>
      <c r="S48" s="28"/>
      <c r="T48" s="28"/>
      <c r="U48" s="28"/>
      <c r="V48" s="28"/>
    </row>
    <row r="49" spans="3:22" ht="15.75" customHeight="1" x14ac:dyDescent="0.2"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</row>
    <row r="50" spans="3:22" x14ac:dyDescent="0.2">
      <c r="C50" s="177" t="s">
        <v>120</v>
      </c>
      <c r="D50" s="153">
        <v>2000</v>
      </c>
      <c r="E50" s="153">
        <v>2001</v>
      </c>
      <c r="F50" s="153">
        <v>2002</v>
      </c>
      <c r="G50" s="153">
        <v>2003</v>
      </c>
      <c r="H50" s="153">
        <v>2004</v>
      </c>
      <c r="I50" s="153">
        <v>2005</v>
      </c>
      <c r="J50" s="153">
        <v>2006</v>
      </c>
      <c r="K50" s="153">
        <v>2007</v>
      </c>
      <c r="L50" s="153">
        <v>2008</v>
      </c>
      <c r="M50" s="153">
        <v>2009</v>
      </c>
      <c r="N50" s="153">
        <v>2010</v>
      </c>
      <c r="O50" s="153">
        <v>2011</v>
      </c>
      <c r="P50" s="153">
        <v>2012</v>
      </c>
      <c r="Q50" s="153">
        <v>2013</v>
      </c>
      <c r="R50" s="153">
        <v>2014</v>
      </c>
      <c r="S50" s="153">
        <v>2015</v>
      </c>
      <c r="T50" s="153">
        <v>2016</v>
      </c>
      <c r="U50" s="153">
        <v>2017</v>
      </c>
      <c r="V50" s="153">
        <v>2018</v>
      </c>
    </row>
    <row r="51" spans="3:22" ht="12" customHeight="1" thickBot="1" x14ac:dyDescent="0.25">
      <c r="C51" s="156"/>
      <c r="D51" s="154"/>
      <c r="E51" s="154"/>
      <c r="F51" s="154"/>
      <c r="G51" s="154"/>
      <c r="H51" s="154"/>
      <c r="I51" s="154"/>
      <c r="J51" s="154"/>
      <c r="K51" s="154"/>
      <c r="L51" s="154"/>
      <c r="M51" s="154"/>
      <c r="N51" s="154"/>
      <c r="O51" s="154"/>
      <c r="P51" s="154"/>
      <c r="Q51" s="154"/>
      <c r="R51" s="154"/>
      <c r="S51" s="154"/>
      <c r="T51" s="154"/>
      <c r="U51" s="154"/>
      <c r="V51" s="154"/>
    </row>
    <row r="52" spans="3:22" x14ac:dyDescent="0.2">
      <c r="C52" s="87" t="s">
        <v>123</v>
      </c>
      <c r="D52" s="56">
        <f>222.856489961099*Deflactores!$A$5</f>
        <v>809.09366398280542</v>
      </c>
      <c r="E52" s="56">
        <f>220.747886145609*Deflactores!$B$5</f>
        <v>744.4968692487148</v>
      </c>
      <c r="F52" s="56">
        <f>236.46186181*Deflactores!$C$5</f>
        <v>745.37834095915093</v>
      </c>
      <c r="G52" s="56">
        <f>274.89582649978*Deflactores!$D$5</f>
        <v>813.70958145761483</v>
      </c>
      <c r="H52" s="56">
        <f>247.35292152652*Deflactores!$E$5</f>
        <v>694.03007189796006</v>
      </c>
      <c r="I52" s="56">
        <f>258.40842152928*Deflactores!$F$5</f>
        <v>691.4775392587369</v>
      </c>
      <c r="J52" s="56">
        <f>385.93296457416*Deflactores!$G$5</f>
        <v>988.45898718986234</v>
      </c>
      <c r="K52" s="56">
        <f>410.0963432578*Deflactores!$H$5</f>
        <v>993.75756184532941</v>
      </c>
      <c r="L52" s="56">
        <f>738.24936860614*Deflactores!$I$5</f>
        <v>1661.4423975281261</v>
      </c>
      <c r="M52" s="56">
        <f>330.81099973205*Deflactores!$J$5</f>
        <v>729.884727944671</v>
      </c>
      <c r="N52" s="56">
        <f>389.19940212866*Deflactores!$K$5</f>
        <v>832.31538764762752</v>
      </c>
      <c r="O52" s="56">
        <f>278.26963475632*Deflactores!$L$5</f>
        <v>573.70822749654008</v>
      </c>
      <c r="P52" s="56">
        <f>396.17457551097*Deflactores!$M$5</f>
        <v>797.33768631012163</v>
      </c>
      <c r="Q52" s="56">
        <f>1364.40220067631*Deflactores!$N$5</f>
        <v>2693.7263358876867</v>
      </c>
      <c r="R52" s="56">
        <f>371.75957421942*Deflactores!$O$5</f>
        <v>708.04688851376579</v>
      </c>
      <c r="S52" s="56">
        <f>509.05151168669*Deflactores!$P$5</f>
        <v>908.05539978518516</v>
      </c>
      <c r="T52" s="56">
        <f>512.55440355414*Deflactores!$Q$5</f>
        <v>864.58999752692159</v>
      </c>
      <c r="U52" s="56">
        <f>574.76329340028*Deflactores!$R$5</f>
        <v>931.43006878811934</v>
      </c>
      <c r="V52" s="56">
        <f>667.019807293149*Deflactores!$S$5</f>
        <v>1047.6215809647672</v>
      </c>
    </row>
    <row r="53" spans="3:22" x14ac:dyDescent="0.2">
      <c r="C53" s="88" t="s">
        <v>124</v>
      </c>
      <c r="D53" s="57">
        <f>84.55461619313*Deflactores!$A$5</f>
        <v>306.98053368022289</v>
      </c>
      <c r="E53" s="57">
        <f>88.83866770213*Deflactores!$B$5</f>
        <v>299.61831629425245</v>
      </c>
      <c r="F53" s="57">
        <f>93.49123480001*Deflactores!$C$5</f>
        <v>294.70435932475118</v>
      </c>
      <c r="G53" s="57">
        <f>97.6466716803299*Deflactores!$D$5</f>
        <v>289.04051893197425</v>
      </c>
      <c r="H53" s="57">
        <f>105.4946304171*Deflactores!$E$5</f>
        <v>295.99992383909932</v>
      </c>
      <c r="I53" s="57">
        <f>112.34323478171*Deflactores!$F$5</f>
        <v>300.62032452151021</v>
      </c>
      <c r="J53" s="57">
        <f>116.68332081128*Deflactores!$G$5</f>
        <v>298.8515822646313</v>
      </c>
      <c r="K53" s="57">
        <f>122.99995749883*Deflactores!$H$5</f>
        <v>298.05712701582735</v>
      </c>
      <c r="L53" s="57">
        <f>1046.74458464368*Deflactores!$I$5</f>
        <v>2355.7159765588644</v>
      </c>
      <c r="M53" s="57">
        <f>1256.77425763095*Deflactores!$J$5</f>
        <v>2772.8834224431048</v>
      </c>
      <c r="N53" s="57">
        <f>1355.90465427956*Deflactores!$K$5</f>
        <v>2899.6455332859068</v>
      </c>
      <c r="O53" s="57">
        <f>1095.475283777*Deflactores!$L$5</f>
        <v>2258.5402962573799</v>
      </c>
      <c r="P53" s="57">
        <f>206.32480975711*Deflactores!$M$5</f>
        <v>415.24761206074623</v>
      </c>
      <c r="Q53" s="57">
        <f>241.338694267739*Deflactores!$N$5</f>
        <v>476.47269719699364</v>
      </c>
      <c r="R53" s="57">
        <f>263.3659254444*Deflactores!$O$5</f>
        <v>501.60221009236</v>
      </c>
      <c r="S53" s="57">
        <f>269.981836285439*Deflactores!$P$5</f>
        <v>481.59853895847448</v>
      </c>
      <c r="T53" s="57">
        <f>277.11340524122*Deflactores!$Q$5</f>
        <v>467.44204457288583</v>
      </c>
      <c r="U53" s="57">
        <f>297.06780290225*Deflactores!$R$5</f>
        <v>481.41189124142392</v>
      </c>
      <c r="V53" s="57">
        <f>316.813394947539*Deflactores!$S$5</f>
        <v>497.58724712036741</v>
      </c>
    </row>
    <row r="54" spans="3:22" x14ac:dyDescent="0.2">
      <c r="C54" s="87" t="s">
        <v>125</v>
      </c>
      <c r="D54" s="56">
        <f>7.492650108*Deflactores!$A$5</f>
        <v>27.202509246560819</v>
      </c>
      <c r="E54" s="56">
        <f>5.47124947397*Deflactores!$B$5</f>
        <v>18.452399139000171</v>
      </c>
      <c r="F54" s="56">
        <f>5.73283229*Deflactores!$C$5</f>
        <v>18.071112984599445</v>
      </c>
      <c r="G54" s="56">
        <f>5.97314629185*Deflactores!$D$5</f>
        <v>17.68090272963914</v>
      </c>
      <c r="H54" s="56">
        <f>5.88094452236*Deflactores!$E$5</f>
        <v>16.500926386850136</v>
      </c>
      <c r="I54" s="56">
        <f>6.0778054032*Deflactores!$F$5</f>
        <v>16.263656963757242</v>
      </c>
      <c r="J54" s="56">
        <f>6.6224510618*Deflactores!$G$5</f>
        <v>16.961549984423232</v>
      </c>
      <c r="K54" s="56">
        <f>6.539084612*Deflactores!$H$5</f>
        <v>15.845702814853945</v>
      </c>
      <c r="L54" s="56">
        <f>7.57244599275*Deflactores!$I$5</f>
        <v>17.041914778878652</v>
      </c>
      <c r="M54" s="56">
        <f>9.21898095598*Deflactores!$J$5</f>
        <v>20.340295251466085</v>
      </c>
      <c r="N54" s="56">
        <f>24.999428344*Deflactores!$K$5</f>
        <v>53.462078254238982</v>
      </c>
      <c r="O54" s="56">
        <f>9.36117917103*Deflactores!$L$5</f>
        <v>19.299933728637551</v>
      </c>
      <c r="P54" s="56">
        <f>12.4844571455*Deflactores!$M$5</f>
        <v>25.126115582738102</v>
      </c>
      <c r="Q54" s="56">
        <f>16.25690079538*Deflactores!$N$5</f>
        <v>32.095845191924973</v>
      </c>
      <c r="R54" s="56">
        <f>20.90564120256*Deflactores!$O$5</f>
        <v>39.816524529160461</v>
      </c>
      <c r="S54" s="56">
        <f>19.90025796843*Deflactores!$P$5</f>
        <v>35.498444244819446</v>
      </c>
      <c r="T54" s="56">
        <f>20.51019136983*Deflactores!$Q$5</f>
        <v>34.597120193983315</v>
      </c>
      <c r="U54" s="56">
        <f>22.19437046851*Deflactores!$R$5</f>
        <v>35.966987192058582</v>
      </c>
      <c r="V54" s="56">
        <f>22.31333647409*Deflactores!$S$5</f>
        <v>35.045335352854764</v>
      </c>
    </row>
    <row r="55" spans="3:22" x14ac:dyDescent="0.2">
      <c r="C55" s="88" t="s">
        <v>126</v>
      </c>
      <c r="D55" s="57">
        <f>145.43610762574*Deflactores!$A$5</f>
        <v>528.01438816005714</v>
      </c>
      <c r="E55" s="57">
        <f>145.77192923559*Deflactores!$B$5</f>
        <v>491.6320914106326</v>
      </c>
      <c r="F55" s="57">
        <f>148.237082454679*Deflactores!$C$5</f>
        <v>467.27497509715016</v>
      </c>
      <c r="G55" s="57">
        <f>148.36371765674*Deflactores!$D$5</f>
        <v>439.16628395250757</v>
      </c>
      <c r="H55" s="57">
        <f>150.78651151113*Deflactores!$E$5</f>
        <v>423.08121035915076</v>
      </c>
      <c r="I55" s="57">
        <f>169.667702084359*Deflactores!$F$5</f>
        <v>454.01540876516464</v>
      </c>
      <c r="J55" s="57">
        <f>250.96924242643*Deflactores!$G$5</f>
        <v>642.78728679826702</v>
      </c>
      <c r="K55" s="57">
        <f>226.417491024329*Deflactores!$H$5</f>
        <v>548.66154633821975</v>
      </c>
      <c r="L55" s="57">
        <f>238.130510338619*Deflactores!$I$5</f>
        <v>535.91664665908775</v>
      </c>
      <c r="M55" s="57">
        <f>285.053782788089*Deflactores!$J$5</f>
        <v>628.92830912032855</v>
      </c>
      <c r="N55" s="57">
        <f>229.92569073411*Deflactores!$K$5</f>
        <v>491.70345423667101</v>
      </c>
      <c r="O55" s="57">
        <f>343.43442637902*Deflactores!$L$5</f>
        <v>708.05841317087379</v>
      </c>
      <c r="P55" s="57">
        <f>479.33287186096*Deflactores!$M$5</f>
        <v>964.70138834393993</v>
      </c>
      <c r="Q55" s="57">
        <f>678.305812195785*Deflactores!$N$5</f>
        <v>1339.172737475634</v>
      </c>
      <c r="R55" s="57">
        <f>569.553537992798*Deflactores!$O$5</f>
        <v>1084.7618686473668</v>
      </c>
      <c r="S55" s="57">
        <f>557.53227884419*Deflactores!$P$5</f>
        <v>994.53627920980318</v>
      </c>
      <c r="T55" s="57">
        <f>551.88204426523*Deflactores!$Q$5</f>
        <v>930.92887696950038</v>
      </c>
      <c r="U55" s="57">
        <f>621.80720326122*Deflactores!$R$5</f>
        <v>1007.6668652241113</v>
      </c>
      <c r="V55" s="57">
        <f>578.329837155729*Deflactores!$S$5</f>
        <v>908.3250777497625</v>
      </c>
    </row>
    <row r="56" spans="3:22" x14ac:dyDescent="0.2">
      <c r="C56" s="87" t="s">
        <v>127</v>
      </c>
      <c r="D56" s="56">
        <f>168.793936681919*Deflactores!$A$5</f>
        <v>612.8163676628609</v>
      </c>
      <c r="E56" s="56">
        <f>182.409355607469*Deflactores!$B$5</f>
        <v>615.1958985548705</v>
      </c>
      <c r="F56" s="56">
        <f>189.84707649563*Deflactores!$C$5</f>
        <v>598.43857200093032</v>
      </c>
      <c r="G56" s="56">
        <f>208.64289693158*Deflactores!$D$5</f>
        <v>617.59658739830343</v>
      </c>
      <c r="H56" s="56">
        <f>224.132323363319*Deflactores!$E$5</f>
        <v>628.87703746738759</v>
      </c>
      <c r="I56" s="56">
        <f>241.43622919109*Deflactores!$F$5</f>
        <v>646.06148925392768</v>
      </c>
      <c r="J56" s="56">
        <f>255.46897103514*Deflactores!$G$5</f>
        <v>654.31207890329608</v>
      </c>
      <c r="K56" s="56">
        <f>272.50974342038*Deflactores!$H$5</f>
        <v>660.35365263009419</v>
      </c>
      <c r="L56" s="56">
        <f>294.3915835077*Deflactores!$I$5</f>
        <v>662.53312107616568</v>
      </c>
      <c r="M56" s="56">
        <f>324.93275173017*Deflactores!$J$5</f>
        <v>716.91525762137871</v>
      </c>
      <c r="N56" s="56">
        <f>335.60000125867*Deflactores!$K$5</f>
        <v>717.69135207925126</v>
      </c>
      <c r="O56" s="56">
        <f>350.26007424642*Deflactores!$L$5</f>
        <v>722.1308445482706</v>
      </c>
      <c r="P56" s="56">
        <f>372.72689156218*Deflactores!$M$5</f>
        <v>750.14707079688185</v>
      </c>
      <c r="Q56" s="56">
        <f>390.257046923153*Deflactores!$N$5</f>
        <v>770.48078971257155</v>
      </c>
      <c r="R56" s="56">
        <f>401.61577456809*Deflactores!$O$5</f>
        <v>764.91049398809946</v>
      </c>
      <c r="S56" s="56">
        <f>414.30592437919*Deflactores!$P$5</f>
        <v>739.04648774929228</v>
      </c>
      <c r="T56" s="56">
        <f>442.15758726191*Deflactores!$Q$5</f>
        <v>745.84283078333658</v>
      </c>
      <c r="U56" s="56">
        <f>483.44802999331*Deflactores!$R$5</f>
        <v>783.44952957625708</v>
      </c>
      <c r="V56" s="56">
        <f>508.810457183708*Deflactores!$S$5</f>
        <v>799.13791125536341</v>
      </c>
    </row>
    <row r="57" spans="3:22" x14ac:dyDescent="0.2">
      <c r="C57" s="88" t="s">
        <v>128</v>
      </c>
      <c r="D57" s="57">
        <f>38.56032276966*Deflactores!$A$5</f>
        <v>139.99553183086468</v>
      </c>
      <c r="E57" s="57">
        <f>42.6418450090599*Deflactores!$B$5</f>
        <v>143.81437875827885</v>
      </c>
      <c r="F57" s="57">
        <f>49.08475227186*Deflactores!$C$5</f>
        <v>154.72563285570251</v>
      </c>
      <c r="G57" s="57">
        <f>54.1332418342199*Deflactores!$D$5</f>
        <v>160.23792764239064</v>
      </c>
      <c r="H57" s="57">
        <f>59.64427780546*Deflactores!$E$5</f>
        <v>167.35166157795771</v>
      </c>
      <c r="I57" s="57">
        <f>68.26949751071*Deflactores!$F$5</f>
        <v>182.68299409811323</v>
      </c>
      <c r="J57" s="57">
        <f>73.80133768688*Deflactores!$G$5</f>
        <v>189.02141615117876</v>
      </c>
      <c r="K57" s="57">
        <f>83.7117390682999*Deflactores!$H$5</f>
        <v>202.85275663150861</v>
      </c>
      <c r="L57" s="57">
        <f>105.64150418076*Deflactores!$I$5</f>
        <v>237.74795001307865</v>
      </c>
      <c r="M57" s="57">
        <f>98.89467185349*Deflactores!$J$5</f>
        <v>218.19622297755436</v>
      </c>
      <c r="N57" s="57">
        <f>108.298129121169*Deflactores!$K$5</f>
        <v>231.59901795327286</v>
      </c>
      <c r="O57" s="57">
        <f>120.92003217672*Deflactores!$L$5</f>
        <v>249.30070932705331</v>
      </c>
      <c r="P57" s="57">
        <f>151.86889484478*Deflactores!$M$5</f>
        <v>305.65008640908871</v>
      </c>
      <c r="Q57" s="57">
        <f>205.65580262684*Deflactores!$N$5</f>
        <v>406.02430235706208</v>
      </c>
      <c r="R57" s="57">
        <f>199.59458920224*Deflactores!$O$5</f>
        <v>380.14442034361167</v>
      </c>
      <c r="S57" s="57">
        <f>217.88160139118*Deflactores!$P$5</f>
        <v>388.66118676586063</v>
      </c>
      <c r="T57" s="57">
        <f>208.50411837496*Deflactores!$Q$5</f>
        <v>351.71012860319337</v>
      </c>
      <c r="U57" s="57">
        <f>216.480144467909*Deflactores!$R$5</f>
        <v>350.81592399565767</v>
      </c>
      <c r="V57" s="57">
        <f>259.54695175636*Deflactores!$S$5</f>
        <v>407.64454812371622</v>
      </c>
    </row>
    <row r="58" spans="3:22" x14ac:dyDescent="0.2">
      <c r="C58" s="87" t="s">
        <v>129</v>
      </c>
      <c r="D58" s="56">
        <f>6032.93408399439*Deflactores!$A$5</f>
        <v>21902.92391053012</v>
      </c>
      <c r="E58" s="56">
        <f>6825.16150350141*Deflactores!$B$5</f>
        <v>23018.618480096942</v>
      </c>
      <c r="F58" s="56">
        <f>7674.73954102947*Deflactores!$C$5</f>
        <v>24192.419794878813</v>
      </c>
      <c r="G58" s="56">
        <f>8817.29122352916*Deflactores!$D$5</f>
        <v>26099.757287852299</v>
      </c>
      <c r="H58" s="56">
        <f>10160.403939438*Deflactores!$E$5</f>
        <v>28508.358959667392</v>
      </c>
      <c r="I58" s="56">
        <f>11185.9622182396*Deflactores!$F$5</f>
        <v>29932.622099288252</v>
      </c>
      <c r="J58" s="56">
        <f>12047.8824462331*Deflactores!$G$5</f>
        <v>30857.269976215561</v>
      </c>
      <c r="K58" s="56">
        <f>13384.8041981896*Deflactores!$H$5</f>
        <v>32434.452548650072</v>
      </c>
      <c r="L58" s="56">
        <f>15060.7891243106*Deflactores!$I$5</f>
        <v>33894.554679544657</v>
      </c>
      <c r="M58" s="56">
        <f>17089.3825588235*Deflactores!$J$5</f>
        <v>37705.152941686923</v>
      </c>
      <c r="N58" s="56">
        <f>18556.9203579323*Deflactores!$K$5</f>
        <v>39684.568570207506</v>
      </c>
      <c r="O58" s="56">
        <f>20003.7761043439*Deflactores!$L$5</f>
        <v>41241.765175386725</v>
      </c>
      <c r="P58" s="56">
        <f>21699.067418846*Deflactores!$M$5</f>
        <v>43671.364293166102</v>
      </c>
      <c r="Q58" s="56">
        <f>23190.8783885423*Deflactores!$N$5</f>
        <v>45785.531448585891</v>
      </c>
      <c r="R58" s="56">
        <f>24391.6821277173*Deflactores!$O$5</f>
        <v>46455.978093932536</v>
      </c>
      <c r="S58" s="56">
        <f>25404.7654293413*Deflactores!$P$5</f>
        <v>45317.485360082355</v>
      </c>
      <c r="T58" s="56">
        <f>27719.0108950714*Deflactores!$Q$5</f>
        <v>46757.143036987029</v>
      </c>
      <c r="U58" s="56">
        <f>28907.1465063621*Deflactores!$R$5</f>
        <v>46845.346193911937</v>
      </c>
      <c r="V58" s="56">
        <f>30497.7432365958*Deflactores!$S$5</f>
        <v>47899.767946978311</v>
      </c>
    </row>
    <row r="59" spans="3:22" x14ac:dyDescent="0.2">
      <c r="C59" s="88" t="s">
        <v>130</v>
      </c>
      <c r="D59" s="57">
        <f>6.911688302*Deflactores!$A$5</f>
        <v>25.09329305845403</v>
      </c>
      <c r="E59" s="57">
        <f>6.87778166313*Deflactores!$B$5</f>
        <v>23.19608583793616</v>
      </c>
      <c r="F59" s="57">
        <f>7.63655270242999*Deflactores!$C$5</f>
        <v>24.072046715753579</v>
      </c>
      <c r="G59" s="57">
        <f>6.70802259297*Deflactores!$D$5</f>
        <v>19.856184526461739</v>
      </c>
      <c r="H59" s="57">
        <f>8.33173791897*Deflactores!$E$5</f>
        <v>23.377434279941337</v>
      </c>
      <c r="I59" s="57">
        <f>8.69379094088*Deflactores!$F$5</f>
        <v>23.263797406650838</v>
      </c>
      <c r="J59" s="57">
        <f>9.074091739*Deflactores!$G$5</f>
        <v>23.240739592941157</v>
      </c>
      <c r="K59" s="57">
        <f>9.5134452335*Deflactores!$H$5</f>
        <v>23.053261252926852</v>
      </c>
      <c r="L59" s="57">
        <f>10.25037529518*Deflactores!$I$5</f>
        <v>23.068638904685262</v>
      </c>
      <c r="M59" s="57">
        <f>10.8260017405*Deflactores!$J$5</f>
        <v>23.885944970069364</v>
      </c>
      <c r="N59" s="57">
        <f>14.03136866142*Deflactores!$K$5</f>
        <v>30.006531312183053</v>
      </c>
      <c r="O59" s="57">
        <f>10.86580455997*Deflactores!$L$5</f>
        <v>22.402018387249242</v>
      </c>
      <c r="P59" s="57">
        <f>17.11223970503*Deflactores!$M$5</f>
        <v>34.439952630466088</v>
      </c>
      <c r="Q59" s="57">
        <f>23.64664046071*Deflactores!$N$5</f>
        <v>46.685338188921207</v>
      </c>
      <c r="R59" s="57">
        <f>24.53470061724*Deflactores!$O$5</f>
        <v>46.72836864828237</v>
      </c>
      <c r="S59" s="57">
        <f>28.37179023925*Deflactores!$P$5</f>
        <v>50.610118498538569</v>
      </c>
      <c r="T59" s="57">
        <f>60.06693656153*Deflactores!$Q$5</f>
        <v>101.32245898790212</v>
      </c>
      <c r="U59" s="57">
        <f>55.9380997432399*Deflactores!$R$5</f>
        <v>90.650235827494214</v>
      </c>
      <c r="V59" s="57">
        <f>37.3611797368399*Deflactores!$S$5</f>
        <v>58.679484109255554</v>
      </c>
    </row>
    <row r="60" spans="3:22" x14ac:dyDescent="0.2">
      <c r="C60" s="87" t="s">
        <v>131</v>
      </c>
      <c r="D60" s="56">
        <f>4778.38547595603*Deflactores!$A$5</f>
        <v>17348.211009418432</v>
      </c>
      <c r="E60" s="56">
        <f>7301.29163131352*Deflactores!$B$5</f>
        <v>24624.42044586203</v>
      </c>
      <c r="F60" s="56">
        <f>8451.85441838745*Deflactores!$C$5</f>
        <v>26642.052025573143</v>
      </c>
      <c r="G60" s="56">
        <f>9868.27142431674*Deflactores!$D$5</f>
        <v>29210.727251245993</v>
      </c>
      <c r="H60" s="56">
        <f>11159.6462071401*Deflactores!$E$5</f>
        <v>31312.062181027624</v>
      </c>
      <c r="I60" s="56">
        <f>11973.9002555744*Deflactores!$F$5</f>
        <v>32041.07294589849</v>
      </c>
      <c r="J60" s="56">
        <f>12862.1510947872*Deflactores!$G$5</f>
        <v>32942.79061718579</v>
      </c>
      <c r="K60" s="56">
        <f>13707.9103472345*Deflactores!$H$5</f>
        <v>33217.412904602927</v>
      </c>
      <c r="L60" s="56">
        <f>15402.6108670919*Deflactores!$I$5</f>
        <v>34663.830157458127</v>
      </c>
      <c r="M60" s="56">
        <f>17813.1231470605*Deflactores!$J$5</f>
        <v>39301.977723135387</v>
      </c>
      <c r="N60" s="56">
        <f>19396.1600496191*Deflactores!$K$5</f>
        <v>41479.309532025996</v>
      </c>
      <c r="O60" s="56">
        <f>20818.6180252237*Deflactores!$L$5</f>
        <v>42921.723948205035</v>
      </c>
      <c r="P60" s="56">
        <f>22140.4286625649*Deflactores!$M$5</f>
        <v>44559.644295586499</v>
      </c>
      <c r="Q60" s="56">
        <f>23673.4384237908*Deflactores!$N$5</f>
        <v>46738.245153497424</v>
      </c>
      <c r="R60" s="56">
        <f>25021.222842394*Deflactores!$O$5</f>
        <v>47654.990507144743</v>
      </c>
      <c r="S60" s="56">
        <f>26586.9360844244*Deflactores!$P$5</f>
        <v>47426.263002759311</v>
      </c>
      <c r="T60" s="56">
        <f>28773.9908259285*Deflactores!$Q$5</f>
        <v>48536.710414588044</v>
      </c>
      <c r="U60" s="56">
        <f>32310.6100146924*Deflactores!$R$5</f>
        <v>52360.813667361421</v>
      </c>
      <c r="V60" s="56">
        <f>34807.4862193638*Deflactores!$S$5</f>
        <v>54668.652030768229</v>
      </c>
    </row>
    <row r="61" spans="3:22" x14ac:dyDescent="0.2">
      <c r="C61" s="88" t="s">
        <v>132</v>
      </c>
      <c r="D61" s="57">
        <f>27.2053375087199*Deflactores!$A$5</f>
        <v>98.770586437313568</v>
      </c>
      <c r="E61" s="57">
        <f>29.38229497255*Deflactores!$B$5</f>
        <v>99.095067229665773</v>
      </c>
      <c r="F61" s="57">
        <f>31.0517718819099*Deflactores!$C$5</f>
        <v>97.88182344507446</v>
      </c>
      <c r="G61" s="57">
        <f>32.10422280988*Deflactores!$D$5</f>
        <v>95.030594091869091</v>
      </c>
      <c r="H61" s="57">
        <f>31.5019671438899*Deflactores!$E$5</f>
        <v>88.389142068237106</v>
      </c>
      <c r="I61" s="57">
        <f>32.69957977563*Deflactores!$F$5</f>
        <v>87.50111480203968</v>
      </c>
      <c r="J61" s="57">
        <f>42.74813633559*Deflactores!$G$5</f>
        <v>109.48735512436865</v>
      </c>
      <c r="K61" s="57">
        <f>45.01258941505*Deflactores!$H$5</f>
        <v>109.07583509303622</v>
      </c>
      <c r="L61" s="57">
        <f>43.83982577936*Deflactores!$I$5</f>
        <v>98.662252007877214</v>
      </c>
      <c r="M61" s="57">
        <f>42.01035723589*Deflactores!$J$5</f>
        <v>92.689536281478468</v>
      </c>
      <c r="N61" s="57">
        <f>49.1761292122*Deflactores!$K$5</f>
        <v>105.16472744922557</v>
      </c>
      <c r="O61" s="57">
        <f>48.3508879698437*Deflactores!$L$5</f>
        <v>99.684977339888505</v>
      </c>
      <c r="P61" s="57">
        <f>50.37625132523*Deflactores!$M$5</f>
        <v>101.38682833150123</v>
      </c>
      <c r="Q61" s="57">
        <f>54.19652910226*Deflactores!$N$5</f>
        <v>106.99969384694356</v>
      </c>
      <c r="R61" s="57">
        <f>61.2574495325399*Deflactores!$O$5</f>
        <v>116.66988437587408</v>
      </c>
      <c r="S61" s="57">
        <f>61.381966109948*Deflactores!$P$5</f>
        <v>109.49427414700455</v>
      </c>
      <c r="T61" s="57">
        <f>66.8373515467799*Deflactores!$Q$5</f>
        <v>112.74296973712865</v>
      </c>
      <c r="U61" s="57">
        <f>70.8539428970799*Deflactores!$R$5</f>
        <v>114.82203833183142</v>
      </c>
      <c r="V61" s="57">
        <f>77.64163385129*Deflactores!$S$5</f>
        <v>121.94398174480034</v>
      </c>
    </row>
    <row r="62" spans="3:22" x14ac:dyDescent="0.2">
      <c r="C62" s="87" t="s">
        <v>133</v>
      </c>
      <c r="D62" s="56">
        <f>602.56151392389*Deflactores!$A$5</f>
        <v>2187.6352048836793</v>
      </c>
      <c r="E62" s="56">
        <f>630.68546562378*Deflactores!$B$5</f>
        <v>2127.0570823398671</v>
      </c>
      <c r="F62" s="56">
        <f>673.85545580264*Deflactores!$C$5</f>
        <v>2124.1364584028788</v>
      </c>
      <c r="G62" s="56">
        <f>696.373977297259*Deflactores!$D$5</f>
        <v>2061.3124063015948</v>
      </c>
      <c r="H62" s="56">
        <f>748.821777196799*Deflactores!$E$5</f>
        <v>2101.0660745760883</v>
      </c>
      <c r="I62" s="56">
        <f>825.89299396487*Deflactores!$F$5</f>
        <v>2210.0148740436848</v>
      </c>
      <c r="J62" s="56">
        <f>908.34793750464*Deflactores!$G$5</f>
        <v>2326.4783388289839</v>
      </c>
      <c r="K62" s="56">
        <f>1022.67249062006*Deflactores!$H$5</f>
        <v>2478.1701606298134</v>
      </c>
      <c r="L62" s="56">
        <f>1184.3222981725*Deflactores!$I$5</f>
        <v>2665.3368931921273</v>
      </c>
      <c r="M62" s="56">
        <f>1370.97153685303*Deflactores!$J$5</f>
        <v>3024.8425475766162</v>
      </c>
      <c r="N62" s="56">
        <f>1448.46546752273*Deflactores!$K$5</f>
        <v>3097.5897971622453</v>
      </c>
      <c r="O62" s="56">
        <f>1568.04427198859*Deflactores!$L$5</f>
        <v>3232.835306326017</v>
      </c>
      <c r="P62" s="56">
        <f>1841.24685189151*Deflactores!$M$5</f>
        <v>3705.6782427784046</v>
      </c>
      <c r="Q62" s="56">
        <f>2100.26384225681*Deflactores!$N$5</f>
        <v>4146.5310019255985</v>
      </c>
      <c r="R62" s="56">
        <f>2382.18577578822*Deflactores!$O$5</f>
        <v>4537.0700403618284</v>
      </c>
      <c r="S62" s="56">
        <f>2648.98536617585*Deflactores!$P$5</f>
        <v>4725.3085601058046</v>
      </c>
      <c r="T62" s="56">
        <f>2986.32393476352*Deflactores!$Q$5</f>
        <v>5037.4082935745446</v>
      </c>
      <c r="U62" s="56">
        <f>3250.34815188803*Deflactores!$R$5</f>
        <v>5267.3370715585952</v>
      </c>
      <c r="V62" s="56">
        <f>3494.41001260136*Deflactores!$S$5</f>
        <v>5488.3217888185627</v>
      </c>
    </row>
    <row r="63" spans="3:22" x14ac:dyDescent="0.2">
      <c r="C63" s="88" t="s">
        <v>134</v>
      </c>
      <c r="D63" s="57">
        <f>6033.15358479573*Deflactores!$A$5</f>
        <v>21903.72082116815</v>
      </c>
      <c r="E63" s="57">
        <f>5075.91103005158*Deflactores!$B$5</f>
        <v>17119.076139038221</v>
      </c>
      <c r="F63" s="57">
        <f>5203.37213133878*Deflactores!$C$5</f>
        <v>16402.141372661557</v>
      </c>
      <c r="G63" s="57">
        <f>3961.40143956077*Deflactores!$D$5</f>
        <v>11726.006714667845</v>
      </c>
      <c r="H63" s="57">
        <f>4809.35553200061*Deflactores!$E$5</f>
        <v>13494.230612106872</v>
      </c>
      <c r="I63" s="57">
        <f>5261.76484844904*Deflactores!$F$5</f>
        <v>14080.006324992779</v>
      </c>
      <c r="J63" s="57">
        <f>5378.62466708138*Deflactores!$G$5</f>
        <v>13775.837720325275</v>
      </c>
      <c r="K63" s="57">
        <f>5715.99356838381*Deflactores!$H$5</f>
        <v>13851.164306700119</v>
      </c>
      <c r="L63" s="57">
        <f>6418.89514761426*Deflactores!$I$5</f>
        <v>14445.829548990141</v>
      </c>
      <c r="M63" s="57">
        <f>5698.50342555851*Deflactores!$J$5</f>
        <v>12572.890943240867</v>
      </c>
      <c r="N63" s="57">
        <f>6683.26415482655*Deflactores!$K$5</f>
        <v>14292.374462428123</v>
      </c>
      <c r="O63" s="57">
        <f>6995.01276954443*Deflactores!$L$5</f>
        <v>14421.610826654718</v>
      </c>
      <c r="P63" s="57">
        <f>7391.25504197387*Deflactores!$M$5</f>
        <v>14875.578995685151</v>
      </c>
      <c r="Q63" s="57">
        <f>10321.8988712674*Deflactores!$N$5</f>
        <v>20378.427132498211</v>
      </c>
      <c r="R63" s="57">
        <f>11202.4006922887*Deflactores!$O$5</f>
        <v>21335.899608540938</v>
      </c>
      <c r="S63" s="57">
        <f>14318.4089898341*Deflactores!$P$5</f>
        <v>25541.439915326257</v>
      </c>
      <c r="T63" s="57">
        <f>16382.8060048871*Deflactores!$Q$5</f>
        <v>27634.940027889585</v>
      </c>
      <c r="U63" s="57">
        <f>19152.9638946466*Deflactores!$R$5</f>
        <v>31038.24945456818</v>
      </c>
      <c r="V63" s="57">
        <f>10283.8382612932*Deflactores!$S$5</f>
        <v>16151.800561069485</v>
      </c>
    </row>
    <row r="64" spans="3:22" x14ac:dyDescent="0.2">
      <c r="C64" s="87" t="s">
        <v>135</v>
      </c>
      <c r="D64" s="56"/>
      <c r="E64" s="56"/>
      <c r="F64" s="56"/>
      <c r="G64" s="56"/>
      <c r="H64" s="56"/>
      <c r="I64" s="56"/>
      <c r="J64" s="56"/>
      <c r="K64" s="56"/>
      <c r="L64" s="56"/>
      <c r="M64" s="56"/>
      <c r="N64" s="56"/>
      <c r="O64" s="56"/>
      <c r="P64" s="56"/>
      <c r="Q64" s="56"/>
      <c r="R64" s="56"/>
      <c r="S64" s="56"/>
      <c r="T64" s="56"/>
      <c r="U64" s="56"/>
      <c r="V64" s="56"/>
    </row>
    <row r="65" spans="3:22" x14ac:dyDescent="0.2">
      <c r="C65" s="88" t="s">
        <v>136</v>
      </c>
      <c r="D65" s="57">
        <f>138.29749610405*Deflactores!$A$5</f>
        <v>502.09723693487979</v>
      </c>
      <c r="E65" s="57">
        <f>145.673636158899*Deflactores!$B$5</f>
        <v>491.30058704543563</v>
      </c>
      <c r="F65" s="57">
        <f>159.65411845217*Deflactores!$C$5</f>
        <v>503.26391337810912</v>
      </c>
      <c r="G65" s="57">
        <f>150.23392913893*Deflactores!$D$5</f>
        <v>444.70223195792869</v>
      </c>
      <c r="H65" s="57">
        <f>151.53359715261*Deflactores!$E$5</f>
        <v>425.17740513328334</v>
      </c>
      <c r="I65" s="57">
        <f>160.57116279601*Deflactores!$F$5</f>
        <v>429.67389324623144</v>
      </c>
      <c r="J65" s="57">
        <f>296.482426564879*Deflactores!$G$5</f>
        <v>759.35653593436211</v>
      </c>
      <c r="K65" s="57">
        <f>207.85591149733*Deflactores!$H$5</f>
        <v>503.68257903454617</v>
      </c>
      <c r="L65" s="57">
        <f>287.588138715209*Deflactores!$I$5</f>
        <v>647.22185619987033</v>
      </c>
      <c r="M65" s="57">
        <f>473.35940157814*Deflactores!$J$5</f>
        <v>1044.3963420828177</v>
      </c>
      <c r="N65" s="57">
        <f>606.480458537509*Deflactores!$K$5</f>
        <v>1296.9778863675863</v>
      </c>
      <c r="O65" s="57">
        <f>808.42952351716*Deflactores!$L$5</f>
        <v>1666.7383395930106</v>
      </c>
      <c r="P65" s="57">
        <f>1328.23465518014*Deflactores!$M$5</f>
        <v>2673.1941227483694</v>
      </c>
      <c r="Q65" s="57">
        <f>1128.05367462995*Deflactores!$N$5</f>
        <v>2227.1056805239409</v>
      </c>
      <c r="R65" s="57">
        <f>1152.65630647651*Deflactores!$O$5</f>
        <v>2195.3293685578715</v>
      </c>
      <c r="S65" s="57">
        <f>1113.36564756494*Deflactores!$P$5</f>
        <v>1986.0420114593824</v>
      </c>
      <c r="T65" s="57">
        <f>1202.98166572082*Deflactores!$Q$5</f>
        <v>2029.2205240621524</v>
      </c>
      <c r="U65" s="57">
        <f>1209.40714086115*Deflactores!$R$5</f>
        <v>1959.8993000073779</v>
      </c>
      <c r="V65" s="57">
        <f>1361.43202849312*Deflactores!$S$5</f>
        <v>2138.2656983665879</v>
      </c>
    </row>
    <row r="66" spans="3:22" x14ac:dyDescent="0.2">
      <c r="C66" s="87" t="s">
        <v>137</v>
      </c>
      <c r="D66" s="56">
        <f>41.4624505620499*Deflactores!$A$5</f>
        <v>150.53187837971751</v>
      </c>
      <c r="E66" s="56">
        <f>38.72656549268*Deflactores!$B$5</f>
        <v>130.60966186121317</v>
      </c>
      <c r="F66" s="56">
        <f>41.49291398687*Deflactores!$C$5</f>
        <v>130.79453554309268</v>
      </c>
      <c r="G66" s="56">
        <f>41.68323604975*Deflactores!$D$5</f>
        <v>123.38509824509168</v>
      </c>
      <c r="H66" s="56">
        <f>43.96310641942*Deflactores!$E$5</f>
        <v>123.35297161976885</v>
      </c>
      <c r="I66" s="56">
        <f>45.84654118029*Deflactores!$F$5</f>
        <v>122.6811931718687</v>
      </c>
      <c r="J66" s="56">
        <f>47.58907513643*Deflactores!$G$5</f>
        <v>121.88606138519889</v>
      </c>
      <c r="K66" s="56">
        <f>48.44435720948*Deflactores!$H$5</f>
        <v>117.39179609166484</v>
      </c>
      <c r="L66" s="56">
        <f>51.8885971484399*Deflactores!$I$5</f>
        <v>116.77614491353332</v>
      </c>
      <c r="M66" s="56">
        <f>56.00067919992*Deflactores!$J$5</f>
        <v>123.55707801632208</v>
      </c>
      <c r="N66" s="56">
        <f>55.3055664408199*Deflactores!$K$5</f>
        <v>118.27272529068703</v>
      </c>
      <c r="O66" s="56">
        <f>57.20052996495*Deflactores!$L$5</f>
        <v>117.9302753848491</v>
      </c>
      <c r="P66" s="56">
        <f>98.3440426621239*Deflactores!$M$5</f>
        <v>197.9264099354869</v>
      </c>
      <c r="Q66" s="56">
        <f>116.6321714909*Deflactores!$N$5</f>
        <v>230.26579098236235</v>
      </c>
      <c r="R66" s="56">
        <f>123.650670830476*Deflactores!$O$5</f>
        <v>235.50294011388212</v>
      </c>
      <c r="S66" s="56">
        <f>122.90044966286*Deflactores!$P$5</f>
        <v>219.23207060639271</v>
      </c>
      <c r="T66" s="56">
        <f>136.08624181993*Deflactores!$Q$5</f>
        <v>229.55378524245435</v>
      </c>
      <c r="U66" s="56">
        <f>142.36491091918*Deflactores!$R$5</f>
        <v>230.70881577351915</v>
      </c>
      <c r="V66" s="56">
        <f>144.82796686094*Deflactores!$S$5</f>
        <v>227.4668637300139</v>
      </c>
    </row>
    <row r="67" spans="3:22" x14ac:dyDescent="0.2">
      <c r="C67" s="88" t="s">
        <v>138</v>
      </c>
      <c r="D67" s="57">
        <f>147.253696890829*Deflactores!$A$5</f>
        <v>534.6132534583636</v>
      </c>
      <c r="E67" s="57">
        <f>162.48059153946*Deflactores!$B$5</f>
        <v>547.98391879057817</v>
      </c>
      <c r="F67" s="57">
        <f>178.33110562564*Deflactores!$C$5</f>
        <v>562.13776985083894</v>
      </c>
      <c r="G67" s="57">
        <f>195.78303696134*Deflactores!$D$5</f>
        <v>579.53056287102345</v>
      </c>
      <c r="H67" s="57">
        <f>222.83583278594*Deflactores!$E$5</f>
        <v>625.23930623267938</v>
      </c>
      <c r="I67" s="57">
        <f>236.61221684006*Deflactores!$F$5</f>
        <v>633.15286897714611</v>
      </c>
      <c r="J67" s="57">
        <f>257.75357164781*Deflactores!$G$5</f>
        <v>660.16344226176147</v>
      </c>
      <c r="K67" s="57">
        <f>253.69118815621*Deflactores!$H$5</f>
        <v>614.7519741361773</v>
      </c>
      <c r="L67" s="57">
        <f>292.912702386959*Deflactores!$I$5</f>
        <v>659.20487468762883</v>
      </c>
      <c r="M67" s="57">
        <f>280.909798251009*Deflactores!$J$5</f>
        <v>619.78523035661328</v>
      </c>
      <c r="N67" s="57">
        <f>278.93146432062*Deflactores!$K$5</f>
        <v>596.50387072380715</v>
      </c>
      <c r="O67" s="57">
        <f>282.44823470512*Deflactores!$L$5</f>
        <v>582.32324282921365</v>
      </c>
      <c r="P67" s="57">
        <f>114.380402031433*Deflactores!$M$5</f>
        <v>230.20105466722211</v>
      </c>
      <c r="Q67" s="57">
        <f>143.483348550119*Deflactores!$N$5</f>
        <v>283.27781541192491</v>
      </c>
      <c r="R67" s="57">
        <f>121.67975803995*Deflactores!$O$5</f>
        <v>231.74917352483317</v>
      </c>
      <c r="S67" s="57">
        <f>61.63878869845*Deflactores!$P$5</f>
        <v>109.95239897901483</v>
      </c>
      <c r="T67" s="57">
        <f>81.27033184115*Deflactores!$Q$5</f>
        <v>137.0888934293001</v>
      </c>
      <c r="U67" s="57">
        <f>83.47428335875*Deflactores!$R$5</f>
        <v>135.273874277723</v>
      </c>
      <c r="V67" s="57">
        <f>86.33079663365*Deflactores!$S$5</f>
        <v>135.59118434925844</v>
      </c>
    </row>
    <row r="68" spans="3:22" x14ac:dyDescent="0.2">
      <c r="C68" s="87" t="s">
        <v>139</v>
      </c>
      <c r="D68" s="56">
        <f>460.58837893334*Deflactores!$A$5</f>
        <v>1672.1933436361978</v>
      </c>
      <c r="E68" s="56">
        <f>605.07429890669*Deflactores!$B$5</f>
        <v>2040.6805658005276</v>
      </c>
      <c r="F68" s="56">
        <f>561.492328777309*Deflactores!$C$5</f>
        <v>1769.9438602137459</v>
      </c>
      <c r="G68" s="56">
        <f>625.46158874886*Deflactores!$D$5</f>
        <v>1851.4071096639839</v>
      </c>
      <c r="H68" s="56">
        <f>705.268330067429*Deflactores!$E$5</f>
        <v>1978.8625369907852</v>
      </c>
      <c r="I68" s="56">
        <f>837.872979081429*Deflactores!$F$5</f>
        <v>2242.0722295266442</v>
      </c>
      <c r="J68" s="56">
        <f>1017.4385001647*Deflactores!$G$5</f>
        <v>2605.883201789879</v>
      </c>
      <c r="K68" s="56">
        <f>876.963712644009*Deflactores!$H$5</f>
        <v>2125.0843496453508</v>
      </c>
      <c r="L68" s="56">
        <f>972.56573824796*Deflactores!$I$5</f>
        <v>2188.7752575518607</v>
      </c>
      <c r="M68" s="56">
        <f>1361.12494642042*Deflactores!$J$5</f>
        <v>3003.1175263865425</v>
      </c>
      <c r="N68" s="56">
        <f>2331.4572711654*Deflactores!$K$5</f>
        <v>4985.8960517940995</v>
      </c>
      <c r="O68" s="56">
        <f>2446.12135220618*Deflactores!$L$5</f>
        <v>5043.1659438679535</v>
      </c>
      <c r="P68" s="56">
        <f>1978.73505318697*Deflactores!$M$5</f>
        <v>3982.3858638428637</v>
      </c>
      <c r="Q68" s="56">
        <f>2443.64112414453*Deflactores!$N$5</f>
        <v>4824.4575157556055</v>
      </c>
      <c r="R68" s="56">
        <f>2646.14586635155*Deflactores!$O$5</f>
        <v>5039.803887116419</v>
      </c>
      <c r="S68" s="56">
        <f>2594.21709467363*Deflactores!$P$5</f>
        <v>4627.6119153994414</v>
      </c>
      <c r="T68" s="56">
        <f>2689.94663020118*Deflactores!$Q$5</f>
        <v>4537.4714064036543</v>
      </c>
      <c r="U68" s="56">
        <f>2939.74669992191*Deflactores!$R$5</f>
        <v>4763.9932862257101</v>
      </c>
      <c r="V68" s="56">
        <f>3268.50800834835*Deflactores!$S$5</f>
        <v>5133.5200089448235</v>
      </c>
    </row>
    <row r="69" spans="3:22" x14ac:dyDescent="0.2">
      <c r="C69" s="88" t="s">
        <v>140</v>
      </c>
      <c r="D69" s="57">
        <f>102.9249749419*Deflactores!$A$5</f>
        <v>373.67520733013725</v>
      </c>
      <c r="E69" s="57">
        <f>84.86725056314*Deflactores!$B$5</f>
        <v>286.22426900308858</v>
      </c>
      <c r="F69" s="57">
        <f>107.13220107589*Deflactores!$C$5</f>
        <v>337.70360129115767</v>
      </c>
      <c r="G69" s="57">
        <f>79.76043653391*Deflactores!$D$5</f>
        <v>236.09609594759161</v>
      </c>
      <c r="H69" s="57">
        <f>2361.27084178397*Deflactores!$E$5</f>
        <v>6625.3228867490116</v>
      </c>
      <c r="I69" s="57">
        <f>2121.52937398617*Deflactores!$F$5</f>
        <v>5677.0205177808502</v>
      </c>
      <c r="J69" s="57">
        <f>194.56996628403*Deflactores!$G$5</f>
        <v>498.33636787904214</v>
      </c>
      <c r="K69" s="57">
        <f>123.31134963077*Deflactores!$H$5</f>
        <v>298.8117016198247</v>
      </c>
      <c r="L69" s="57">
        <f>126.10021302105*Deflactores!$I$5</f>
        <v>283.79061216952357</v>
      </c>
      <c r="M69" s="57">
        <f>109.900310694579*Deflactores!$J$5</f>
        <v>242.47851019863225</v>
      </c>
      <c r="N69" s="57">
        <f>965.113059284549*Deflactores!$K$5</f>
        <v>2063.9251901950829</v>
      </c>
      <c r="O69" s="57">
        <f>717.11179817288*Deflactores!$L$5</f>
        <v>1478.4686766376533</v>
      </c>
      <c r="P69" s="57">
        <f>172.380833882105*Deflactores!$M$5</f>
        <v>346.93224590319824</v>
      </c>
      <c r="Q69" s="57">
        <f>283.240925984181*Deflactores!$N$5</f>
        <v>559.19987621436758</v>
      </c>
      <c r="R69" s="57">
        <f>446.369548993188*Deflactores!$O$5</f>
        <v>850.14776271876258</v>
      </c>
      <c r="S69" s="57">
        <f>729.48652590746*Deflactores!$P$5</f>
        <v>1301.2714110718637</v>
      </c>
      <c r="T69" s="57">
        <f>539.33190940212*Deflactores!$Q$5</f>
        <v>909.75898554915943</v>
      </c>
      <c r="U69" s="57">
        <f>681.368709530609*Deflactores!$R$5</f>
        <v>1104.1889961928771</v>
      </c>
      <c r="V69" s="57">
        <f>603.89891789191*Deflactores!$S$5</f>
        <v>948.48388636649236</v>
      </c>
    </row>
    <row r="70" spans="3:22" x14ac:dyDescent="0.2">
      <c r="C70" s="87" t="s">
        <v>141</v>
      </c>
      <c r="D70" s="56">
        <f>356.12641867794*Deflactores!$A$5</f>
        <v>1292.9380202457003</v>
      </c>
      <c r="E70" s="56">
        <f>355.74676884506*Deflactores!$B$5</f>
        <v>1199.7956595416383</v>
      </c>
      <c r="F70" s="56">
        <f>384.67354687292*Deflactores!$C$5</f>
        <v>1212.573258047838</v>
      </c>
      <c r="G70" s="56">
        <f>396.3349953447*Deflactores!$D$5</f>
        <v>1173.1774442897906</v>
      </c>
      <c r="H70" s="56">
        <f>443.333609127679*Deflactores!$E$5</f>
        <v>1243.9184252152706</v>
      </c>
      <c r="I70" s="56">
        <f>462.301232857609*Deflactores!$F$5</f>
        <v>1237.0762415590941</v>
      </c>
      <c r="J70" s="56">
        <f>522.89469966258*Deflactores!$G$5</f>
        <v>1339.2480370411647</v>
      </c>
      <c r="K70" s="56">
        <f>572.80116691023*Deflactores!$H$5</f>
        <v>1388.0286923042274</v>
      </c>
      <c r="L70" s="56">
        <f>651.649732025189*Deflactores!$I$5</f>
        <v>1466.5484850581777</v>
      </c>
      <c r="M70" s="56">
        <f>727.38555004797*Deflactores!$J$5</f>
        <v>1604.8668416034277</v>
      </c>
      <c r="N70" s="56">
        <f>813.95991058062*Deflactores!$K$5</f>
        <v>1740.6793402025351</v>
      </c>
      <c r="O70" s="56">
        <f>856.776343412689*Deflactores!$L$5</f>
        <v>1766.4149297881559</v>
      </c>
      <c r="P70" s="56">
        <f>974.952130122973*Deflactores!$M$5</f>
        <v>1962.1806237635531</v>
      </c>
      <c r="Q70" s="56">
        <f>1090.00803842848*Deflactores!$N$5</f>
        <v>2151.9925414871509</v>
      </c>
      <c r="R70" s="56">
        <f>1253.09101931308*Deflactores!$O$5</f>
        <v>2386.6155945334126</v>
      </c>
      <c r="S70" s="56">
        <f>1331.91588310705*Deflactores!$P$5</f>
        <v>2375.8959200565191</v>
      </c>
      <c r="T70" s="56">
        <f>1438.18776191151*Deflactores!$Q$5</f>
        <v>2425.9722380533199</v>
      </c>
      <c r="U70" s="56">
        <f>1502.06918381514*Deflactores!$R$5</f>
        <v>2434.1714567897779</v>
      </c>
      <c r="V70" s="56">
        <f>1603.56073622311*Deflactores!$S$5</f>
        <v>2518.5531453292647</v>
      </c>
    </row>
    <row r="71" spans="3:22" x14ac:dyDescent="0.2">
      <c r="C71" s="88" t="s">
        <v>142</v>
      </c>
      <c r="D71" s="57">
        <f>36.03716699894*Deflactores!$A$5</f>
        <v>130.83506561474707</v>
      </c>
      <c r="E71" s="57">
        <f>40.0573951622599*Deflactores!$B$5</f>
        <v>135.09803336866213</v>
      </c>
      <c r="F71" s="57">
        <f>43.78846199612*Deflactores!$C$5</f>
        <v>138.03059362717264</v>
      </c>
      <c r="G71" s="57">
        <f>42.7430730262*Deflactores!$D$5</f>
        <v>126.52228484228844</v>
      </c>
      <c r="H71" s="57">
        <f>51.3510834593899*Deflactores!$E$5</f>
        <v>144.08237398375525</v>
      </c>
      <c r="I71" s="57">
        <f>44.44907188219*Deflactores!$F$5</f>
        <v>118.94169185948469</v>
      </c>
      <c r="J71" s="57">
        <f>52.44315140269*Deflactores!$G$5</f>
        <v>134.31841557703089</v>
      </c>
      <c r="K71" s="57">
        <f>56.516254545*Deflactores!$H$5</f>
        <v>136.95185593489435</v>
      </c>
      <c r="L71" s="57">
        <f>60.2128802634*Deflactores!$I$5</f>
        <v>135.51008155385134</v>
      </c>
      <c r="M71" s="57">
        <f>59.4634577927099*Deflactores!$J$5</f>
        <v>131.19717829466305</v>
      </c>
      <c r="N71" s="57">
        <f>182.3595709088*Deflactores!$K$5</f>
        <v>389.98178343048392</v>
      </c>
      <c r="O71" s="57">
        <f>72.24229875503*Deflactores!$L$5</f>
        <v>148.94187504618651</v>
      </c>
      <c r="P71" s="57">
        <f>93.02651162863*Deflactores!$M$5</f>
        <v>187.22439079238598</v>
      </c>
      <c r="Q71" s="57">
        <f>116.46958970141*Deflactores!$N$5</f>
        <v>229.94480729597728</v>
      </c>
      <c r="R71" s="57">
        <f>170.020695743139*Deflactores!$O$5</f>
        <v>323.8184917137412</v>
      </c>
      <c r="S71" s="57">
        <f>168.89432259088*Deflactores!$P$5</f>
        <v>301.27678260604517</v>
      </c>
      <c r="T71" s="57">
        <f>167.628225999739*Deflactores!$Q$5</f>
        <v>282.75961829142295</v>
      </c>
      <c r="U71" s="57">
        <f>172.619072036269*Deflactores!$R$5</f>
        <v>279.73706043352047</v>
      </c>
      <c r="V71" s="57">
        <f>165.366520546732*Deflactores!$S$5</f>
        <v>259.72472451282391</v>
      </c>
    </row>
    <row r="72" spans="3:22" x14ac:dyDescent="0.2">
      <c r="C72" s="87" t="s">
        <v>143</v>
      </c>
      <c r="D72" s="56">
        <f>43.45165162676*Deflactores!$A$5</f>
        <v>157.75379046370361</v>
      </c>
      <c r="E72" s="56">
        <f>49.9590945392499*Deflactores!$B$5</f>
        <v>168.49261899811839</v>
      </c>
      <c r="F72" s="56">
        <f>46.2942514339199*Deflactores!$C$5</f>
        <v>145.92937764098124</v>
      </c>
      <c r="G72" s="56">
        <f>45.00022994608*Deflactores!$D$5</f>
        <v>133.20361658873887</v>
      </c>
      <c r="H72" s="56">
        <f>73.46413730178*Deflactores!$E$5</f>
        <v>206.12782812031381</v>
      </c>
      <c r="I72" s="56">
        <f>90.8155230182699*Deflactores!$F$5</f>
        <v>243.01411699948406</v>
      </c>
      <c r="J72" s="56">
        <f>166.74805622262*Deflactores!$G$5</f>
        <v>427.07835271743687</v>
      </c>
      <c r="K72" s="56">
        <f>223.81714580047*Deflactores!$H$5</f>
        <v>542.36031304974392</v>
      </c>
      <c r="L72" s="56">
        <f>234.25407556249*Deflactores!$I$5</f>
        <v>527.19266616930668</v>
      </c>
      <c r="M72" s="56">
        <f>245.20151040389*Deflactores!$J$5</f>
        <v>541.00026255997136</v>
      </c>
      <c r="N72" s="56">
        <f>234.78993136514*Deflactores!$K$5</f>
        <v>502.10578862948881</v>
      </c>
      <c r="O72" s="56">
        <f>240.76536305463*Deflactores!$L$5</f>
        <v>496.38570806186601</v>
      </c>
      <c r="P72" s="56">
        <f>469.190350559769*Deflactores!$M$5</f>
        <v>944.28863354458804</v>
      </c>
      <c r="Q72" s="56">
        <f>472.45616030026*Deflactores!$N$5</f>
        <v>932.76572034429887</v>
      </c>
      <c r="R72" s="56">
        <f>531.12084229342*Deflactores!$O$5</f>
        <v>1011.563617696391</v>
      </c>
      <c r="S72" s="56">
        <f>526.19455462436*Deflactores!$P$5</f>
        <v>938.63547341412186</v>
      </c>
      <c r="T72" s="56">
        <f>709.6009988415*Deflactores!$Q$5</f>
        <v>1196.9732804542562</v>
      </c>
      <c r="U72" s="56">
        <f>1747.79257188346*Deflactores!$R$5</f>
        <v>2832.377387612732</v>
      </c>
      <c r="V72" s="56">
        <f>732.30377987225*Deflactores!$S$5</f>
        <v>1150.156614883063</v>
      </c>
    </row>
    <row r="73" spans="3:22" x14ac:dyDescent="0.2">
      <c r="C73" s="88" t="s">
        <v>144</v>
      </c>
      <c r="D73" s="57">
        <f>678.643421644129*Deflactores!$A$5</f>
        <v>2463.8550694741839</v>
      </c>
      <c r="E73" s="57">
        <f>738.77305001638*Deflactores!$B$5</f>
        <v>2491.5945172843944</v>
      </c>
      <c r="F73" s="57">
        <f>781.126332891959*Deflactores!$C$5</f>
        <v>2462.2771961355297</v>
      </c>
      <c r="G73" s="57">
        <f>775.31151387229*Deflactores!$D$5</f>
        <v>2294.9726646824729</v>
      </c>
      <c r="H73" s="57">
        <f>961.56621641673*Deflactores!$E$5</f>
        <v>2697.9906531761007</v>
      </c>
      <c r="I73" s="57">
        <f>1004.38974572582*Deflactores!$F$5</f>
        <v>2687.6560203456988</v>
      </c>
      <c r="J73" s="57">
        <f>1125.37533443539*Deflactores!$G$5</f>
        <v>2882.333113243827</v>
      </c>
      <c r="K73" s="57">
        <f>1220.42196722433*Deflactores!$H$5</f>
        <v>2957.3625283679316</v>
      </c>
      <c r="L73" s="57">
        <f>1355.79252654312*Deflactores!$I$5</f>
        <v>3051.2334742710436</v>
      </c>
      <c r="M73" s="57">
        <f>1585.63666387871*Deflactores!$J$5</f>
        <v>3498.4688718682955</v>
      </c>
      <c r="N73" s="57">
        <f>1689.0095350929*Deflactores!$K$5</f>
        <v>3612.0009903732234</v>
      </c>
      <c r="O73" s="57">
        <f>1860.45699984173*Deflactores!$L$5</f>
        <v>3835.7023347064573</v>
      </c>
      <c r="P73" s="57">
        <f>2219.91812791399*Deflactores!$M$5</f>
        <v>4467.7889327600869</v>
      </c>
      <c r="Q73" s="57">
        <f>2494.22593724524*Deflactores!$N$5</f>
        <v>4924.3266329248663</v>
      </c>
      <c r="R73" s="57">
        <f>2752.42311395511*Deflactores!$O$5</f>
        <v>5242.2177042817411</v>
      </c>
      <c r="S73" s="57">
        <f>2970.78230995659*Deflactores!$P$5</f>
        <v>5299.3358357861471</v>
      </c>
      <c r="T73" s="57">
        <f>3306.30360744719*Deflactores!$Q$5</f>
        <v>5577.1582644964456</v>
      </c>
      <c r="U73" s="57">
        <f>3524.69792549179*Deflactores!$R$5</f>
        <v>5711.9333626474081</v>
      </c>
      <c r="V73" s="57">
        <f>3949.16069910725*Deflactores!$S$5</f>
        <v>6202.553402232611</v>
      </c>
    </row>
    <row r="74" spans="3:22" x14ac:dyDescent="0.2">
      <c r="C74" s="87" t="s">
        <v>145</v>
      </c>
      <c r="D74" s="56">
        <f>187.49715294061*Deflactores!$A$5</f>
        <v>680.71950018392226</v>
      </c>
      <c r="E74" s="56">
        <f>189.97231215174*Deflactores!$B$5</f>
        <v>640.70281310697544</v>
      </c>
      <c r="F74" s="56">
        <f>210.96739935276*Deflactores!$C$5</f>
        <v>665.01434490260272</v>
      </c>
      <c r="G74" s="56">
        <f>304.822110879569*Deflactores!$D$5</f>
        <v>902.29333570125789</v>
      </c>
      <c r="H74" s="56">
        <f>147.47271126364*Deflactores!$E$5</f>
        <v>413.78325256739549</v>
      </c>
      <c r="I74" s="56">
        <f>148.36300841235*Deflactores!$F$5</f>
        <v>397.00597746335728</v>
      </c>
      <c r="J74" s="56">
        <f>408.90242987653*Deflactores!$G$5</f>
        <v>1047.2888268075417</v>
      </c>
      <c r="K74" s="56">
        <f>350.94343400737*Deflactores!$H$5</f>
        <v>850.41648641464201</v>
      </c>
      <c r="L74" s="56">
        <f>263.80998737838*Deflactores!$I$5</f>
        <v>593.70873387856363</v>
      </c>
      <c r="M74" s="56">
        <f>317.388947580319*Deflactores!$J$5</f>
        <v>700.27098810179882</v>
      </c>
      <c r="N74" s="56">
        <f>676.280384023349*Deflactores!$K$5</f>
        <v>1446.2472627355321</v>
      </c>
      <c r="O74" s="56">
        <f>545.033377578611*Deflactores!$L$5</f>
        <v>1123.694769107306</v>
      </c>
      <c r="P74" s="56">
        <f>386.28406036611*Deflactores!$M$5</f>
        <v>777.43211702454403</v>
      </c>
      <c r="Q74" s="56">
        <f>515.309880864773*Deflactores!$N$5</f>
        <v>1017.3714147782282</v>
      </c>
      <c r="R74" s="56">
        <f>1059.10315517669*Deflactores!$O$5</f>
        <v>2017.1496462801638</v>
      </c>
      <c r="S74" s="56">
        <f>807.23388948733*Deflactores!$P$5</f>
        <v>1439.9585806351968</v>
      </c>
      <c r="T74" s="56">
        <f>689.20250379177*Deflactores!$Q$5</f>
        <v>1162.5645724960266</v>
      </c>
      <c r="U74" s="56">
        <f>727.410252894089*Deflactores!$R$5</f>
        <v>1178.8014121118797</v>
      </c>
      <c r="V74" s="56">
        <f>1767.19434080512*Deflactores!$S$5</f>
        <v>2775.5561513222015</v>
      </c>
    </row>
    <row r="75" spans="3:22" x14ac:dyDescent="0.2">
      <c r="C75" s="88" t="s">
        <v>146</v>
      </c>
      <c r="D75" s="57">
        <f>192.83473874689*Deflactores!$A$5</f>
        <v>700.09792105728138</v>
      </c>
      <c r="E75" s="57">
        <f>204.74265237698*Deflactores!$B$5</f>
        <v>690.51743306748585</v>
      </c>
      <c r="F75" s="57">
        <f>222.24646347613*Deflactores!$C$5</f>
        <v>700.56836633970318</v>
      </c>
      <c r="G75" s="57">
        <f>218.74693916362*Deflactores!$D$5</f>
        <v>647.50521162279631</v>
      </c>
      <c r="H75" s="57">
        <f>216.933690200069*Deflactores!$E$5</f>
        <v>608.67890169836346</v>
      </c>
      <c r="I75" s="57">
        <f>267.78262422327*Deflactores!$F$5</f>
        <v>716.5620569110315</v>
      </c>
      <c r="J75" s="57">
        <f>282.4040689129*Deflactores!$G$5</f>
        <v>723.2987735161488</v>
      </c>
      <c r="K75" s="57">
        <f>259.83420072364*Deflactores!$H$5</f>
        <v>629.63790348365467</v>
      </c>
      <c r="L75" s="57">
        <f>257.36825354476*Deflactores!$I$5</f>
        <v>579.21150548949674</v>
      </c>
      <c r="M75" s="57">
        <f>276.625429823309*Deflactores!$J$5</f>
        <v>610.33241564730963</v>
      </c>
      <c r="N75" s="57">
        <f>329.24775120321*Deflactores!$K$5</f>
        <v>704.10686187081797</v>
      </c>
      <c r="O75" s="57">
        <f>356.030659699409*Deflactores!$L$5</f>
        <v>734.02805480173845</v>
      </c>
      <c r="P75" s="57">
        <f>549.462180689614*Deflactores!$M$5</f>
        <v>1105.8430574473846</v>
      </c>
      <c r="Q75" s="57">
        <f>570.0520020007*Deflactores!$N$5</f>
        <v>1125.4482658072773</v>
      </c>
      <c r="R75" s="57">
        <f>597.286281056977*Deflactores!$O$5</f>
        <v>1137.5811739141466</v>
      </c>
      <c r="S75" s="57">
        <f>759.672573968521*Deflactores!$P$5</f>
        <v>1355.1178358652983</v>
      </c>
      <c r="T75" s="57">
        <f>916.142804119189*Deflactores!$Q$5</f>
        <v>1545.3733286754411</v>
      </c>
      <c r="U75" s="57">
        <f>846.391405260521*Deflactores!$R$5</f>
        <v>1371.6157831854614</v>
      </c>
      <c r="V75" s="57">
        <f>772.191272898605*Deflactores!$S$5</f>
        <v>1212.8039276736204</v>
      </c>
    </row>
    <row r="76" spans="3:22" x14ac:dyDescent="0.2">
      <c r="C76" s="90" t="s">
        <v>147</v>
      </c>
      <c r="D76" s="58">
        <f>4135.16705251476*Deflactores!$A$5</f>
        <v>15012.968490548177</v>
      </c>
      <c r="E76" s="58">
        <f>5159.41170124029*Deflactores!$B$5</f>
        <v>17400.691466666569</v>
      </c>
      <c r="F76" s="58">
        <f>6372.49928027459*Deflactores!$C$5</f>
        <v>20087.480090599471</v>
      </c>
      <c r="G76" s="58">
        <f>7291.99746109808*Deflactores!$D$5</f>
        <v>21584.788236371631</v>
      </c>
      <c r="H76" s="58">
        <f>9461.16661754421*Deflactores!$E$5</f>
        <v>26546.418402051404</v>
      </c>
      <c r="I76" s="58">
        <f>12450.1136802153*Deflactores!$F$5</f>
        <v>33315.376953035324</v>
      </c>
      <c r="J76" s="58">
        <f>13712.3931026237*Deflactores!$G$5</f>
        <v>35120.446923015159</v>
      </c>
      <c r="K76" s="58">
        <f>14720.8605306446*Deflactores!$H$5</f>
        <v>35672.023683474472</v>
      </c>
      <c r="L76" s="58">
        <f>17103.7653879847*Deflactores!$I$5</f>
        <v>38492.306504270724</v>
      </c>
      <c r="M76" s="58">
        <f>19307.3581836011*Deflactores!$J$5</f>
        <v>42598.782648044806</v>
      </c>
      <c r="N76" s="58">
        <f>19824.4167307461*Deflactores!$K$5</f>
        <v>42395.150161830141</v>
      </c>
      <c r="O76" s="58">
        <f>20681.0891121721*Deflactores!$L$5</f>
        <v>42638.180725799713</v>
      </c>
      <c r="P76" s="58">
        <f>23378.1286469848*Deflactores!$M$5</f>
        <v>47050.629085942157</v>
      </c>
      <c r="Q76" s="58">
        <f>23430.9000713274*Deflactores!$N$5</f>
        <v>46259.403982492549</v>
      </c>
      <c r="R76" s="58">
        <f>27761.3737231937*Deflactores!$O$5</f>
        <v>52873.834727316367</v>
      </c>
      <c r="S76" s="58">
        <f>27204.6394732364*Deflactores!$P$5</f>
        <v>48528.133608776821</v>
      </c>
      <c r="T76" s="58">
        <f>28823.2737735131*Deflactores!$Q$5</f>
        <v>48619.842162622648</v>
      </c>
      <c r="U76" s="58">
        <f>35161.8792371471*Deflactores!$R$5</f>
        <v>56981.42517561042</v>
      </c>
      <c r="V76" s="58">
        <f>43359.8010172042*Deflactores!$S$5</f>
        <v>68100.921135011304</v>
      </c>
    </row>
    <row r="77" spans="3:22" ht="22.5" customHeight="1" x14ac:dyDescent="0.2">
      <c r="C77" s="89" t="s">
        <v>148</v>
      </c>
      <c r="D77" s="59">
        <f>0*Deflactores!$A$5</f>
        <v>0</v>
      </c>
      <c r="E77" s="59">
        <f>0*Deflactores!$B$5</f>
        <v>0</v>
      </c>
      <c r="F77" s="59">
        <f>0*Deflactores!$C$5</f>
        <v>0</v>
      </c>
      <c r="G77" s="59">
        <f>0*Deflactores!$D$5</f>
        <v>0</v>
      </c>
      <c r="H77" s="59">
        <f>0*Deflactores!$E$5</f>
        <v>0</v>
      </c>
      <c r="I77" s="59">
        <f>0*Deflactores!$F$5</f>
        <v>0</v>
      </c>
      <c r="J77" s="59">
        <f>0*Deflactores!$G$5</f>
        <v>0</v>
      </c>
      <c r="K77" s="59">
        <f>0*Deflactores!$H$5</f>
        <v>0</v>
      </c>
      <c r="L77" s="59">
        <f>0*Deflactores!$I$5</f>
        <v>0</v>
      </c>
      <c r="M77" s="59">
        <f>0*Deflactores!$J$5</f>
        <v>0</v>
      </c>
      <c r="N77" s="59">
        <f>0*Deflactores!$K$5</f>
        <v>0</v>
      </c>
      <c r="O77" s="59">
        <f>0*Deflactores!$L$5</f>
        <v>0</v>
      </c>
      <c r="P77" s="59">
        <f>0*Deflactores!$M$5</f>
        <v>0</v>
      </c>
      <c r="Q77" s="59">
        <f>0*Deflactores!$N$5</f>
        <v>0</v>
      </c>
      <c r="R77" s="59">
        <f>0*Deflactores!$O$5</f>
        <v>0</v>
      </c>
      <c r="S77" s="59">
        <f>0*Deflactores!$P$5</f>
        <v>0</v>
      </c>
      <c r="T77" s="59">
        <f>0*Deflactores!$Q$5</f>
        <v>0</v>
      </c>
      <c r="U77" s="59">
        <f>0.150079299*Deflactores!$R$5</f>
        <v>0.24321033266452963</v>
      </c>
      <c r="V77" s="59">
        <f>113.937033405*Deflactores!$S$5</f>
        <v>178.94955106441492</v>
      </c>
    </row>
    <row r="78" spans="3:22" x14ac:dyDescent="0.2">
      <c r="C78" s="90" t="s">
        <v>149</v>
      </c>
      <c r="D78" s="56">
        <f>100.31849029677*Deflactores!$A$5</f>
        <v>364.21221070835935</v>
      </c>
      <c r="E78" s="56">
        <f>85.3317523085099*Deflactores!$B$5</f>
        <v>287.79085295198468</v>
      </c>
      <c r="F78" s="56">
        <f>92.70891876129*Deflactores!$C$5</f>
        <v>292.2383319215017</v>
      </c>
      <c r="G78" s="56">
        <f>122.55957212703*Deflactores!$D$5</f>
        <v>362.78432964565121</v>
      </c>
      <c r="H78" s="56">
        <f>104.666697869159*Deflactores!$E$5</f>
        <v>293.67688644690685</v>
      </c>
      <c r="I78" s="56">
        <f>46.02609812751*Deflactores!$F$5</f>
        <v>123.16167130522716</v>
      </c>
      <c r="J78" s="56">
        <f>128.08598045274*Deflactores!$G$5</f>
        <v>328.05629509061339</v>
      </c>
      <c r="K78" s="56">
        <f>135.20751176692*Deflactores!$H$5</f>
        <v>327.63883279057382</v>
      </c>
      <c r="L78" s="56">
        <f>188.00550742177*Deflactores!$I$5</f>
        <v>423.10949969259423</v>
      </c>
      <c r="M78" s="56">
        <f>223.259648357389*Deflactores!$J$5</f>
        <v>492.58884328013573</v>
      </c>
      <c r="N78" s="56">
        <f>355.11843871492*Deflactores!$K$5</f>
        <v>759.43215576194632</v>
      </c>
      <c r="O78" s="56">
        <f>385.39623561156*Deflactores!$L$5</f>
        <v>794.5710332719849</v>
      </c>
      <c r="P78" s="56">
        <f>617.77322116505*Deflactores!$M$5</f>
        <v>1243.325294645145</v>
      </c>
      <c r="Q78" s="56">
        <f>340.12341157424*Deflactores!$N$5</f>
        <v>671.50242850337918</v>
      </c>
      <c r="R78" s="56">
        <f>410.87017871473*Deflactores!$O$5</f>
        <v>782.53627289328483</v>
      </c>
      <c r="S78" s="56">
        <f>430.13363158081*Deflactores!$P$5</f>
        <v>767.28024142783124</v>
      </c>
      <c r="T78" s="56">
        <f>174.19846881539*Deflactores!$Q$5</f>
        <v>293.84247345829885</v>
      </c>
      <c r="U78" s="56">
        <f>187.71612860704*Deflactores!$R$5</f>
        <v>304.20252752523731</v>
      </c>
      <c r="V78" s="56">
        <f>283.1384113745*Deflactores!$S$5</f>
        <v>444.69730420710533</v>
      </c>
    </row>
    <row r="79" spans="3:22" x14ac:dyDescent="0.2">
      <c r="C79" s="88" t="s">
        <v>150</v>
      </c>
      <c r="D79" s="57">
        <f>276.955312458099*Deflactores!$A$5</f>
        <v>1005.5026378425915</v>
      </c>
      <c r="E79" s="57">
        <f>306.8650648252*Deflactores!$B$5</f>
        <v>1034.9366602471982</v>
      </c>
      <c r="F79" s="57">
        <f>470.176811866369*Deflactores!$C$5</f>
        <v>1482.0978288161141</v>
      </c>
      <c r="G79" s="57">
        <f>293.02362643052*Deflactores!$D$5</f>
        <v>867.3690519639872</v>
      </c>
      <c r="H79" s="57">
        <f>353.6044754872*Deflactores!$E$5</f>
        <v>992.15379398504467</v>
      </c>
      <c r="I79" s="57">
        <f>331.48315266399*Deflactores!$F$5</f>
        <v>887.01890346035839</v>
      </c>
      <c r="J79" s="57">
        <f>322.399391351659*Deflactores!$G$5</f>
        <v>825.73556834596945</v>
      </c>
      <c r="K79" s="57">
        <f>325.11843630995*Deflactores!$H$5</f>
        <v>787.83658984064061</v>
      </c>
      <c r="L79" s="57">
        <f>318.107665360169*Deflactores!$I$5</f>
        <v>715.90655499773402</v>
      </c>
      <c r="M79" s="57">
        <f>421.432817409609*Deflactores!$J$5</f>
        <v>929.82814214495932</v>
      </c>
      <c r="N79" s="57">
        <f>488.961736074099*Deflactores!$K$5</f>
        <v>1045.6603342130418</v>
      </c>
      <c r="O79" s="57">
        <f>376.63307563714*Deflactores!$L$5</f>
        <v>776.50403512252569</v>
      </c>
      <c r="P79" s="57">
        <f>599.14499751747*Deflactores!$M$5</f>
        <v>1205.8342852231694</v>
      </c>
      <c r="Q79" s="57">
        <f>547.11541106014*Deflactores!$N$5</f>
        <v>1080.1647716576463</v>
      </c>
      <c r="R79" s="57">
        <f>582.033167859641*Deflactores!$O$5</f>
        <v>1108.5303569655894</v>
      </c>
      <c r="S79" s="57">
        <f>588.62080860801*Deflactores!$P$5</f>
        <v>1049.9925673757721</v>
      </c>
      <c r="T79" s="57">
        <f>675.22526020932*Deflactores!$Q$5</f>
        <v>1138.9873972526045</v>
      </c>
      <c r="U79" s="57">
        <f>855.61917767238*Deflactores!$R$5</f>
        <v>1386.5698082441791</v>
      </c>
      <c r="V79" s="57">
        <f>875.30798217457*Deflactores!$S$5</f>
        <v>1374.7590732546178</v>
      </c>
    </row>
    <row r="80" spans="3:22" x14ac:dyDescent="0.2">
      <c r="C80" s="87" t="s">
        <v>151</v>
      </c>
      <c r="D80" s="56">
        <f>40.88947547701*Deflactores!$A$5</f>
        <v>148.45165845429952</v>
      </c>
      <c r="E80" s="56">
        <f>35.54807253003*Deflactores!$B$5</f>
        <v>119.88983980112287</v>
      </c>
      <c r="F80" s="56">
        <f>24.4723868283*Deflactores!$C$5</f>
        <v>77.142195167379043</v>
      </c>
      <c r="G80" s="56">
        <f>28.19308490483*Deflactores!$D$5</f>
        <v>83.453370718695055</v>
      </c>
      <c r="H80" s="56">
        <f>32.44077906453*Deflactores!$E$5</f>
        <v>91.023288051876335</v>
      </c>
      <c r="I80" s="56">
        <f>18.1404707742099*Deflactores!$F$5</f>
        <v>48.542257321611231</v>
      </c>
      <c r="J80" s="56">
        <f>38.01207628417*Deflactores!$G$5</f>
        <v>97.357266348815486</v>
      </c>
      <c r="K80" s="56">
        <f>26.3945079002599*Deflactores!$H$5</f>
        <v>63.959950505046777</v>
      </c>
      <c r="L80" s="56">
        <f>8.57064459184*Deflactores!$I$5</f>
        <v>19.28837721312707</v>
      </c>
      <c r="M80" s="56">
        <f>6.98087088462*Deflactores!$J$5</f>
        <v>15.402241916274773</v>
      </c>
      <c r="N80" s="56">
        <f>11.42518650773*Deflactores!$K$5</f>
        <v>24.433127299574249</v>
      </c>
      <c r="O80" s="56">
        <f>323.29695072997*Deflactores!$L$5</f>
        <v>666.54099977796727</v>
      </c>
      <c r="P80" s="56">
        <f>1354.35392205057*Deflactores!$M$5</f>
        <v>2725.7615440366358</v>
      </c>
      <c r="Q80" s="56">
        <f>1461.6487467777*Deflactores!$N$5</f>
        <v>2885.7192703593428</v>
      </c>
      <c r="R80" s="56">
        <f>1517.89312989286*Deflactores!$O$5</f>
        <v>2890.9531381234256</v>
      </c>
      <c r="S80" s="56">
        <f>1592.54365751788*Deflactores!$P$5</f>
        <v>2840.8085123079122</v>
      </c>
      <c r="T80" s="56">
        <f>1749.10394856217*Deflactores!$Q$5</f>
        <v>2950.4336867958623</v>
      </c>
      <c r="U80" s="56">
        <f>1945.66599381234*Deflactores!$R$5</f>
        <v>3153.0402711246797</v>
      </c>
      <c r="V80" s="56">
        <f>1962.91010346537*Deflactores!$S$5</f>
        <v>3082.9474078576236</v>
      </c>
    </row>
    <row r="81" spans="3:22" x14ac:dyDescent="0.2">
      <c r="C81" s="79" t="s">
        <v>179</v>
      </c>
      <c r="D81" s="44">
        <f t="shared" ref="D81:V81" si="1">+SUM(D52:D80)</f>
        <v>91080.903104391764</v>
      </c>
      <c r="E81" s="44">
        <f t="shared" si="1"/>
        <v>96990.982151345408</v>
      </c>
      <c r="F81" s="44">
        <f t="shared" si="1"/>
        <v>102328.49177837475</v>
      </c>
      <c r="G81" s="44">
        <f t="shared" si="1"/>
        <v>102961.31288591142</v>
      </c>
      <c r="H81" s="44">
        <f t="shared" si="1"/>
        <v>120769.13414727652</v>
      </c>
      <c r="I81" s="44">
        <f t="shared" si="1"/>
        <v>129544.5591622565</v>
      </c>
      <c r="J81" s="44">
        <f t="shared" si="1"/>
        <v>130396.28482951854</v>
      </c>
      <c r="K81" s="44">
        <f t="shared" si="1"/>
        <v>131848.79660089812</v>
      </c>
      <c r="L81" s="44">
        <f t="shared" si="1"/>
        <v>141161.46480482881</v>
      </c>
      <c r="M81" s="44">
        <f t="shared" si="1"/>
        <v>153964.66099275241</v>
      </c>
      <c r="N81" s="44">
        <f t="shared" si="1"/>
        <v>165596.80397476032</v>
      </c>
      <c r="O81" s="44">
        <f t="shared" si="1"/>
        <v>168340.65162062494</v>
      </c>
      <c r="P81" s="44">
        <f t="shared" si="1"/>
        <v>179307.25022995844</v>
      </c>
      <c r="Q81" s="44">
        <f t="shared" si="1"/>
        <v>192323.33899090378</v>
      </c>
      <c r="R81" s="44">
        <f t="shared" si="1"/>
        <v>201953.95276486859</v>
      </c>
      <c r="S81" s="44">
        <f t="shared" si="1"/>
        <v>199858.54273340048</v>
      </c>
      <c r="T81" s="44">
        <f t="shared" si="1"/>
        <v>204612.37881769703</v>
      </c>
      <c r="U81" s="44">
        <f t="shared" si="1"/>
        <v>223136.14165567223</v>
      </c>
      <c r="V81" s="44">
        <f t="shared" si="1"/>
        <v>223969.47757316136</v>
      </c>
    </row>
    <row r="82" spans="3:22" x14ac:dyDescent="0.2">
      <c r="C82" s="1" t="s">
        <v>52</v>
      </c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</row>
    <row r="83" spans="3:22" x14ac:dyDescent="0.2"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</row>
    <row r="84" spans="3:22" x14ac:dyDescent="0.2"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</row>
    <row r="85" spans="3:22" x14ac:dyDescent="0.2"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</row>
    <row r="86" spans="3:22" ht="18" customHeight="1" x14ac:dyDescent="0.2">
      <c r="C86" s="9"/>
      <c r="D86" s="160" t="s">
        <v>181</v>
      </c>
      <c r="E86" s="158"/>
      <c r="F86" s="158"/>
      <c r="G86" s="158"/>
      <c r="H86" s="158"/>
      <c r="I86" s="158"/>
      <c r="J86" s="158"/>
      <c r="K86" s="158"/>
      <c r="L86" s="158"/>
      <c r="M86" s="158"/>
      <c r="N86" s="158"/>
      <c r="O86" s="158"/>
      <c r="P86" s="158"/>
      <c r="Q86" s="158"/>
      <c r="R86" s="158"/>
      <c r="S86" s="158"/>
      <c r="T86" s="158"/>
      <c r="U86" s="158"/>
      <c r="V86" s="158"/>
    </row>
    <row r="87" spans="3:22" ht="2.25" customHeight="1" x14ac:dyDescent="0.2">
      <c r="H87" s="27"/>
      <c r="I87" s="27"/>
      <c r="J87" s="27"/>
      <c r="L87" s="175"/>
      <c r="M87" s="158"/>
      <c r="N87" s="158"/>
      <c r="O87" s="158"/>
      <c r="P87" s="158"/>
      <c r="Q87" s="158"/>
      <c r="R87" s="28"/>
      <c r="S87" s="28"/>
      <c r="T87" s="28"/>
      <c r="U87" s="28"/>
      <c r="V87" s="28"/>
    </row>
    <row r="88" spans="3:22" x14ac:dyDescent="0.2"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</row>
    <row r="89" spans="3:22" x14ac:dyDescent="0.2">
      <c r="C89" s="177" t="s">
        <v>120</v>
      </c>
      <c r="D89" s="153">
        <v>2000</v>
      </c>
      <c r="E89" s="153">
        <v>2001</v>
      </c>
      <c r="F89" s="153">
        <v>2002</v>
      </c>
      <c r="G89" s="153">
        <v>2003</v>
      </c>
      <c r="H89" s="153">
        <v>2004</v>
      </c>
      <c r="I89" s="153">
        <v>2005</v>
      </c>
      <c r="J89" s="153">
        <v>2006</v>
      </c>
      <c r="K89" s="153">
        <v>2007</v>
      </c>
      <c r="L89" s="153">
        <v>2008</v>
      </c>
      <c r="M89" s="153">
        <v>2009</v>
      </c>
      <c r="N89" s="153">
        <v>2010</v>
      </c>
      <c r="O89" s="153">
        <v>2011</v>
      </c>
      <c r="P89" s="153">
        <v>2012</v>
      </c>
      <c r="Q89" s="153">
        <v>2013</v>
      </c>
      <c r="R89" s="153">
        <v>2014</v>
      </c>
      <c r="S89" s="153">
        <v>2015</v>
      </c>
      <c r="T89" s="153">
        <v>2016</v>
      </c>
      <c r="U89" s="153">
        <v>2017</v>
      </c>
      <c r="V89" s="153">
        <v>2018</v>
      </c>
    </row>
    <row r="90" spans="3:22" ht="12" customHeight="1" thickBot="1" x14ac:dyDescent="0.25">
      <c r="C90" s="156"/>
      <c r="D90" s="154"/>
      <c r="E90" s="154"/>
      <c r="F90" s="154"/>
      <c r="G90" s="154"/>
      <c r="H90" s="154"/>
      <c r="I90" s="154"/>
      <c r="J90" s="154"/>
      <c r="K90" s="154"/>
      <c r="L90" s="154"/>
      <c r="M90" s="154"/>
      <c r="N90" s="154"/>
      <c r="O90" s="154"/>
      <c r="P90" s="154"/>
      <c r="Q90" s="154"/>
      <c r="R90" s="154"/>
      <c r="S90" s="154"/>
      <c r="T90" s="154"/>
      <c r="U90" s="154"/>
      <c r="V90" s="154"/>
    </row>
    <row r="91" spans="3:22" x14ac:dyDescent="0.2">
      <c r="C91" s="87" t="s">
        <v>123</v>
      </c>
      <c r="D91" s="60">
        <f t="shared" ref="D91:V91" si="2">+IFERROR(IF(D52&gt;0,+((D52/D13)*100)," "),"")</f>
        <v>92.876864533913945</v>
      </c>
      <c r="E91" s="60">
        <f t="shared" si="2"/>
        <v>93.367193107102381</v>
      </c>
      <c r="F91" s="60">
        <f t="shared" si="2"/>
        <v>96.720426789253764</v>
      </c>
      <c r="G91" s="60">
        <f t="shared" si="2"/>
        <v>95.666876990936814</v>
      </c>
      <c r="H91" s="60">
        <f t="shared" si="2"/>
        <v>91.387026617078561</v>
      </c>
      <c r="I91" s="60">
        <f t="shared" si="2"/>
        <v>89.117814775340022</v>
      </c>
      <c r="J91" s="60">
        <f t="shared" si="2"/>
        <v>95.265298216479508</v>
      </c>
      <c r="K91" s="60">
        <f t="shared" si="2"/>
        <v>94.084074457043116</v>
      </c>
      <c r="L91" s="60">
        <f t="shared" si="2"/>
        <v>99.225745330289286</v>
      </c>
      <c r="M91" s="60">
        <f t="shared" si="2"/>
        <v>95.84587977306316</v>
      </c>
      <c r="N91" s="60">
        <f t="shared" si="2"/>
        <v>93.647436620934471</v>
      </c>
      <c r="O91" s="60">
        <f t="shared" si="2"/>
        <v>96.39704353247285</v>
      </c>
      <c r="P91" s="60">
        <f t="shared" si="2"/>
        <v>89.57833686465267</v>
      </c>
      <c r="Q91" s="60">
        <f t="shared" si="2"/>
        <v>96.355523612485825</v>
      </c>
      <c r="R91" s="60">
        <f t="shared" si="2"/>
        <v>88.55740385074057</v>
      </c>
      <c r="S91" s="60">
        <f t="shared" si="2"/>
        <v>95.268439401220974</v>
      </c>
      <c r="T91" s="60">
        <f t="shared" si="2"/>
        <v>96.49133506013959</v>
      </c>
      <c r="U91" s="60">
        <f t="shared" si="2"/>
        <v>96.681137839948235</v>
      </c>
      <c r="V91" s="60">
        <f t="shared" si="2"/>
        <v>97.313739167973893</v>
      </c>
    </row>
    <row r="92" spans="3:22" x14ac:dyDescent="0.2">
      <c r="C92" s="88" t="s">
        <v>124</v>
      </c>
      <c r="D92" s="62">
        <f t="shared" ref="D92:V92" si="3">+IFERROR(IF(D53&gt;0,+((D53/D14)*100)," "),"")</f>
        <v>90.166779729171651</v>
      </c>
      <c r="E92" s="62">
        <f t="shared" si="3"/>
        <v>91.349588744241444</v>
      </c>
      <c r="F92" s="62">
        <f t="shared" si="3"/>
        <v>90.927323846488974</v>
      </c>
      <c r="G92" s="62">
        <f t="shared" si="3"/>
        <v>88.372613169237297</v>
      </c>
      <c r="H92" s="62">
        <f t="shared" si="3"/>
        <v>94.769146337464889</v>
      </c>
      <c r="I92" s="62">
        <f t="shared" si="3"/>
        <v>94.527453785649314</v>
      </c>
      <c r="J92" s="62">
        <f t="shared" si="3"/>
        <v>93.951997788120252</v>
      </c>
      <c r="K92" s="62">
        <f t="shared" si="3"/>
        <v>91.734434401251747</v>
      </c>
      <c r="L92" s="62">
        <f t="shared" si="3"/>
        <v>99.363108259456993</v>
      </c>
      <c r="M92" s="62">
        <f t="shared" si="3"/>
        <v>99.485765229592232</v>
      </c>
      <c r="N92" s="62">
        <f t="shared" si="3"/>
        <v>96.997727650534529</v>
      </c>
      <c r="O92" s="62">
        <f t="shared" si="3"/>
        <v>98.952768847901524</v>
      </c>
      <c r="P92" s="62">
        <f t="shared" si="3"/>
        <v>86.758991400934448</v>
      </c>
      <c r="Q92" s="62">
        <f t="shared" si="3"/>
        <v>88.633265798759993</v>
      </c>
      <c r="R92" s="62">
        <f t="shared" si="3"/>
        <v>93.922576130354813</v>
      </c>
      <c r="S92" s="62">
        <f t="shared" si="3"/>
        <v>95.093720152432724</v>
      </c>
      <c r="T92" s="62">
        <f t="shared" si="3"/>
        <v>95.548323285036687</v>
      </c>
      <c r="U92" s="62">
        <f t="shared" si="3"/>
        <v>97.863317410303907</v>
      </c>
      <c r="V92" s="62">
        <f t="shared" si="3"/>
        <v>98.20038128530669</v>
      </c>
    </row>
    <row r="93" spans="3:22" x14ac:dyDescent="0.2">
      <c r="C93" s="87" t="s">
        <v>125</v>
      </c>
      <c r="D93" s="60">
        <f t="shared" ref="D93:V93" si="4">+IFERROR(IF(D54&gt;0,+((D54/D15)*100)," "),"")</f>
        <v>92.776431609059571</v>
      </c>
      <c r="E93" s="60">
        <f t="shared" si="4"/>
        <v>90.621761881464408</v>
      </c>
      <c r="F93" s="60">
        <f t="shared" si="4"/>
        <v>97.762902756293641</v>
      </c>
      <c r="G93" s="60">
        <f t="shared" si="4"/>
        <v>94.862946584101209</v>
      </c>
      <c r="H93" s="60">
        <f t="shared" si="4"/>
        <v>87.918150158072237</v>
      </c>
      <c r="I93" s="60">
        <f t="shared" si="4"/>
        <v>90.510585680947671</v>
      </c>
      <c r="J93" s="60">
        <f t="shared" si="4"/>
        <v>89.735700703751917</v>
      </c>
      <c r="K93" s="60">
        <f t="shared" si="4"/>
        <v>78.80159011708507</v>
      </c>
      <c r="L93" s="60">
        <f t="shared" si="4"/>
        <v>94.195323688397409</v>
      </c>
      <c r="M93" s="60">
        <f t="shared" si="4"/>
        <v>31.854463090242437</v>
      </c>
      <c r="N93" s="60">
        <f t="shared" si="4"/>
        <v>95.011290031895399</v>
      </c>
      <c r="O93" s="60">
        <f t="shared" si="4"/>
        <v>89.324973546356247</v>
      </c>
      <c r="P93" s="60">
        <f t="shared" si="4"/>
        <v>73.70469666475168</v>
      </c>
      <c r="Q93" s="60">
        <f t="shared" si="4"/>
        <v>92.222037641139124</v>
      </c>
      <c r="R93" s="60">
        <f t="shared" si="4"/>
        <v>91.751771790915058</v>
      </c>
      <c r="S93" s="60">
        <f t="shared" si="4"/>
        <v>93.408780766827107</v>
      </c>
      <c r="T93" s="60">
        <f t="shared" si="4"/>
        <v>93.770023491383128</v>
      </c>
      <c r="U93" s="60">
        <f t="shared" si="4"/>
        <v>94.718913429029783</v>
      </c>
      <c r="V93" s="60">
        <f t="shared" si="4"/>
        <v>94.148932995088629</v>
      </c>
    </row>
    <row r="94" spans="3:22" x14ac:dyDescent="0.2">
      <c r="C94" s="88" t="s">
        <v>126</v>
      </c>
      <c r="D94" s="62">
        <f t="shared" ref="D94:V94" si="5">+IFERROR(IF(D55&gt;0,+((D55/D16)*100)," "),"")</f>
        <v>93.142765140310175</v>
      </c>
      <c r="E94" s="62">
        <f t="shared" si="5"/>
        <v>92.851884199927738</v>
      </c>
      <c r="F94" s="62">
        <f t="shared" si="5"/>
        <v>93.116001692292144</v>
      </c>
      <c r="G94" s="62">
        <f t="shared" si="5"/>
        <v>91.047004116991047</v>
      </c>
      <c r="H94" s="62">
        <f t="shared" si="5"/>
        <v>95.553225823773474</v>
      </c>
      <c r="I94" s="62">
        <f t="shared" si="5"/>
        <v>95.319750662657185</v>
      </c>
      <c r="J94" s="62">
        <f t="shared" si="5"/>
        <v>96.684645306623167</v>
      </c>
      <c r="K94" s="62">
        <f t="shared" si="5"/>
        <v>90.931149091031955</v>
      </c>
      <c r="L94" s="62">
        <f t="shared" si="5"/>
        <v>93.791526438038929</v>
      </c>
      <c r="M94" s="62">
        <f t="shared" si="5"/>
        <v>95.703669911927264</v>
      </c>
      <c r="N94" s="62">
        <f t="shared" si="5"/>
        <v>92.656079531907736</v>
      </c>
      <c r="O94" s="62">
        <f t="shared" si="5"/>
        <v>90.814465494893199</v>
      </c>
      <c r="P94" s="62">
        <f t="shared" si="5"/>
        <v>94.37143717421182</v>
      </c>
      <c r="Q94" s="62">
        <f t="shared" si="5"/>
        <v>95.678967090875744</v>
      </c>
      <c r="R94" s="62">
        <f t="shared" si="5"/>
        <v>91.393911355305505</v>
      </c>
      <c r="S94" s="62">
        <f t="shared" si="5"/>
        <v>95.54137986937782</v>
      </c>
      <c r="T94" s="62">
        <f t="shared" si="5"/>
        <v>97.870341328783809</v>
      </c>
      <c r="U94" s="62">
        <f t="shared" si="5"/>
        <v>98.492512230785508</v>
      </c>
      <c r="V94" s="62">
        <f t="shared" si="5"/>
        <v>97.696708467003802</v>
      </c>
    </row>
    <row r="95" spans="3:22" x14ac:dyDescent="0.2">
      <c r="C95" s="87" t="s">
        <v>127</v>
      </c>
      <c r="D95" s="60">
        <f t="shared" ref="D95:V95" si="6">+IFERROR(IF(D56&gt;0,+((D56/D17)*100)," "),"")</f>
        <v>86.959021208309764</v>
      </c>
      <c r="E95" s="60">
        <f t="shared" si="6"/>
        <v>91.885170061567337</v>
      </c>
      <c r="F95" s="60">
        <f t="shared" si="6"/>
        <v>97.623412691031987</v>
      </c>
      <c r="G95" s="60">
        <f t="shared" si="6"/>
        <v>97.782302006310573</v>
      </c>
      <c r="H95" s="60">
        <f t="shared" si="6"/>
        <v>97.366980045354538</v>
      </c>
      <c r="I95" s="60">
        <f t="shared" si="6"/>
        <v>99.027427343110702</v>
      </c>
      <c r="J95" s="60">
        <f t="shared" si="6"/>
        <v>98.5397710717031</v>
      </c>
      <c r="K95" s="60">
        <f t="shared" si="6"/>
        <v>98.568381726243388</v>
      </c>
      <c r="L95" s="60">
        <f t="shared" si="6"/>
        <v>97.44548606883609</v>
      </c>
      <c r="M95" s="60">
        <f t="shared" si="6"/>
        <v>98.938369829605264</v>
      </c>
      <c r="N95" s="60">
        <f t="shared" si="6"/>
        <v>98.798074828872828</v>
      </c>
      <c r="O95" s="60">
        <f t="shared" si="6"/>
        <v>99.00028992899766</v>
      </c>
      <c r="P95" s="60">
        <f t="shared" si="6"/>
        <v>97.333950173802052</v>
      </c>
      <c r="Q95" s="60">
        <f t="shared" si="6"/>
        <v>96.268250409648346</v>
      </c>
      <c r="R95" s="60">
        <f t="shared" si="6"/>
        <v>97.561608140849032</v>
      </c>
      <c r="S95" s="60">
        <f t="shared" si="6"/>
        <v>98.424446448225197</v>
      </c>
      <c r="T95" s="60">
        <f t="shared" si="6"/>
        <v>98.631344378749475</v>
      </c>
      <c r="U95" s="60">
        <f t="shared" si="6"/>
        <v>99.39686288818848</v>
      </c>
      <c r="V95" s="60">
        <f t="shared" si="6"/>
        <v>98.695524972927558</v>
      </c>
    </row>
    <row r="96" spans="3:22" x14ac:dyDescent="0.2">
      <c r="C96" s="88" t="s">
        <v>128</v>
      </c>
      <c r="D96" s="62">
        <f t="shared" ref="D96:V96" si="7">+IFERROR(IF(D57&gt;0,+((D57/D18)*100)," "),"")</f>
        <v>95.114374259608752</v>
      </c>
      <c r="E96" s="62">
        <f t="shared" si="7"/>
        <v>98.101601760810311</v>
      </c>
      <c r="F96" s="62">
        <f t="shared" si="7"/>
        <v>98.011344744234421</v>
      </c>
      <c r="G96" s="62">
        <f t="shared" si="7"/>
        <v>99.131728348422385</v>
      </c>
      <c r="H96" s="62">
        <f t="shared" si="7"/>
        <v>98.92855750758045</v>
      </c>
      <c r="I96" s="62">
        <f t="shared" si="7"/>
        <v>94.575257406497855</v>
      </c>
      <c r="J96" s="62">
        <f t="shared" si="7"/>
        <v>96.833116343918533</v>
      </c>
      <c r="K96" s="62">
        <f t="shared" si="7"/>
        <v>96.414533939019336</v>
      </c>
      <c r="L96" s="62">
        <f t="shared" si="7"/>
        <v>97.795776169055642</v>
      </c>
      <c r="M96" s="62">
        <f t="shared" si="7"/>
        <v>91.978010896371458</v>
      </c>
      <c r="N96" s="62">
        <f t="shared" si="7"/>
        <v>91.846370590724604</v>
      </c>
      <c r="O96" s="62">
        <f t="shared" si="7"/>
        <v>97.537040942554484</v>
      </c>
      <c r="P96" s="62">
        <f t="shared" si="7"/>
        <v>97.565665231947179</v>
      </c>
      <c r="Q96" s="62">
        <f t="shared" si="7"/>
        <v>94.720475211488449</v>
      </c>
      <c r="R96" s="62">
        <f t="shared" si="7"/>
        <v>99.061404361184174</v>
      </c>
      <c r="S96" s="62">
        <f t="shared" si="7"/>
        <v>98.62706286644017</v>
      </c>
      <c r="T96" s="62">
        <f t="shared" si="7"/>
        <v>99.613836542258511</v>
      </c>
      <c r="U96" s="62">
        <f t="shared" si="7"/>
        <v>99.711882299771133</v>
      </c>
      <c r="V96" s="62">
        <f t="shared" si="7"/>
        <v>99.408767209191481</v>
      </c>
    </row>
    <row r="97" spans="3:22" x14ac:dyDescent="0.2">
      <c r="C97" s="87" t="s">
        <v>129</v>
      </c>
      <c r="D97" s="60">
        <f t="shared" ref="D97:V97" si="8">+IFERROR(IF(D58&gt;0,+((D58/D19)*100)," "),"")</f>
        <v>97.500804869567375</v>
      </c>
      <c r="E97" s="60">
        <f t="shared" si="8"/>
        <v>97.541174989269393</v>
      </c>
      <c r="F97" s="60">
        <f t="shared" si="8"/>
        <v>97.872955805911317</v>
      </c>
      <c r="G97" s="60">
        <f t="shared" si="8"/>
        <v>97.672458718433234</v>
      </c>
      <c r="H97" s="60">
        <f t="shared" si="8"/>
        <v>98.758030951858771</v>
      </c>
      <c r="I97" s="60">
        <f t="shared" si="8"/>
        <v>98.7803751191732</v>
      </c>
      <c r="J97" s="60">
        <f t="shared" si="8"/>
        <v>98.902191409498087</v>
      </c>
      <c r="K97" s="60">
        <f t="shared" si="8"/>
        <v>97.844545292147032</v>
      </c>
      <c r="L97" s="60">
        <f t="shared" si="8"/>
        <v>99.060476755379725</v>
      </c>
      <c r="M97" s="60">
        <f t="shared" si="8"/>
        <v>98.167986101530076</v>
      </c>
      <c r="N97" s="60">
        <f t="shared" si="8"/>
        <v>98.032268437522845</v>
      </c>
      <c r="O97" s="60">
        <f t="shared" si="8"/>
        <v>97.669465911901895</v>
      </c>
      <c r="P97" s="60">
        <f t="shared" si="8"/>
        <v>98.428247151530982</v>
      </c>
      <c r="Q97" s="60">
        <f t="shared" si="8"/>
        <v>98.457444854383468</v>
      </c>
      <c r="R97" s="60">
        <f t="shared" si="8"/>
        <v>98.916828210849729</v>
      </c>
      <c r="S97" s="60">
        <f t="shared" si="8"/>
        <v>98.306084337679977</v>
      </c>
      <c r="T97" s="60">
        <f t="shared" si="8"/>
        <v>99.448552197685444</v>
      </c>
      <c r="U97" s="60">
        <f t="shared" si="8"/>
        <v>99.746931111572053</v>
      </c>
      <c r="V97" s="60">
        <f t="shared" si="8"/>
        <v>99.649867645985807</v>
      </c>
    </row>
    <row r="98" spans="3:22" x14ac:dyDescent="0.2">
      <c r="C98" s="88" t="s">
        <v>130</v>
      </c>
      <c r="D98" s="62">
        <f t="shared" ref="D98:V98" si="9">+IFERROR(IF(D59&gt;0,+((D59/D20)*100)," "),"")</f>
        <v>98.166917498286821</v>
      </c>
      <c r="E98" s="62">
        <f t="shared" si="9"/>
        <v>97.78338810735363</v>
      </c>
      <c r="F98" s="62">
        <f t="shared" si="9"/>
        <v>95.000221825884068</v>
      </c>
      <c r="G98" s="62">
        <f t="shared" si="9"/>
        <v>95.387030093187875</v>
      </c>
      <c r="H98" s="62">
        <f t="shared" si="9"/>
        <v>97.107109958202457</v>
      </c>
      <c r="I98" s="62">
        <f t="shared" si="9"/>
        <v>99.130851908763148</v>
      </c>
      <c r="J98" s="62">
        <f t="shared" si="9"/>
        <v>97.552200206094128</v>
      </c>
      <c r="K98" s="62">
        <f t="shared" si="9"/>
        <v>96.771406037204088</v>
      </c>
      <c r="L98" s="62">
        <f t="shared" si="9"/>
        <v>96.994436531566848</v>
      </c>
      <c r="M98" s="62">
        <f t="shared" si="9"/>
        <v>97.443065142519515</v>
      </c>
      <c r="N98" s="62">
        <f t="shared" si="9"/>
        <v>96.829106238289341</v>
      </c>
      <c r="O98" s="62">
        <f t="shared" si="9"/>
        <v>89.119381515514831</v>
      </c>
      <c r="P98" s="62">
        <f t="shared" si="9"/>
        <v>83.555911719755088</v>
      </c>
      <c r="Q98" s="62">
        <f t="shared" si="9"/>
        <v>95.918233366242163</v>
      </c>
      <c r="R98" s="62">
        <f t="shared" si="9"/>
        <v>97.139063980899891</v>
      </c>
      <c r="S98" s="62">
        <f t="shared" si="9"/>
        <v>98.885135875862602</v>
      </c>
      <c r="T98" s="62">
        <f t="shared" si="9"/>
        <v>94.527951748784417</v>
      </c>
      <c r="U98" s="62">
        <f t="shared" si="9"/>
        <v>99.170963690722175</v>
      </c>
      <c r="V98" s="62">
        <f t="shared" si="9"/>
        <v>98.126025247475667</v>
      </c>
    </row>
    <row r="99" spans="3:22" x14ac:dyDescent="0.2">
      <c r="C99" s="87" t="s">
        <v>131</v>
      </c>
      <c r="D99" s="60">
        <f t="shared" ref="D99:V99" si="10">+IFERROR(IF(D60&gt;0,+((D60/D21)*100)," "),"")</f>
        <v>95.05849666311515</v>
      </c>
      <c r="E99" s="60">
        <f t="shared" si="10"/>
        <v>97.083960796250707</v>
      </c>
      <c r="F99" s="60">
        <f t="shared" si="10"/>
        <v>99.726116515669162</v>
      </c>
      <c r="G99" s="60">
        <f t="shared" si="10"/>
        <v>99.59170371556452</v>
      </c>
      <c r="H99" s="60">
        <f t="shared" si="10"/>
        <v>99.909740128966163</v>
      </c>
      <c r="I99" s="60">
        <f t="shared" si="10"/>
        <v>99.814840143750956</v>
      </c>
      <c r="J99" s="60">
        <f t="shared" si="10"/>
        <v>99.605426660853979</v>
      </c>
      <c r="K99" s="60">
        <f t="shared" si="10"/>
        <v>99.7802407590314</v>
      </c>
      <c r="L99" s="60">
        <f t="shared" si="10"/>
        <v>99.874831803762405</v>
      </c>
      <c r="M99" s="60">
        <f t="shared" si="10"/>
        <v>99.680349980612263</v>
      </c>
      <c r="N99" s="60">
        <f t="shared" si="10"/>
        <v>97.844348787151645</v>
      </c>
      <c r="O99" s="60">
        <f t="shared" si="10"/>
        <v>99.972122286556214</v>
      </c>
      <c r="P99" s="60">
        <f t="shared" si="10"/>
        <v>99.905318999129094</v>
      </c>
      <c r="Q99" s="60">
        <f t="shared" si="10"/>
        <v>99.862159132602457</v>
      </c>
      <c r="R99" s="60">
        <f t="shared" si="10"/>
        <v>99.971036212627638</v>
      </c>
      <c r="S99" s="60">
        <f t="shared" si="10"/>
        <v>99.950851111059109</v>
      </c>
      <c r="T99" s="60">
        <f t="shared" si="10"/>
        <v>99.171685587364294</v>
      </c>
      <c r="U99" s="60">
        <f t="shared" si="10"/>
        <v>99.968547468125095</v>
      </c>
      <c r="V99" s="60">
        <f t="shared" si="10"/>
        <v>99.971017673079757</v>
      </c>
    </row>
    <row r="100" spans="3:22" x14ac:dyDescent="0.2">
      <c r="C100" s="88" t="s">
        <v>132</v>
      </c>
      <c r="D100" s="62">
        <f t="shared" ref="D100:V100" si="11">+IFERROR(IF(D61&gt;0,+((D61/D22)*100)," "),"")</f>
        <v>86.579180208039602</v>
      </c>
      <c r="E100" s="62">
        <f t="shared" si="11"/>
        <v>89.437767060642685</v>
      </c>
      <c r="F100" s="62">
        <f t="shared" si="11"/>
        <v>86.215671922166024</v>
      </c>
      <c r="G100" s="62">
        <f t="shared" si="11"/>
        <v>87.731614637130178</v>
      </c>
      <c r="H100" s="62">
        <f t="shared" si="11"/>
        <v>84.275058947899396</v>
      </c>
      <c r="I100" s="62">
        <f t="shared" si="11"/>
        <v>92.993629282741836</v>
      </c>
      <c r="J100" s="62">
        <f t="shared" si="11"/>
        <v>78.264527061519829</v>
      </c>
      <c r="K100" s="62">
        <f t="shared" si="11"/>
        <v>58.310330186470914</v>
      </c>
      <c r="L100" s="62">
        <f t="shared" si="11"/>
        <v>61.250703109831775</v>
      </c>
      <c r="M100" s="62">
        <f t="shared" si="11"/>
        <v>42.92358688526523</v>
      </c>
      <c r="N100" s="62">
        <f t="shared" si="11"/>
        <v>69.217563279823096</v>
      </c>
      <c r="O100" s="62">
        <f t="shared" si="11"/>
        <v>67.170116037465604</v>
      </c>
      <c r="P100" s="62">
        <f t="shared" si="11"/>
        <v>70.341558238904838</v>
      </c>
      <c r="Q100" s="62">
        <f t="shared" si="11"/>
        <v>53.471154921233477</v>
      </c>
      <c r="R100" s="62">
        <f t="shared" si="11"/>
        <v>60.500333834850458</v>
      </c>
      <c r="S100" s="62">
        <f t="shared" si="11"/>
        <v>61.962783966975529</v>
      </c>
      <c r="T100" s="62">
        <f t="shared" si="11"/>
        <v>81.92235938728291</v>
      </c>
      <c r="U100" s="62">
        <f t="shared" si="11"/>
        <v>85.178874452201995</v>
      </c>
      <c r="V100" s="62">
        <f t="shared" si="11"/>
        <v>86.8600832669581</v>
      </c>
    </row>
    <row r="101" spans="3:22" x14ac:dyDescent="0.2">
      <c r="C101" s="87" t="s">
        <v>133</v>
      </c>
      <c r="D101" s="60">
        <f t="shared" ref="D101:V101" si="12">+IFERROR(IF(D62&gt;0,+((D62/D23)*100)," "),"")</f>
        <v>97.414955033237234</v>
      </c>
      <c r="E101" s="60">
        <f t="shared" si="12"/>
        <v>99.474456504943831</v>
      </c>
      <c r="F101" s="60">
        <f t="shared" si="12"/>
        <v>99.722220701515852</v>
      </c>
      <c r="G101" s="60">
        <f t="shared" si="12"/>
        <v>98.477246686217626</v>
      </c>
      <c r="H101" s="60">
        <f t="shared" si="12"/>
        <v>99.674599706929698</v>
      </c>
      <c r="I101" s="60">
        <f t="shared" si="12"/>
        <v>99.73770835807187</v>
      </c>
      <c r="J101" s="60">
        <f t="shared" si="12"/>
        <v>99.702489978687723</v>
      </c>
      <c r="K101" s="60">
        <f t="shared" si="12"/>
        <v>99.177979870258383</v>
      </c>
      <c r="L101" s="60">
        <f t="shared" si="12"/>
        <v>99.351827009665584</v>
      </c>
      <c r="M101" s="60">
        <f t="shared" si="12"/>
        <v>99.452223207070105</v>
      </c>
      <c r="N101" s="60">
        <f t="shared" si="12"/>
        <v>95.976502284700857</v>
      </c>
      <c r="O101" s="60">
        <f t="shared" si="12"/>
        <v>98.157185556911614</v>
      </c>
      <c r="P101" s="60">
        <f t="shared" si="12"/>
        <v>96.385489812981291</v>
      </c>
      <c r="Q101" s="60">
        <f t="shared" si="12"/>
        <v>98.477653183158864</v>
      </c>
      <c r="R101" s="60">
        <f t="shared" si="12"/>
        <v>93.680274417996884</v>
      </c>
      <c r="S101" s="60">
        <f t="shared" si="12"/>
        <v>92.737546432904665</v>
      </c>
      <c r="T101" s="60">
        <f t="shared" si="12"/>
        <v>97.429828664890309</v>
      </c>
      <c r="U101" s="60">
        <f t="shared" si="12"/>
        <v>99.414050223263288</v>
      </c>
      <c r="V101" s="60">
        <f t="shared" si="12"/>
        <v>96.89183612368403</v>
      </c>
    </row>
    <row r="102" spans="3:22" x14ac:dyDescent="0.2">
      <c r="C102" s="88" t="s">
        <v>134</v>
      </c>
      <c r="D102" s="62">
        <f t="shared" ref="D102:V102" si="13">+IFERROR(IF(D63&gt;0,+((D63/D24)*100)," "),"")</f>
        <v>93.017738345486066</v>
      </c>
      <c r="E102" s="62">
        <f t="shared" si="13"/>
        <v>93.215773354294953</v>
      </c>
      <c r="F102" s="62">
        <f t="shared" si="13"/>
        <v>97.541662402578552</v>
      </c>
      <c r="G102" s="62">
        <f t="shared" si="13"/>
        <v>97.948415499516557</v>
      </c>
      <c r="H102" s="62">
        <f t="shared" si="13"/>
        <v>97.427780945644798</v>
      </c>
      <c r="I102" s="62">
        <f t="shared" si="13"/>
        <v>93.745226365293433</v>
      </c>
      <c r="J102" s="62">
        <f t="shared" si="13"/>
        <v>95.536131500207205</v>
      </c>
      <c r="K102" s="62">
        <f t="shared" si="13"/>
        <v>83.761266946465312</v>
      </c>
      <c r="L102" s="62">
        <f t="shared" si="13"/>
        <v>87.957029826464378</v>
      </c>
      <c r="M102" s="62">
        <f t="shared" si="13"/>
        <v>73.98408118331939</v>
      </c>
      <c r="N102" s="62">
        <f t="shared" si="13"/>
        <v>77.074133616634683</v>
      </c>
      <c r="O102" s="62">
        <f t="shared" si="13"/>
        <v>97.885650051153476</v>
      </c>
      <c r="P102" s="62">
        <f t="shared" si="13"/>
        <v>95.654434483126735</v>
      </c>
      <c r="Q102" s="62">
        <f t="shared" si="13"/>
        <v>87.783413027722673</v>
      </c>
      <c r="R102" s="62">
        <f t="shared" si="13"/>
        <v>76.970807615513365</v>
      </c>
      <c r="S102" s="62">
        <f t="shared" si="13"/>
        <v>94.981622223748744</v>
      </c>
      <c r="T102" s="62">
        <f t="shared" si="13"/>
        <v>98.496148322266947</v>
      </c>
      <c r="U102" s="62">
        <f t="shared" si="13"/>
        <v>97.361056356301134</v>
      </c>
      <c r="V102" s="62">
        <f t="shared" si="13"/>
        <v>89.978355574108576</v>
      </c>
    </row>
    <row r="103" spans="3:22" x14ac:dyDescent="0.2">
      <c r="C103" s="87" t="s">
        <v>135</v>
      </c>
      <c r="D103" s="60" t="str">
        <f t="shared" ref="D103:V103" si="14">+IFERROR(IF(D64&gt;0,+((D64/D25)*100)," "),"")</f>
        <v xml:space="preserve"> </v>
      </c>
      <c r="E103" s="60" t="str">
        <f t="shared" si="14"/>
        <v xml:space="preserve"> </v>
      </c>
      <c r="F103" s="60" t="str">
        <f t="shared" si="14"/>
        <v xml:space="preserve"> </v>
      </c>
      <c r="G103" s="60" t="str">
        <f t="shared" si="14"/>
        <v xml:space="preserve"> </v>
      </c>
      <c r="H103" s="60" t="str">
        <f t="shared" si="14"/>
        <v xml:space="preserve"> </v>
      </c>
      <c r="I103" s="60" t="str">
        <f t="shared" si="14"/>
        <v xml:space="preserve"> </v>
      </c>
      <c r="J103" s="60" t="str">
        <f t="shared" si="14"/>
        <v xml:space="preserve"> </v>
      </c>
      <c r="K103" s="60" t="str">
        <f t="shared" si="14"/>
        <v xml:space="preserve"> </v>
      </c>
      <c r="L103" s="60" t="str">
        <f t="shared" si="14"/>
        <v xml:space="preserve"> </v>
      </c>
      <c r="M103" s="60" t="str">
        <f t="shared" si="14"/>
        <v xml:space="preserve"> </v>
      </c>
      <c r="N103" s="60" t="str">
        <f t="shared" si="14"/>
        <v xml:space="preserve"> </v>
      </c>
      <c r="O103" s="60" t="str">
        <f t="shared" si="14"/>
        <v xml:space="preserve"> </v>
      </c>
      <c r="P103" s="60" t="str">
        <f t="shared" si="14"/>
        <v xml:space="preserve"> </v>
      </c>
      <c r="Q103" s="60" t="str">
        <f t="shared" si="14"/>
        <v xml:space="preserve"> </v>
      </c>
      <c r="R103" s="60" t="str">
        <f t="shared" si="14"/>
        <v xml:space="preserve"> </v>
      </c>
      <c r="S103" s="60" t="str">
        <f t="shared" si="14"/>
        <v xml:space="preserve"> </v>
      </c>
      <c r="T103" s="60" t="str">
        <f t="shared" si="14"/>
        <v xml:space="preserve"> </v>
      </c>
      <c r="U103" s="60" t="str">
        <f t="shared" si="14"/>
        <v xml:space="preserve"> </v>
      </c>
      <c r="V103" s="60" t="str">
        <f t="shared" si="14"/>
        <v xml:space="preserve"> </v>
      </c>
    </row>
    <row r="104" spans="3:22" x14ac:dyDescent="0.2">
      <c r="C104" s="88" t="s">
        <v>136</v>
      </c>
      <c r="D104" s="62">
        <f t="shared" ref="D104:V104" si="15">+IFERROR(IF(D65&gt;0,+((D65/D26)*100)," "),"")</f>
        <v>95.942453022142132</v>
      </c>
      <c r="E104" s="62">
        <f t="shared" si="15"/>
        <v>98.325752814200811</v>
      </c>
      <c r="F104" s="62">
        <f t="shared" si="15"/>
        <v>95.447841774292613</v>
      </c>
      <c r="G104" s="62">
        <f t="shared" si="15"/>
        <v>97.372700466958321</v>
      </c>
      <c r="H104" s="62">
        <f t="shared" si="15"/>
        <v>95.929851803435852</v>
      </c>
      <c r="I104" s="62">
        <f t="shared" si="15"/>
        <v>97.248166755970317</v>
      </c>
      <c r="J104" s="62">
        <f t="shared" si="15"/>
        <v>83.9085359104823</v>
      </c>
      <c r="K104" s="62">
        <f t="shared" si="15"/>
        <v>76.904014455420366</v>
      </c>
      <c r="L104" s="62">
        <f t="shared" si="15"/>
        <v>80.249385506063277</v>
      </c>
      <c r="M104" s="62">
        <f t="shared" si="15"/>
        <v>85.897442068161666</v>
      </c>
      <c r="N104" s="62">
        <f t="shared" si="15"/>
        <v>90.0869845218173</v>
      </c>
      <c r="O104" s="62">
        <f t="shared" si="15"/>
        <v>91.519685498996324</v>
      </c>
      <c r="P104" s="62">
        <f t="shared" si="15"/>
        <v>91.730100413713004</v>
      </c>
      <c r="Q104" s="62">
        <f t="shared" si="15"/>
        <v>92.605682192516696</v>
      </c>
      <c r="R104" s="62">
        <f t="shared" si="15"/>
        <v>93.513513323319472</v>
      </c>
      <c r="S104" s="62">
        <f t="shared" si="15"/>
        <v>93.859439100226254</v>
      </c>
      <c r="T104" s="62">
        <f t="shared" si="15"/>
        <v>94.003892938870706</v>
      </c>
      <c r="U104" s="62">
        <f t="shared" si="15"/>
        <v>97.937222006527094</v>
      </c>
      <c r="V104" s="62">
        <f t="shared" si="15"/>
        <v>92.941654442216247</v>
      </c>
    </row>
    <row r="105" spans="3:22" x14ac:dyDescent="0.2">
      <c r="C105" s="87" t="s">
        <v>137</v>
      </c>
      <c r="D105" s="60">
        <f t="shared" ref="D105:V105" si="16">+IFERROR(IF(D66&gt;0,+((D66/D27)*100)," "),"")</f>
        <v>97.26104147629448</v>
      </c>
      <c r="E105" s="60">
        <f t="shared" si="16"/>
        <v>95.524562573649746</v>
      </c>
      <c r="F105" s="60">
        <f t="shared" si="16"/>
        <v>99.238568233848525</v>
      </c>
      <c r="G105" s="60">
        <f t="shared" si="16"/>
        <v>97.298467069546561</v>
      </c>
      <c r="H105" s="60">
        <f t="shared" si="16"/>
        <v>96.892666135481392</v>
      </c>
      <c r="I105" s="60">
        <f t="shared" si="16"/>
        <v>98.04113354356609</v>
      </c>
      <c r="J105" s="60">
        <f t="shared" si="16"/>
        <v>98.720045159294585</v>
      </c>
      <c r="K105" s="60">
        <f t="shared" si="16"/>
        <v>96.640781720330239</v>
      </c>
      <c r="L105" s="60">
        <f t="shared" si="16"/>
        <v>98.317803314435807</v>
      </c>
      <c r="M105" s="60">
        <f t="shared" si="16"/>
        <v>94.017074737379488</v>
      </c>
      <c r="N105" s="60">
        <f t="shared" si="16"/>
        <v>93.497618139091102</v>
      </c>
      <c r="O105" s="60">
        <f t="shared" si="16"/>
        <v>94.487081878940458</v>
      </c>
      <c r="P105" s="60">
        <f t="shared" si="16"/>
        <v>85.068831697067125</v>
      </c>
      <c r="Q105" s="60">
        <f t="shared" si="16"/>
        <v>74.803058263686168</v>
      </c>
      <c r="R105" s="60">
        <f t="shared" si="16"/>
        <v>91.026701141398718</v>
      </c>
      <c r="S105" s="60">
        <f t="shared" si="16"/>
        <v>93.447286792489649</v>
      </c>
      <c r="T105" s="60">
        <f t="shared" si="16"/>
        <v>97.871984709079214</v>
      </c>
      <c r="U105" s="60">
        <f t="shared" si="16"/>
        <v>95.775279597570986</v>
      </c>
      <c r="V105" s="60">
        <f t="shared" si="16"/>
        <v>92.977954152557459</v>
      </c>
    </row>
    <row r="106" spans="3:22" x14ac:dyDescent="0.2">
      <c r="C106" s="88" t="s">
        <v>138</v>
      </c>
      <c r="D106" s="62">
        <f t="shared" ref="D106:V106" si="17">+IFERROR(IF(D67&gt;0,+((D67/D28)*100)," "),"")</f>
        <v>95.926119449799714</v>
      </c>
      <c r="E106" s="62">
        <f t="shared" si="17"/>
        <v>95.999796479435346</v>
      </c>
      <c r="F106" s="62">
        <f t="shared" si="17"/>
        <v>97.621588672158808</v>
      </c>
      <c r="G106" s="62">
        <f t="shared" si="17"/>
        <v>98.202665634016427</v>
      </c>
      <c r="H106" s="62">
        <f t="shared" si="17"/>
        <v>98.662440266772009</v>
      </c>
      <c r="I106" s="62">
        <f t="shared" si="17"/>
        <v>96.072999180176581</v>
      </c>
      <c r="J106" s="62">
        <f t="shared" si="17"/>
        <v>96.123437672804442</v>
      </c>
      <c r="K106" s="62">
        <f t="shared" si="17"/>
        <v>93.954927304251314</v>
      </c>
      <c r="L106" s="62">
        <f t="shared" si="17"/>
        <v>93.310283173934721</v>
      </c>
      <c r="M106" s="62">
        <f t="shared" si="17"/>
        <v>89.126019096815426</v>
      </c>
      <c r="N106" s="62">
        <f t="shared" si="17"/>
        <v>84.415068002737627</v>
      </c>
      <c r="O106" s="62">
        <f t="shared" si="17"/>
        <v>88.494160448100658</v>
      </c>
      <c r="P106" s="62">
        <f t="shared" si="17"/>
        <v>78.593213922021548</v>
      </c>
      <c r="Q106" s="62">
        <f t="shared" si="17"/>
        <v>76.795108758073198</v>
      </c>
      <c r="R106" s="62">
        <f t="shared" si="17"/>
        <v>83.79863236747893</v>
      </c>
      <c r="S106" s="62">
        <f t="shared" si="17"/>
        <v>94.71077485215055</v>
      </c>
      <c r="T106" s="62">
        <f t="shared" si="17"/>
        <v>97.117475985002827</v>
      </c>
      <c r="U106" s="62">
        <f t="shared" si="17"/>
        <v>98.246649591297498</v>
      </c>
      <c r="V106" s="62">
        <f t="shared" si="17"/>
        <v>97.085973391286146</v>
      </c>
    </row>
    <row r="107" spans="3:22" x14ac:dyDescent="0.2">
      <c r="C107" s="87" t="s">
        <v>139</v>
      </c>
      <c r="D107" s="60">
        <f t="shared" ref="D107:V107" si="18">+IFERROR(IF(D68&gt;0,+((D68/D29)*100)," "),"")</f>
        <v>96.695329438738781</v>
      </c>
      <c r="E107" s="60">
        <f t="shared" si="18"/>
        <v>98.181444628840509</v>
      </c>
      <c r="F107" s="60">
        <f t="shared" si="18"/>
        <v>95.312940230659351</v>
      </c>
      <c r="G107" s="60">
        <f t="shared" si="18"/>
        <v>94.284457576436466</v>
      </c>
      <c r="H107" s="60">
        <f t="shared" si="18"/>
        <v>96.004748990736502</v>
      </c>
      <c r="I107" s="60">
        <f t="shared" si="18"/>
        <v>97.409137304106068</v>
      </c>
      <c r="J107" s="60">
        <f t="shared" si="18"/>
        <v>93.234879843726333</v>
      </c>
      <c r="K107" s="60">
        <f t="shared" si="18"/>
        <v>90.400410295762612</v>
      </c>
      <c r="L107" s="60">
        <f t="shared" si="18"/>
        <v>94.265615663244049</v>
      </c>
      <c r="M107" s="60">
        <f t="shared" si="18"/>
        <v>92.479410127212731</v>
      </c>
      <c r="N107" s="60">
        <f t="shared" si="18"/>
        <v>89.279223101843115</v>
      </c>
      <c r="O107" s="60">
        <f t="shared" si="18"/>
        <v>95.790091454720198</v>
      </c>
      <c r="P107" s="60">
        <f t="shared" si="18"/>
        <v>90.601076816014654</v>
      </c>
      <c r="Q107" s="60">
        <f t="shared" si="18"/>
        <v>92.383894832231363</v>
      </c>
      <c r="R107" s="60">
        <f t="shared" si="18"/>
        <v>92.261560723474162</v>
      </c>
      <c r="S107" s="60">
        <f t="shared" si="18"/>
        <v>94.145252879649874</v>
      </c>
      <c r="T107" s="60">
        <f t="shared" si="18"/>
        <v>97.420070451318381</v>
      </c>
      <c r="U107" s="60">
        <f t="shared" si="18"/>
        <v>96.884741445616442</v>
      </c>
      <c r="V107" s="60">
        <f t="shared" si="18"/>
        <v>97.332399261303451</v>
      </c>
    </row>
    <row r="108" spans="3:22" x14ac:dyDescent="0.2">
      <c r="C108" s="88" t="s">
        <v>140</v>
      </c>
      <c r="D108" s="62">
        <f t="shared" ref="D108:V108" si="19">+IFERROR(IF(D69&gt;0,+((D69/D30)*100)," "),"")</f>
        <v>90.699548096140433</v>
      </c>
      <c r="E108" s="62">
        <f t="shared" si="19"/>
        <v>81.638951332836967</v>
      </c>
      <c r="F108" s="62">
        <f t="shared" si="19"/>
        <v>91.132325178121604</v>
      </c>
      <c r="G108" s="62">
        <f t="shared" si="19"/>
        <v>90.082346633498545</v>
      </c>
      <c r="H108" s="62">
        <f t="shared" si="19"/>
        <v>99.113212450108733</v>
      </c>
      <c r="I108" s="62">
        <f t="shared" si="19"/>
        <v>98.741171980705275</v>
      </c>
      <c r="J108" s="62">
        <f t="shared" si="19"/>
        <v>86.577280020855909</v>
      </c>
      <c r="K108" s="62">
        <f t="shared" si="19"/>
        <v>77.817152751568869</v>
      </c>
      <c r="L108" s="62">
        <f t="shared" si="19"/>
        <v>94.223400256778888</v>
      </c>
      <c r="M108" s="62">
        <f t="shared" si="19"/>
        <v>82.057043068685061</v>
      </c>
      <c r="N108" s="62">
        <f t="shared" si="19"/>
        <v>98.024247811081693</v>
      </c>
      <c r="O108" s="62">
        <f t="shared" si="19"/>
        <v>96.981216594926607</v>
      </c>
      <c r="P108" s="62">
        <f t="shared" si="19"/>
        <v>76.31933236614644</v>
      </c>
      <c r="Q108" s="62">
        <f t="shared" si="19"/>
        <v>77.816249430413777</v>
      </c>
      <c r="R108" s="62">
        <f t="shared" si="19"/>
        <v>90.412178052357135</v>
      </c>
      <c r="S108" s="62">
        <f t="shared" si="19"/>
        <v>93.49778367496036</v>
      </c>
      <c r="T108" s="62">
        <f t="shared" si="19"/>
        <v>93.378293767216505</v>
      </c>
      <c r="U108" s="62">
        <f t="shared" si="19"/>
        <v>95.499230970073043</v>
      </c>
      <c r="V108" s="62">
        <f t="shared" si="19"/>
        <v>91.127846790597204</v>
      </c>
    </row>
    <row r="109" spans="3:22" x14ac:dyDescent="0.2">
      <c r="C109" s="87" t="s">
        <v>141</v>
      </c>
      <c r="D109" s="60">
        <f t="shared" ref="D109:V109" si="20">+IFERROR(IF(D70&gt;0,+((D70/D31)*100)," "),"")</f>
        <v>95.385658210877779</v>
      </c>
      <c r="E109" s="60">
        <f t="shared" si="20"/>
        <v>97.291271441594063</v>
      </c>
      <c r="F109" s="60">
        <f t="shared" si="20"/>
        <v>97.638379403165288</v>
      </c>
      <c r="G109" s="60">
        <f t="shared" si="20"/>
        <v>97.708932233700466</v>
      </c>
      <c r="H109" s="60">
        <f t="shared" si="20"/>
        <v>95.745009771295656</v>
      </c>
      <c r="I109" s="60">
        <f t="shared" si="20"/>
        <v>96.479663971217803</v>
      </c>
      <c r="J109" s="60">
        <f t="shared" si="20"/>
        <v>97.302163238918354</v>
      </c>
      <c r="K109" s="60">
        <f t="shared" si="20"/>
        <v>95.540765124431076</v>
      </c>
      <c r="L109" s="60">
        <f t="shared" si="20"/>
        <v>94.622456832976098</v>
      </c>
      <c r="M109" s="60">
        <f t="shared" si="20"/>
        <v>93.01574113171101</v>
      </c>
      <c r="N109" s="60">
        <f t="shared" si="20"/>
        <v>91.481292384299877</v>
      </c>
      <c r="O109" s="60">
        <f t="shared" si="20"/>
        <v>93.94277299173585</v>
      </c>
      <c r="P109" s="60">
        <f t="shared" si="20"/>
        <v>88.518906095545034</v>
      </c>
      <c r="Q109" s="60">
        <f t="shared" si="20"/>
        <v>90.261695430048476</v>
      </c>
      <c r="R109" s="60">
        <f t="shared" si="20"/>
        <v>94.443739072936651</v>
      </c>
      <c r="S109" s="60">
        <f t="shared" si="20"/>
        <v>95.68340153266243</v>
      </c>
      <c r="T109" s="60">
        <f t="shared" si="20"/>
        <v>96.358806181256313</v>
      </c>
      <c r="U109" s="60">
        <f t="shared" si="20"/>
        <v>96.903006787693428</v>
      </c>
      <c r="V109" s="60">
        <f t="shared" si="20"/>
        <v>96.479546291367754</v>
      </c>
    </row>
    <row r="110" spans="3:22" x14ac:dyDescent="0.2">
      <c r="C110" s="88" t="s">
        <v>142</v>
      </c>
      <c r="D110" s="62">
        <f t="shared" ref="D110:V110" si="21">+IFERROR(IF(D71&gt;0,+((D71/D32)*100)," "),"")</f>
        <v>87.607906926004546</v>
      </c>
      <c r="E110" s="62">
        <f t="shared" si="21"/>
        <v>92.670718522507258</v>
      </c>
      <c r="F110" s="62">
        <f t="shared" si="21"/>
        <v>92.40313764059664</v>
      </c>
      <c r="G110" s="62">
        <f t="shared" si="21"/>
        <v>88.838129007073491</v>
      </c>
      <c r="H110" s="62">
        <f t="shared" si="21"/>
        <v>89.467134980149169</v>
      </c>
      <c r="I110" s="62">
        <f t="shared" si="21"/>
        <v>88.433508196115909</v>
      </c>
      <c r="J110" s="62">
        <f t="shared" si="21"/>
        <v>72.095429513475466</v>
      </c>
      <c r="K110" s="62">
        <f t="shared" si="21"/>
        <v>70.228312802702305</v>
      </c>
      <c r="L110" s="62">
        <f t="shared" si="21"/>
        <v>81.621044692233326</v>
      </c>
      <c r="M110" s="62">
        <f t="shared" si="21"/>
        <v>71.73421175191325</v>
      </c>
      <c r="N110" s="62">
        <f t="shared" si="21"/>
        <v>92.26961578864325</v>
      </c>
      <c r="O110" s="62">
        <f t="shared" si="21"/>
        <v>88.34769776744497</v>
      </c>
      <c r="P110" s="62">
        <f t="shared" si="21"/>
        <v>87.383892511374867</v>
      </c>
      <c r="Q110" s="62">
        <f t="shared" si="21"/>
        <v>67.695109508648272</v>
      </c>
      <c r="R110" s="62">
        <f t="shared" si="21"/>
        <v>87.5792268069047</v>
      </c>
      <c r="S110" s="62">
        <f t="shared" si="21"/>
        <v>89.936466038195292</v>
      </c>
      <c r="T110" s="62">
        <f t="shared" si="21"/>
        <v>94.778376367150614</v>
      </c>
      <c r="U110" s="62">
        <f t="shared" si="21"/>
        <v>93.040726231360367</v>
      </c>
      <c r="V110" s="62">
        <f t="shared" si="21"/>
        <v>94.497362369708782</v>
      </c>
    </row>
    <row r="111" spans="3:22" x14ac:dyDescent="0.2">
      <c r="C111" s="87" t="s">
        <v>143</v>
      </c>
      <c r="D111" s="60">
        <f t="shared" ref="D111:V111" si="22">+IFERROR(IF(D72&gt;0,+((D72/D33)*100)," "),"")</f>
        <v>91.121416902551147</v>
      </c>
      <c r="E111" s="60">
        <f t="shared" si="22"/>
        <v>97.012939424745866</v>
      </c>
      <c r="F111" s="60">
        <f t="shared" si="22"/>
        <v>92.489250782692238</v>
      </c>
      <c r="G111" s="60">
        <f t="shared" si="22"/>
        <v>95.042790989278132</v>
      </c>
      <c r="H111" s="60">
        <f t="shared" si="22"/>
        <v>97.36210503253352</v>
      </c>
      <c r="I111" s="60">
        <f t="shared" si="22"/>
        <v>99.462926130154329</v>
      </c>
      <c r="J111" s="60">
        <f t="shared" si="22"/>
        <v>98.668636502283888</v>
      </c>
      <c r="K111" s="60">
        <f t="shared" si="22"/>
        <v>99.469372817642551</v>
      </c>
      <c r="L111" s="60">
        <f t="shared" si="22"/>
        <v>98.285469294354158</v>
      </c>
      <c r="M111" s="60">
        <f t="shared" si="22"/>
        <v>91.86170535618183</v>
      </c>
      <c r="N111" s="60">
        <f t="shared" si="22"/>
        <v>91.165194258219856</v>
      </c>
      <c r="O111" s="60">
        <f t="shared" si="22"/>
        <v>96.453823405360538</v>
      </c>
      <c r="P111" s="60">
        <f t="shared" si="22"/>
        <v>95.574116548326344</v>
      </c>
      <c r="Q111" s="60">
        <f t="shared" si="22"/>
        <v>93.156431780101897</v>
      </c>
      <c r="R111" s="60">
        <f t="shared" si="22"/>
        <v>94.031483184133052</v>
      </c>
      <c r="S111" s="60">
        <f t="shared" si="22"/>
        <v>96.606633235879187</v>
      </c>
      <c r="T111" s="60">
        <f t="shared" si="22"/>
        <v>98.692010531777569</v>
      </c>
      <c r="U111" s="60">
        <f t="shared" si="22"/>
        <v>98.41244297910572</v>
      </c>
      <c r="V111" s="60">
        <f t="shared" si="22"/>
        <v>97.252781330568382</v>
      </c>
    </row>
    <row r="112" spans="3:22" x14ac:dyDescent="0.2">
      <c r="C112" s="88" t="s">
        <v>144</v>
      </c>
      <c r="D112" s="62">
        <f t="shared" ref="D112:V112" si="23">+IFERROR(IF(D73&gt;0,+((D73/D34)*100)," "),"")</f>
        <v>99.29219830147251</v>
      </c>
      <c r="E112" s="62">
        <f t="shared" si="23"/>
        <v>97.197979451948569</v>
      </c>
      <c r="F112" s="62">
        <f t="shared" si="23"/>
        <v>98.881360937648111</v>
      </c>
      <c r="G112" s="62">
        <f t="shared" si="23"/>
        <v>99.425039365868457</v>
      </c>
      <c r="H112" s="62">
        <f t="shared" si="23"/>
        <v>99.086724614956893</v>
      </c>
      <c r="I112" s="62">
        <f t="shared" si="23"/>
        <v>99.891525681601067</v>
      </c>
      <c r="J112" s="62">
        <f t="shared" si="23"/>
        <v>98.878379622489135</v>
      </c>
      <c r="K112" s="62">
        <f t="shared" si="23"/>
        <v>99.508056861722238</v>
      </c>
      <c r="L112" s="62">
        <f t="shared" si="23"/>
        <v>99.243613870119745</v>
      </c>
      <c r="M112" s="62">
        <f t="shared" si="23"/>
        <v>99.13172879900003</v>
      </c>
      <c r="N112" s="62">
        <f t="shared" si="23"/>
        <v>98.799482048851033</v>
      </c>
      <c r="O112" s="62">
        <f t="shared" si="23"/>
        <v>97.520309041840775</v>
      </c>
      <c r="P112" s="62">
        <f t="shared" si="23"/>
        <v>98.768752530293852</v>
      </c>
      <c r="Q112" s="62">
        <f t="shared" si="23"/>
        <v>99.751244998334869</v>
      </c>
      <c r="R112" s="62">
        <f t="shared" si="23"/>
        <v>99.814171537535998</v>
      </c>
      <c r="S112" s="62">
        <f t="shared" si="23"/>
        <v>99.42739026334182</v>
      </c>
      <c r="T112" s="62">
        <f t="shared" si="23"/>
        <v>99.202966952618652</v>
      </c>
      <c r="U112" s="62">
        <f t="shared" si="23"/>
        <v>98.498012535292858</v>
      </c>
      <c r="V112" s="62">
        <f t="shared" si="23"/>
        <v>99.443620323360733</v>
      </c>
    </row>
    <row r="113" spans="3:22" x14ac:dyDescent="0.2">
      <c r="C113" s="87" t="s">
        <v>145</v>
      </c>
      <c r="D113" s="60">
        <f t="shared" ref="D113:V113" si="24">+IFERROR(IF(D74&gt;0,+((D74/D35)*100)," "),"")</f>
        <v>97.902355581969729</v>
      </c>
      <c r="E113" s="60">
        <f t="shared" si="24"/>
        <v>96.869282101205329</v>
      </c>
      <c r="F113" s="60">
        <f t="shared" si="24"/>
        <v>82.429896607171685</v>
      </c>
      <c r="G113" s="60">
        <f t="shared" si="24"/>
        <v>91.39767591597095</v>
      </c>
      <c r="H113" s="60">
        <f t="shared" si="24"/>
        <v>97.408124285306002</v>
      </c>
      <c r="I113" s="60">
        <f t="shared" si="24"/>
        <v>97.273099122421229</v>
      </c>
      <c r="J113" s="60">
        <f t="shared" si="24"/>
        <v>87.110488428070965</v>
      </c>
      <c r="K113" s="60">
        <f t="shared" si="24"/>
        <v>94.17844144394509</v>
      </c>
      <c r="L113" s="60">
        <f t="shared" si="24"/>
        <v>94.156096963269974</v>
      </c>
      <c r="M113" s="60">
        <f t="shared" si="24"/>
        <v>97.243005079182296</v>
      </c>
      <c r="N113" s="60">
        <f t="shared" si="24"/>
        <v>98.75861241485147</v>
      </c>
      <c r="O113" s="60">
        <f t="shared" si="24"/>
        <v>92.441648074029033</v>
      </c>
      <c r="P113" s="60">
        <f t="shared" si="24"/>
        <v>91.705112097477397</v>
      </c>
      <c r="Q113" s="60">
        <f t="shared" si="24"/>
        <v>88.618914213514529</v>
      </c>
      <c r="R113" s="60">
        <f t="shared" si="24"/>
        <v>94.369072339607357</v>
      </c>
      <c r="S113" s="60">
        <f t="shared" si="24"/>
        <v>92.371780984594693</v>
      </c>
      <c r="T113" s="60">
        <f t="shared" si="24"/>
        <v>94.723851771875374</v>
      </c>
      <c r="U113" s="60">
        <f t="shared" si="24"/>
        <v>96.123561287133597</v>
      </c>
      <c r="V113" s="60">
        <f t="shared" si="24"/>
        <v>97.643800416449352</v>
      </c>
    </row>
    <row r="114" spans="3:22" x14ac:dyDescent="0.2">
      <c r="C114" s="88" t="s">
        <v>146</v>
      </c>
      <c r="D114" s="62">
        <f t="shared" ref="D114:V114" si="25">+IFERROR(IF(D75&gt;0,+((D75/D36)*100)," "),"")</f>
        <v>93.936193735780378</v>
      </c>
      <c r="E114" s="62">
        <f t="shared" si="25"/>
        <v>94.890453023847073</v>
      </c>
      <c r="F114" s="62">
        <f t="shared" si="25"/>
        <v>95.212529488722851</v>
      </c>
      <c r="G114" s="62">
        <f t="shared" si="25"/>
        <v>98.749048902949141</v>
      </c>
      <c r="H114" s="62">
        <f t="shared" si="25"/>
        <v>90.463364974179555</v>
      </c>
      <c r="I114" s="62">
        <f t="shared" si="25"/>
        <v>90.165066438580368</v>
      </c>
      <c r="J114" s="62">
        <f t="shared" si="25"/>
        <v>95.035009912893898</v>
      </c>
      <c r="K114" s="62">
        <f t="shared" si="25"/>
        <v>87.301104690373776</v>
      </c>
      <c r="L114" s="62">
        <f t="shared" si="25"/>
        <v>90.500191102981773</v>
      </c>
      <c r="M114" s="62">
        <f t="shared" si="25"/>
        <v>95.485933026147151</v>
      </c>
      <c r="N114" s="62">
        <f t="shared" si="25"/>
        <v>89.314966596489938</v>
      </c>
      <c r="O114" s="62">
        <f t="shared" si="25"/>
        <v>97.064882215082179</v>
      </c>
      <c r="P114" s="62">
        <f t="shared" si="25"/>
        <v>96.561825943655322</v>
      </c>
      <c r="Q114" s="62">
        <f t="shared" si="25"/>
        <v>98.856439727559149</v>
      </c>
      <c r="R114" s="62">
        <f t="shared" si="25"/>
        <v>98.075035127855472</v>
      </c>
      <c r="S114" s="62">
        <f t="shared" si="25"/>
        <v>98.659491232979633</v>
      </c>
      <c r="T114" s="62">
        <f t="shared" si="25"/>
        <v>98.08356088406164</v>
      </c>
      <c r="U114" s="62">
        <f t="shared" si="25"/>
        <v>96.950750015384699</v>
      </c>
      <c r="V114" s="62">
        <f t="shared" si="25"/>
        <v>90.7750914354108</v>
      </c>
    </row>
    <row r="115" spans="3:22" x14ac:dyDescent="0.2">
      <c r="C115" s="90" t="s">
        <v>147</v>
      </c>
      <c r="D115" s="61">
        <f t="shared" ref="D115:V115" si="26">+IFERROR(IF(D76&gt;0,+((D76/D37)*100)," "),"")</f>
        <v>96.544357132852809</v>
      </c>
      <c r="E115" s="61">
        <f t="shared" si="26"/>
        <v>98.88395279110695</v>
      </c>
      <c r="F115" s="61">
        <f t="shared" si="26"/>
        <v>98.915757176088746</v>
      </c>
      <c r="G115" s="61">
        <f t="shared" si="26"/>
        <v>99.362001753861392</v>
      </c>
      <c r="H115" s="61">
        <f t="shared" si="26"/>
        <v>99.503949323023065</v>
      </c>
      <c r="I115" s="61">
        <f t="shared" si="26"/>
        <v>99.397948584887203</v>
      </c>
      <c r="J115" s="61">
        <f t="shared" si="26"/>
        <v>99.130443195382284</v>
      </c>
      <c r="K115" s="61">
        <f t="shared" si="26"/>
        <v>97.257152387297182</v>
      </c>
      <c r="L115" s="61">
        <f t="shared" si="26"/>
        <v>99.6820060445677</v>
      </c>
      <c r="M115" s="61">
        <f t="shared" si="26"/>
        <v>95.587339576337925</v>
      </c>
      <c r="N115" s="61">
        <f t="shared" si="26"/>
        <v>87.007785128777698</v>
      </c>
      <c r="O115" s="61">
        <f t="shared" si="26"/>
        <v>98.868537456913003</v>
      </c>
      <c r="P115" s="61">
        <f t="shared" si="26"/>
        <v>98.575683566307077</v>
      </c>
      <c r="Q115" s="61">
        <f t="shared" si="26"/>
        <v>98.403192370272436</v>
      </c>
      <c r="R115" s="61">
        <f t="shared" si="26"/>
        <v>97.35099800601435</v>
      </c>
      <c r="S115" s="61">
        <f t="shared" si="26"/>
        <v>98.73440314505946</v>
      </c>
      <c r="T115" s="61">
        <f t="shared" si="26"/>
        <v>99.705522404434078</v>
      </c>
      <c r="U115" s="61">
        <f t="shared" si="26"/>
        <v>99.797841488648615</v>
      </c>
      <c r="V115" s="61">
        <f t="shared" si="26"/>
        <v>95.506466976453922</v>
      </c>
    </row>
    <row r="116" spans="3:22" ht="22.5" customHeight="1" x14ac:dyDescent="0.2">
      <c r="C116" s="89" t="s">
        <v>148</v>
      </c>
      <c r="D116" s="63" t="str">
        <f t="shared" ref="D116:V116" si="27">+IFERROR(IF(D77&gt;0,+((D77/D38)*100)," "),"")</f>
        <v xml:space="preserve"> </v>
      </c>
      <c r="E116" s="63" t="str">
        <f t="shared" si="27"/>
        <v xml:space="preserve"> </v>
      </c>
      <c r="F116" s="63" t="str">
        <f t="shared" si="27"/>
        <v xml:space="preserve"> </v>
      </c>
      <c r="G116" s="63" t="str">
        <f t="shared" si="27"/>
        <v xml:space="preserve"> </v>
      </c>
      <c r="H116" s="63" t="str">
        <f t="shared" si="27"/>
        <v xml:space="preserve"> </v>
      </c>
      <c r="I116" s="63" t="str">
        <f t="shared" si="27"/>
        <v xml:space="preserve"> </v>
      </c>
      <c r="J116" s="63" t="str">
        <f t="shared" si="27"/>
        <v xml:space="preserve"> </v>
      </c>
      <c r="K116" s="63" t="str">
        <f t="shared" si="27"/>
        <v xml:space="preserve"> </v>
      </c>
      <c r="L116" s="63" t="str">
        <f t="shared" si="27"/>
        <v xml:space="preserve"> </v>
      </c>
      <c r="M116" s="63" t="str">
        <f t="shared" si="27"/>
        <v xml:space="preserve"> </v>
      </c>
      <c r="N116" s="63" t="str">
        <f t="shared" si="27"/>
        <v xml:space="preserve"> </v>
      </c>
      <c r="O116" s="63" t="str">
        <f t="shared" si="27"/>
        <v xml:space="preserve"> </v>
      </c>
      <c r="P116" s="63" t="str">
        <f t="shared" si="27"/>
        <v xml:space="preserve"> </v>
      </c>
      <c r="Q116" s="63" t="str">
        <f t="shared" si="27"/>
        <v xml:space="preserve"> </v>
      </c>
      <c r="R116" s="63" t="str">
        <f t="shared" si="27"/>
        <v xml:space="preserve"> </v>
      </c>
      <c r="S116" s="63" t="str">
        <f t="shared" si="27"/>
        <v xml:space="preserve"> </v>
      </c>
      <c r="T116" s="63" t="str">
        <f t="shared" si="27"/>
        <v xml:space="preserve"> </v>
      </c>
      <c r="U116" s="63">
        <f t="shared" si="27"/>
        <v>59.926249401054143</v>
      </c>
      <c r="V116" s="63">
        <f t="shared" si="27"/>
        <v>81.957035290999485</v>
      </c>
    </row>
    <row r="117" spans="3:22" x14ac:dyDescent="0.2">
      <c r="C117" s="87" t="s">
        <v>149</v>
      </c>
      <c r="D117" s="60">
        <f t="shared" ref="D117:V117" si="28">+IFERROR(IF(D78&gt;0,+((D78/D39)*100)," "),"")</f>
        <v>42.932243030419251</v>
      </c>
      <c r="E117" s="60">
        <f t="shared" si="28"/>
        <v>42.212624359482945</v>
      </c>
      <c r="F117" s="60">
        <f t="shared" si="28"/>
        <v>46.919462483028418</v>
      </c>
      <c r="G117" s="60">
        <f t="shared" si="28"/>
        <v>58.954742789152604</v>
      </c>
      <c r="H117" s="60">
        <f t="shared" si="28"/>
        <v>53.975131561589684</v>
      </c>
      <c r="I117" s="60">
        <f t="shared" si="28"/>
        <v>29.729279866158453</v>
      </c>
      <c r="J117" s="60">
        <f t="shared" si="28"/>
        <v>51.114256016619095</v>
      </c>
      <c r="K117" s="60">
        <f t="shared" si="28"/>
        <v>55.155711369864235</v>
      </c>
      <c r="L117" s="60">
        <f t="shared" si="28"/>
        <v>62.034398203644926</v>
      </c>
      <c r="M117" s="60">
        <f t="shared" si="28"/>
        <v>52.703856163851285</v>
      </c>
      <c r="N117" s="60">
        <f t="shared" si="28"/>
        <v>70.93301222919311</v>
      </c>
      <c r="O117" s="60">
        <f t="shared" si="28"/>
        <v>74.117029018673406</v>
      </c>
      <c r="P117" s="60">
        <f t="shared" si="28"/>
        <v>93.131731424606173</v>
      </c>
      <c r="Q117" s="60">
        <f t="shared" si="28"/>
        <v>74.179836774630886</v>
      </c>
      <c r="R117" s="60">
        <f t="shared" si="28"/>
        <v>75.437898091638928</v>
      </c>
      <c r="S117" s="60">
        <f t="shared" si="28"/>
        <v>85.027955250507432</v>
      </c>
      <c r="T117" s="60">
        <f t="shared" si="28"/>
        <v>92.412269626057181</v>
      </c>
      <c r="U117" s="60">
        <f t="shared" si="28"/>
        <v>96.581717300902341</v>
      </c>
      <c r="V117" s="60">
        <f t="shared" si="28"/>
        <v>80.549937549024548</v>
      </c>
    </row>
    <row r="118" spans="3:22" x14ac:dyDescent="0.2">
      <c r="C118" s="88" t="s">
        <v>150</v>
      </c>
      <c r="D118" s="62">
        <f t="shared" ref="D118:V118" si="29">+IFERROR(IF(D79&gt;0,+((D79/D40)*100)," "),"")</f>
        <v>92.543226451126841</v>
      </c>
      <c r="E118" s="62">
        <f t="shared" si="29"/>
        <v>92.254738933888873</v>
      </c>
      <c r="F118" s="62">
        <f t="shared" si="29"/>
        <v>95.408566734900376</v>
      </c>
      <c r="G118" s="62">
        <f t="shared" si="29"/>
        <v>94.559791713157466</v>
      </c>
      <c r="H118" s="62">
        <f t="shared" si="29"/>
        <v>95.067514418489111</v>
      </c>
      <c r="I118" s="62">
        <f t="shared" si="29"/>
        <v>91.842488313898357</v>
      </c>
      <c r="J118" s="62">
        <f t="shared" si="29"/>
        <v>83.475487566808539</v>
      </c>
      <c r="K118" s="62">
        <f t="shared" si="29"/>
        <v>86.715361976565319</v>
      </c>
      <c r="L118" s="62">
        <f t="shared" si="29"/>
        <v>89.407378738281636</v>
      </c>
      <c r="M118" s="62">
        <f t="shared" si="29"/>
        <v>89.132143321449078</v>
      </c>
      <c r="N118" s="62">
        <f t="shared" si="29"/>
        <v>88.08658857250181</v>
      </c>
      <c r="O118" s="62">
        <f t="shared" si="29"/>
        <v>85.772271079688323</v>
      </c>
      <c r="P118" s="62">
        <f t="shared" si="29"/>
        <v>92.261194758052895</v>
      </c>
      <c r="Q118" s="62">
        <f t="shared" si="29"/>
        <v>90.039115645632208</v>
      </c>
      <c r="R118" s="62">
        <f t="shared" si="29"/>
        <v>93.89298528537033</v>
      </c>
      <c r="S118" s="62">
        <f t="shared" si="29"/>
        <v>94.146355430018019</v>
      </c>
      <c r="T118" s="62">
        <f t="shared" si="29"/>
        <v>94.722407005725344</v>
      </c>
      <c r="U118" s="62">
        <f t="shared" si="29"/>
        <v>90.879234051027822</v>
      </c>
      <c r="V118" s="62">
        <f t="shared" si="29"/>
        <v>95.760083209729672</v>
      </c>
    </row>
    <row r="119" spans="3:22" x14ac:dyDescent="0.2">
      <c r="C119" s="87" t="s">
        <v>151</v>
      </c>
      <c r="D119" s="60">
        <f t="shared" ref="D119:V119" si="30">+IFERROR(IF(D80&gt;0,+((D80/D41)*100)," "),"")</f>
        <v>85.431599017387441</v>
      </c>
      <c r="E119" s="60">
        <f t="shared" si="30"/>
        <v>80.747384982998611</v>
      </c>
      <c r="F119" s="60">
        <f t="shared" si="30"/>
        <v>78.314447146408042</v>
      </c>
      <c r="G119" s="60">
        <f t="shared" si="30"/>
        <v>85.284125623963703</v>
      </c>
      <c r="H119" s="60">
        <f t="shared" si="30"/>
        <v>87.395875094143335</v>
      </c>
      <c r="I119" s="60">
        <f t="shared" si="30"/>
        <v>89.613344358374377</v>
      </c>
      <c r="J119" s="60">
        <f t="shared" si="30"/>
        <v>93.034680191030191</v>
      </c>
      <c r="K119" s="60">
        <f t="shared" si="30"/>
        <v>66.48863064161678</v>
      </c>
      <c r="L119" s="60">
        <f t="shared" si="30"/>
        <v>82.656981949464011</v>
      </c>
      <c r="M119" s="60">
        <f t="shared" si="30"/>
        <v>92.000341446585338</v>
      </c>
      <c r="N119" s="60">
        <f t="shared" si="30"/>
        <v>94.051401440640063</v>
      </c>
      <c r="O119" s="60">
        <f t="shared" si="30"/>
        <v>98.340470802343162</v>
      </c>
      <c r="P119" s="60">
        <f t="shared" si="30"/>
        <v>99.319268894690865</v>
      </c>
      <c r="Q119" s="60">
        <f t="shared" si="30"/>
        <v>99.658083599775438</v>
      </c>
      <c r="R119" s="60">
        <f t="shared" si="30"/>
        <v>99.678288327482505</v>
      </c>
      <c r="S119" s="60">
        <f t="shared" si="30"/>
        <v>99.322030911091844</v>
      </c>
      <c r="T119" s="60">
        <f t="shared" si="30"/>
        <v>99.935689433309491</v>
      </c>
      <c r="U119" s="60">
        <f t="shared" si="30"/>
        <v>99.951549296956401</v>
      </c>
      <c r="V119" s="60">
        <f t="shared" si="30"/>
        <v>99.845606171778641</v>
      </c>
    </row>
    <row r="120" spans="3:22" x14ac:dyDescent="0.2">
      <c r="C120" s="91" t="s">
        <v>179</v>
      </c>
      <c r="D120" s="64">
        <f t="shared" ref="D120:V120" si="31">+IFERROR(IF(D81&gt;0,+((D81/D42)*100)," "),"")</f>
        <v>94.932289539555555</v>
      </c>
      <c r="E120" s="64">
        <f t="shared" si="31"/>
        <v>96.237721411121356</v>
      </c>
      <c r="F120" s="64">
        <f t="shared" si="31"/>
        <v>97.893496224903998</v>
      </c>
      <c r="G120" s="64">
        <f t="shared" si="31"/>
        <v>98.14655945832817</v>
      </c>
      <c r="H120" s="64">
        <f t="shared" si="31"/>
        <v>98.62238029030469</v>
      </c>
      <c r="I120" s="64">
        <f t="shared" si="31"/>
        <v>98.160413207793908</v>
      </c>
      <c r="J120" s="64">
        <f t="shared" si="31"/>
        <v>97.886144839681648</v>
      </c>
      <c r="K120" s="64">
        <f t="shared" si="31"/>
        <v>95.679795313690335</v>
      </c>
      <c r="L120" s="64">
        <f t="shared" si="31"/>
        <v>97.52371825609319</v>
      </c>
      <c r="M120" s="64">
        <f t="shared" si="31"/>
        <v>94.529092965709722</v>
      </c>
      <c r="N120" s="64">
        <f t="shared" si="31"/>
        <v>91.983290185035244</v>
      </c>
      <c r="O120" s="64">
        <f t="shared" si="31"/>
        <v>98.062435680322338</v>
      </c>
      <c r="P120" s="64">
        <f t="shared" si="31"/>
        <v>97.76671469203211</v>
      </c>
      <c r="Q120" s="64">
        <f t="shared" si="31"/>
        <v>96.665596480826551</v>
      </c>
      <c r="R120" s="64">
        <f t="shared" si="31"/>
        <v>95.078690300677422</v>
      </c>
      <c r="S120" s="64">
        <f t="shared" si="31"/>
        <v>97.826289839176141</v>
      </c>
      <c r="T120" s="64">
        <f t="shared" si="31"/>
        <v>98.956883759356955</v>
      </c>
      <c r="U120" s="64">
        <f t="shared" si="31"/>
        <v>99.137014390568439</v>
      </c>
      <c r="V120" s="64">
        <f t="shared" si="31"/>
        <v>97.200335529479091</v>
      </c>
    </row>
    <row r="121" spans="3:22" x14ac:dyDescent="0.2">
      <c r="C121" s="1" t="s">
        <v>52</v>
      </c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</row>
    <row r="122" spans="3:22" x14ac:dyDescent="0.2"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</row>
    <row r="126" spans="3:22" ht="18" customHeight="1" x14ac:dyDescent="0.2">
      <c r="C126" s="9"/>
      <c r="D126" s="160" t="s">
        <v>182</v>
      </c>
      <c r="E126" s="158"/>
      <c r="F126" s="158"/>
      <c r="G126" s="158"/>
      <c r="H126" s="158"/>
      <c r="I126" s="158"/>
      <c r="J126" s="158"/>
      <c r="K126" s="158"/>
      <c r="L126" s="158"/>
      <c r="M126" s="158"/>
      <c r="N126" s="158"/>
      <c r="O126" s="158"/>
      <c r="P126" s="158"/>
      <c r="Q126" s="158"/>
      <c r="R126" s="158"/>
      <c r="S126" s="158"/>
      <c r="T126" s="158"/>
      <c r="U126" s="158"/>
      <c r="V126" s="158"/>
    </row>
    <row r="127" spans="3:22" ht="15.75" customHeight="1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</row>
    <row r="128" spans="3:22" x14ac:dyDescent="0.2">
      <c r="C128" s="177" t="s">
        <v>120</v>
      </c>
      <c r="D128" s="153">
        <v>2000</v>
      </c>
      <c r="E128" s="153">
        <v>2001</v>
      </c>
      <c r="F128" s="153">
        <v>2002</v>
      </c>
      <c r="G128" s="153">
        <v>2003</v>
      </c>
      <c r="H128" s="153">
        <v>2004</v>
      </c>
      <c r="I128" s="153">
        <v>2005</v>
      </c>
      <c r="J128" s="153">
        <v>2006</v>
      </c>
      <c r="K128" s="153">
        <v>2007</v>
      </c>
      <c r="L128" s="153">
        <v>2008</v>
      </c>
      <c r="M128" s="153">
        <v>2009</v>
      </c>
      <c r="N128" s="153">
        <v>2010</v>
      </c>
      <c r="O128" s="153">
        <v>2011</v>
      </c>
      <c r="P128" s="153">
        <v>2012</v>
      </c>
      <c r="Q128" s="153">
        <v>2013</v>
      </c>
      <c r="R128" s="153">
        <v>2014</v>
      </c>
      <c r="S128" s="153">
        <v>2015</v>
      </c>
      <c r="T128" s="153">
        <v>2016</v>
      </c>
      <c r="U128" s="153">
        <v>2017</v>
      </c>
      <c r="V128" s="153">
        <v>2018</v>
      </c>
    </row>
    <row r="129" spans="3:22" ht="12" customHeight="1" thickBot="1" x14ac:dyDescent="0.25">
      <c r="C129" s="156"/>
      <c r="D129" s="154"/>
      <c r="E129" s="154"/>
      <c r="F129" s="154"/>
      <c r="G129" s="154"/>
      <c r="H129" s="154"/>
      <c r="I129" s="154"/>
      <c r="J129" s="154"/>
      <c r="K129" s="154"/>
      <c r="L129" s="154"/>
      <c r="M129" s="154"/>
      <c r="N129" s="154"/>
      <c r="O129" s="154"/>
      <c r="P129" s="154"/>
      <c r="Q129" s="154"/>
      <c r="R129" s="154"/>
      <c r="S129" s="154"/>
      <c r="T129" s="154"/>
      <c r="U129" s="154"/>
      <c r="V129" s="154"/>
    </row>
    <row r="130" spans="3:22" x14ac:dyDescent="0.2">
      <c r="C130" s="87" t="s">
        <v>123</v>
      </c>
      <c r="D130" s="56">
        <f>222.124814193099*Deflactores!$A$5</f>
        <v>806.43727184416116</v>
      </c>
      <c r="E130" s="56">
        <f>218.367590217*Deflactores!$B$5</f>
        <v>736.46905572045318</v>
      </c>
      <c r="F130" s="56">
        <f>234.00828153269*Deflactores!$C$5</f>
        <v>737.64413138086002</v>
      </c>
      <c r="G130" s="56">
        <f>255.2115002705*Deflactores!$D$5</f>
        <v>755.44269155517611</v>
      </c>
      <c r="H130" s="56">
        <f>230.38824859065*Deflactores!$E$5</f>
        <v>646.43009569899334</v>
      </c>
      <c r="I130" s="56">
        <f>246.01010022728*Deflactores!$F$5</f>
        <v>658.30075402043258</v>
      </c>
      <c r="J130" s="56">
        <f>330.89418432616*Deflactores!$G$5</f>
        <v>847.4925967180543</v>
      </c>
      <c r="K130" s="56">
        <f>408.519768399719*Deflactores!$H$5</f>
        <v>989.93715912096673</v>
      </c>
      <c r="L130" s="56">
        <f>737.32749905714*Deflactores!$I$5</f>
        <v>1659.3677148818131</v>
      </c>
      <c r="M130" s="56">
        <f>329.10998471905*Deflactores!$J$5</f>
        <v>726.13169409453019</v>
      </c>
      <c r="N130" s="56">
        <f>387.87214163266*Deflactores!$K$5</f>
        <v>829.47699856430506</v>
      </c>
      <c r="O130" s="56">
        <f>276.99535675509*Deflactores!$L$5</f>
        <v>571.08104981664803</v>
      </c>
      <c r="P130" s="56">
        <f>389.89337569897*Deflactores!$M$5</f>
        <v>784.69619532374963</v>
      </c>
      <c r="Q130" s="56">
        <f>1360.44157914843*Deflactores!$N$5</f>
        <v>2685.9069183355559</v>
      </c>
      <c r="R130" s="56">
        <f>370.54897343679*Deflactores!$O$5</f>
        <v>705.74119909292619</v>
      </c>
      <c r="S130" s="56">
        <f>507.64841724706*Deflactores!$P$5</f>
        <v>905.55253425377168</v>
      </c>
      <c r="T130" s="56">
        <f>496.49831748097*Deflactores!$Q$5</f>
        <v>837.50617711286532</v>
      </c>
      <c r="U130" s="56">
        <f>572.62400768223*Deflactores!$R$5</f>
        <v>927.9632589441353</v>
      </c>
      <c r="V130" s="56">
        <f>542.207281734146*Deflactores!$S$5</f>
        <v>851.5909774944538</v>
      </c>
    </row>
    <row r="131" spans="3:22" x14ac:dyDescent="0.2">
      <c r="C131" s="88" t="s">
        <v>124</v>
      </c>
      <c r="D131" s="57">
        <f>83.98998956845*Deflactores!$A$5</f>
        <v>304.93062333377378</v>
      </c>
      <c r="E131" s="57">
        <f>87.54642611221*Deflactores!$B$5</f>
        <v>295.26008738974633</v>
      </c>
      <c r="F131" s="57">
        <f>91.71599906838*Deflactores!$C$5</f>
        <v>289.10843677586678</v>
      </c>
      <c r="G131" s="57">
        <f>95.6120785984899*Deflactores!$D$5</f>
        <v>283.01799066684652</v>
      </c>
      <c r="H131" s="57">
        <f>101.76931173269*Deflactores!$E$5</f>
        <v>285.54731556413833</v>
      </c>
      <c r="I131" s="57">
        <f>108.84738859964*Deflactores!$F$5</f>
        <v>291.26575665836145</v>
      </c>
      <c r="J131" s="57">
        <f>112.41079347924*Deflactores!$G$5</f>
        <v>287.90870247194715</v>
      </c>
      <c r="K131" s="57">
        <f>122.22620291332*Deflactores!$H$5</f>
        <v>296.18214206898597</v>
      </c>
      <c r="L131" s="57">
        <f>1045.64662823755*Deflactores!$I$5</f>
        <v>2353.2450075321976</v>
      </c>
      <c r="M131" s="57">
        <f>1254.96676436468*Deflactores!$J$5</f>
        <v>2768.8954603379093</v>
      </c>
      <c r="N131" s="57">
        <f>1351.68793149371*Deflactores!$K$5</f>
        <v>2890.6279365452338</v>
      </c>
      <c r="O131" s="57">
        <f>1091.70411365078*Deflactores!$L$5</f>
        <v>2250.7652785821811</v>
      </c>
      <c r="P131" s="57">
        <f>200.40428465808*Deflactores!$M$5</f>
        <v>403.33201202984304</v>
      </c>
      <c r="Q131" s="57">
        <f>236.12314525709*Deflactores!$N$5</f>
        <v>466.17568820717071</v>
      </c>
      <c r="R131" s="57">
        <f>260.69888760772*Deflactores!$O$5</f>
        <v>496.52261571802603</v>
      </c>
      <c r="S131" s="57">
        <f>259.92938949881*Deflactores!$P$5</f>
        <v>463.66680046818612</v>
      </c>
      <c r="T131" s="57">
        <f>275.16214171036*Deflactores!$Q$5</f>
        <v>464.15060288470141</v>
      </c>
      <c r="U131" s="57">
        <f>292.18057753445*Deflactores!$R$5</f>
        <v>473.49192016327294</v>
      </c>
      <c r="V131" s="57">
        <f>308.413534822359*Deflactores!$S$5</f>
        <v>484.39442338708881</v>
      </c>
    </row>
    <row r="132" spans="3:22" x14ac:dyDescent="0.2">
      <c r="C132" s="87" t="s">
        <v>125</v>
      </c>
      <c r="D132" s="56">
        <f>7.4800009024*Deflactores!$A$5</f>
        <v>27.156585557700947</v>
      </c>
      <c r="E132" s="56">
        <f>5.004461224*Deflactores!$B$5</f>
        <v>16.878103698293117</v>
      </c>
      <c r="F132" s="56">
        <f>5.552895033*Deflactores!$C$5</f>
        <v>17.50391228224192</v>
      </c>
      <c r="G132" s="56">
        <f>5.77523603946*Deflactores!$D$5</f>
        <v>17.095075470313446</v>
      </c>
      <c r="H132" s="56">
        <f>5.70175097836*Deflactores!$E$5</f>
        <v>15.998139892724833</v>
      </c>
      <c r="I132" s="56">
        <f>5.93439640719999*Deflactores!$F$5</f>
        <v>15.879907474964295</v>
      </c>
      <c r="J132" s="56">
        <f>6.3373701568*Deflactores!$G$5</f>
        <v>16.231395246451061</v>
      </c>
      <c r="K132" s="56">
        <f>6.53084866*Deflactores!$H$5</f>
        <v>15.825745212906128</v>
      </c>
      <c r="L132" s="56">
        <f>7.55060477075*Deflactores!$I$5</f>
        <v>16.992760748021656</v>
      </c>
      <c r="M132" s="56">
        <f>9.10560782598*Deflactores!$J$5</f>
        <v>20.090154487666481</v>
      </c>
      <c r="N132" s="56">
        <f>24.86316433908*Deflactores!$K$5</f>
        <v>53.170673315132952</v>
      </c>
      <c r="O132" s="56">
        <f>9.245342365*Deflactores!$L$5</f>
        <v>19.061113101570111</v>
      </c>
      <c r="P132" s="56">
        <f>12.26222954297*Deflactores!$M$5</f>
        <v>24.678862140977021</v>
      </c>
      <c r="Q132" s="56">
        <f>16.18188487038*Deflactores!$N$5</f>
        <v>31.947741962039149</v>
      </c>
      <c r="R132" s="56">
        <f>20.8623101315599*Deflactores!$O$5</f>
        <v>39.73399691689383</v>
      </c>
      <c r="S132" s="56">
        <f>19.85339796843*Deflactores!$P$5</f>
        <v>35.414854519502761</v>
      </c>
      <c r="T132" s="56">
        <f>20.49881051983*Deflactores!$Q$5</f>
        <v>34.577922682450634</v>
      </c>
      <c r="U132" s="56">
        <f>22.18707046851*Deflactores!$R$5</f>
        <v>35.95515720990727</v>
      </c>
      <c r="V132" s="56">
        <f>21.95025763725*Deflactores!$S$5</f>
        <v>34.475083583857447</v>
      </c>
    </row>
    <row r="133" spans="3:22" x14ac:dyDescent="0.2">
      <c r="C133" s="88" t="s">
        <v>126</v>
      </c>
      <c r="D133" s="57">
        <f>144.238100280329*Deflactores!$A$5</f>
        <v>523.6649516561165</v>
      </c>
      <c r="E133" s="57">
        <f>142.847855055259*Deflactores!$B$5</f>
        <v>481.77032507294064</v>
      </c>
      <c r="F133" s="57">
        <f>145.063460937199*Deflactores!$C$5</f>
        <v>457.27104159419798</v>
      </c>
      <c r="G133" s="57">
        <f>142.9712129488*Deflactores!$D$5</f>
        <v>423.20411819401949</v>
      </c>
      <c r="H133" s="57">
        <f>147.92108650638*Deflactores!$E$5</f>
        <v>415.04131695586369</v>
      </c>
      <c r="I133" s="57">
        <f>165.97263838644*Deflactores!$F$5</f>
        <v>444.12775286710865</v>
      </c>
      <c r="J133" s="57">
        <f>245.97585378084*Deflactores!$G$5</f>
        <v>629.99812304100317</v>
      </c>
      <c r="K133" s="57">
        <f>224.753885766309*Deflactores!$H$5</f>
        <v>544.63024898026276</v>
      </c>
      <c r="L133" s="57">
        <f>231.137730252739*Deflactores!$I$5</f>
        <v>520.17927957781671</v>
      </c>
      <c r="M133" s="57">
        <f>279.455442555739*Deflactores!$J$5</f>
        <v>616.57641320169182</v>
      </c>
      <c r="N133" s="57">
        <f>226.47980551878*Deflactores!$K$5</f>
        <v>484.3343183307569</v>
      </c>
      <c r="O133" s="57">
        <f>337.93891329389*Deflactores!$L$5</f>
        <v>696.72831934293993</v>
      </c>
      <c r="P133" s="57">
        <f>474.563546549459*Deflactores!$M$5</f>
        <v>955.10268351986622</v>
      </c>
      <c r="Q133" s="57">
        <f>675.423748569308*Deflactores!$N$5</f>
        <v>1333.482706567961</v>
      </c>
      <c r="R133" s="57">
        <f>567.302868225348*Deflactores!$O$5</f>
        <v>1080.4752817336041</v>
      </c>
      <c r="S133" s="57">
        <f>555.316762918119*Deflactores!$P$5</f>
        <v>990.58420136739994</v>
      </c>
      <c r="T133" s="57">
        <f>542.91012510251*Deflactores!$Q$5</f>
        <v>915.79481215039209</v>
      </c>
      <c r="U133" s="57">
        <f>620.14735867007*Deflactores!$R$5</f>
        <v>1004.9770115409261</v>
      </c>
      <c r="V133" s="57">
        <f>564.987764612059*Deflactores!$S$5</f>
        <v>887.37001317938871</v>
      </c>
    </row>
    <row r="134" spans="3:22" x14ac:dyDescent="0.2">
      <c r="C134" s="87" t="s">
        <v>127</v>
      </c>
      <c r="D134" s="56">
        <f>168.145621939619*Deflactores!$A$5</f>
        <v>610.46262265703615</v>
      </c>
      <c r="E134" s="56">
        <f>180.690713609919*Deflactores!$B$5</f>
        <v>609.39958671299246</v>
      </c>
      <c r="F134" s="56">
        <f>184.05198404973*Deflactores!$C$5</f>
        <v>580.17120169450584</v>
      </c>
      <c r="G134" s="56">
        <f>202.91752296671*Deflactores!$D$5</f>
        <v>600.64910692192586</v>
      </c>
      <c r="H134" s="56">
        <f>215.22518708014*Deflactores!$E$5</f>
        <v>603.88513360440106</v>
      </c>
      <c r="I134" s="56">
        <f>232.36405837457*Deflactores!$F$5</f>
        <v>621.78518155924451</v>
      </c>
      <c r="J134" s="56">
        <f>245.32097440796*Deflactores!$G$5</f>
        <v>628.32083330141654</v>
      </c>
      <c r="K134" s="56">
        <f>268.95410375599*Deflactores!$H$5</f>
        <v>651.73752166044164</v>
      </c>
      <c r="L134" s="56">
        <f>290.24802463175*Deflactores!$I$5</f>
        <v>653.20797338771558</v>
      </c>
      <c r="M134" s="56">
        <f>320.39755102817*Deflactores!$J$5</f>
        <v>706.90901921565785</v>
      </c>
      <c r="N134" s="56">
        <f>330.420910244069*Deflactores!$K$5</f>
        <v>706.61570005639692</v>
      </c>
      <c r="O134" s="56">
        <f>346.845641381639*Deflactores!$L$5</f>
        <v>715.09131172797254</v>
      </c>
      <c r="P134" s="56">
        <f>367.903559809254*Deflactores!$M$5</f>
        <v>740.4396730537934</v>
      </c>
      <c r="Q134" s="56">
        <f>387.015021271943*Deflactores!$N$5</f>
        <v>764.08008919042436</v>
      </c>
      <c r="R134" s="56">
        <f>400.185791997995*Deflactores!$O$5</f>
        <v>762.18697378956631</v>
      </c>
      <c r="S134" s="56">
        <f>412.976977419946*Deflactores!$P$5</f>
        <v>736.67588784994007</v>
      </c>
      <c r="T134" s="56">
        <f>435.709711989344*Deflactores!$Q$5</f>
        <v>734.96638834658177</v>
      </c>
      <c r="U134" s="56">
        <f>480.81214223413*Deflactores!$R$5</f>
        <v>779.17795352913993</v>
      </c>
      <c r="V134" s="56">
        <f>494.89480554938*Deflactores!$S$5</f>
        <v>777.28198313162397</v>
      </c>
    </row>
    <row r="135" spans="3:22" x14ac:dyDescent="0.2">
      <c r="C135" s="88" t="s">
        <v>128</v>
      </c>
      <c r="D135" s="57">
        <f>38.1737133256599*Deflactores!$A$5</f>
        <v>138.59192338477007</v>
      </c>
      <c r="E135" s="57">
        <f>40.30094531914*Deflactores!$B$5</f>
        <v>135.91943343943183</v>
      </c>
      <c r="F135" s="57">
        <f>40.67830021621*Deflactores!$C$5</f>
        <v>128.22669878392463</v>
      </c>
      <c r="G135" s="57">
        <f>48.60549279229*Deflactores!$D$5</f>
        <v>143.87542983155134</v>
      </c>
      <c r="H135" s="57">
        <f>53.3581402709*Deflactores!$E$5</f>
        <v>149.71383276984562</v>
      </c>
      <c r="I135" s="57">
        <f>61.44267143271*Deflactores!$F$5</f>
        <v>164.41502562624231</v>
      </c>
      <c r="J135" s="57">
        <f>68.93680993588*Deflactores!$G$5</f>
        <v>176.56229341410958</v>
      </c>
      <c r="K135" s="57">
        <f>81.49983902528*Deflactores!$H$5</f>
        <v>197.49281516913069</v>
      </c>
      <c r="L135" s="57">
        <f>99.49439567945*Deflactores!$I$5</f>
        <v>223.91378080062825</v>
      </c>
      <c r="M135" s="57">
        <f>96.74107373799*Deflactores!$J$5</f>
        <v>213.44463256518279</v>
      </c>
      <c r="N135" s="57">
        <f>105.41960336892*Deflactores!$K$5</f>
        <v>225.44319843188316</v>
      </c>
      <c r="O135" s="57">
        <f>118.73751768268*Deflactores!$L$5</f>
        <v>244.8010213788599</v>
      </c>
      <c r="P135" s="57">
        <f>150.27514970007*Deflactores!$M$5</f>
        <v>302.4425280628418</v>
      </c>
      <c r="Q135" s="57">
        <f>204.468558032969*Deflactores!$N$5</f>
        <v>403.68033660556648</v>
      </c>
      <c r="R135" s="57">
        <f>199.112182804239*Deflactores!$O$5</f>
        <v>379.22563741832744</v>
      </c>
      <c r="S135" s="57">
        <f>217.68253425043*Deflactores!$P$5</f>
        <v>388.30608715820227</v>
      </c>
      <c r="T135" s="57">
        <f>208.196424162699*Deflactores!$Q$5</f>
        <v>351.1911020640141</v>
      </c>
      <c r="U135" s="57">
        <f>213.71670242014*Deflactores!$R$5</f>
        <v>346.33764042013905</v>
      </c>
      <c r="V135" s="57">
        <f>252.709597565559*Deflactores!$S$5</f>
        <v>396.9057968472718</v>
      </c>
    </row>
    <row r="136" spans="3:22" x14ac:dyDescent="0.2">
      <c r="C136" s="87" t="s">
        <v>129</v>
      </c>
      <c r="D136" s="56">
        <f>5907.42356248733*Deflactores!$A$5</f>
        <v>21447.250540944762</v>
      </c>
      <c r="E136" s="56">
        <f>6533.42244119463*Deflactores!$B$5</f>
        <v>22034.695950566194</v>
      </c>
      <c r="F136" s="56">
        <f>7333.09014137714*Deflactores!$C$5</f>
        <v>23115.467846884912</v>
      </c>
      <c r="G136" s="56">
        <f>8288.75347013472*Deflactores!$D$5</f>
        <v>24535.251054435608</v>
      </c>
      <c r="H136" s="56">
        <f>9438.45062371736*Deflactores!$E$5</f>
        <v>26482.681201247036</v>
      </c>
      <c r="I136" s="56">
        <f>10348.0624762821*Deflactores!$F$5</f>
        <v>27690.478254728401</v>
      </c>
      <c r="J136" s="56">
        <f>11220.5781129928*Deflactores!$G$5</f>
        <v>28738.362087031212</v>
      </c>
      <c r="K136" s="56">
        <f>13282.8554247752*Deflactores!$H$5</f>
        <v>32187.407272175296</v>
      </c>
      <c r="L136" s="56">
        <f>14929.9637065032*Deflactores!$I$5</f>
        <v>33600.129915958431</v>
      </c>
      <c r="M136" s="56">
        <f>16853.9335010462*Deflactores!$J$5</f>
        <v>37185.669999403231</v>
      </c>
      <c r="N136" s="56">
        <f>18305.0685211937*Deflactores!$K$5</f>
        <v>39145.97535043797</v>
      </c>
      <c r="O136" s="56">
        <f>19769.6028433506*Deflactores!$L$5</f>
        <v>40758.970397547608</v>
      </c>
      <c r="P136" s="56">
        <f>21479.6504365308*Deflactores!$M$5</f>
        <v>43229.767482490635</v>
      </c>
      <c r="Q136" s="56">
        <f>23020.5455384256*Deflactores!$N$5</f>
        <v>45449.244916653639</v>
      </c>
      <c r="R136" s="56">
        <f>24186.6270196346*Deflactores!$O$5</f>
        <v>46065.433663283613</v>
      </c>
      <c r="S136" s="56">
        <f>25176.5204996881*Deflactores!$P$5</f>
        <v>44910.337878762737</v>
      </c>
      <c r="T136" s="56">
        <f>27488.0724823446*Deflactores!$Q$5</f>
        <v>46367.590161616514</v>
      </c>
      <c r="U136" s="56">
        <f>28703.70509456*Deflactores!$R$5</f>
        <v>46515.660129465898</v>
      </c>
      <c r="V136" s="56">
        <f>29434.0087530151*Deflactores!$S$5</f>
        <v>46229.066133882392</v>
      </c>
    </row>
    <row r="137" spans="3:22" x14ac:dyDescent="0.2">
      <c r="C137" s="88" t="s">
        <v>130</v>
      </c>
      <c r="D137" s="57">
        <f>6.911688302*Deflactores!$A$5</f>
        <v>25.09329305845403</v>
      </c>
      <c r="E137" s="57">
        <f>6.86678604313*Deflactores!$B$5</f>
        <v>23.159001882984722</v>
      </c>
      <c r="F137" s="57">
        <f>7.53816628743999*Deflactores!$C$5</f>
        <v>23.761911701942811</v>
      </c>
      <c r="G137" s="57">
        <f>6.49895046697*Deflactores!$D$5</f>
        <v>19.237317393016738</v>
      </c>
      <c r="H137" s="57">
        <f>8.08030196897*Deflactores!$E$5</f>
        <v>22.671947927165345</v>
      </c>
      <c r="I137" s="57">
        <f>8.48689846788*Deflactores!$F$5</f>
        <v>22.710171881311741</v>
      </c>
      <c r="J137" s="57">
        <f>8.947296323*Deflactores!$G$5</f>
        <v>22.9159887165345</v>
      </c>
      <c r="K137" s="57">
        <f>9.4300604395*Deflactores!$H$5</f>
        <v>22.851200759233727</v>
      </c>
      <c r="L137" s="57">
        <f>10.10922054117*Deflactores!$I$5</f>
        <v>22.750967799368023</v>
      </c>
      <c r="M137" s="57">
        <f>10.6886029675*Deflactores!$J$5</f>
        <v>23.582795237647328</v>
      </c>
      <c r="N137" s="57">
        <f>13.48423579342*Deflactores!$K$5</f>
        <v>28.836470149104397</v>
      </c>
      <c r="O137" s="57">
        <f>10.69761660297*Deflactores!$L$5</f>
        <v>22.055265444617785</v>
      </c>
      <c r="P137" s="57">
        <f>17.00020386953*Deflactores!$M$5</f>
        <v>34.214470231081485</v>
      </c>
      <c r="Q137" s="57">
        <f>23.58124672871*Deflactores!$N$5</f>
        <v>46.556231963496572</v>
      </c>
      <c r="R137" s="57">
        <f>24.2334173202399*Deflactores!$O$5</f>
        <v>46.154549664736351</v>
      </c>
      <c r="S137" s="57">
        <f>28.36021246125*Deflactores!$P$5</f>
        <v>50.589465846323513</v>
      </c>
      <c r="T137" s="57">
        <f>59.84470980392*Deflactores!$Q$5</f>
        <v>100.94760115724034</v>
      </c>
      <c r="U137" s="57">
        <f>54.8438541566299*Deflactores!$R$5</f>
        <v>88.876961066022204</v>
      </c>
      <c r="V137" s="57">
        <f>36.46642153386*Deflactores!$S$5</f>
        <v>57.274176511283379</v>
      </c>
    </row>
    <row r="138" spans="3:22" x14ac:dyDescent="0.2">
      <c r="C138" s="87" t="s">
        <v>131</v>
      </c>
      <c r="D138" s="56">
        <f>4767.63741646977*Deflactores!$A$5</f>
        <v>17309.189543936493</v>
      </c>
      <c r="E138" s="56">
        <f>7256.87772076036*Deflactores!$B$5</f>
        <v>24474.629578392025</v>
      </c>
      <c r="F138" s="56">
        <f>8433.19672662194*Deflactores!$C$5</f>
        <v>26583.238992351417</v>
      </c>
      <c r="G138" s="56">
        <f>9485.83426901536*Deflactores!$D$5</f>
        <v>28078.688320220699</v>
      </c>
      <c r="H138" s="56">
        <f>11103.5406628056*Deflactores!$E$5</f>
        <v>31154.639601467868</v>
      </c>
      <c r="I138" s="56">
        <f>11913.735529711*Deflactores!$F$5</f>
        <v>31880.077586908283</v>
      </c>
      <c r="J138" s="56">
        <f>12771.2374031876*Deflactores!$G$5</f>
        <v>32709.940708602866</v>
      </c>
      <c r="K138" s="56">
        <f>13678.5521634784*Deflactores!$H$5</f>
        <v>33146.271287299285</v>
      </c>
      <c r="L138" s="56">
        <f>15395.643394213*Deflactores!$I$5</f>
        <v>34648.149744664159</v>
      </c>
      <c r="M138" s="56">
        <f>17649.7546982472*Deflactores!$J$5</f>
        <v>38941.529806006212</v>
      </c>
      <c r="N138" s="56">
        <f>19184.3160264629*Deflactores!$K$5</f>
        <v>41026.274303066944</v>
      </c>
      <c r="O138" s="56">
        <f>20814.8548507237*Deflactores!$L$5</f>
        <v>42913.965415104409</v>
      </c>
      <c r="P138" s="56">
        <f>21747.6739099752*Deflactores!$M$5</f>
        <v>43769.18931670938</v>
      </c>
      <c r="Q138" s="56">
        <f>23672.1662445763*Deflactores!$N$5</f>
        <v>46735.733502129246</v>
      </c>
      <c r="R138" s="56">
        <f>25016.1222907151*Deflactores!$O$5</f>
        <v>47645.27608417788</v>
      </c>
      <c r="S138" s="56">
        <f>26584.600258389*Deflactores!$P$5</f>
        <v>47422.096313542781</v>
      </c>
      <c r="T138" s="56">
        <f>28765.949324675*Deflactores!$Q$5</f>
        <v>48523.145802713349</v>
      </c>
      <c r="U138" s="56">
        <f>32304.5530290798*Deflactores!$R$5</f>
        <v>52350.998046582274</v>
      </c>
      <c r="V138" s="56">
        <f>34698.157180987*Deflactores!$S$5</f>
        <v>54496.939798571628</v>
      </c>
    </row>
    <row r="139" spans="3:22" x14ac:dyDescent="0.2">
      <c r="C139" s="88" t="s">
        <v>132</v>
      </c>
      <c r="D139" s="57">
        <f>27.0460544952199*Deflactores!$A$5</f>
        <v>98.192300038629668</v>
      </c>
      <c r="E139" s="57">
        <f>28.85357543767*Deflactores!$B$5</f>
        <v>97.311901622502702</v>
      </c>
      <c r="F139" s="57">
        <f>30.5732848540499*Deflactores!$C$5</f>
        <v>96.373530038828093</v>
      </c>
      <c r="G139" s="57">
        <f>31.02774847197*Deflactores!$D$5</f>
        <v>91.84415981927998</v>
      </c>
      <c r="H139" s="57">
        <f>30.34563718894*Deflactores!$E$5</f>
        <v>85.144677613081683</v>
      </c>
      <c r="I139" s="57">
        <f>31.31989653012*Deflactores!$F$5</f>
        <v>83.809207356005984</v>
      </c>
      <c r="J139" s="57">
        <f>39.3906369443899*Deflactores!$G$5</f>
        <v>100.8880626244959</v>
      </c>
      <c r="K139" s="57">
        <f>42.54074139805*Deflactores!$H$5</f>
        <v>103.08598002846192</v>
      </c>
      <c r="L139" s="57">
        <f>43.64812894736*Deflactores!$I$5</f>
        <v>98.230835121252639</v>
      </c>
      <c r="M139" s="57">
        <f>41.48100681689*Deflactores!$J$5</f>
        <v>91.521604178639819</v>
      </c>
      <c r="N139" s="57">
        <f>47.53467306237*Deflactores!$K$5</f>
        <v>101.6544208963889</v>
      </c>
      <c r="O139" s="57">
        <f>46.1825875940299*Deflactores!$L$5</f>
        <v>95.214594625017156</v>
      </c>
      <c r="P139" s="57">
        <f>50.00917226723*Deflactores!$M$5</f>
        <v>100.64804804399509</v>
      </c>
      <c r="Q139" s="57">
        <f>53.8796491209599*Deflactores!$N$5</f>
        <v>106.37408070257851</v>
      </c>
      <c r="R139" s="57">
        <f>61.05252871064*Deflactores!$O$5</f>
        <v>116.27959570437837</v>
      </c>
      <c r="S139" s="57">
        <f>61.14247627293*Deflactores!$P$5</f>
        <v>109.06706779419889</v>
      </c>
      <c r="T139" s="57">
        <f>66.50172310378*Deflactores!$Q$5</f>
        <v>112.17682301652476</v>
      </c>
      <c r="U139" s="57">
        <f>70.19442634322*Deflactores!$R$5</f>
        <v>113.75326174817994</v>
      </c>
      <c r="V139" s="57">
        <f>76.1317125890399*Deflactores!$S$5</f>
        <v>119.57249879542586</v>
      </c>
    </row>
    <row r="140" spans="3:22" x14ac:dyDescent="0.2">
      <c r="C140" s="87" t="s">
        <v>133</v>
      </c>
      <c r="D140" s="56">
        <f>602.50234428489*Deflactores!$A$5</f>
        <v>2187.4203860106754</v>
      </c>
      <c r="E140" s="56">
        <f>628.75255188928*Deflactores!$B$5</f>
        <v>2120.5381151642814</v>
      </c>
      <c r="F140" s="56">
        <f>668.961280795839*Deflactores!$C$5</f>
        <v>2108.7089724691668</v>
      </c>
      <c r="G140" s="56">
        <f>690.381102590499*Deflactores!$D$5</f>
        <v>2043.5731061766819</v>
      </c>
      <c r="H140" s="56">
        <f>723.44723264948*Deflactores!$E$5</f>
        <v>2029.8694342943782</v>
      </c>
      <c r="I140" s="56">
        <f>812.724987644989*Deflactores!$F$5</f>
        <v>2174.7784813861681</v>
      </c>
      <c r="J140" s="56">
        <f>889.32597128657*Deflactores!$G$5</f>
        <v>2277.7589103577211</v>
      </c>
      <c r="K140" s="56">
        <f>1015.97885089196*Deflactores!$H$5</f>
        <v>2461.9499352963576</v>
      </c>
      <c r="L140" s="56">
        <f>1169.7203911875*Deflactores!$I$5</f>
        <v>2632.4750603463422</v>
      </c>
      <c r="M140" s="56">
        <f>1354.53650786752*Deflactores!$J$5</f>
        <v>2988.5811274014463</v>
      </c>
      <c r="N140" s="56">
        <f>1420.75229556257*Deflactores!$K$5</f>
        <v>3038.3242912626733</v>
      </c>
      <c r="O140" s="56">
        <f>1511.70665331145*Deflactores!$L$5</f>
        <v>3116.6840942796803</v>
      </c>
      <c r="P140" s="56">
        <f>1777.5244721857*Deflactores!$M$5</f>
        <v>3577.4311064363637</v>
      </c>
      <c r="Q140" s="56">
        <f>2039.45646714808*Deflactores!$N$5</f>
        <v>4026.4795774516456</v>
      </c>
      <c r="R140" s="56">
        <f>2326.48662643212*Deflactores!$O$5</f>
        <v>4430.9863988651523</v>
      </c>
      <c r="S140" s="56">
        <f>2611.84829878625*Deflactores!$P$5</f>
        <v>4659.0627798632977</v>
      </c>
      <c r="T140" s="56">
        <f>2958.725662096*Deflactores!$Q$5</f>
        <v>4990.8548148961818</v>
      </c>
      <c r="U140" s="56">
        <f>3244.97349774679*Deflactores!$R$5</f>
        <v>5258.6271999749888</v>
      </c>
      <c r="V140" s="56">
        <f>3355.25717259692*Deflactores!$S$5</f>
        <v>5269.7682816404467</v>
      </c>
    </row>
    <row r="141" spans="3:22" x14ac:dyDescent="0.2">
      <c r="C141" s="88" t="s">
        <v>134</v>
      </c>
      <c r="D141" s="57">
        <f>5714.9413800053*Deflactores!$A$5</f>
        <v>20748.432596253191</v>
      </c>
      <c r="E141" s="57">
        <f>4919.09349417365*Deflactores!$B$5</f>
        <v>16590.19150714912</v>
      </c>
      <c r="F141" s="57">
        <f>4349.07553856882*Deflactores!$C$5</f>
        <v>13709.215874521044</v>
      </c>
      <c r="G141" s="57">
        <f>3478.8740606916*Deflactores!$D$5</f>
        <v>10297.694191699124</v>
      </c>
      <c r="H141" s="57">
        <f>4250.22625052219*Deflactores!$E$5</f>
        <v>11925.409297889577</v>
      </c>
      <c r="I141" s="57">
        <f>5127.94848158207*Deflactores!$F$5</f>
        <v>13721.925843226312</v>
      </c>
      <c r="J141" s="57">
        <f>5195.7958086813*Deflactores!$G$5</f>
        <v>13307.572905469078</v>
      </c>
      <c r="K141" s="57">
        <f>5686.70162285612*Deflactores!$H$5</f>
        <v>13780.183199826397</v>
      </c>
      <c r="L141" s="57">
        <f>5724.39518833667*Deflactores!$I$5</f>
        <v>12882.845919753958</v>
      </c>
      <c r="M141" s="57">
        <f>5509.48686593612*Deflactores!$J$5</f>
        <v>12155.854326233663</v>
      </c>
      <c r="N141" s="57">
        <f>6654.51997361832*Deflactores!$K$5</f>
        <v>14230.904110227961</v>
      </c>
      <c r="O141" s="57">
        <f>6922.17639370402*Deflactores!$L$5</f>
        <v>14271.444143476132</v>
      </c>
      <c r="P141" s="57">
        <f>7367.68979295495*Deflactores!$M$5</f>
        <v>14828.151769680469</v>
      </c>
      <c r="Q141" s="57">
        <f>10307.6196407544*Deflactores!$N$5</f>
        <v>20350.235783004624</v>
      </c>
      <c r="R141" s="57">
        <f>11012.416500871*Deflactores!$O$5</f>
        <v>20974.058986459982</v>
      </c>
      <c r="S141" s="57">
        <f>14317.3687086914*Deflactores!$P$5</f>
        <v>25539.584242791672</v>
      </c>
      <c r="T141" s="57">
        <f>15148.7159109444*Deflactores!$Q$5</f>
        <v>25553.245004158871</v>
      </c>
      <c r="U141" s="57">
        <f>18318.8847972068*Deflactores!$R$5</f>
        <v>29686.586326418412</v>
      </c>
      <c r="V141" s="57">
        <f>9968.44327742332*Deflactores!$S$5</f>
        <v>15656.441070965306</v>
      </c>
    </row>
    <row r="142" spans="3:22" x14ac:dyDescent="0.2">
      <c r="C142" s="87" t="s">
        <v>135</v>
      </c>
      <c r="D142" s="56"/>
      <c r="E142" s="56"/>
      <c r="F142" s="56"/>
      <c r="G142" s="56"/>
      <c r="H142" s="56"/>
      <c r="I142" s="56"/>
      <c r="J142" s="56"/>
      <c r="K142" s="56"/>
      <c r="L142" s="56"/>
      <c r="M142" s="56"/>
      <c r="N142" s="56"/>
      <c r="O142" s="56"/>
      <c r="P142" s="56"/>
      <c r="Q142" s="56"/>
      <c r="R142" s="56"/>
      <c r="S142" s="56"/>
      <c r="T142" s="56"/>
      <c r="U142" s="56"/>
      <c r="V142" s="56"/>
    </row>
    <row r="143" spans="3:22" x14ac:dyDescent="0.2">
      <c r="C143" s="88" t="s">
        <v>136</v>
      </c>
      <c r="D143" s="57">
        <f>138.26553373093*Deflactores!$A$5</f>
        <v>501.98119564937917</v>
      </c>
      <c r="E143" s="57">
        <f>143.817717899989*Deflactores!$B$5</f>
        <v>485.0412956997028</v>
      </c>
      <c r="F143" s="57">
        <f>151.003144581369*Deflactores!$C$5</f>
        <v>475.99419426932599</v>
      </c>
      <c r="G143" s="57">
        <f>145.684314951949*Deflactores!$D$5</f>
        <v>431.23507713415444</v>
      </c>
      <c r="H143" s="57">
        <f>146.50443900392*Deflactores!$E$5</f>
        <v>411.06644590150682</v>
      </c>
      <c r="I143" s="57">
        <f>150.36224422048*Deflactores!$F$5</f>
        <v>402.35575147158181</v>
      </c>
      <c r="J143" s="57">
        <f>286.423250910489*Deflactores!$G$5</f>
        <v>733.59278032909924</v>
      </c>
      <c r="K143" s="57">
        <f>206.3289375548*Deflactores!$H$5</f>
        <v>499.98237071258109</v>
      </c>
      <c r="L143" s="57">
        <f>286.031754822509*Deflactores!$I$5</f>
        <v>643.71918854294574</v>
      </c>
      <c r="M143" s="57">
        <f>471.14805222227*Deflactores!$J$5</f>
        <v>1039.5173322424341</v>
      </c>
      <c r="N143" s="57">
        <f>603.181745098669*Deflactores!$K$5</f>
        <v>1289.9234820196605</v>
      </c>
      <c r="O143" s="57">
        <f>798.13852607074*Deflactores!$L$5</f>
        <v>1645.5214004565246</v>
      </c>
      <c r="P143" s="57">
        <f>1319.06021490712*Deflactores!$M$5</f>
        <v>2654.7297198496085</v>
      </c>
      <c r="Q143" s="57">
        <f>1123.06947597608*Deflactores!$N$5</f>
        <v>2217.2654243512593</v>
      </c>
      <c r="R143" s="57">
        <f>1148.6913168245*Deflactores!$O$5</f>
        <v>2187.777717488791</v>
      </c>
      <c r="S143" s="57">
        <f>1111.51966864374*Deflactores!$P$5</f>
        <v>1982.74912048705</v>
      </c>
      <c r="T143" s="57">
        <f>1089.61959734252*Deflactores!$Q$5</f>
        <v>1837.9984611177874</v>
      </c>
      <c r="U143" s="57">
        <f>1206.46590553429*Deflactores!$R$5</f>
        <v>1955.1328943334659</v>
      </c>
      <c r="V143" s="57">
        <f>1322.58557221971*Deflactores!$S$5</f>
        <v>2077.2534383241473</v>
      </c>
    </row>
    <row r="144" spans="3:22" x14ac:dyDescent="0.2">
      <c r="C144" s="87" t="s">
        <v>137</v>
      </c>
      <c r="D144" s="56">
        <f>41.4623345620499*Deflactores!$A$5</f>
        <v>150.53145723485858</v>
      </c>
      <c r="E144" s="56">
        <f>38.53777138555*Deflactores!$B$5</f>
        <v>129.97293267596436</v>
      </c>
      <c r="F144" s="56">
        <f>41.2701122593*Deflactores!$C$5</f>
        <v>130.09221686562071</v>
      </c>
      <c r="G144" s="56">
        <f>40.84839648938*Deflactores!$D$5</f>
        <v>120.91391867898986</v>
      </c>
      <c r="H144" s="56">
        <f>43.17407628115*Deflactores!$E$5</f>
        <v>121.13908774803753</v>
      </c>
      <c r="I144" s="56">
        <f>44.5209525541499*Deflactores!$F$5</f>
        <v>119.13403802944674</v>
      </c>
      <c r="J144" s="56">
        <f>46.9906695168*Deflactores!$G$5</f>
        <v>120.35341331674262</v>
      </c>
      <c r="K144" s="56">
        <f>48.43621042957*Deflactores!$H$5</f>
        <v>117.37205457415716</v>
      </c>
      <c r="L144" s="56">
        <f>51.8119674619999*Deflactores!$I$5</f>
        <v>116.60368853852674</v>
      </c>
      <c r="M144" s="56">
        <f>55.84385986891*Deflactores!$J$5</f>
        <v>123.21107974285654</v>
      </c>
      <c r="N144" s="56">
        <f>55.2589337216899*Deflactores!$K$5</f>
        <v>118.17299972716492</v>
      </c>
      <c r="O144" s="56">
        <f>57.1631239167899*Deflactores!$L$5</f>
        <v>117.85315537279182</v>
      </c>
      <c r="P144" s="56">
        <f>94.0253671901599*Deflactores!$M$5</f>
        <v>189.23467926524177</v>
      </c>
      <c r="Q144" s="56">
        <f>115.52672200124*Deflactores!$N$5</f>
        <v>228.08331253003007</v>
      </c>
      <c r="R144" s="56">
        <f>122.400133255609*Deflactores!$O$5</f>
        <v>233.12118776570583</v>
      </c>
      <c r="S144" s="56">
        <f>122.16916820745*Deflactores!$P$5</f>
        <v>217.92759736723548</v>
      </c>
      <c r="T144" s="56">
        <f>135.42637836581*Deflactores!$Q$5</f>
        <v>228.44071053621889</v>
      </c>
      <c r="U144" s="56">
        <f>141.41537391028*Deflactores!$R$5</f>
        <v>229.17004784649245</v>
      </c>
      <c r="V144" s="56">
        <f>143.23609048606*Deflactores!$S$5</f>
        <v>224.96666204736835</v>
      </c>
    </row>
    <row r="145" spans="3:22" x14ac:dyDescent="0.2">
      <c r="C145" s="88" t="s">
        <v>138</v>
      </c>
      <c r="D145" s="57">
        <f>145.20093360966*Deflactores!$A$5</f>
        <v>527.16057498918246</v>
      </c>
      <c r="E145" s="57">
        <f>157.23552125867*Deflactores!$B$5</f>
        <v>530.29433420963278</v>
      </c>
      <c r="F145" s="57">
        <f>171.920296316729*Deflactores!$C$5</f>
        <v>541.92952835978144</v>
      </c>
      <c r="G145" s="57">
        <f>181.024966819509*Deflactores!$D$5</f>
        <v>535.84571239097784</v>
      </c>
      <c r="H145" s="57">
        <f>205.74318372704*Deflactores!$E$5</f>
        <v>577.28025087944354</v>
      </c>
      <c r="I145" s="57">
        <f>222.820924808759*Deflactores!$F$5</f>
        <v>596.24862018925558</v>
      </c>
      <c r="J145" s="57">
        <f>231.50549271652*Deflactores!$G$5</f>
        <v>592.93635388715086</v>
      </c>
      <c r="K145" s="57">
        <f>247.228236222159*Deflactores!$H$5</f>
        <v>599.09075827337551</v>
      </c>
      <c r="L145" s="57">
        <f>284.13260741899*Deflactores!$I$5</f>
        <v>639.445125943584</v>
      </c>
      <c r="M145" s="57">
        <f>271.04674477507*Deflactores!$J$5</f>
        <v>598.0238859369282</v>
      </c>
      <c r="N145" s="57">
        <f>272.46507854433*Deflactores!$K$5</f>
        <v>582.6752976205712</v>
      </c>
      <c r="O145" s="57">
        <f>275.626656918009*Deflactores!$L$5</f>
        <v>568.25920273227553</v>
      </c>
      <c r="P145" s="57">
        <f>110.500662654179*Deflactores!$M$5</f>
        <v>222.39272316448458</v>
      </c>
      <c r="Q145" s="57">
        <f>141.49083727288*Deflactores!$N$5</f>
        <v>279.34401927806391</v>
      </c>
      <c r="R145" s="57">
        <f>121.384811127959*Deflactores!$O$5</f>
        <v>231.18742271115079</v>
      </c>
      <c r="S145" s="57">
        <f>61.57294763745*Deflactores!$P$5</f>
        <v>109.83495048982257</v>
      </c>
      <c r="T145" s="57">
        <f>81.17168908215*Deflactores!$Q$5</f>
        <v>136.92250027733718</v>
      </c>
      <c r="U145" s="57">
        <f>83.01780791045*Deflactores!$R$5</f>
        <v>134.53413504403804</v>
      </c>
      <c r="V145" s="57">
        <f>85.16751586172*Deflactores!$S$5</f>
        <v>133.76413509514293</v>
      </c>
    </row>
    <row r="146" spans="3:22" x14ac:dyDescent="0.2">
      <c r="C146" s="87" t="s">
        <v>139</v>
      </c>
      <c r="D146" s="56">
        <f>459.70547677558*Deflactores!$A$5</f>
        <v>1668.9879151477339</v>
      </c>
      <c r="E146" s="56">
        <f>514.41192875036*Deflactores!$B$5</f>
        <v>1734.9116095554239</v>
      </c>
      <c r="F146" s="56">
        <f>526.961275631739*Deflactores!$C$5</f>
        <v>1661.0945983995994</v>
      </c>
      <c r="G146" s="56">
        <f>567.758025497939*Deflactores!$D$5</f>
        <v>1680.6007976898095</v>
      </c>
      <c r="H146" s="56">
        <f>672.628252167389*Deflactores!$E$5</f>
        <v>1887.2800504290042</v>
      </c>
      <c r="I146" s="56">
        <f>792.339285676469*Deflactores!$F$5</f>
        <v>2120.2281886757696</v>
      </c>
      <c r="J146" s="56">
        <f>869.144216373439*Deflactores!$G$5</f>
        <v>2226.0690086071431</v>
      </c>
      <c r="K146" s="56">
        <f>860.81928996674*Deflactores!$H$5</f>
        <v>2085.9627081556637</v>
      </c>
      <c r="L146" s="56">
        <f>940.67197581647*Deflactores!$I$5</f>
        <v>2116.9978184185024</v>
      </c>
      <c r="M146" s="56">
        <f>1251.11370149365*Deflactores!$J$5</f>
        <v>2760.3942564853974</v>
      </c>
      <c r="N146" s="56">
        <f>2272.79698811987*Deflactores!$K$5</f>
        <v>4860.4491575914717</v>
      </c>
      <c r="O146" s="56">
        <f>2385.99703200844*Deflactores!$L$5</f>
        <v>4919.2076930861676</v>
      </c>
      <c r="P146" s="56">
        <f>1931.71520208642*Deflactores!$M$5</f>
        <v>3887.754098947792</v>
      </c>
      <c r="Q146" s="56">
        <f>2414.72837373522*Deflactores!$N$5</f>
        <v>4767.3753465961745</v>
      </c>
      <c r="R146" s="56">
        <f>2605.48426388206*Deflactores!$O$5</f>
        <v>4962.3604986819537</v>
      </c>
      <c r="S146" s="56">
        <f>2576.36821119419*Deflactores!$P$5</f>
        <v>4595.7727504985469</v>
      </c>
      <c r="T146" s="56">
        <f>2541.86441705906*Deflactores!$Q$5</f>
        <v>4287.6825071052735</v>
      </c>
      <c r="U146" s="56">
        <f>2847.27909976675*Deflactores!$R$5</f>
        <v>4614.1453328818761</v>
      </c>
      <c r="V146" s="56">
        <f>2961.61033193039*Deflactores!$S$5</f>
        <v>4651.506393384986</v>
      </c>
    </row>
    <row r="147" spans="3:22" x14ac:dyDescent="0.2">
      <c r="C147" s="88" t="s">
        <v>140</v>
      </c>
      <c r="D147" s="57">
        <f>102.44803926789*Deflactores!$A$5</f>
        <v>371.9436641651335</v>
      </c>
      <c r="E147" s="57">
        <f>78.04915571209*Deflactores!$B$5</f>
        <v>263.22948359663053</v>
      </c>
      <c r="F147" s="57">
        <f>99.42932301794*Deflactores!$C$5</f>
        <v>313.42248287528889</v>
      </c>
      <c r="G147" s="57">
        <f>67.18051263772*Deflactores!$D$5</f>
        <v>198.85870046335859</v>
      </c>
      <c r="H147" s="57">
        <f>2118.57145574798*Deflactores!$E$5</f>
        <v>5944.3498410270131</v>
      </c>
      <c r="I147" s="57">
        <f>2105.53666144738*Deflactores!$F$5</f>
        <v>5634.2254670354096</v>
      </c>
      <c r="J147" s="57">
        <f>130.623575099039*Deflactores!$G$5</f>
        <v>334.55563167033989</v>
      </c>
      <c r="K147" s="57">
        <f>116.704704471559*Deflactores!$H$5</f>
        <v>282.80228409310575</v>
      </c>
      <c r="L147" s="57">
        <f>120.004995080509*Deflactores!$I$5</f>
        <v>270.07322352114721</v>
      </c>
      <c r="M147" s="57">
        <f>104.424507521189*Deflactores!$J$5</f>
        <v>230.39697387509531</v>
      </c>
      <c r="N147" s="57">
        <f>953.92518210105*Deflactores!$K$5</f>
        <v>2039.9995564864789</v>
      </c>
      <c r="O147" s="57">
        <f>707.04380221883*Deflactores!$L$5</f>
        <v>1457.711499454816</v>
      </c>
      <c r="P147" s="57">
        <f>163.5443739173*Deflactores!$M$5</f>
        <v>329.14805938789129</v>
      </c>
      <c r="Q147" s="57">
        <f>280.374385694519*Deflactores!$N$5</f>
        <v>553.54049288347142</v>
      </c>
      <c r="R147" s="57">
        <f>440.58155477272*Deflactores!$O$5</f>
        <v>839.12404851545534</v>
      </c>
      <c r="S147" s="57">
        <f>722.188406297429*Deflactores!$P$5</f>
        <v>1288.2528917903699</v>
      </c>
      <c r="T147" s="57">
        <f>531.12411387791*Deflactores!$Q$5</f>
        <v>895.91386420638923</v>
      </c>
      <c r="U147" s="57">
        <f>667.699732059889*Deflactores!$R$5</f>
        <v>1082.0377962606483</v>
      </c>
      <c r="V147" s="57">
        <f>583.70012659325*Deflactores!$S$5</f>
        <v>916.75965652727336</v>
      </c>
    </row>
    <row r="148" spans="3:22" x14ac:dyDescent="0.2">
      <c r="C148" s="87" t="s">
        <v>141</v>
      </c>
      <c r="D148" s="56">
        <f>346.56155818694*Deflactores!$A$5</f>
        <v>1258.2122286768818</v>
      </c>
      <c r="E148" s="56">
        <f>344.21546720842*Deflactores!$B$5</f>
        <v>1160.9050585182688</v>
      </c>
      <c r="F148" s="56">
        <f>368.441932765959*Deflactores!$C$5</f>
        <v>1161.4077402703572</v>
      </c>
      <c r="G148" s="56">
        <f>373.958293749549*Deflactores!$D$5</f>
        <v>1106.940947645827</v>
      </c>
      <c r="H148" s="56">
        <f>391.502878472259*Deflactores!$E$5</f>
        <v>1098.4902430805867</v>
      </c>
      <c r="I148" s="56">
        <f>436.548535009829*Deflactores!$F$5</f>
        <v>1168.1643538130556</v>
      </c>
      <c r="J148" s="56">
        <f>498.65728081346*Deflactores!$G$5</f>
        <v>1277.1706902300864</v>
      </c>
      <c r="K148" s="56">
        <f>564.894573611649*Deflactores!$H$5</f>
        <v>1368.8692020818014</v>
      </c>
      <c r="L148" s="56">
        <f>641.2924328496*Deflactores!$I$5</f>
        <v>1443.239212194597</v>
      </c>
      <c r="M148" s="56">
        <f>712.488127224819*Deflactores!$J$5</f>
        <v>1571.9979182207121</v>
      </c>
      <c r="N148" s="56">
        <f>802.26068116254*Deflactores!$K$5</f>
        <v>1715.6601633614853</v>
      </c>
      <c r="O148" s="56">
        <f>841.651196739249*Deflactores!$L$5</f>
        <v>1735.2314300281362</v>
      </c>
      <c r="P148" s="56">
        <f>960.408873686879*Deflactores!$M$5</f>
        <v>1932.9109856924727</v>
      </c>
      <c r="Q148" s="56">
        <f>1078.52056801704*Deflactores!$N$5</f>
        <v>2129.3129375077028</v>
      </c>
      <c r="R148" s="56">
        <f>1219.27156394122*Deflactores!$O$5</f>
        <v>2322.2036417342024</v>
      </c>
      <c r="S148" s="56">
        <f>1315.71499915379*Deflactores!$P$5</f>
        <v>2346.9964868610323</v>
      </c>
      <c r="T148" s="56">
        <f>1426.74714426155*Deflactores!$Q$5</f>
        <v>2406.6739089060206</v>
      </c>
      <c r="U148" s="56">
        <f>1473.28724633961*Deflactores!$R$5</f>
        <v>2387.5290175273631</v>
      </c>
      <c r="V148" s="56">
        <f>1555.10218304274*Deflactores!$S$5</f>
        <v>2442.4441219704231</v>
      </c>
    </row>
    <row r="149" spans="3:22" x14ac:dyDescent="0.2">
      <c r="C149" s="88" t="s">
        <v>142</v>
      </c>
      <c r="D149" s="57">
        <f>35.92921651784*Deflactores!$A$5</f>
        <v>130.4431450101591</v>
      </c>
      <c r="E149" s="57">
        <f>39.5225876584899*Deflactores!$B$5</f>
        <v>133.2943354073378</v>
      </c>
      <c r="F149" s="57">
        <f>42.85838355421*Deflactores!$C$5</f>
        <v>135.09878753934865</v>
      </c>
      <c r="G149" s="57">
        <f>39.93811564153*Deflactores!$D$5</f>
        <v>118.21942797993407</v>
      </c>
      <c r="H149" s="57">
        <f>46.7662852174499*Deflactores!$E$5</f>
        <v>131.21821279312181</v>
      </c>
      <c r="I149" s="57">
        <f>40.73782181588*Deflactores!$F$5</f>
        <v>109.01072270515671</v>
      </c>
      <c r="J149" s="57">
        <f>49.6557395263599*Deflactores!$G$5</f>
        <v>127.1792422669759</v>
      </c>
      <c r="K149" s="57">
        <f>56.30379101789*Deflactores!$H$5</f>
        <v>136.43700804572612</v>
      </c>
      <c r="L149" s="57">
        <f>59.4365520008*Deflactores!$I$5</f>
        <v>133.76294197645046</v>
      </c>
      <c r="M149" s="57">
        <f>58.6188164287399*Deflactores!$J$5</f>
        <v>129.33360413101249</v>
      </c>
      <c r="N149" s="57">
        <f>182.08310818444*Deflactores!$K$5</f>
        <v>389.39055903924049</v>
      </c>
      <c r="O149" s="57">
        <f>71.56005613904*Deflactores!$L$5</f>
        <v>147.53529612755966</v>
      </c>
      <c r="P149" s="57">
        <f>92.37137783813*Deflactores!$M$5</f>
        <v>185.90587392373752</v>
      </c>
      <c r="Q149" s="57">
        <f>115.462494284449*Deflactores!$N$5</f>
        <v>227.95650835738354</v>
      </c>
      <c r="R149" s="57">
        <f>168.47162539721*Deflactores!$O$5</f>
        <v>320.86815898639469</v>
      </c>
      <c r="S149" s="57">
        <f>168.63980494138*Deflactores!$P$5</f>
        <v>300.82276936639613</v>
      </c>
      <c r="T149" s="57">
        <f>165.6255608775*Deflactores!$Q$5</f>
        <v>279.3814710721669</v>
      </c>
      <c r="U149" s="57">
        <f>171.40204116766*Deflactores!$R$5</f>
        <v>277.76480653581672</v>
      </c>
      <c r="V149" s="57">
        <f>162.753684345698*Deflactores!$S$5</f>
        <v>255.62100291145589</v>
      </c>
    </row>
    <row r="150" spans="3:22" x14ac:dyDescent="0.2">
      <c r="C150" s="87" t="s">
        <v>143</v>
      </c>
      <c r="D150" s="56">
        <f>43.09638433476*Deflactores!$A$5</f>
        <v>156.46397155366108</v>
      </c>
      <c r="E150" s="56">
        <f>49.8516351752499*Deflactores!$B$5</f>
        <v>168.13020030652248</v>
      </c>
      <c r="F150" s="56">
        <f>44.61879786302*Deflactores!$C$5</f>
        <v>140.64798979487304</v>
      </c>
      <c r="G150" s="56">
        <f>43.01179650741*Deflactores!$D$5</f>
        <v>127.3177238789862</v>
      </c>
      <c r="H150" s="56">
        <f>72.66717688817*Deflactores!$E$5</f>
        <v>203.89169324976498</v>
      </c>
      <c r="I150" s="56">
        <f>83.9373622477999*Deflactores!$F$5</f>
        <v>224.60878153849691</v>
      </c>
      <c r="J150" s="56">
        <f>153.67729701814*Deflactores!$G$5</f>
        <v>393.60127096745282</v>
      </c>
      <c r="K150" s="56">
        <f>220.12080702452*Deflactores!$H$5</f>
        <v>533.40323584061287</v>
      </c>
      <c r="L150" s="56">
        <f>230.23721046073*Deflactores!$I$5</f>
        <v>518.15264491224048</v>
      </c>
      <c r="M150" s="56">
        <f>242.234704079849*Deflactores!$J$5</f>
        <v>534.45445051490287</v>
      </c>
      <c r="N150" s="56">
        <f>233.57271468664*Deflactores!$K$5</f>
        <v>499.50273177463276</v>
      </c>
      <c r="O150" s="56">
        <f>231.88984514513*Deflactores!$L$5</f>
        <v>478.08706167009547</v>
      </c>
      <c r="P150" s="56">
        <f>461.901050196629*Deflactores!$M$5</f>
        <v>929.61824769544705</v>
      </c>
      <c r="Q150" s="56">
        <f>464.91617155111*Deflactores!$N$5</f>
        <v>917.87959200485864</v>
      </c>
      <c r="R150" s="56">
        <f>529.710350074369*Deflactores!$O$5</f>
        <v>1008.8772184851027</v>
      </c>
      <c r="S150" s="56">
        <f>525.026806258089*Deflactores!$P$5</f>
        <v>936.55242251408765</v>
      </c>
      <c r="T150" s="56">
        <f>641.46877520373*Deflactores!$Q$5</f>
        <v>1082.046087051925</v>
      </c>
      <c r="U150" s="56">
        <f>1085.66618486037*Deflactores!$R$5</f>
        <v>1759.3714505724158</v>
      </c>
      <c r="V150" s="56">
        <f>535.55672130543*Deflactores!$S$5</f>
        <v>841.14560457680784</v>
      </c>
    </row>
    <row r="151" spans="3:22" x14ac:dyDescent="0.2">
      <c r="C151" s="88" t="s">
        <v>144</v>
      </c>
      <c r="D151" s="57">
        <f>678.44721150574*Deflactores!$A$5</f>
        <v>2463.1427169651433</v>
      </c>
      <c r="E151" s="57">
        <f>736.81475745617*Deflactores!$B$5</f>
        <v>2484.9899571882324</v>
      </c>
      <c r="F151" s="57">
        <f>747.57260765507*Deflactores!$C$5</f>
        <v>2356.5086808298033</v>
      </c>
      <c r="G151" s="57">
        <f>766.533401883579*Deflactores!$D$5</f>
        <v>2268.9888804858515</v>
      </c>
      <c r="H151" s="57">
        <f>839.57765320767*Deflactores!$E$5</f>
        <v>2355.7115696212477</v>
      </c>
      <c r="I151" s="57">
        <f>992.574045490239*Deflactores!$F$5</f>
        <v>2656.0382763295938</v>
      </c>
      <c r="J151" s="57">
        <f>1105.08848766432*Deflactores!$G$5</f>
        <v>2830.3740481903037</v>
      </c>
      <c r="K151" s="57">
        <f>1212.86646386487*Deflactores!$H$5</f>
        <v>2939.0538096474352</v>
      </c>
      <c r="L151" s="57">
        <f>1347.25005625124*Deflactores!$I$5</f>
        <v>3032.0085037853246</v>
      </c>
      <c r="M151" s="57">
        <f>1554.2829444968*Deflactores!$J$5</f>
        <v>3429.2916046079717</v>
      </c>
      <c r="N151" s="57">
        <f>1657.850552971*Deflactores!$K$5</f>
        <v>3545.3665090722434</v>
      </c>
      <c r="O151" s="57">
        <f>1830.8304714417*Deflactores!$L$5</f>
        <v>3774.6213507531006</v>
      </c>
      <c r="P151" s="57">
        <f>2201.67452918483*Deflactores!$M$5</f>
        <v>4431.072016279727</v>
      </c>
      <c r="Q151" s="57">
        <f>2483.41697163107*Deflactores!$N$5</f>
        <v>4902.9865945372403</v>
      </c>
      <c r="R151" s="57">
        <f>2744.17665261521*Deflactores!$O$5</f>
        <v>5226.5116359034755</v>
      </c>
      <c r="S151" s="57">
        <f>2965.76541632754*Deflactores!$P$5</f>
        <v>5290.3866091451891</v>
      </c>
      <c r="T151" s="57">
        <f>3287.70824833605*Deflactores!$Q$5</f>
        <v>5545.7911327804177</v>
      </c>
      <c r="U151" s="57">
        <f>3516.74807606508*Deflactores!$R$5</f>
        <v>5699.0502699318495</v>
      </c>
      <c r="V151" s="57">
        <f>3912.23873500985*Deflactores!$S$5</f>
        <v>6144.5637503855223</v>
      </c>
    </row>
    <row r="152" spans="3:22" x14ac:dyDescent="0.2">
      <c r="C152" s="87" t="s">
        <v>145</v>
      </c>
      <c r="D152" s="56">
        <f>185.343321357329*Deflactores!$A$5</f>
        <v>672.89988726790216</v>
      </c>
      <c r="E152" s="56">
        <f>137.18875462474*Deflactores!$B$5</f>
        <v>462.68437762922935</v>
      </c>
      <c r="F152" s="56">
        <f>195.71264788576*Deflactores!$C$5</f>
        <v>616.92810700706832</v>
      </c>
      <c r="G152" s="56">
        <f>240.290428760269*Deflactores!$D$5</f>
        <v>711.27534638997429</v>
      </c>
      <c r="H152" s="56">
        <f>130.76368663002*Deflactores!$E$5</f>
        <v>366.9005818625227</v>
      </c>
      <c r="I152" s="56">
        <f>143.58627310984*Deflactores!$F$5</f>
        <v>384.22386628786796</v>
      </c>
      <c r="J152" s="56">
        <f>399.54435852686*Deflactores!$G$5</f>
        <v>1023.3207531330063</v>
      </c>
      <c r="K152" s="56">
        <f>337.63036568637*Deflactores!$H$5</f>
        <v>818.1558663606844</v>
      </c>
      <c r="L152" s="56">
        <f>258.84513221658*Deflactores!$I$5</f>
        <v>582.53524533366283</v>
      </c>
      <c r="M152" s="56">
        <f>308.842359788199*Deflactores!$J$5</f>
        <v>681.41422726083715</v>
      </c>
      <c r="N152" s="56">
        <f>661.41322131935*Deflactores!$K$5</f>
        <v>1414.453359092513</v>
      </c>
      <c r="O152" s="56">
        <f>524.87450936606*Deflactores!$L$5</f>
        <v>1082.1332506876383</v>
      </c>
      <c r="P152" s="56">
        <f>381.16079132079*Deflactores!$M$5</f>
        <v>767.12106795817965</v>
      </c>
      <c r="Q152" s="56">
        <f>509.38016871281*Deflactores!$N$5</f>
        <v>1005.6644402658311</v>
      </c>
      <c r="R152" s="56">
        <f>1049.67831011722*Deflactores!$O$5</f>
        <v>1999.1992485450314</v>
      </c>
      <c r="S152" s="56">
        <f>798.83197147*Deflactores!$P$5</f>
        <v>1424.9710855604651</v>
      </c>
      <c r="T152" s="56">
        <f>683.51093964477*Deflactores!$Q$5</f>
        <v>1152.9638951871266</v>
      </c>
      <c r="U152" s="56">
        <f>716.02464274794*Deflactores!$R$5</f>
        <v>1160.3505128227409</v>
      </c>
      <c r="V152" s="56">
        <f>1756.92144828711*Deflactores!$S$5</f>
        <v>2759.4215421499903</v>
      </c>
    </row>
    <row r="153" spans="3:22" x14ac:dyDescent="0.2">
      <c r="C153" s="88" t="s">
        <v>146</v>
      </c>
      <c r="D153" s="57">
        <f>192.827962196889*Deflactores!$A$5</f>
        <v>700.07331839181518</v>
      </c>
      <c r="E153" s="57">
        <f>200.80368685649*Deflactores!$B$5</f>
        <v>677.23283247951429</v>
      </c>
      <c r="F153" s="57">
        <f>216.85042737683*Deflactores!$C$5</f>
        <v>683.55890695092558</v>
      </c>
      <c r="G153" s="57">
        <f>212.91087961598*Deflactores!$D$5</f>
        <v>630.23009459996422</v>
      </c>
      <c r="H153" s="57">
        <f>211.562227982589*Deflactores!$E$5</f>
        <v>593.60749568468873</v>
      </c>
      <c r="I153" s="57">
        <f>256.23959066047*Deflactores!$F$5</f>
        <v>685.67394422356813</v>
      </c>
      <c r="J153" s="57">
        <f>259.52755329722*Deflactores!$G$5</f>
        <v>664.70699843712987</v>
      </c>
      <c r="K153" s="57">
        <f>253.7612872879*Deflactores!$H$5</f>
        <v>614.92184042087104</v>
      </c>
      <c r="L153" s="57">
        <f>252.9760003695*Deflactores!$I$5</f>
        <v>569.32666717282791</v>
      </c>
      <c r="M153" s="57">
        <f>273.022479218949*Deflactores!$J$5</f>
        <v>602.38304690264454</v>
      </c>
      <c r="N153" s="57">
        <f>311.50715707957*Deflactores!$K$5</f>
        <v>666.1680330998646</v>
      </c>
      <c r="O153" s="57">
        <f>351.59212960048*Deflactores!$L$5</f>
        <v>724.87714173867107</v>
      </c>
      <c r="P153" s="57">
        <f>547.777687394393*Deflactores!$M$5</f>
        <v>1102.4528601211575</v>
      </c>
      <c r="Q153" s="57">
        <f>569.976886000631*Deflactores!$N$5</f>
        <v>1125.2999650001311</v>
      </c>
      <c r="R153" s="57">
        <f>597.072924218361*Deflactores!$O$5</f>
        <v>1137.1748181503647</v>
      </c>
      <c r="S153" s="57">
        <f>759.507740521363*Deflactores!$P$5</f>
        <v>1354.8238029465842</v>
      </c>
      <c r="T153" s="57">
        <f>915.771240339807*Deflactores!$Q$5</f>
        <v>1544.7465653018962</v>
      </c>
      <c r="U153" s="57">
        <f>838.489985261667*Deflactores!$R$5</f>
        <v>1358.811172561291</v>
      </c>
      <c r="V153" s="57">
        <f>758.362631127235*Deflactores!$S$5</f>
        <v>1191.0846572760756</v>
      </c>
    </row>
    <row r="154" spans="3:22" x14ac:dyDescent="0.2">
      <c r="C154" s="90" t="s">
        <v>147</v>
      </c>
      <c r="D154" s="58">
        <f>4117.30805126345*Deflactores!$A$5</f>
        <v>14948.130330528613</v>
      </c>
      <c r="E154" s="58">
        <f>5092.13265230786*Deflactores!$B$5</f>
        <v>17173.785369531008</v>
      </c>
      <c r="F154" s="58">
        <f>6330.51199668525*Deflactores!$C$5</f>
        <v>19955.127196379468</v>
      </c>
      <c r="G154" s="58">
        <f>7073.87906995174*Deflactores!$D$5</f>
        <v>20939.143567888321</v>
      </c>
      <c r="H154" s="58">
        <f>8775.76324771565*Deflactores!$E$5</f>
        <v>24623.293552320374</v>
      </c>
      <c r="I154" s="58">
        <f>11696.0260211394*Deflactores!$F$5</f>
        <v>31297.506653773031</v>
      </c>
      <c r="J154" s="58">
        <f>13198.984815996*Deflactores!$G$5</f>
        <v>33805.4956708596</v>
      </c>
      <c r="K154" s="58">
        <f>14698.1113975922*Deflactores!$H$5</f>
        <v>35616.89731288395</v>
      </c>
      <c r="L154" s="58">
        <f>17085.017086885*Deflactores!$I$5</f>
        <v>38450.113142984854</v>
      </c>
      <c r="M154" s="58">
        <f>19106.1818402009*Deflactores!$J$5</f>
        <v>42154.917296558633</v>
      </c>
      <c r="N154" s="58">
        <f>19755.1934114014*Deflactores!$K$5</f>
        <v>42247.113876163923</v>
      </c>
      <c r="O154" s="58">
        <f>20620.0098726586*Deflactores!$L$5</f>
        <v>42512.25371882027</v>
      </c>
      <c r="P154" s="58">
        <f>23225.1544675611*Deflactores!$M$5</f>
        <v>46742.754512896761</v>
      </c>
      <c r="Q154" s="58">
        <f>23420.6451422444*Deflactores!$N$5</f>
        <v>46239.157773178435</v>
      </c>
      <c r="R154" s="58">
        <f>26894.2529446699*Deflactores!$O$5</f>
        <v>51222.331412335057</v>
      </c>
      <c r="S154" s="58">
        <f>23981.3772554261*Deflactores!$P$5</f>
        <v>42778.41949417135</v>
      </c>
      <c r="T154" s="58">
        <f>25803.9908725816*Deflactores!$Q$5</f>
        <v>43526.837834207567</v>
      </c>
      <c r="U154" s="58">
        <f>32684.3842491535*Deflactores!$R$5</f>
        <v>52966.531821100361</v>
      </c>
      <c r="V154" s="58">
        <f>41149.5322399837*Deflactores!$S$5</f>
        <v>64629.472093422133</v>
      </c>
    </row>
    <row r="155" spans="3:22" ht="22.5" customHeight="1" x14ac:dyDescent="0.2">
      <c r="C155" s="89" t="s">
        <v>148</v>
      </c>
      <c r="D155" s="59">
        <f>0*Deflactores!$A$5</f>
        <v>0</v>
      </c>
      <c r="E155" s="59">
        <f>0*Deflactores!$B$5</f>
        <v>0</v>
      </c>
      <c r="F155" s="59">
        <f>0*Deflactores!$C$5</f>
        <v>0</v>
      </c>
      <c r="G155" s="59">
        <f>0*Deflactores!$D$5</f>
        <v>0</v>
      </c>
      <c r="H155" s="59">
        <f>0*Deflactores!$E$5</f>
        <v>0</v>
      </c>
      <c r="I155" s="59">
        <f>0*Deflactores!$F$5</f>
        <v>0</v>
      </c>
      <c r="J155" s="59">
        <f>0*Deflactores!$G$5</f>
        <v>0</v>
      </c>
      <c r="K155" s="59">
        <f>0*Deflactores!$H$5</f>
        <v>0</v>
      </c>
      <c r="L155" s="59">
        <f>0*Deflactores!$I$5</f>
        <v>0</v>
      </c>
      <c r="M155" s="59">
        <f>0*Deflactores!$J$5</f>
        <v>0</v>
      </c>
      <c r="N155" s="59">
        <f>0*Deflactores!$K$5</f>
        <v>0</v>
      </c>
      <c r="O155" s="59">
        <f>0*Deflactores!$L$5</f>
        <v>0</v>
      </c>
      <c r="P155" s="59">
        <f>0*Deflactores!$M$5</f>
        <v>0</v>
      </c>
      <c r="Q155" s="59">
        <f>0*Deflactores!$N$5</f>
        <v>0</v>
      </c>
      <c r="R155" s="59">
        <f>0*Deflactores!$O$5</f>
        <v>0</v>
      </c>
      <c r="S155" s="59">
        <f>0*Deflactores!$P$5</f>
        <v>0</v>
      </c>
      <c r="T155" s="59">
        <f>0*Deflactores!$Q$5</f>
        <v>0</v>
      </c>
      <c r="U155" s="59">
        <f>0.150079299*Deflactores!$R$5</f>
        <v>0.24321033266452963</v>
      </c>
      <c r="V155" s="59">
        <f>108.237900364679*Deflactores!$S$5</f>
        <v>169.99849039043164</v>
      </c>
    </row>
    <row r="156" spans="3:22" x14ac:dyDescent="0.2">
      <c r="C156" s="90" t="s">
        <v>149</v>
      </c>
      <c r="D156" s="56">
        <f>99.32323639877*Deflactores!$A$5</f>
        <v>360.59888258375975</v>
      </c>
      <c r="E156" s="56">
        <f>84.49515585203*Deflactores!$B$5</f>
        <v>284.9693380847346</v>
      </c>
      <c r="F156" s="56">
        <f>91.1241443004899*Deflactores!$C$5</f>
        <v>287.24278401646677</v>
      </c>
      <c r="G156" s="56">
        <f>121.4433190052*Deflactores!$D$5</f>
        <v>359.4801475773732</v>
      </c>
      <c r="H156" s="56">
        <f>103.65489479229*Deflactores!$E$5</f>
        <v>290.83793973929465</v>
      </c>
      <c r="I156" s="56">
        <f>41.32341012656*Deflactores!$F$5</f>
        <v>110.57770400433935</v>
      </c>
      <c r="J156" s="56">
        <f>124.029877516739*Deflactores!$G$5</f>
        <v>317.66772565477567</v>
      </c>
      <c r="K156" s="56">
        <f>134.77384859592*Deflactores!$H$5</f>
        <v>326.58796739623358</v>
      </c>
      <c r="L156" s="56">
        <f>187.59631094177*Deflactores!$I$5</f>
        <v>422.1885962557584</v>
      </c>
      <c r="M156" s="56">
        <f>223.249999110389*Deflactores!$J$5</f>
        <v>492.56755366755579</v>
      </c>
      <c r="N156" s="56">
        <f>355.11426370292*Deflactores!$K$5</f>
        <v>759.4232273650573</v>
      </c>
      <c r="O156" s="56">
        <f>385.35488532156*Deflactores!$L$5</f>
        <v>794.48578142047359</v>
      </c>
      <c r="P156" s="56">
        <f>617.73594735805*Deflactores!$M$5</f>
        <v>1243.250277688302</v>
      </c>
      <c r="Q156" s="56">
        <f>326.3019466606*Deflactores!$N$5</f>
        <v>644.21484129488238</v>
      </c>
      <c r="R156" s="56">
        <f>410.82271500473*Deflactores!$O$5</f>
        <v>782.44587432788569</v>
      </c>
      <c r="S156" s="56">
        <f>430.10858991997*Deflactores!$P$5</f>
        <v>767.23557165508066</v>
      </c>
      <c r="T156" s="56">
        <f>173.9817918508*Deflactores!$Q$5</f>
        <v>293.47697716174969</v>
      </c>
      <c r="U156" s="56">
        <f>187.57856316011*Deflactores!$R$5</f>
        <v>303.97959645923476</v>
      </c>
      <c r="V156" s="56">
        <f>283.00853759891*Deflactores!$S$5</f>
        <v>444.49332440227528</v>
      </c>
    </row>
    <row r="157" spans="3:22" x14ac:dyDescent="0.2">
      <c r="C157" s="88" t="s">
        <v>150</v>
      </c>
      <c r="D157" s="57">
        <f>274.242174973859*Deflactores!$A$5</f>
        <v>995.65243178219805</v>
      </c>
      <c r="E157" s="57">
        <f>297.41448586057*Deflactores!$B$5</f>
        <v>1003.0635285284474</v>
      </c>
      <c r="F157" s="57">
        <f>274.09597097826*Deflactores!$C$5</f>
        <v>864.00909875066782</v>
      </c>
      <c r="G157" s="57">
        <f>282.53133291007*Deflactores!$D$5</f>
        <v>836.3111785951362</v>
      </c>
      <c r="H157" s="57">
        <f>341.544851682949*Deflactores!$E$5</f>
        <v>958.31654830274817</v>
      </c>
      <c r="I157" s="57">
        <f>319.62309670146*Deflactores!$F$5</f>
        <v>855.28246753498388</v>
      </c>
      <c r="J157" s="57">
        <f>309.488624895159*Deflactores!$G$5</f>
        <v>792.66826312233241</v>
      </c>
      <c r="K157" s="57">
        <f>318.99820570742*Deflactores!$H$5</f>
        <v>773.00586642285577</v>
      </c>
      <c r="L157" s="57">
        <f>310.7924340114*Deflactores!$I$5</f>
        <v>699.44350602348459</v>
      </c>
      <c r="M157" s="57">
        <f>410.336003610079*Deflactores!$J$5</f>
        <v>905.34469108776057</v>
      </c>
      <c r="N157" s="57">
        <f>479.390593916239*Deflactores!$K$5</f>
        <v>1025.1921401413656</v>
      </c>
      <c r="O157" s="57">
        <f>366.66421317663*Deflactores!$L$5</f>
        <v>755.95124136411118</v>
      </c>
      <c r="P157" s="57">
        <f>587.500257819767*Deflactores!$M$5</f>
        <v>1182.3981780568399</v>
      </c>
      <c r="Q157" s="57">
        <f>540.67021179017*Deflactores!$N$5</f>
        <v>1067.4400758128606</v>
      </c>
      <c r="R157" s="57">
        <f>574.1075176449*Deflactores!$O$5</f>
        <v>1093.4352999363823</v>
      </c>
      <c r="S157" s="57">
        <f>584.233075784699*Deflactores!$P$5</f>
        <v>1042.1656492907621</v>
      </c>
      <c r="T157" s="57">
        <f>668.39278437799*Deflactores!$Q$5</f>
        <v>1127.462200666349</v>
      </c>
      <c r="U157" s="57">
        <f>850.643225417159*Deflactores!$R$5</f>
        <v>1378.506051207873</v>
      </c>
      <c r="V157" s="57">
        <f>862.248005660099*Deflactores!$S$5</f>
        <v>1354.2470688225817</v>
      </c>
    </row>
    <row r="158" spans="3:22" x14ac:dyDescent="0.2">
      <c r="C158" s="87" t="s">
        <v>151</v>
      </c>
      <c r="D158" s="56">
        <f>40.51596496101*Deflactores!$A$5</f>
        <v>147.09560644082976</v>
      </c>
      <c r="E158" s="56">
        <f>35.1102267495*Deflactores!$B$5</f>
        <v>118.41315606697684</v>
      </c>
      <c r="F158" s="56">
        <f>23.47416900016*Deflactores!$C$5</f>
        <v>73.995599166825286</v>
      </c>
      <c r="G158" s="56">
        <f>22.8757458436599*Deflactores!$D$5</f>
        <v>67.713700178675381</v>
      </c>
      <c r="H158" s="56">
        <f>21.1658782174*Deflactores!$E$5</f>
        <v>59.387841026290943</v>
      </c>
      <c r="I158" s="56">
        <f>15.91946775644*Deflactores!$F$5</f>
        <v>42.599054339584036</v>
      </c>
      <c r="J158" s="56">
        <f>24.03546936661*Deflactores!$G$5</f>
        <v>61.560109883246277</v>
      </c>
      <c r="K158" s="56">
        <f>26.3765574402599*Deflactores!$H$5</f>
        <v>63.916452420616437</v>
      </c>
      <c r="L158" s="56">
        <f>8.44150337384*Deflactores!$I$5</f>
        <v>18.997742769024899</v>
      </c>
      <c r="M158" s="56">
        <f>6.964427172*Deflactores!$J$5</f>
        <v>15.365961336965832</v>
      </c>
      <c r="N158" s="56">
        <f>8.90393254072999*Deflactores!$K$5</f>
        <v>19.041344934482062</v>
      </c>
      <c r="O158" s="56">
        <f>322.950475881969*Deflactores!$L$5</f>
        <v>665.82667293058114</v>
      </c>
      <c r="P158" s="56">
        <f>1353.55427615768*Deflactores!$M$5</f>
        <v>2724.1521833014549</v>
      </c>
      <c r="Q158" s="56">
        <f>1461.5972508773*Deflactores!$N$5</f>
        <v>2885.617602491152</v>
      </c>
      <c r="R158" s="56">
        <f>1516.99246693318*Deflactores!$O$5</f>
        <v>2889.2377509473449</v>
      </c>
      <c r="S158" s="56">
        <f>1588.44879393395*Deflactores!$P$5</f>
        <v>2833.5040197302337</v>
      </c>
      <c r="T158" s="56">
        <f>1748.39326824629*Deflactores!$Q$5</f>
        <v>2949.2348928955694</v>
      </c>
      <c r="U158" s="56">
        <f>1945.34180877998*Deflactores!$R$5</f>
        <v>3152.514914529263</v>
      </c>
      <c r="V158" s="56">
        <f>1959.86339763276*Deflactores!$S$5</f>
        <v>3078.1622504362181</v>
      </c>
    </row>
    <row r="159" spans="3:22" x14ac:dyDescent="0.2">
      <c r="C159" s="79" t="s">
        <v>179</v>
      </c>
      <c r="D159" s="44">
        <f t="shared" ref="D159:V159" si="32">+SUM(D130:D158)</f>
        <v>89280.139965063005</v>
      </c>
      <c r="E159" s="44">
        <f t="shared" si="32"/>
        <v>94427.140456288558</v>
      </c>
      <c r="F159" s="44">
        <f t="shared" si="32"/>
        <v>97243.750461954347</v>
      </c>
      <c r="G159" s="44">
        <f t="shared" si="32"/>
        <v>97422.64778396154</v>
      </c>
      <c r="H159" s="44">
        <f t="shared" si="32"/>
        <v>113439.80334859071</v>
      </c>
      <c r="I159" s="44">
        <f t="shared" si="32"/>
        <v>124175.43181364398</v>
      </c>
      <c r="J159" s="44">
        <f t="shared" si="32"/>
        <v>125045.20456755027</v>
      </c>
      <c r="K159" s="44">
        <f t="shared" si="32"/>
        <v>131174.0132449274</v>
      </c>
      <c r="L159" s="44">
        <f t="shared" si="32"/>
        <v>138968.09620894468</v>
      </c>
      <c r="M159" s="44">
        <f t="shared" si="32"/>
        <v>151707.40091493519</v>
      </c>
      <c r="N159" s="44">
        <f t="shared" si="32"/>
        <v>163934.17020877491</v>
      </c>
      <c r="O159" s="44">
        <f t="shared" si="32"/>
        <v>167055.41790107093</v>
      </c>
      <c r="P159" s="44">
        <f t="shared" si="32"/>
        <v>177274.98963195208</v>
      </c>
      <c r="Q159" s="44">
        <f t="shared" si="32"/>
        <v>191591.03649886348</v>
      </c>
      <c r="R159" s="44">
        <f t="shared" si="32"/>
        <v>199197.93091733937</v>
      </c>
      <c r="S159" s="44">
        <f t="shared" si="32"/>
        <v>193481.35333609217</v>
      </c>
      <c r="T159" s="44">
        <f t="shared" si="32"/>
        <v>196281.72022127348</v>
      </c>
      <c r="U159" s="44">
        <f t="shared" si="32"/>
        <v>216042.07789701069</v>
      </c>
      <c r="V159" s="44">
        <f t="shared" si="32"/>
        <v>216575.98443011299</v>
      </c>
    </row>
    <row r="160" spans="3:22" x14ac:dyDescent="0.2">
      <c r="C160" s="1" t="s">
        <v>52</v>
      </c>
      <c r="D160" s="12"/>
      <c r="E160" s="12"/>
      <c r="F160" s="12"/>
      <c r="G160" s="12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</row>
    <row r="161" spans="2:22" x14ac:dyDescent="0.2">
      <c r="B161" s="9"/>
    </row>
    <row r="162" spans="2:22" x14ac:dyDescent="0.2">
      <c r="D162" s="11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</row>
    <row r="163" spans="2:22" x14ac:dyDescent="0.2"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</row>
    <row r="164" spans="2:22" ht="18" customHeight="1" x14ac:dyDescent="0.2">
      <c r="C164" s="9"/>
      <c r="D164" s="160" t="s">
        <v>183</v>
      </c>
      <c r="E164" s="158"/>
      <c r="F164" s="158"/>
      <c r="G164" s="158"/>
      <c r="H164" s="158"/>
      <c r="I164" s="158"/>
      <c r="J164" s="158"/>
      <c r="K164" s="158"/>
      <c r="L164" s="158"/>
      <c r="M164" s="158"/>
      <c r="N164" s="158"/>
      <c r="O164" s="158"/>
      <c r="P164" s="158"/>
      <c r="Q164" s="158"/>
      <c r="R164" s="158"/>
      <c r="S164" s="158"/>
      <c r="T164" s="158"/>
      <c r="U164" s="158"/>
      <c r="V164" s="158"/>
    </row>
    <row r="165" spans="2:22" ht="2.25" customHeight="1" x14ac:dyDescent="0.2">
      <c r="H165" s="27"/>
      <c r="I165" s="27"/>
      <c r="J165" s="27"/>
      <c r="L165" s="175"/>
      <c r="M165" s="158"/>
      <c r="N165" s="158"/>
      <c r="O165" s="158"/>
      <c r="P165" s="158"/>
      <c r="Q165" s="158"/>
      <c r="R165" s="28"/>
      <c r="S165" s="28"/>
      <c r="T165" s="28"/>
      <c r="U165" s="28"/>
      <c r="V165" s="28"/>
    </row>
    <row r="166" spans="2:22" x14ac:dyDescent="0.2"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</row>
    <row r="167" spans="2:22" x14ac:dyDescent="0.2">
      <c r="C167" s="177" t="s">
        <v>120</v>
      </c>
      <c r="D167" s="153">
        <v>2000</v>
      </c>
      <c r="E167" s="153">
        <v>2001</v>
      </c>
      <c r="F167" s="153">
        <v>2002</v>
      </c>
      <c r="G167" s="153">
        <v>2003</v>
      </c>
      <c r="H167" s="153">
        <v>2004</v>
      </c>
      <c r="I167" s="153">
        <v>2005</v>
      </c>
      <c r="J167" s="153">
        <v>2006</v>
      </c>
      <c r="K167" s="153">
        <v>2007</v>
      </c>
      <c r="L167" s="153">
        <v>2008</v>
      </c>
      <c r="M167" s="153">
        <v>2009</v>
      </c>
      <c r="N167" s="153">
        <v>2010</v>
      </c>
      <c r="O167" s="153">
        <v>2011</v>
      </c>
      <c r="P167" s="153">
        <v>2012</v>
      </c>
      <c r="Q167" s="153">
        <v>2013</v>
      </c>
      <c r="R167" s="153">
        <v>2014</v>
      </c>
      <c r="S167" s="153">
        <v>2015</v>
      </c>
      <c r="T167" s="153">
        <v>2016</v>
      </c>
      <c r="U167" s="153">
        <v>2017</v>
      </c>
      <c r="V167" s="153">
        <v>2018</v>
      </c>
    </row>
    <row r="168" spans="2:22" ht="12" customHeight="1" thickBot="1" x14ac:dyDescent="0.25">
      <c r="C168" s="156"/>
      <c r="D168" s="154"/>
      <c r="E168" s="154"/>
      <c r="F168" s="154"/>
      <c r="G168" s="154"/>
      <c r="H168" s="154"/>
      <c r="I168" s="154"/>
      <c r="J168" s="154"/>
      <c r="K168" s="154"/>
      <c r="L168" s="154"/>
      <c r="M168" s="154"/>
      <c r="N168" s="154"/>
      <c r="O168" s="154"/>
      <c r="P168" s="154"/>
      <c r="Q168" s="154"/>
      <c r="R168" s="154"/>
      <c r="S168" s="154"/>
      <c r="T168" s="154"/>
      <c r="U168" s="154"/>
      <c r="V168" s="154"/>
    </row>
    <row r="169" spans="2:22" x14ac:dyDescent="0.2">
      <c r="C169" s="87" t="s">
        <v>123</v>
      </c>
      <c r="D169" s="60">
        <f t="shared" ref="D169:V169" si="33">+IFERROR(IF(D130&gt;0,+((D130/D13)*100)," "),"")</f>
        <v>92.571933987807157</v>
      </c>
      <c r="E169" s="60">
        <f t="shared" si="33"/>
        <v>92.360426729861089</v>
      </c>
      <c r="F169" s="60">
        <f t="shared" si="33"/>
        <v>95.716834371573327</v>
      </c>
      <c r="G169" s="60">
        <f t="shared" si="33"/>
        <v>88.816507380005277</v>
      </c>
      <c r="H169" s="60">
        <f t="shared" si="33"/>
        <v>85.119257441066779</v>
      </c>
      <c r="I169" s="60">
        <f t="shared" si="33"/>
        <v>84.841981600949495</v>
      </c>
      <c r="J169" s="60">
        <f t="shared" si="33"/>
        <v>81.679296772984088</v>
      </c>
      <c r="K169" s="60">
        <f t="shared" si="33"/>
        <v>93.722377531982858</v>
      </c>
      <c r="L169" s="60">
        <f t="shared" si="33"/>
        <v>99.10183978158625</v>
      </c>
      <c r="M169" s="60">
        <f t="shared" si="33"/>
        <v>95.353044647991041</v>
      </c>
      <c r="N169" s="60">
        <f t="shared" si="33"/>
        <v>93.328077077988553</v>
      </c>
      <c r="O169" s="60">
        <f t="shared" si="33"/>
        <v>95.955613291388104</v>
      </c>
      <c r="P169" s="60">
        <f t="shared" si="33"/>
        <v>88.158105816388556</v>
      </c>
      <c r="Q169" s="60">
        <f t="shared" si="33"/>
        <v>96.075820339535525</v>
      </c>
      <c r="R169" s="60">
        <f t="shared" si="33"/>
        <v>88.269024828802813</v>
      </c>
      <c r="S169" s="60">
        <f t="shared" si="33"/>
        <v>95.005851795591099</v>
      </c>
      <c r="T169" s="60">
        <f t="shared" si="33"/>
        <v>93.46868386390021</v>
      </c>
      <c r="U169" s="60">
        <f t="shared" si="33"/>
        <v>96.321287829064218</v>
      </c>
      <c r="V169" s="60">
        <f t="shared" si="33"/>
        <v>79.104424505438161</v>
      </c>
    </row>
    <row r="170" spans="2:22" x14ac:dyDescent="0.2">
      <c r="C170" s="88" t="s">
        <v>124</v>
      </c>
      <c r="D170" s="62">
        <f t="shared" ref="D170:V170" si="34">+IFERROR(IF(D131&gt;0,+((D131/D14)*100)," "),"")</f>
        <v>89.564677008008999</v>
      </c>
      <c r="E170" s="62">
        <f t="shared" si="34"/>
        <v>90.020823457112243</v>
      </c>
      <c r="F170" s="62">
        <f t="shared" si="34"/>
        <v>89.20077231875409</v>
      </c>
      <c r="G170" s="62">
        <f t="shared" si="34"/>
        <v>86.531256937794211</v>
      </c>
      <c r="H170" s="62">
        <f t="shared" si="34"/>
        <v>91.422575330384348</v>
      </c>
      <c r="I170" s="62">
        <f t="shared" si="34"/>
        <v>91.585991052628941</v>
      </c>
      <c r="J170" s="62">
        <f t="shared" si="34"/>
        <v>90.511810487497073</v>
      </c>
      <c r="K170" s="62">
        <f t="shared" si="34"/>
        <v>91.157361524882575</v>
      </c>
      <c r="L170" s="62">
        <f t="shared" si="34"/>
        <v>99.258883826059431</v>
      </c>
      <c r="M170" s="62">
        <f t="shared" si="34"/>
        <v>99.342684760167941</v>
      </c>
      <c r="N170" s="62">
        <f t="shared" si="34"/>
        <v>96.696074782046509</v>
      </c>
      <c r="O170" s="62">
        <f t="shared" si="34"/>
        <v>98.612124260741766</v>
      </c>
      <c r="P170" s="62">
        <f t="shared" si="34"/>
        <v>84.269427558561588</v>
      </c>
      <c r="Q170" s="62">
        <f t="shared" si="34"/>
        <v>86.717820191705897</v>
      </c>
      <c r="R170" s="62">
        <f t="shared" si="34"/>
        <v>92.971446769806619</v>
      </c>
      <c r="S170" s="62">
        <f t="shared" si="34"/>
        <v>91.553020619726894</v>
      </c>
      <c r="T170" s="62">
        <f t="shared" si="34"/>
        <v>94.875530287171344</v>
      </c>
      <c r="U170" s="62">
        <f t="shared" si="34"/>
        <v>96.25331429737119</v>
      </c>
      <c r="V170" s="62">
        <f t="shared" si="34"/>
        <v>95.59673674189176</v>
      </c>
    </row>
    <row r="171" spans="2:22" x14ac:dyDescent="0.2">
      <c r="C171" s="87" t="s">
        <v>125</v>
      </c>
      <c r="D171" s="60">
        <f t="shared" ref="D171:V171" si="35">+IFERROR(IF(D132&gt;0,+((D132/D15)*100)," "),"")</f>
        <v>92.619805029499375</v>
      </c>
      <c r="E171" s="60">
        <f t="shared" si="35"/>
        <v>82.890223804266711</v>
      </c>
      <c r="F171" s="60">
        <f t="shared" si="35"/>
        <v>94.694404033766872</v>
      </c>
      <c r="G171" s="60">
        <f t="shared" si="35"/>
        <v>91.71982087051623</v>
      </c>
      <c r="H171" s="60">
        <f t="shared" si="35"/>
        <v>85.239266715310748</v>
      </c>
      <c r="I171" s="60">
        <f t="shared" si="35"/>
        <v>88.374941092352643</v>
      </c>
      <c r="J171" s="60">
        <f t="shared" si="35"/>
        <v>85.872790350967605</v>
      </c>
      <c r="K171" s="60">
        <f t="shared" si="35"/>
        <v>78.70233981643338</v>
      </c>
      <c r="L171" s="60">
        <f t="shared" si="35"/>
        <v>93.923635916967939</v>
      </c>
      <c r="M171" s="60">
        <f t="shared" si="35"/>
        <v>31.462723460639708</v>
      </c>
      <c r="N171" s="60">
        <f t="shared" si="35"/>
        <v>94.493413434310384</v>
      </c>
      <c r="O171" s="60">
        <f t="shared" si="35"/>
        <v>88.219651295250813</v>
      </c>
      <c r="P171" s="60">
        <f t="shared" si="35"/>
        <v>72.392727882760028</v>
      </c>
      <c r="Q171" s="60">
        <f t="shared" si="35"/>
        <v>91.796487805650102</v>
      </c>
      <c r="R171" s="60">
        <f t="shared" si="35"/>
        <v>91.561598119639669</v>
      </c>
      <c r="S171" s="60">
        <f t="shared" si="35"/>
        <v>93.188827062022</v>
      </c>
      <c r="T171" s="60">
        <f t="shared" si="35"/>
        <v>93.71799167204955</v>
      </c>
      <c r="U171" s="60">
        <f t="shared" si="35"/>
        <v>94.687759219496641</v>
      </c>
      <c r="V171" s="60">
        <f t="shared" si="35"/>
        <v>92.616957482539121</v>
      </c>
    </row>
    <row r="172" spans="2:22" x14ac:dyDescent="0.2">
      <c r="C172" s="88" t="s">
        <v>126</v>
      </c>
      <c r="D172" s="62">
        <f t="shared" ref="D172:V172" si="36">+IFERROR(IF(D133&gt;0,+((D133/D16)*100)," "),"")</f>
        <v>92.375516080694723</v>
      </c>
      <c r="E172" s="62">
        <f t="shared" si="36"/>
        <v>90.98934592793097</v>
      </c>
      <c r="F172" s="62">
        <f t="shared" si="36"/>
        <v>91.122472531444615</v>
      </c>
      <c r="G172" s="62">
        <f t="shared" si="36"/>
        <v>87.737762436483706</v>
      </c>
      <c r="H172" s="62">
        <f t="shared" si="36"/>
        <v>93.737409542754506</v>
      </c>
      <c r="I172" s="62">
        <f t="shared" si="36"/>
        <v>93.243854389875963</v>
      </c>
      <c r="J172" s="62">
        <f t="shared" si="36"/>
        <v>94.76096730764084</v>
      </c>
      <c r="K172" s="62">
        <f t="shared" si="36"/>
        <v>90.263031371586933</v>
      </c>
      <c r="L172" s="62">
        <f t="shared" si="36"/>
        <v>91.037307680570279</v>
      </c>
      <c r="M172" s="62">
        <f t="shared" si="36"/>
        <v>93.824088801264409</v>
      </c>
      <c r="N172" s="62">
        <f t="shared" si="36"/>
        <v>91.267447345786948</v>
      </c>
      <c r="O172" s="62">
        <f t="shared" si="36"/>
        <v>89.361285367588522</v>
      </c>
      <c r="P172" s="62">
        <f t="shared" si="36"/>
        <v>93.432448612358613</v>
      </c>
      <c r="Q172" s="62">
        <f t="shared" si="36"/>
        <v>95.272435308435533</v>
      </c>
      <c r="R172" s="62">
        <f t="shared" si="36"/>
        <v>91.032755643866508</v>
      </c>
      <c r="S172" s="62">
        <f t="shared" si="36"/>
        <v>95.161718535439945</v>
      </c>
      <c r="T172" s="62">
        <f t="shared" si="36"/>
        <v>96.279268018908823</v>
      </c>
      <c r="U172" s="62">
        <f t="shared" si="36"/>
        <v>98.22959751568149</v>
      </c>
      <c r="V172" s="62">
        <f t="shared" si="36"/>
        <v>95.442844862014738</v>
      </c>
    </row>
    <row r="173" spans="2:22" x14ac:dyDescent="0.2">
      <c r="C173" s="87" t="s">
        <v>127</v>
      </c>
      <c r="D173" s="60">
        <f t="shared" ref="D173:V173" si="37">+IFERROR(IF(D134&gt;0,+((D134/D17)*100)," "),"")</f>
        <v>86.625023337689782</v>
      </c>
      <c r="E173" s="60">
        <f t="shared" si="37"/>
        <v>91.019437535437149</v>
      </c>
      <c r="F173" s="60">
        <f t="shared" si="37"/>
        <v>94.643452652291018</v>
      </c>
      <c r="G173" s="60">
        <f t="shared" si="37"/>
        <v>95.099055874449334</v>
      </c>
      <c r="H173" s="60">
        <f t="shared" si="37"/>
        <v>93.497565104521968</v>
      </c>
      <c r="I173" s="60">
        <f t="shared" si="37"/>
        <v>95.306387881107796</v>
      </c>
      <c r="J173" s="60">
        <f t="shared" si="37"/>
        <v>94.625474707542367</v>
      </c>
      <c r="K173" s="60">
        <f t="shared" si="37"/>
        <v>97.282285884965802</v>
      </c>
      <c r="L173" s="60">
        <f t="shared" si="37"/>
        <v>96.073941733529963</v>
      </c>
      <c r="M173" s="60">
        <f t="shared" si="37"/>
        <v>97.557452203060251</v>
      </c>
      <c r="N173" s="60">
        <f t="shared" si="37"/>
        <v>97.273390026468121</v>
      </c>
      <c r="O173" s="60">
        <f t="shared" si="37"/>
        <v>98.035207499081295</v>
      </c>
      <c r="P173" s="60">
        <f t="shared" si="37"/>
        <v>96.074384676546529</v>
      </c>
      <c r="Q173" s="60">
        <f t="shared" si="37"/>
        <v>95.468510495440881</v>
      </c>
      <c r="R173" s="60">
        <f t="shared" si="37"/>
        <v>97.214232843397411</v>
      </c>
      <c r="S173" s="60">
        <f t="shared" si="37"/>
        <v>98.108735614452698</v>
      </c>
      <c r="T173" s="60">
        <f t="shared" si="37"/>
        <v>97.193027758519278</v>
      </c>
      <c r="U173" s="60">
        <f t="shared" si="37"/>
        <v>98.85492464884662</v>
      </c>
      <c r="V173" s="60">
        <f t="shared" si="37"/>
        <v>95.996263344162529</v>
      </c>
    </row>
    <row r="174" spans="2:22" x14ac:dyDescent="0.2">
      <c r="C174" s="88" t="s">
        <v>128</v>
      </c>
      <c r="D174" s="62">
        <f t="shared" ref="D174:V174" si="38">+IFERROR(IF(D135&gt;0,+((D135/D18)*100)," "),"")</f>
        <v>94.160748545203234</v>
      </c>
      <c r="E174" s="62">
        <f t="shared" si="38"/>
        <v>92.716140388448622</v>
      </c>
      <c r="F174" s="62">
        <f t="shared" si="38"/>
        <v>81.225527716192829</v>
      </c>
      <c r="G174" s="62">
        <f t="shared" si="38"/>
        <v>89.009014506879495</v>
      </c>
      <c r="H174" s="62">
        <f t="shared" si="38"/>
        <v>88.502100159624248</v>
      </c>
      <c r="I174" s="62">
        <f t="shared" si="38"/>
        <v>85.117902992911411</v>
      </c>
      <c r="J174" s="62">
        <f t="shared" si="38"/>
        <v>90.450476185425259</v>
      </c>
      <c r="K174" s="62">
        <f t="shared" si="38"/>
        <v>93.866990259470811</v>
      </c>
      <c r="L174" s="62">
        <f t="shared" si="38"/>
        <v>92.105197908712213</v>
      </c>
      <c r="M174" s="62">
        <f t="shared" si="38"/>
        <v>89.975034727672323</v>
      </c>
      <c r="N174" s="62">
        <f t="shared" si="38"/>
        <v>89.405126728605779</v>
      </c>
      <c r="O174" s="62">
        <f t="shared" si="38"/>
        <v>95.776571632954997</v>
      </c>
      <c r="P174" s="62">
        <f t="shared" si="38"/>
        <v>96.541789964976019</v>
      </c>
      <c r="Q174" s="62">
        <f t="shared" si="38"/>
        <v>94.173656834922724</v>
      </c>
      <c r="R174" s="62">
        <f t="shared" si="38"/>
        <v>98.821979758293864</v>
      </c>
      <c r="S174" s="62">
        <f t="shared" si="38"/>
        <v>98.536952424438496</v>
      </c>
      <c r="T174" s="62">
        <f t="shared" si="38"/>
        <v>99.466834165499478</v>
      </c>
      <c r="U174" s="62">
        <f t="shared" si="38"/>
        <v>98.439026496359432</v>
      </c>
      <c r="V174" s="62">
        <f t="shared" si="38"/>
        <v>96.790000367659999</v>
      </c>
    </row>
    <row r="175" spans="2:22" x14ac:dyDescent="0.2">
      <c r="C175" s="87" t="s">
        <v>129</v>
      </c>
      <c r="D175" s="60">
        <f t="shared" ref="D175:V175" si="39">+IFERROR(IF(D136&gt;0,+((D136/D19)*100)," "),"")</f>
        <v>95.472376132213242</v>
      </c>
      <c r="E175" s="60">
        <f t="shared" si="39"/>
        <v>93.371812709259999</v>
      </c>
      <c r="F175" s="60">
        <f t="shared" si="39"/>
        <v>93.516034451834557</v>
      </c>
      <c r="G175" s="60">
        <f t="shared" si="39"/>
        <v>91.817646782337349</v>
      </c>
      <c r="H175" s="60">
        <f t="shared" si="39"/>
        <v>91.740722553027553</v>
      </c>
      <c r="I175" s="60">
        <f t="shared" si="39"/>
        <v>91.381096522660471</v>
      </c>
      <c r="J175" s="60">
        <f t="shared" si="39"/>
        <v>92.110772927022609</v>
      </c>
      <c r="K175" s="60">
        <f t="shared" si="39"/>
        <v>97.09928736904844</v>
      </c>
      <c r="L175" s="60">
        <f t="shared" si="39"/>
        <v>98.199988758850793</v>
      </c>
      <c r="M175" s="60">
        <f t="shared" si="39"/>
        <v>96.815476158473828</v>
      </c>
      <c r="N175" s="60">
        <f t="shared" si="39"/>
        <v>96.701788681754124</v>
      </c>
      <c r="O175" s="60">
        <f t="shared" si="39"/>
        <v>96.526102918197068</v>
      </c>
      <c r="P175" s="60">
        <f t="shared" si="39"/>
        <v>97.432958803525466</v>
      </c>
      <c r="Q175" s="60">
        <f t="shared" si="39"/>
        <v>97.734292547848128</v>
      </c>
      <c r="R175" s="60">
        <f t="shared" si="39"/>
        <v>98.085257809359277</v>
      </c>
      <c r="S175" s="60">
        <f t="shared" si="39"/>
        <v>97.422869518533446</v>
      </c>
      <c r="T175" s="60">
        <f t="shared" si="39"/>
        <v>98.620005649633995</v>
      </c>
      <c r="U175" s="60">
        <f t="shared" si="39"/>
        <v>99.044936658961561</v>
      </c>
      <c r="V175" s="60">
        <f t="shared" si="39"/>
        <v>96.174167831840478</v>
      </c>
    </row>
    <row r="176" spans="2:22" x14ac:dyDescent="0.2">
      <c r="C176" s="88" t="s">
        <v>130</v>
      </c>
      <c r="D176" s="62">
        <f t="shared" ref="D176:V176" si="40">+IFERROR(IF(D137&gt;0,+((D137/D20)*100)," "),"")</f>
        <v>98.166917498286821</v>
      </c>
      <c r="E176" s="62">
        <f t="shared" si="40"/>
        <v>97.627060234413889</v>
      </c>
      <c r="F176" s="62">
        <f t="shared" si="40"/>
        <v>93.776275418006961</v>
      </c>
      <c r="G176" s="62">
        <f t="shared" si="40"/>
        <v>92.414057224058197</v>
      </c>
      <c r="H176" s="62">
        <f t="shared" si="40"/>
        <v>94.1766027001065</v>
      </c>
      <c r="I176" s="62">
        <f t="shared" si="40"/>
        <v>96.771762848367047</v>
      </c>
      <c r="J176" s="62">
        <f t="shared" si="40"/>
        <v>96.189069640234308</v>
      </c>
      <c r="K176" s="62">
        <f t="shared" si="40"/>
        <v>95.923210293238682</v>
      </c>
      <c r="L176" s="62">
        <f t="shared" si="40"/>
        <v>95.658756087223537</v>
      </c>
      <c r="M176" s="62">
        <f t="shared" si="40"/>
        <v>96.206361333591161</v>
      </c>
      <c r="N176" s="62">
        <f t="shared" si="40"/>
        <v>93.053395694263884</v>
      </c>
      <c r="O176" s="62">
        <f t="shared" si="40"/>
        <v>87.739934036639923</v>
      </c>
      <c r="P176" s="62">
        <f t="shared" si="40"/>
        <v>83.008861389590805</v>
      </c>
      <c r="Q176" s="62">
        <f t="shared" si="40"/>
        <v>95.652975759898979</v>
      </c>
      <c r="R176" s="62">
        <f t="shared" si="40"/>
        <v>95.946207466355588</v>
      </c>
      <c r="S176" s="62">
        <f t="shared" si="40"/>
        <v>98.844783464505539</v>
      </c>
      <c r="T176" s="62">
        <f t="shared" si="40"/>
        <v>94.178231229924108</v>
      </c>
      <c r="U176" s="62">
        <f t="shared" si="40"/>
        <v>97.231008814948112</v>
      </c>
      <c r="V176" s="62">
        <f t="shared" si="40"/>
        <v>95.776017388130214</v>
      </c>
    </row>
    <row r="177" spans="3:22" x14ac:dyDescent="0.2">
      <c r="C177" s="87" t="s">
        <v>131</v>
      </c>
      <c r="D177" s="60">
        <f t="shared" ref="D177:V177" si="41">+IFERROR(IF(D138&gt;0,+((D138/D21)*100)," "),"")</f>
        <v>94.844680849813642</v>
      </c>
      <c r="E177" s="60">
        <f t="shared" si="41"/>
        <v>96.493397020869025</v>
      </c>
      <c r="F177" s="60">
        <f t="shared" si="41"/>
        <v>99.505968480597389</v>
      </c>
      <c r="G177" s="60">
        <f t="shared" si="41"/>
        <v>95.732104985158159</v>
      </c>
      <c r="H177" s="60">
        <f t="shared" si="41"/>
        <v>99.407440123194689</v>
      </c>
      <c r="I177" s="60">
        <f t="shared" si="41"/>
        <v>99.31330494083727</v>
      </c>
      <c r="J177" s="60">
        <f t="shared" si="41"/>
        <v>98.901384469593964</v>
      </c>
      <c r="K177" s="60">
        <f t="shared" si="41"/>
        <v>99.566541765586891</v>
      </c>
      <c r="L177" s="60">
        <f t="shared" si="41"/>
        <v>99.829652763151543</v>
      </c>
      <c r="M177" s="60">
        <f t="shared" si="41"/>
        <v>98.766157448563959</v>
      </c>
      <c r="N177" s="60">
        <f t="shared" si="41"/>
        <v>96.775697031487496</v>
      </c>
      <c r="O177" s="60">
        <f t="shared" si="41"/>
        <v>99.954051320421755</v>
      </c>
      <c r="P177" s="60">
        <f t="shared" si="41"/>
        <v>98.133072876711324</v>
      </c>
      <c r="Q177" s="60">
        <f t="shared" si="41"/>
        <v>99.856792672484175</v>
      </c>
      <c r="R177" s="60">
        <f t="shared" si="41"/>
        <v>99.950657215173862</v>
      </c>
      <c r="S177" s="60">
        <f t="shared" si="41"/>
        <v>99.942069813374246</v>
      </c>
      <c r="T177" s="60">
        <f t="shared" si="41"/>
        <v>99.143969959080849</v>
      </c>
      <c r="U177" s="60">
        <f t="shared" si="41"/>
        <v>99.949807244605594</v>
      </c>
      <c r="V177" s="60">
        <f t="shared" si="41"/>
        <v>99.657012370919588</v>
      </c>
    </row>
    <row r="178" spans="3:22" x14ac:dyDescent="0.2">
      <c r="C178" s="88" t="s">
        <v>132</v>
      </c>
      <c r="D178" s="62">
        <f t="shared" ref="D178:V178" si="42">+IFERROR(IF(D139&gt;0,+((D139/D22)*100)," "),"")</f>
        <v>86.072272593845284</v>
      </c>
      <c r="E178" s="62">
        <f t="shared" si="42"/>
        <v>87.828379684837401</v>
      </c>
      <c r="F178" s="62">
        <f t="shared" si="42"/>
        <v>84.887146105028251</v>
      </c>
      <c r="G178" s="62">
        <f t="shared" si="42"/>
        <v>84.789919635212371</v>
      </c>
      <c r="H178" s="62">
        <f t="shared" si="42"/>
        <v>81.181608476330169</v>
      </c>
      <c r="I178" s="62">
        <f t="shared" si="42"/>
        <v>89.069977873735468</v>
      </c>
      <c r="J178" s="62">
        <f t="shared" si="42"/>
        <v>72.117519858708874</v>
      </c>
      <c r="K178" s="62">
        <f t="shared" si="42"/>
        <v>55.108242150321374</v>
      </c>
      <c r="L178" s="62">
        <f t="shared" si="42"/>
        <v>60.982874359712625</v>
      </c>
      <c r="M178" s="62">
        <f t="shared" si="42"/>
        <v>42.382729339705335</v>
      </c>
      <c r="N178" s="62">
        <f t="shared" si="42"/>
        <v>66.90714160284152</v>
      </c>
      <c r="O178" s="62">
        <f t="shared" si="42"/>
        <v>64.157865508823178</v>
      </c>
      <c r="P178" s="62">
        <f t="shared" si="42"/>
        <v>69.828997016953451</v>
      </c>
      <c r="Q178" s="62">
        <f t="shared" si="42"/>
        <v>53.158516107416354</v>
      </c>
      <c r="R178" s="62">
        <f t="shared" si="42"/>
        <v>60.297945746066738</v>
      </c>
      <c r="S178" s="62">
        <f t="shared" si="42"/>
        <v>61.721027992478852</v>
      </c>
      <c r="T178" s="62">
        <f t="shared" si="42"/>
        <v>81.510980520650406</v>
      </c>
      <c r="U178" s="62">
        <f t="shared" si="42"/>
        <v>84.386019807232117</v>
      </c>
      <c r="V178" s="62">
        <f t="shared" si="42"/>
        <v>85.170887920853033</v>
      </c>
    </row>
    <row r="179" spans="3:22" x14ac:dyDescent="0.2">
      <c r="C179" s="87" t="s">
        <v>133</v>
      </c>
      <c r="D179" s="60">
        <f t="shared" ref="D179:V179" si="43">+IFERROR(IF(D140&gt;0,+((D140/D23)*100)," "),"")</f>
        <v>97.40538919209186</v>
      </c>
      <c r="E179" s="60">
        <f t="shared" si="43"/>
        <v>99.169588938319052</v>
      </c>
      <c r="F179" s="60">
        <f t="shared" si="43"/>
        <v>98.997943713064785</v>
      </c>
      <c r="G179" s="60">
        <f t="shared" si="43"/>
        <v>97.629768434448778</v>
      </c>
      <c r="H179" s="60">
        <f t="shared" si="43"/>
        <v>96.297030240443732</v>
      </c>
      <c r="I179" s="60">
        <f t="shared" si="43"/>
        <v>98.147494149225594</v>
      </c>
      <c r="J179" s="60">
        <f t="shared" si="43"/>
        <v>97.614592469455616</v>
      </c>
      <c r="K179" s="60">
        <f t="shared" si="43"/>
        <v>98.528835914298668</v>
      </c>
      <c r="L179" s="60">
        <f t="shared" si="43"/>
        <v>98.126884999350011</v>
      </c>
      <c r="M179" s="60">
        <f t="shared" si="43"/>
        <v>98.260002853003897</v>
      </c>
      <c r="N179" s="60">
        <f t="shared" si="43"/>
        <v>94.140204926159328</v>
      </c>
      <c r="O179" s="60">
        <f t="shared" si="43"/>
        <v>94.63053634865075</v>
      </c>
      <c r="P179" s="60">
        <f t="shared" si="43"/>
        <v>93.049754154460715</v>
      </c>
      <c r="Q179" s="60">
        <f t="shared" si="43"/>
        <v>95.626503019805469</v>
      </c>
      <c r="R179" s="60">
        <f t="shared" si="43"/>
        <v>91.489886225118894</v>
      </c>
      <c r="S179" s="60">
        <f t="shared" si="43"/>
        <v>91.43742580732463</v>
      </c>
      <c r="T179" s="60">
        <f t="shared" si="43"/>
        <v>96.529425682433441</v>
      </c>
      <c r="U179" s="60">
        <f t="shared" si="43"/>
        <v>99.249662867890436</v>
      </c>
      <c r="V179" s="60">
        <f t="shared" si="43"/>
        <v>93.033452556433886</v>
      </c>
    </row>
    <row r="180" spans="3:22" x14ac:dyDescent="0.2">
      <c r="C180" s="88" t="s">
        <v>134</v>
      </c>
      <c r="D180" s="62">
        <f t="shared" ref="D180:V180" si="44">+IFERROR(IF(D141&gt;0,+((D141/D24)*100)," "),"")</f>
        <v>88.111617659592952</v>
      </c>
      <c r="E180" s="62">
        <f t="shared" si="44"/>
        <v>90.335922270256603</v>
      </c>
      <c r="F180" s="62">
        <f t="shared" si="44"/>
        <v>81.527141868526229</v>
      </c>
      <c r="G180" s="62">
        <f t="shared" si="44"/>
        <v>86.017589271359668</v>
      </c>
      <c r="H180" s="62">
        <f t="shared" si="44"/>
        <v>86.100956635462282</v>
      </c>
      <c r="I180" s="62">
        <f t="shared" si="44"/>
        <v>91.361112676324055</v>
      </c>
      <c r="J180" s="62">
        <f t="shared" si="44"/>
        <v>92.288691319998293</v>
      </c>
      <c r="K180" s="62">
        <f t="shared" si="44"/>
        <v>83.332027403178003</v>
      </c>
      <c r="L180" s="62">
        <f t="shared" si="44"/>
        <v>78.440414859578439</v>
      </c>
      <c r="M180" s="62">
        <f t="shared" si="44"/>
        <v>71.530065550131624</v>
      </c>
      <c r="N180" s="62">
        <f t="shared" si="44"/>
        <v>76.742643971482195</v>
      </c>
      <c r="O180" s="62">
        <f t="shared" si="44"/>
        <v>96.866404449837304</v>
      </c>
      <c r="P180" s="62">
        <f t="shared" si="44"/>
        <v>95.349463195360585</v>
      </c>
      <c r="Q180" s="62">
        <f t="shared" si="44"/>
        <v>87.661974171803408</v>
      </c>
      <c r="R180" s="62">
        <f t="shared" si="44"/>
        <v>75.665441288305772</v>
      </c>
      <c r="S180" s="62">
        <f t="shared" si="44"/>
        <v>94.974721485644892</v>
      </c>
      <c r="T180" s="62">
        <f t="shared" si="44"/>
        <v>91.076593888199881</v>
      </c>
      <c r="U180" s="62">
        <f t="shared" si="44"/>
        <v>93.121147459791018</v>
      </c>
      <c r="V180" s="62">
        <f t="shared" si="44"/>
        <v>87.218809839929961</v>
      </c>
    </row>
    <row r="181" spans="3:22" x14ac:dyDescent="0.2">
      <c r="C181" s="87" t="s">
        <v>135</v>
      </c>
      <c r="D181" s="60" t="str">
        <f t="shared" ref="D181:V181" si="45">+IFERROR(IF(D142&gt;0,+((D142/D25)*100)," "),"")</f>
        <v xml:space="preserve"> </v>
      </c>
      <c r="E181" s="60" t="str">
        <f t="shared" si="45"/>
        <v xml:space="preserve"> </v>
      </c>
      <c r="F181" s="60" t="str">
        <f t="shared" si="45"/>
        <v xml:space="preserve"> </v>
      </c>
      <c r="G181" s="60" t="str">
        <f t="shared" si="45"/>
        <v xml:space="preserve"> </v>
      </c>
      <c r="H181" s="60" t="str">
        <f t="shared" si="45"/>
        <v xml:space="preserve"> </v>
      </c>
      <c r="I181" s="60" t="str">
        <f t="shared" si="45"/>
        <v xml:space="preserve"> </v>
      </c>
      <c r="J181" s="60" t="str">
        <f t="shared" si="45"/>
        <v xml:space="preserve"> </v>
      </c>
      <c r="K181" s="60" t="str">
        <f t="shared" si="45"/>
        <v xml:space="preserve"> </v>
      </c>
      <c r="L181" s="60" t="str">
        <f t="shared" si="45"/>
        <v xml:space="preserve"> </v>
      </c>
      <c r="M181" s="60" t="str">
        <f t="shared" si="45"/>
        <v xml:space="preserve"> </v>
      </c>
      <c r="N181" s="60" t="str">
        <f t="shared" si="45"/>
        <v xml:space="preserve"> </v>
      </c>
      <c r="O181" s="60" t="str">
        <f t="shared" si="45"/>
        <v xml:space="preserve"> </v>
      </c>
      <c r="P181" s="60" t="str">
        <f t="shared" si="45"/>
        <v xml:space="preserve"> </v>
      </c>
      <c r="Q181" s="60" t="str">
        <f t="shared" si="45"/>
        <v xml:space="preserve"> </v>
      </c>
      <c r="R181" s="60" t="str">
        <f t="shared" si="45"/>
        <v xml:space="preserve"> </v>
      </c>
      <c r="S181" s="60" t="str">
        <f t="shared" si="45"/>
        <v xml:space="preserve"> </v>
      </c>
      <c r="T181" s="60" t="str">
        <f t="shared" si="45"/>
        <v xml:space="preserve"> </v>
      </c>
      <c r="U181" s="60" t="str">
        <f t="shared" si="45"/>
        <v xml:space="preserve"> </v>
      </c>
      <c r="V181" s="60" t="str">
        <f t="shared" si="45"/>
        <v xml:space="preserve"> </v>
      </c>
    </row>
    <row r="182" spans="3:22" x14ac:dyDescent="0.2">
      <c r="C182" s="88" t="s">
        <v>136</v>
      </c>
      <c r="D182" s="62">
        <f t="shared" ref="D182:V182" si="46">+IFERROR(IF(D143&gt;0,+((D143/D26)*100)," "),"")</f>
        <v>95.920279457414438</v>
      </c>
      <c r="E182" s="62">
        <f t="shared" si="46"/>
        <v>97.073058333712282</v>
      </c>
      <c r="F182" s="62">
        <f t="shared" si="46"/>
        <v>90.275931439507701</v>
      </c>
      <c r="G182" s="62">
        <f t="shared" si="46"/>
        <v>94.423911055616699</v>
      </c>
      <c r="H182" s="62">
        <f t="shared" si="46"/>
        <v>92.74609318511439</v>
      </c>
      <c r="I182" s="62">
        <f t="shared" si="46"/>
        <v>91.065246991650497</v>
      </c>
      <c r="J182" s="62">
        <f t="shared" si="46"/>
        <v>81.061653174781512</v>
      </c>
      <c r="K182" s="62">
        <f t="shared" si="46"/>
        <v>76.339053731891056</v>
      </c>
      <c r="L182" s="62">
        <f t="shared" si="46"/>
        <v>79.815087862361082</v>
      </c>
      <c r="M182" s="62">
        <f t="shared" si="46"/>
        <v>85.496162928981093</v>
      </c>
      <c r="N182" s="62">
        <f t="shared" si="46"/>
        <v>89.596991575922061</v>
      </c>
      <c r="O182" s="62">
        <f t="shared" si="46"/>
        <v>90.354675040608072</v>
      </c>
      <c r="P182" s="62">
        <f t="shared" si="46"/>
        <v>91.096498268036726</v>
      </c>
      <c r="Q182" s="62">
        <f t="shared" si="46"/>
        <v>92.196512729302924</v>
      </c>
      <c r="R182" s="62">
        <f t="shared" si="46"/>
        <v>93.191838847964831</v>
      </c>
      <c r="S182" s="62">
        <f t="shared" si="46"/>
        <v>93.703818575636149</v>
      </c>
      <c r="T182" s="62">
        <f t="shared" si="46"/>
        <v>85.145507110706504</v>
      </c>
      <c r="U182" s="62">
        <f t="shared" si="46"/>
        <v>97.699042151747136</v>
      </c>
      <c r="V182" s="62">
        <f t="shared" si="46"/>
        <v>90.289701322482401</v>
      </c>
    </row>
    <row r="183" spans="3:22" x14ac:dyDescent="0.2">
      <c r="C183" s="87" t="s">
        <v>137</v>
      </c>
      <c r="D183" s="60">
        <f t="shared" ref="D183:V183" si="47">+IFERROR(IF(D144&gt;0,+((D144/D27)*100)," "),"")</f>
        <v>97.260769367901005</v>
      </c>
      <c r="E183" s="60">
        <f t="shared" si="47"/>
        <v>95.058875150284393</v>
      </c>
      <c r="F183" s="60">
        <f t="shared" si="47"/>
        <v>98.705693525384547</v>
      </c>
      <c r="G183" s="60">
        <f t="shared" si="47"/>
        <v>95.349755377007455</v>
      </c>
      <c r="H183" s="60">
        <f t="shared" si="47"/>
        <v>95.153679972200251</v>
      </c>
      <c r="I183" s="60">
        <f t="shared" si="47"/>
        <v>95.206411268484061</v>
      </c>
      <c r="J183" s="60">
        <f t="shared" si="47"/>
        <v>97.47869660137259</v>
      </c>
      <c r="K183" s="60">
        <f t="shared" si="47"/>
        <v>96.624529854801253</v>
      </c>
      <c r="L183" s="60">
        <f t="shared" si="47"/>
        <v>98.172606433936181</v>
      </c>
      <c r="M183" s="60">
        <f t="shared" si="47"/>
        <v>93.753797666913997</v>
      </c>
      <c r="N183" s="60">
        <f t="shared" si="47"/>
        <v>93.418782527296585</v>
      </c>
      <c r="O183" s="60">
        <f t="shared" si="47"/>
        <v>94.425292445565688</v>
      </c>
      <c r="P183" s="60">
        <f t="shared" si="47"/>
        <v>81.333123189120542</v>
      </c>
      <c r="Q183" s="60">
        <f t="shared" si="47"/>
        <v>74.094068612498447</v>
      </c>
      <c r="R183" s="60">
        <f t="shared" si="47"/>
        <v>90.10610516461206</v>
      </c>
      <c r="S183" s="60">
        <f t="shared" si="47"/>
        <v>92.891257355028785</v>
      </c>
      <c r="T183" s="60">
        <f t="shared" si="47"/>
        <v>97.397416927442862</v>
      </c>
      <c r="U183" s="60">
        <f t="shared" si="47"/>
        <v>95.136483338517607</v>
      </c>
      <c r="V183" s="60">
        <f t="shared" si="47"/>
        <v>91.955987112570995</v>
      </c>
    </row>
    <row r="184" spans="3:22" x14ac:dyDescent="0.2">
      <c r="C184" s="88" t="s">
        <v>138</v>
      </c>
      <c r="D184" s="62">
        <f t="shared" ref="D184:V184" si="48">+IFERROR(IF(D145&gt;0,+((D145/D28)*100)," "),"")</f>
        <v>94.588878892385637</v>
      </c>
      <c r="E184" s="62">
        <f t="shared" si="48"/>
        <v>92.900806780386333</v>
      </c>
      <c r="F184" s="62">
        <f t="shared" si="48"/>
        <v>94.112198724653354</v>
      </c>
      <c r="G184" s="62">
        <f t="shared" si="48"/>
        <v>90.800176378383043</v>
      </c>
      <c r="H184" s="62">
        <f t="shared" si="48"/>
        <v>91.094526050773325</v>
      </c>
      <c r="I184" s="62">
        <f t="shared" si="48"/>
        <v>90.473242727565435</v>
      </c>
      <c r="J184" s="62">
        <f t="shared" si="48"/>
        <v>86.334802880848315</v>
      </c>
      <c r="K184" s="62">
        <f t="shared" si="48"/>
        <v>91.561362972956005</v>
      </c>
      <c r="L184" s="62">
        <f t="shared" si="48"/>
        <v>90.513295740208093</v>
      </c>
      <c r="M184" s="62">
        <f t="shared" si="48"/>
        <v>85.996706064936177</v>
      </c>
      <c r="N184" s="62">
        <f t="shared" si="48"/>
        <v>82.458098406758268</v>
      </c>
      <c r="O184" s="62">
        <f t="shared" si="48"/>
        <v>86.356884568745144</v>
      </c>
      <c r="P184" s="62">
        <f t="shared" si="48"/>
        <v>75.927362242689114</v>
      </c>
      <c r="Q184" s="62">
        <f t="shared" si="48"/>
        <v>75.728677553452911</v>
      </c>
      <c r="R184" s="62">
        <f t="shared" si="48"/>
        <v>83.595507803097874</v>
      </c>
      <c r="S184" s="62">
        <f t="shared" si="48"/>
        <v>94.609607096649952</v>
      </c>
      <c r="T184" s="62">
        <f t="shared" si="48"/>
        <v>96.999598580527589</v>
      </c>
      <c r="U184" s="62">
        <f t="shared" si="48"/>
        <v>97.709392107775045</v>
      </c>
      <c r="V184" s="62">
        <f t="shared" si="48"/>
        <v>95.777769940442866</v>
      </c>
    </row>
    <row r="185" spans="3:22" x14ac:dyDescent="0.2">
      <c r="C185" s="87" t="s">
        <v>139</v>
      </c>
      <c r="D185" s="60">
        <f t="shared" ref="D185:V185" si="49">+IFERROR(IF(D146&gt;0,+((D146/D29)*100)," "),"")</f>
        <v>96.509974099977342</v>
      </c>
      <c r="E185" s="60">
        <f t="shared" si="49"/>
        <v>83.470255455036479</v>
      </c>
      <c r="F185" s="60">
        <f t="shared" si="49"/>
        <v>89.451317487331067</v>
      </c>
      <c r="G185" s="60">
        <f t="shared" si="49"/>
        <v>85.586003092247182</v>
      </c>
      <c r="H185" s="60">
        <f t="shared" si="49"/>
        <v>91.561613871466605</v>
      </c>
      <c r="I185" s="60">
        <f t="shared" si="49"/>
        <v>92.115497452264307</v>
      </c>
      <c r="J185" s="60">
        <f t="shared" si="49"/>
        <v>79.645655798684274</v>
      </c>
      <c r="K185" s="60">
        <f t="shared" si="49"/>
        <v>88.736188147262169</v>
      </c>
      <c r="L185" s="60">
        <f t="shared" si="49"/>
        <v>91.174323184817112</v>
      </c>
      <c r="M185" s="60">
        <f t="shared" si="49"/>
        <v>85.004875871600348</v>
      </c>
      <c r="N185" s="60">
        <f t="shared" si="49"/>
        <v>87.032926520726136</v>
      </c>
      <c r="O185" s="60">
        <f t="shared" si="49"/>
        <v>93.435623584514161</v>
      </c>
      <c r="P185" s="60">
        <f t="shared" si="49"/>
        <v>88.448161429703958</v>
      </c>
      <c r="Q185" s="60">
        <f t="shared" si="49"/>
        <v>91.290824140822323</v>
      </c>
      <c r="R185" s="60">
        <f t="shared" si="49"/>
        <v>90.843837326946115</v>
      </c>
      <c r="S185" s="60">
        <f t="shared" si="49"/>
        <v>93.497509230037267</v>
      </c>
      <c r="T185" s="60">
        <f t="shared" si="49"/>
        <v>92.057071990708181</v>
      </c>
      <c r="U185" s="60">
        <f t="shared" si="49"/>
        <v>93.837302176999401</v>
      </c>
      <c r="V185" s="60">
        <f t="shared" si="49"/>
        <v>88.193340370463005</v>
      </c>
    </row>
    <row r="186" spans="3:22" x14ac:dyDescent="0.2">
      <c r="C186" s="88" t="s">
        <v>140</v>
      </c>
      <c r="D186" s="62">
        <f t="shared" ref="D186:V186" si="50">+IFERROR(IF(D147&gt;0,+((D147/D30)*100)," "),"")</f>
        <v>90.279262833714512</v>
      </c>
      <c r="E186" s="62">
        <f t="shared" si="50"/>
        <v>75.080212714181954</v>
      </c>
      <c r="F186" s="62">
        <f t="shared" si="50"/>
        <v>84.579849069773474</v>
      </c>
      <c r="G186" s="62">
        <f t="shared" si="50"/>
        <v>75.874437119891141</v>
      </c>
      <c r="H186" s="62">
        <f t="shared" si="50"/>
        <v>88.926021982994683</v>
      </c>
      <c r="I186" s="62">
        <f t="shared" si="50"/>
        <v>97.996831978349547</v>
      </c>
      <c r="J186" s="62">
        <f t="shared" si="50"/>
        <v>58.123224537984761</v>
      </c>
      <c r="K186" s="62">
        <f t="shared" si="50"/>
        <v>73.647947588628639</v>
      </c>
      <c r="L186" s="62">
        <f t="shared" si="50"/>
        <v>89.668989555125094</v>
      </c>
      <c r="M186" s="62">
        <f t="shared" si="50"/>
        <v>77.968535820664428</v>
      </c>
      <c r="N186" s="62">
        <f t="shared" si="50"/>
        <v>96.887921621144699</v>
      </c>
      <c r="O186" s="62">
        <f t="shared" si="50"/>
        <v>95.619634622932367</v>
      </c>
      <c r="P186" s="62">
        <f t="shared" si="50"/>
        <v>72.407106686490366</v>
      </c>
      <c r="Q186" s="62">
        <f t="shared" si="50"/>
        <v>77.028709941169467</v>
      </c>
      <c r="R186" s="62">
        <f t="shared" si="50"/>
        <v>89.239819487111546</v>
      </c>
      <c r="S186" s="62">
        <f t="shared" si="50"/>
        <v>92.562388730298679</v>
      </c>
      <c r="T186" s="62">
        <f t="shared" si="50"/>
        <v>91.95722090228891</v>
      </c>
      <c r="U186" s="62">
        <f t="shared" si="50"/>
        <v>93.583415320862699</v>
      </c>
      <c r="V186" s="62">
        <f t="shared" si="50"/>
        <v>88.079865904582448</v>
      </c>
    </row>
    <row r="187" spans="3:22" x14ac:dyDescent="0.2">
      <c r="C187" s="87" t="s">
        <v>141</v>
      </c>
      <c r="D187" s="60">
        <f t="shared" ref="D187:V187" si="51">+IFERROR(IF(D148&gt;0,+((D148/D31)*100)," "),"")</f>
        <v>92.823785612331974</v>
      </c>
      <c r="E187" s="60">
        <f t="shared" si="51"/>
        <v>94.137637745222065</v>
      </c>
      <c r="F187" s="60">
        <f t="shared" si="51"/>
        <v>93.518448335940661</v>
      </c>
      <c r="G187" s="60">
        <f t="shared" si="51"/>
        <v>92.192377689046154</v>
      </c>
      <c r="H187" s="60">
        <f t="shared" si="51"/>
        <v>84.551331442190261</v>
      </c>
      <c r="I187" s="60">
        <f t="shared" si="51"/>
        <v>91.105220949839577</v>
      </c>
      <c r="J187" s="60">
        <f t="shared" si="51"/>
        <v>92.791975457575475</v>
      </c>
      <c r="K187" s="60">
        <f t="shared" si="51"/>
        <v>94.221979449903074</v>
      </c>
      <c r="L187" s="60">
        <f t="shared" si="51"/>
        <v>93.118530649959567</v>
      </c>
      <c r="M187" s="60">
        <f t="shared" si="51"/>
        <v>91.110706278109006</v>
      </c>
      <c r="N187" s="60">
        <f t="shared" si="51"/>
        <v>90.16641113136086</v>
      </c>
      <c r="O187" s="60">
        <f t="shared" si="51"/>
        <v>92.284349260345238</v>
      </c>
      <c r="P187" s="60">
        <f t="shared" si="51"/>
        <v>87.198479060191346</v>
      </c>
      <c r="Q187" s="60">
        <f t="shared" si="51"/>
        <v>89.310437715441154</v>
      </c>
      <c r="R187" s="60">
        <f t="shared" si="51"/>
        <v>91.89481344063924</v>
      </c>
      <c r="S187" s="60">
        <f t="shared" si="51"/>
        <v>94.519547490417878</v>
      </c>
      <c r="T187" s="60">
        <f t="shared" si="51"/>
        <v>95.592282999845594</v>
      </c>
      <c r="U187" s="60">
        <f t="shared" si="51"/>
        <v>95.046197319390345</v>
      </c>
      <c r="V187" s="60">
        <f t="shared" si="51"/>
        <v>93.563997713027106</v>
      </c>
    </row>
    <row r="188" spans="3:22" x14ac:dyDescent="0.2">
      <c r="C188" s="88" t="s">
        <v>142</v>
      </c>
      <c r="D188" s="62">
        <f t="shared" ref="D188:V188" si="52">+IFERROR(IF(D149&gt;0,+((D149/D32)*100)," "),"")</f>
        <v>87.345474651539007</v>
      </c>
      <c r="E188" s="62">
        <f t="shared" si="52"/>
        <v>91.43346893488831</v>
      </c>
      <c r="F188" s="62">
        <f t="shared" si="52"/>
        <v>90.440470710390741</v>
      </c>
      <c r="G188" s="62">
        <f t="shared" si="52"/>
        <v>83.008244809324907</v>
      </c>
      <c r="H188" s="62">
        <f t="shared" si="52"/>
        <v>81.479206867730909</v>
      </c>
      <c r="I188" s="62">
        <f t="shared" si="52"/>
        <v>81.049802546946552</v>
      </c>
      <c r="J188" s="62">
        <f t="shared" si="52"/>
        <v>68.263477178805658</v>
      </c>
      <c r="K188" s="62">
        <f t="shared" si="52"/>
        <v>69.964301056680355</v>
      </c>
      <c r="L188" s="62">
        <f t="shared" si="52"/>
        <v>80.568699686640983</v>
      </c>
      <c r="M188" s="62">
        <f t="shared" si="52"/>
        <v>70.715271974333135</v>
      </c>
      <c r="N188" s="62">
        <f t="shared" si="52"/>
        <v>92.129732210120594</v>
      </c>
      <c r="O188" s="62">
        <f t="shared" si="52"/>
        <v>87.513358807025895</v>
      </c>
      <c r="P188" s="62">
        <f t="shared" si="52"/>
        <v>86.768496537395308</v>
      </c>
      <c r="Q188" s="62">
        <f t="shared" si="52"/>
        <v>67.10975985032448</v>
      </c>
      <c r="R188" s="62">
        <f t="shared" si="52"/>
        <v>86.781286399867881</v>
      </c>
      <c r="S188" s="62">
        <f t="shared" si="52"/>
        <v>89.800935029282542</v>
      </c>
      <c r="T188" s="62">
        <f t="shared" si="52"/>
        <v>93.646053051307447</v>
      </c>
      <c r="U188" s="62">
        <f t="shared" si="52"/>
        <v>92.384753316400108</v>
      </c>
      <c r="V188" s="62">
        <f t="shared" si="52"/>
        <v>93.004278228581015</v>
      </c>
    </row>
    <row r="189" spans="3:22" x14ac:dyDescent="0.2">
      <c r="C189" s="87" t="s">
        <v>143</v>
      </c>
      <c r="D189" s="60">
        <f t="shared" ref="D189:V189" si="53">+IFERROR(IF(D150&gt;0,+((D150/D33)*100)," "),"")</f>
        <v>90.376394381790732</v>
      </c>
      <c r="E189" s="60">
        <f t="shared" si="53"/>
        <v>96.804269734742533</v>
      </c>
      <c r="F189" s="60">
        <f t="shared" si="53"/>
        <v>89.141935712377105</v>
      </c>
      <c r="G189" s="60">
        <f t="shared" si="53"/>
        <v>90.843117700184933</v>
      </c>
      <c r="H189" s="60">
        <f t="shared" si="53"/>
        <v>96.305892486568069</v>
      </c>
      <c r="I189" s="60">
        <f t="shared" si="53"/>
        <v>91.929830752980152</v>
      </c>
      <c r="J189" s="60">
        <f t="shared" si="53"/>
        <v>90.9343695010907</v>
      </c>
      <c r="K189" s="60">
        <f t="shared" si="53"/>
        <v>97.826636741948619</v>
      </c>
      <c r="L189" s="60">
        <f t="shared" si="53"/>
        <v>96.600122003509341</v>
      </c>
      <c r="M189" s="60">
        <f t="shared" si="53"/>
        <v>90.750228155494952</v>
      </c>
      <c r="N189" s="60">
        <f t="shared" si="53"/>
        <v>90.692568390898387</v>
      </c>
      <c r="O189" s="60">
        <f t="shared" si="53"/>
        <v>92.898172267618676</v>
      </c>
      <c r="P189" s="60">
        <f t="shared" si="53"/>
        <v>94.089285409682205</v>
      </c>
      <c r="Q189" s="60">
        <f t="shared" si="53"/>
        <v>91.669736279959551</v>
      </c>
      <c r="R189" s="60">
        <f t="shared" si="53"/>
        <v>93.781764730599335</v>
      </c>
      <c r="S189" s="60">
        <f t="shared" si="53"/>
        <v>96.392240598895924</v>
      </c>
      <c r="T189" s="60">
        <f t="shared" si="53"/>
        <v>89.216113310959059</v>
      </c>
      <c r="U189" s="60">
        <f t="shared" si="53"/>
        <v>61.130286986388761</v>
      </c>
      <c r="V189" s="60">
        <f t="shared" si="53"/>
        <v>71.124009104963562</v>
      </c>
    </row>
    <row r="190" spans="3:22" x14ac:dyDescent="0.2">
      <c r="C190" s="88" t="s">
        <v>144</v>
      </c>
      <c r="D190" s="62">
        <f t="shared" ref="D190:V190" si="54">+IFERROR(IF(D151&gt;0,+((D151/D34)*100)," "),"")</f>
        <v>99.263490831027298</v>
      </c>
      <c r="E190" s="62">
        <f t="shared" si="54"/>
        <v>96.940333237019672</v>
      </c>
      <c r="F190" s="62">
        <f t="shared" si="54"/>
        <v>94.633855923103425</v>
      </c>
      <c r="G190" s="62">
        <f t="shared" si="54"/>
        <v>98.299344578135219</v>
      </c>
      <c r="H190" s="62">
        <f t="shared" si="54"/>
        <v>86.516142410109694</v>
      </c>
      <c r="I190" s="62">
        <f t="shared" si="54"/>
        <v>98.716395879100233</v>
      </c>
      <c r="J190" s="62">
        <f t="shared" si="54"/>
        <v>97.09592493826635</v>
      </c>
      <c r="K190" s="62">
        <f t="shared" si="54"/>
        <v>98.892013003037832</v>
      </c>
      <c r="L190" s="62">
        <f t="shared" si="54"/>
        <v>98.618307559200687</v>
      </c>
      <c r="M190" s="62">
        <f t="shared" si="54"/>
        <v>97.171539256583387</v>
      </c>
      <c r="N190" s="62">
        <f t="shared" si="54"/>
        <v>96.976821352833227</v>
      </c>
      <c r="O190" s="62">
        <f t="shared" si="54"/>
        <v>95.967363606577507</v>
      </c>
      <c r="P190" s="62">
        <f t="shared" si="54"/>
        <v>97.957057060319215</v>
      </c>
      <c r="Q190" s="62">
        <f t="shared" si="54"/>
        <v>99.31896347922418</v>
      </c>
      <c r="R190" s="62">
        <f t="shared" si="54"/>
        <v>99.515120965483632</v>
      </c>
      <c r="S190" s="62">
        <f t="shared" si="54"/>
        <v>99.259482759956796</v>
      </c>
      <c r="T190" s="62">
        <f t="shared" si="54"/>
        <v>98.645028234825332</v>
      </c>
      <c r="U190" s="62">
        <f t="shared" si="54"/>
        <v>98.275853250997159</v>
      </c>
      <c r="V190" s="62">
        <f t="shared" si="54"/>
        <v>98.513890170793246</v>
      </c>
    </row>
    <row r="191" spans="3:22" x14ac:dyDescent="0.2">
      <c r="C191" s="87" t="s">
        <v>145</v>
      </c>
      <c r="D191" s="60">
        <f t="shared" ref="D191:V191" si="55">+IFERROR(IF(D152&gt;0,+((D152/D35)*100)," "),"")</f>
        <v>96.77772418238338</v>
      </c>
      <c r="E191" s="60">
        <f t="shared" si="55"/>
        <v>69.954279243820082</v>
      </c>
      <c r="F191" s="60">
        <f t="shared" si="55"/>
        <v>76.469508461653874</v>
      </c>
      <c r="G191" s="60">
        <f t="shared" si="55"/>
        <v>72.04853568584349</v>
      </c>
      <c r="H191" s="60">
        <f t="shared" si="55"/>
        <v>86.371541759280476</v>
      </c>
      <c r="I191" s="60">
        <f t="shared" si="55"/>
        <v>94.14126827364781</v>
      </c>
      <c r="J191" s="60">
        <f t="shared" si="55"/>
        <v>85.116892630020459</v>
      </c>
      <c r="K191" s="60">
        <f t="shared" si="55"/>
        <v>90.605774444618319</v>
      </c>
      <c r="L191" s="60">
        <f t="shared" si="55"/>
        <v>92.384096635804951</v>
      </c>
      <c r="M191" s="60">
        <f t="shared" si="55"/>
        <v>94.624464369384967</v>
      </c>
      <c r="N191" s="60">
        <f t="shared" si="55"/>
        <v>96.587530133183392</v>
      </c>
      <c r="O191" s="60">
        <f t="shared" si="55"/>
        <v>89.022556551314736</v>
      </c>
      <c r="P191" s="60">
        <f t="shared" si="55"/>
        <v>90.488831100375648</v>
      </c>
      <c r="Q191" s="60">
        <f t="shared" si="55"/>
        <v>87.59916925612346</v>
      </c>
      <c r="R191" s="60">
        <f t="shared" si="55"/>
        <v>93.529292115311506</v>
      </c>
      <c r="S191" s="60">
        <f t="shared" si="55"/>
        <v>91.410349432903729</v>
      </c>
      <c r="T191" s="60">
        <f t="shared" si="55"/>
        <v>93.941604354542392</v>
      </c>
      <c r="U191" s="60">
        <f t="shared" si="55"/>
        <v>94.619010876522168</v>
      </c>
      <c r="V191" s="60">
        <f t="shared" si="55"/>
        <v>97.076186406169541</v>
      </c>
    </row>
    <row r="192" spans="3:22" x14ac:dyDescent="0.2">
      <c r="C192" s="88" t="s">
        <v>146</v>
      </c>
      <c r="D192" s="62">
        <f t="shared" ref="D192:V192" si="56">+IFERROR(IF(D153&gt;0,+((D153/D36)*100)," "),"")</f>
        <v>93.932892653631527</v>
      </c>
      <c r="E192" s="62">
        <f t="shared" si="56"/>
        <v>93.064891918990384</v>
      </c>
      <c r="F192" s="62">
        <f t="shared" si="56"/>
        <v>92.900815555502064</v>
      </c>
      <c r="G192" s="62">
        <f t="shared" si="56"/>
        <v>96.114473389006278</v>
      </c>
      <c r="H192" s="62">
        <f t="shared" si="56"/>
        <v>88.223415307639684</v>
      </c>
      <c r="I192" s="62">
        <f t="shared" si="56"/>
        <v>86.27841251130819</v>
      </c>
      <c r="J192" s="62">
        <f t="shared" si="56"/>
        <v>87.336573071393715</v>
      </c>
      <c r="K192" s="62">
        <f t="shared" si="56"/>
        <v>85.26068025759092</v>
      </c>
      <c r="L192" s="62">
        <f t="shared" si="56"/>
        <v>88.955712534786571</v>
      </c>
      <c r="M192" s="62">
        <f t="shared" si="56"/>
        <v>94.242261754405504</v>
      </c>
      <c r="N192" s="62">
        <f t="shared" si="56"/>
        <v>84.50247944733141</v>
      </c>
      <c r="O192" s="62">
        <f t="shared" si="56"/>
        <v>95.854802719051207</v>
      </c>
      <c r="P192" s="62">
        <f t="shared" si="56"/>
        <v>96.265795108244163</v>
      </c>
      <c r="Q192" s="62">
        <f t="shared" si="56"/>
        <v>98.84341337152965</v>
      </c>
      <c r="R192" s="62">
        <f t="shared" si="56"/>
        <v>98.040001710705823</v>
      </c>
      <c r="S192" s="62">
        <f t="shared" si="56"/>
        <v>98.638084136564615</v>
      </c>
      <c r="T192" s="62">
        <f t="shared" si="56"/>
        <v>98.043780733616245</v>
      </c>
      <c r="U192" s="62">
        <f t="shared" si="56"/>
        <v>96.045673959183887</v>
      </c>
      <c r="V192" s="62">
        <f t="shared" si="56"/>
        <v>89.149462831099342</v>
      </c>
    </row>
    <row r="193" spans="3:24" x14ac:dyDescent="0.2">
      <c r="C193" s="90" t="s">
        <v>147</v>
      </c>
      <c r="D193" s="61">
        <f t="shared" ref="D193:V193" si="57">+IFERROR(IF(D154&gt;0,+((D154/D37)*100)," "),"")</f>
        <v>96.127400387708974</v>
      </c>
      <c r="E193" s="61">
        <f t="shared" si="57"/>
        <v>97.594499906998905</v>
      </c>
      <c r="F193" s="61">
        <f t="shared" si="57"/>
        <v>98.264018546496018</v>
      </c>
      <c r="G193" s="61">
        <f t="shared" si="57"/>
        <v>96.389883335108081</v>
      </c>
      <c r="H193" s="61">
        <f t="shared" si="57"/>
        <v>92.295499780364793</v>
      </c>
      <c r="I193" s="61">
        <f t="shared" si="57"/>
        <v>93.377540395005667</v>
      </c>
      <c r="J193" s="61">
        <f t="shared" si="57"/>
        <v>95.418881645717562</v>
      </c>
      <c r="K193" s="61">
        <f t="shared" si="57"/>
        <v>97.106854387030822</v>
      </c>
      <c r="L193" s="61">
        <f t="shared" si="57"/>
        <v>99.572739563114538</v>
      </c>
      <c r="M193" s="61">
        <f t="shared" si="57"/>
        <v>94.591350831090836</v>
      </c>
      <c r="N193" s="61">
        <f t="shared" si="57"/>
        <v>86.703969496910787</v>
      </c>
      <c r="O193" s="61">
        <f t="shared" si="57"/>
        <v>98.576540500324967</v>
      </c>
      <c r="P193" s="61">
        <f t="shared" si="57"/>
        <v>97.930656133513367</v>
      </c>
      <c r="Q193" s="61">
        <f t="shared" si="57"/>
        <v>98.36012455144234</v>
      </c>
      <c r="R193" s="61">
        <f t="shared" si="57"/>
        <v>94.310259675745115</v>
      </c>
      <c r="S193" s="61">
        <f t="shared" si="57"/>
        <v>87.036145883881346</v>
      </c>
      <c r="T193" s="61">
        <f t="shared" si="57"/>
        <v>89.26121336134446</v>
      </c>
      <c r="U193" s="61">
        <f t="shared" si="57"/>
        <v>92.766116863432941</v>
      </c>
      <c r="V193" s="61">
        <f t="shared" si="57"/>
        <v>90.63801838977939</v>
      </c>
    </row>
    <row r="194" spans="3:24" ht="22.5" customHeight="1" x14ac:dyDescent="0.2">
      <c r="C194" s="89" t="s">
        <v>148</v>
      </c>
      <c r="D194" s="63" t="str">
        <f t="shared" ref="D194:V194" si="58">+IFERROR(IF(D155&gt;0,+((D155/D38)*100)," "),"")</f>
        <v xml:space="preserve"> </v>
      </c>
      <c r="E194" s="63" t="str">
        <f t="shared" si="58"/>
        <v xml:space="preserve"> </v>
      </c>
      <c r="F194" s="63" t="str">
        <f t="shared" si="58"/>
        <v xml:space="preserve"> </v>
      </c>
      <c r="G194" s="63" t="str">
        <f t="shared" si="58"/>
        <v xml:space="preserve"> </v>
      </c>
      <c r="H194" s="63" t="str">
        <f t="shared" si="58"/>
        <v xml:space="preserve"> </v>
      </c>
      <c r="I194" s="63" t="str">
        <f t="shared" si="58"/>
        <v xml:space="preserve"> </v>
      </c>
      <c r="J194" s="63" t="str">
        <f t="shared" si="58"/>
        <v xml:space="preserve"> </v>
      </c>
      <c r="K194" s="63" t="str">
        <f t="shared" si="58"/>
        <v xml:space="preserve"> </v>
      </c>
      <c r="L194" s="63" t="str">
        <f t="shared" si="58"/>
        <v xml:space="preserve"> </v>
      </c>
      <c r="M194" s="63" t="str">
        <f t="shared" si="58"/>
        <v xml:space="preserve"> </v>
      </c>
      <c r="N194" s="63" t="str">
        <f t="shared" si="58"/>
        <v xml:space="preserve"> </v>
      </c>
      <c r="O194" s="63" t="str">
        <f t="shared" si="58"/>
        <v xml:space="preserve"> </v>
      </c>
      <c r="P194" s="63" t="str">
        <f t="shared" si="58"/>
        <v xml:space="preserve"> </v>
      </c>
      <c r="Q194" s="63" t="str">
        <f t="shared" si="58"/>
        <v xml:space="preserve"> </v>
      </c>
      <c r="R194" s="63" t="str">
        <f t="shared" si="58"/>
        <v xml:space="preserve"> </v>
      </c>
      <c r="S194" s="63" t="str">
        <f t="shared" si="58"/>
        <v xml:space="preserve"> </v>
      </c>
      <c r="T194" s="63" t="str">
        <f t="shared" si="58"/>
        <v xml:space="preserve"> </v>
      </c>
      <c r="U194" s="63">
        <f t="shared" si="58"/>
        <v>59.926249401054143</v>
      </c>
      <c r="V194" s="63">
        <f t="shared" si="58"/>
        <v>77.857542494365092</v>
      </c>
    </row>
    <row r="195" spans="3:24" x14ac:dyDescent="0.2">
      <c r="C195" s="87" t="s">
        <v>149</v>
      </c>
      <c r="D195" s="60">
        <f t="shared" ref="D195:V195" si="59">+IFERROR(IF(D156&gt;0,+((D156/D39)*100)," "),"")</f>
        <v>42.506314748409565</v>
      </c>
      <c r="E195" s="60">
        <f t="shared" si="59"/>
        <v>41.798769832856294</v>
      </c>
      <c r="F195" s="60">
        <f t="shared" si="59"/>
        <v>46.117417039601044</v>
      </c>
      <c r="G195" s="60">
        <f t="shared" si="59"/>
        <v>58.41779235318937</v>
      </c>
      <c r="H195" s="60">
        <f t="shared" si="59"/>
        <v>53.453359065655071</v>
      </c>
      <c r="I195" s="60">
        <f t="shared" si="59"/>
        <v>26.691709153208876</v>
      </c>
      <c r="J195" s="60">
        <f t="shared" si="59"/>
        <v>49.49561919807195</v>
      </c>
      <c r="K195" s="60">
        <f t="shared" si="59"/>
        <v>54.978805513238093</v>
      </c>
      <c r="L195" s="60">
        <f t="shared" si="59"/>
        <v>61.899379513331233</v>
      </c>
      <c r="M195" s="60">
        <f t="shared" si="59"/>
        <v>52.701578311450639</v>
      </c>
      <c r="N195" s="60">
        <f t="shared" si="59"/>
        <v>70.932178292835644</v>
      </c>
      <c r="O195" s="60">
        <f t="shared" si="59"/>
        <v>74.109076785722834</v>
      </c>
      <c r="P195" s="60">
        <f t="shared" si="59"/>
        <v>93.126112252288934</v>
      </c>
      <c r="Q195" s="60">
        <f t="shared" si="59"/>
        <v>71.165419135648946</v>
      </c>
      <c r="R195" s="60">
        <f t="shared" si="59"/>
        <v>75.429183508046521</v>
      </c>
      <c r="S195" s="60">
        <f t="shared" si="59"/>
        <v>85.023005065120913</v>
      </c>
      <c r="T195" s="60">
        <f t="shared" si="59"/>
        <v>92.297322518831649</v>
      </c>
      <c r="U195" s="60">
        <f t="shared" si="59"/>
        <v>96.51093858196991</v>
      </c>
      <c r="V195" s="60">
        <f t="shared" si="59"/>
        <v>80.512989808651767</v>
      </c>
    </row>
    <row r="196" spans="3:24" x14ac:dyDescent="0.2">
      <c r="C196" s="88" t="s">
        <v>150</v>
      </c>
      <c r="D196" s="62">
        <f t="shared" ref="D196:V196" si="60">+IFERROR(IF(D157&gt;0,+((D157/D40)*100)," "),"")</f>
        <v>91.636645189447492</v>
      </c>
      <c r="E196" s="62">
        <f t="shared" si="60"/>
        <v>89.413553034631548</v>
      </c>
      <c r="F196" s="62">
        <f t="shared" si="60"/>
        <v>55.619722365804705</v>
      </c>
      <c r="G196" s="62">
        <f t="shared" si="60"/>
        <v>91.173890371436428</v>
      </c>
      <c r="H196" s="62">
        <f t="shared" si="60"/>
        <v>91.82525211874713</v>
      </c>
      <c r="I196" s="62">
        <f t="shared" si="60"/>
        <v>88.55647802231357</v>
      </c>
      <c r="J196" s="62">
        <f t="shared" si="60"/>
        <v>80.132638437040811</v>
      </c>
      <c r="K196" s="62">
        <f t="shared" si="60"/>
        <v>85.082978350148991</v>
      </c>
      <c r="L196" s="62">
        <f t="shared" si="60"/>
        <v>87.35135893436707</v>
      </c>
      <c r="M196" s="62">
        <f t="shared" si="60"/>
        <v>86.785190836659993</v>
      </c>
      <c r="N196" s="62">
        <f t="shared" si="60"/>
        <v>86.36234473248777</v>
      </c>
      <c r="O196" s="62">
        <f t="shared" si="60"/>
        <v>83.502019132557763</v>
      </c>
      <c r="P196" s="62">
        <f t="shared" si="60"/>
        <v>90.468043514851047</v>
      </c>
      <c r="Q196" s="62">
        <f t="shared" si="60"/>
        <v>88.978425285432905</v>
      </c>
      <c r="R196" s="62">
        <f t="shared" si="60"/>
        <v>92.614427635939023</v>
      </c>
      <c r="S196" s="62">
        <f t="shared" si="60"/>
        <v>93.444563974679767</v>
      </c>
      <c r="T196" s="62">
        <f t="shared" si="60"/>
        <v>93.763929006322002</v>
      </c>
      <c r="U196" s="62">
        <f t="shared" si="60"/>
        <v>90.350715357864402</v>
      </c>
      <c r="V196" s="62">
        <f t="shared" si="60"/>
        <v>94.331301040240163</v>
      </c>
    </row>
    <row r="197" spans="3:24" x14ac:dyDescent="0.2">
      <c r="C197" s="87" t="s">
        <v>151</v>
      </c>
      <c r="D197" s="60">
        <f t="shared" ref="D197:V197" si="61">+IFERROR(IF(D158&gt;0,+((D158/D41)*100)," "),"")</f>
        <v>84.651212371204338</v>
      </c>
      <c r="E197" s="60">
        <f t="shared" si="61"/>
        <v>79.752819053333354</v>
      </c>
      <c r="F197" s="60">
        <f t="shared" si="61"/>
        <v>75.12003550642568</v>
      </c>
      <c r="G197" s="60">
        <f t="shared" si="61"/>
        <v>69.199166705532278</v>
      </c>
      <c r="H197" s="60">
        <f t="shared" si="61"/>
        <v>57.021147527504347</v>
      </c>
      <c r="I197" s="60">
        <f t="shared" si="61"/>
        <v>78.64166061710327</v>
      </c>
      <c r="J197" s="60">
        <f t="shared" si="61"/>
        <v>58.826889356083235</v>
      </c>
      <c r="K197" s="60">
        <f t="shared" si="61"/>
        <v>66.44341284444107</v>
      </c>
      <c r="L197" s="60">
        <f t="shared" si="61"/>
        <v>81.411518646117969</v>
      </c>
      <c r="M197" s="60">
        <f t="shared" si="61"/>
        <v>91.783631067508935</v>
      </c>
      <c r="N197" s="60">
        <f t="shared" si="61"/>
        <v>73.296600735750957</v>
      </c>
      <c r="O197" s="60">
        <f t="shared" si="61"/>
        <v>98.235080078438557</v>
      </c>
      <c r="P197" s="60">
        <f t="shared" si="61"/>
        <v>99.260628206933106</v>
      </c>
      <c r="Q197" s="60">
        <f t="shared" si="61"/>
        <v>99.654572508100074</v>
      </c>
      <c r="R197" s="60">
        <f t="shared" si="61"/>
        <v>99.619142831391343</v>
      </c>
      <c r="S197" s="60">
        <f t="shared" si="61"/>
        <v>99.066646912329944</v>
      </c>
      <c r="T197" s="60">
        <f t="shared" si="61"/>
        <v>99.895084455319179</v>
      </c>
      <c r="U197" s="60">
        <f t="shared" si="61"/>
        <v>99.934895464106191</v>
      </c>
      <c r="V197" s="60">
        <f t="shared" si="61"/>
        <v>99.690632090109304</v>
      </c>
    </row>
    <row r="198" spans="3:24" x14ac:dyDescent="0.2">
      <c r="C198" s="91" t="s">
        <v>179</v>
      </c>
      <c r="D198" s="64">
        <f t="shared" ref="D198:V198" si="62">+IFERROR(IF(D159&gt;0,+((D159/D42)*100)," "),"")</f>
        <v>93.055380528903981</v>
      </c>
      <c r="E198" s="64">
        <f t="shared" si="62"/>
        <v>93.693791271244166</v>
      </c>
      <c r="F198" s="64">
        <f t="shared" si="62"/>
        <v>93.029131508753579</v>
      </c>
      <c r="G198" s="64">
        <f t="shared" si="62"/>
        <v>92.866897529865383</v>
      </c>
      <c r="H198" s="64">
        <f t="shared" si="62"/>
        <v>92.637108851495285</v>
      </c>
      <c r="I198" s="64">
        <f t="shared" si="62"/>
        <v>94.092038877653565</v>
      </c>
      <c r="J198" s="64">
        <f t="shared" si="62"/>
        <v>93.869185167428682</v>
      </c>
      <c r="K198" s="64">
        <f t="shared" si="62"/>
        <v>95.190119753163259</v>
      </c>
      <c r="L198" s="64">
        <f t="shared" si="62"/>
        <v>96.008393508843554</v>
      </c>
      <c r="M198" s="64">
        <f t="shared" si="62"/>
        <v>93.143211644840818</v>
      </c>
      <c r="N198" s="64">
        <f t="shared" si="62"/>
        <v>91.059754703086085</v>
      </c>
      <c r="O198" s="64">
        <f t="shared" si="62"/>
        <v>97.313756453144478</v>
      </c>
      <c r="P198" s="64">
        <f t="shared" si="62"/>
        <v>96.658630987606699</v>
      </c>
      <c r="Q198" s="64">
        <f t="shared" si="62"/>
        <v>96.297526450590553</v>
      </c>
      <c r="R198" s="64">
        <f t="shared" si="62"/>
        <v>93.781172009425077</v>
      </c>
      <c r="S198" s="64">
        <f t="shared" si="62"/>
        <v>94.704798159070222</v>
      </c>
      <c r="T198" s="64">
        <f t="shared" si="62"/>
        <v>94.927919240550082</v>
      </c>
      <c r="U198" s="64">
        <f t="shared" si="62"/>
        <v>95.985197317315922</v>
      </c>
      <c r="V198" s="64">
        <f t="shared" si="62"/>
        <v>93.991639317717585</v>
      </c>
    </row>
    <row r="199" spans="3:24" x14ac:dyDescent="0.2">
      <c r="C199" s="1" t="s">
        <v>52</v>
      </c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</row>
    <row r="203" spans="3:24" ht="18" customHeight="1" x14ac:dyDescent="0.2">
      <c r="C203" s="9"/>
      <c r="D203" s="160" t="s">
        <v>184</v>
      </c>
      <c r="E203" s="158"/>
      <c r="F203" s="158"/>
      <c r="G203" s="158"/>
      <c r="H203" s="158"/>
      <c r="I203" s="158"/>
      <c r="J203" s="158"/>
      <c r="K203" s="158"/>
      <c r="L203" s="158"/>
      <c r="M203" s="158"/>
      <c r="N203" s="158"/>
      <c r="O203" s="158"/>
      <c r="P203" s="158"/>
      <c r="Q203" s="158"/>
      <c r="R203" s="158"/>
      <c r="S203" s="158"/>
      <c r="T203" s="158"/>
      <c r="U203" s="158"/>
      <c r="V203" s="158"/>
    </row>
    <row r="204" spans="3:24" ht="15.75" customHeight="1" x14ac:dyDescent="0.2"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</row>
    <row r="205" spans="3:24" x14ac:dyDescent="0.2">
      <c r="C205" s="177" t="s">
        <v>120</v>
      </c>
      <c r="D205" s="153">
        <v>2000</v>
      </c>
      <c r="E205" s="153">
        <v>2001</v>
      </c>
      <c r="F205" s="153">
        <v>2002</v>
      </c>
      <c r="G205" s="153">
        <v>2003</v>
      </c>
      <c r="H205" s="153">
        <v>2004</v>
      </c>
      <c r="I205" s="153">
        <v>2005</v>
      </c>
      <c r="J205" s="153">
        <v>2006</v>
      </c>
      <c r="K205" s="153">
        <v>2007</v>
      </c>
      <c r="L205" s="153">
        <v>2008</v>
      </c>
      <c r="M205" s="153">
        <v>2009</v>
      </c>
      <c r="N205" s="153">
        <v>2010</v>
      </c>
      <c r="O205" s="153">
        <v>2011</v>
      </c>
      <c r="P205" s="153">
        <v>2012</v>
      </c>
      <c r="Q205" s="153">
        <v>2013</v>
      </c>
      <c r="R205" s="153">
        <v>2014</v>
      </c>
      <c r="S205" s="153">
        <v>2015</v>
      </c>
      <c r="T205" s="153">
        <v>2016</v>
      </c>
      <c r="U205" s="153">
        <v>2017</v>
      </c>
      <c r="V205" s="153">
        <v>2018</v>
      </c>
    </row>
    <row r="206" spans="3:24" ht="12" customHeight="1" thickBot="1" x14ac:dyDescent="0.25">
      <c r="C206" s="156"/>
      <c r="D206" s="154"/>
      <c r="E206" s="154"/>
      <c r="F206" s="154"/>
      <c r="G206" s="154"/>
      <c r="H206" s="154"/>
      <c r="I206" s="154"/>
      <c r="J206" s="154"/>
      <c r="K206" s="154"/>
      <c r="L206" s="154"/>
      <c r="M206" s="154"/>
      <c r="N206" s="154"/>
      <c r="O206" s="154"/>
      <c r="P206" s="154"/>
      <c r="Q206" s="154"/>
      <c r="R206" s="154"/>
      <c r="S206" s="154"/>
      <c r="T206" s="154"/>
      <c r="U206" s="154"/>
      <c r="V206" s="154"/>
    </row>
    <row r="207" spans="3:24" x14ac:dyDescent="0.2">
      <c r="C207" s="87" t="s">
        <v>123</v>
      </c>
      <c r="D207" s="56">
        <f>203.42012966399*Deflactores!$A$5</f>
        <v>738.52880868053046</v>
      </c>
      <c r="E207" s="56">
        <f>215.43266308491*Deflactores!$B$5</f>
        <v>726.57068659236643</v>
      </c>
      <c r="F207" s="56">
        <f>214.41116663914*Deflactores!$C$5</f>
        <v>675.86983562285195</v>
      </c>
      <c r="G207" s="56">
        <f>246.5802125185*Deflactores!$D$5</f>
        <v>729.89351667846768</v>
      </c>
      <c r="H207" s="56">
        <f>224.24380381981*Deflactores!$E$5</f>
        <v>629.18983259734284</v>
      </c>
      <c r="I207" s="56">
        <f>238.93368253628*Deflactores!$F$5</f>
        <v>639.36490099063792</v>
      </c>
      <c r="J207" s="56">
        <f>326.8666721904*Deflactores!$G$5</f>
        <v>837.17725459380506</v>
      </c>
      <c r="K207" s="56">
        <f>398.54082528292*Deflactores!$H$5</f>
        <v>965.7558896593431</v>
      </c>
      <c r="L207" s="56">
        <f>693.37676155385*Deflactores!$I$5</f>
        <v>1560.45585420733</v>
      </c>
      <c r="M207" s="56">
        <f>325.95333482921*Deflactores!$J$5</f>
        <v>719.16702076768001</v>
      </c>
      <c r="N207" s="56">
        <f>386.68772709187*Deflactores!$K$5</f>
        <v>826.944090131606</v>
      </c>
      <c r="O207" s="56">
        <f>273.18950848464*Deflactores!$L$5</f>
        <v>563.23453624619447</v>
      </c>
      <c r="P207" s="56">
        <f>335.19802620022*Deflactores!$M$5</f>
        <v>674.61678559633469</v>
      </c>
      <c r="Q207" s="56">
        <f>1152.54949047893*Deflactores!$N$5</f>
        <v>2275.467537635242</v>
      </c>
      <c r="R207" s="56">
        <f>364.655578339079*Deflactores!$O$5</f>
        <v>694.51674019236361</v>
      </c>
      <c r="S207" s="56">
        <f>482.688070156599*Deflactores!$P$5</f>
        <v>861.02781045734059</v>
      </c>
      <c r="T207" s="56">
        <f>469.91934784222*Deflactores!$Q$5</f>
        <v>792.67208509280204</v>
      </c>
      <c r="U207" s="56">
        <f>493.78019810683*Deflactores!$R$5</f>
        <v>800.19327811971903</v>
      </c>
      <c r="V207" s="56">
        <f>541.582339447756*Deflactores!$S$5</f>
        <v>850.60944288495466</v>
      </c>
      <c r="X207" s="14"/>
    </row>
    <row r="208" spans="3:24" x14ac:dyDescent="0.2">
      <c r="C208" s="88" t="s">
        <v>124</v>
      </c>
      <c r="D208" s="57">
        <f>77.9205900544899*Deflactores!$A$5</f>
        <v>282.89530952360553</v>
      </c>
      <c r="E208" s="57">
        <f>86.69498750176*Deflactores!$B$5</f>
        <v>292.38851570267076</v>
      </c>
      <c r="F208" s="57">
        <f>88.51588976996*Deflactores!$C$5</f>
        <v>279.02100812464153</v>
      </c>
      <c r="G208" s="57">
        <f>93.3216623667799*Deflactores!$D$5</f>
        <v>276.2382091874432</v>
      </c>
      <c r="H208" s="57">
        <f>98.6642969653599*Deflactores!$E$5</f>
        <v>276.83517418769901</v>
      </c>
      <c r="I208" s="57">
        <f>107.57368463658*Deflactores!$F$5</f>
        <v>287.85744017661307</v>
      </c>
      <c r="J208" s="57">
        <f>111.37607583569*Deflactores!$G$5</f>
        <v>285.25856359329646</v>
      </c>
      <c r="K208" s="57">
        <f>119.61262557922*Deflactores!$H$5</f>
        <v>289.84884434046489</v>
      </c>
      <c r="L208" s="57">
        <f>1042.77443049745*Deflactores!$I$5</f>
        <v>2346.7810790787321</v>
      </c>
      <c r="M208" s="57">
        <f>1250.18980882238*Deflactores!$J$5</f>
        <v>2758.355826228948</v>
      </c>
      <c r="N208" s="57">
        <f>1349.56004971955*Deflactores!$K$5</f>
        <v>2886.0773932143816</v>
      </c>
      <c r="O208" s="57">
        <f>1088.63916073869*Deflactores!$L$5</f>
        <v>2244.4462682306012</v>
      </c>
      <c r="P208" s="57">
        <f>192.488849380829*Deflactores!$M$5</f>
        <v>387.4014722117318</v>
      </c>
      <c r="Q208" s="57">
        <f>229.53194006235*Deflactores!$N$5</f>
        <v>453.16273424864585</v>
      </c>
      <c r="R208" s="57">
        <f>253.06962329898*Deflactores!$O$5</f>
        <v>481.99205018573343</v>
      </c>
      <c r="S208" s="57">
        <f>254.27197165348*Deflactores!$P$5</f>
        <v>453.57499501165933</v>
      </c>
      <c r="T208" s="57">
        <f>270.92976095307*Deflactores!$Q$5</f>
        <v>457.01131378074615</v>
      </c>
      <c r="U208" s="57">
        <f>283.78696571974*Deflactores!$R$5</f>
        <v>459.88969030669205</v>
      </c>
      <c r="V208" s="57">
        <f>305.95697301939*Deflactores!$S$5</f>
        <v>480.53614641896121</v>
      </c>
      <c r="X208" s="14"/>
    </row>
    <row r="209" spans="3:24" x14ac:dyDescent="0.2">
      <c r="C209" s="87" t="s">
        <v>125</v>
      </c>
      <c r="D209" s="56">
        <f>7.4800009024*Deflactores!$A$5</f>
        <v>27.156585557700947</v>
      </c>
      <c r="E209" s="56">
        <f>5.004461224*Deflactores!$B$5</f>
        <v>16.878103698293117</v>
      </c>
      <c r="F209" s="56">
        <f>5.552895033*Deflactores!$C$5</f>
        <v>17.50391228224192</v>
      </c>
      <c r="G209" s="56">
        <f>5.77523603946*Deflactores!$D$5</f>
        <v>17.095075470313446</v>
      </c>
      <c r="H209" s="56">
        <f>5.70175097836*Deflactores!$E$5</f>
        <v>15.998139892724833</v>
      </c>
      <c r="I209" s="56">
        <f>5.93439640719999*Deflactores!$F$5</f>
        <v>15.879907474964295</v>
      </c>
      <c r="J209" s="56">
        <f>6.3373701568*Deflactores!$G$5</f>
        <v>16.231395246451061</v>
      </c>
      <c r="K209" s="56">
        <f>6.388483793*Deflactores!$H$5</f>
        <v>15.480762465685144</v>
      </c>
      <c r="L209" s="56">
        <f>7.47600408475*Deflactores!$I$5</f>
        <v>16.824870672017799</v>
      </c>
      <c r="M209" s="56">
        <f>8.78841807898*Deflactores!$J$5</f>
        <v>19.390323005692018</v>
      </c>
      <c r="N209" s="56">
        <f>8.76900223808*Deflactores!$K$5</f>
        <v>18.752792160399402</v>
      </c>
      <c r="O209" s="56">
        <f>9.162576116*Deflactores!$L$5</f>
        <v>18.890474008835795</v>
      </c>
      <c r="P209" s="56">
        <f>11.89081820297*Deflactores!$M$5</f>
        <v>23.931362738414421</v>
      </c>
      <c r="Q209" s="56">
        <f>15.49360572838*Deflactores!$N$5</f>
        <v>30.588878974037105</v>
      </c>
      <c r="R209" s="56">
        <f>19.91089945656*Deflactores!$O$5</f>
        <v>37.921956515387279</v>
      </c>
      <c r="S209" s="56">
        <f>19.39479378514*Deflactores!$P$5</f>
        <v>34.596787987059443</v>
      </c>
      <c r="T209" s="56">
        <f>20.15224293803*Deflactores!$Q$5</f>
        <v>33.993323540167154</v>
      </c>
      <c r="U209" s="56">
        <f>21.13743153684*Deflactores!$R$5</f>
        <v>34.254169562376333</v>
      </c>
      <c r="V209" s="56">
        <f>21.83056839667*Deflactores!$S$5</f>
        <v>34.287099613861507</v>
      </c>
      <c r="X209" s="14"/>
    </row>
    <row r="210" spans="3:24" x14ac:dyDescent="0.2">
      <c r="C210" s="88" t="s">
        <v>126</v>
      </c>
      <c r="D210" s="57">
        <f>126.35138742005*Deflactores!$A$5</f>
        <v>458.72618300164436</v>
      </c>
      <c r="E210" s="57">
        <f>139.75233909396*Deflactores!$B$5</f>
        <v>471.33035220553842</v>
      </c>
      <c r="F210" s="57">
        <f>144.16475233158*Deflactores!$C$5</f>
        <v>454.4381199368346</v>
      </c>
      <c r="G210" s="57">
        <f>141.518099859059*Deflactores!$D$5</f>
        <v>418.90280864298239</v>
      </c>
      <c r="H210" s="57">
        <f>140.67530186146*Deflactores!$E$5</f>
        <v>394.71088217855794</v>
      </c>
      <c r="I210" s="57">
        <f>162.56239130923*Deflactores!$F$5</f>
        <v>435.0022404582715</v>
      </c>
      <c r="J210" s="57">
        <f>198.64574374223*Deflactores!$G$5</f>
        <v>508.7753280823743</v>
      </c>
      <c r="K210" s="57">
        <f>222.001088368069*Deflactores!$H$5</f>
        <v>537.95958908362115</v>
      </c>
      <c r="L210" s="57">
        <f>228.07243461374*Deflactores!$I$5</f>
        <v>513.28078111352875</v>
      </c>
      <c r="M210" s="57">
        <f>264.168005071989*Deflactores!$J$5</f>
        <v>582.84698111558873</v>
      </c>
      <c r="N210" s="57">
        <f>223.51822613973*Deflactores!$K$5</f>
        <v>478.00088596821598</v>
      </c>
      <c r="O210" s="57">
        <f>334.26549073021*Deflactores!$L$5</f>
        <v>689.15482771960785</v>
      </c>
      <c r="P210" s="57">
        <f>441.211806218179*Deflactores!$M$5</f>
        <v>887.97924573777061</v>
      </c>
      <c r="Q210" s="57">
        <f>563.263053337169*Deflactores!$N$5</f>
        <v>1112.0449087921113</v>
      </c>
      <c r="R210" s="57">
        <f>533.486736984278*Deflactores!$O$5</f>
        <v>1016.0696600167013</v>
      </c>
      <c r="S210" s="57">
        <f>520.525268224159*Deflactores!$P$5</f>
        <v>928.52249661227779</v>
      </c>
      <c r="T210" s="57">
        <f>527.61709736037*Deflactores!$Q$5</f>
        <v>889.99813822452006</v>
      </c>
      <c r="U210" s="57">
        <f>568.70561837112*Deflactores!$R$5</f>
        <v>921.61333077806501</v>
      </c>
      <c r="V210" s="57">
        <f>561.847212245629*Deflactores!$S$5</f>
        <v>882.43746035374807</v>
      </c>
      <c r="X210" s="14"/>
    </row>
    <row r="211" spans="3:24" x14ac:dyDescent="0.2">
      <c r="C211" s="87" t="s">
        <v>127</v>
      </c>
      <c r="D211" s="56">
        <f>162.36267304875*Deflactores!$A$5</f>
        <v>589.46728477140744</v>
      </c>
      <c r="E211" s="56">
        <f>176.212293919919*Deflactores!$B$5</f>
        <v>594.29561676517824</v>
      </c>
      <c r="F211" s="56">
        <f>183.29421470424*Deflactores!$C$5</f>
        <v>577.78255071608771</v>
      </c>
      <c r="G211" s="56">
        <f>202.09252200271*Deflactores!$D$5</f>
        <v>598.20705024297843</v>
      </c>
      <c r="H211" s="56">
        <f>212.161283088139*Deflactores!$E$5</f>
        <v>595.28834204546683</v>
      </c>
      <c r="I211" s="56">
        <f>231.94569825457*Deflactores!$F$5</f>
        <v>620.66568775718667</v>
      </c>
      <c r="J211" s="56">
        <f>242.99062646452*Deflactores!$G$5</f>
        <v>622.35230099292528</v>
      </c>
      <c r="K211" s="56">
        <f>268.66944381075*Deflactores!$H$5</f>
        <v>651.04772528018259</v>
      </c>
      <c r="L211" s="56">
        <f>289.04270815675*Deflactores!$I$5</f>
        <v>650.49538875281758</v>
      </c>
      <c r="M211" s="56">
        <f>316.38868377417*Deflactores!$J$5</f>
        <v>698.06405641991614</v>
      </c>
      <c r="N211" s="56">
        <f>328.814223517069*Deflactores!$K$5</f>
        <v>703.17974902795936</v>
      </c>
      <c r="O211" s="56">
        <f>345.454967359439*Deflactores!$L$5</f>
        <v>712.22416048813113</v>
      </c>
      <c r="P211" s="56">
        <f>367.166575577604*Deflactores!$M$5</f>
        <v>738.95642466171034</v>
      </c>
      <c r="Q211" s="56">
        <f>382.795632382603*Deflactores!$N$5</f>
        <v>755.7497896886108</v>
      </c>
      <c r="R211" s="56">
        <f>396.431686182995*Deflactores!$O$5</f>
        <v>755.03696844795991</v>
      </c>
      <c r="S211" s="56">
        <f>406.117934026556*Deflactores!$P$5</f>
        <v>724.44060075671132</v>
      </c>
      <c r="T211" s="56">
        <f>433.734510099165*Deflactores!$Q$5</f>
        <v>731.63456681602179</v>
      </c>
      <c r="U211" s="56">
        <f>469.19364448913*Deflactores!$R$5</f>
        <v>760.34964928963564</v>
      </c>
      <c r="V211" s="56">
        <f>494.88406861495*Deflactores!$S$5</f>
        <v>777.26511969803585</v>
      </c>
      <c r="X211" s="14"/>
    </row>
    <row r="212" spans="3:24" x14ac:dyDescent="0.2">
      <c r="C212" s="88" t="s">
        <v>128</v>
      </c>
      <c r="D212" s="57">
        <f>33.36610314761*Deflactores!$A$5</f>
        <v>121.13761036638586</v>
      </c>
      <c r="E212" s="57">
        <f>38.8518648759599*Deflactores!$B$5</f>
        <v>131.03224800778739</v>
      </c>
      <c r="F212" s="57">
        <f>37.63687024671*Deflactores!$C$5</f>
        <v>118.63946130107453</v>
      </c>
      <c r="G212" s="57">
        <f>44.49025068571*Deflactores!$D$5</f>
        <v>131.69404470548562</v>
      </c>
      <c r="H212" s="57">
        <f>48.32295488074*Deflactores!$E$5</f>
        <v>135.58596212742174</v>
      </c>
      <c r="I212" s="57">
        <f>61.0631337512099*Deflactores!$F$5</f>
        <v>163.39941715455819</v>
      </c>
      <c r="J212" s="57">
        <f>67.41415295408*Deflactores!$G$5</f>
        <v>172.66243484740659</v>
      </c>
      <c r="K212" s="57">
        <f>77.09697757928*Deflactores!$H$5</f>
        <v>186.8236713748656</v>
      </c>
      <c r="L212" s="57">
        <f>92.57426386364*Deflactores!$I$5</f>
        <v>208.33990985106303</v>
      </c>
      <c r="M212" s="57">
        <f>93.68625757796*Deflactores!$J$5</f>
        <v>206.70464005075473</v>
      </c>
      <c r="N212" s="57">
        <f>103.166411195919*Deflactores!$K$5</f>
        <v>220.62467479937263</v>
      </c>
      <c r="O212" s="57">
        <f>112.22748436477*Deflactores!$L$5</f>
        <v>231.37929220229285</v>
      </c>
      <c r="P212" s="57">
        <f>137.7190668195*Deflactores!$M$5</f>
        <v>277.17225911587701</v>
      </c>
      <c r="Q212" s="57">
        <f>198.14356540866*Deflactores!$N$5</f>
        <v>391.19296360224587</v>
      </c>
      <c r="R212" s="57">
        <f>189.05113928826*Deflactores!$O$5</f>
        <v>360.063547049443</v>
      </c>
      <c r="S212" s="57">
        <f>213.70349533202*Deflactores!$P$5</f>
        <v>381.20820473792287</v>
      </c>
      <c r="T212" s="57">
        <f>199.120324314379*Deflactores!$Q$5</f>
        <v>335.88130257541366</v>
      </c>
      <c r="U212" s="57">
        <f>197.92209197841*Deflactores!$R$5</f>
        <v>320.74175554170688</v>
      </c>
      <c r="V212" s="57">
        <f>251.105010878539*Deflactores!$S$5</f>
        <v>394.3856323432031</v>
      </c>
      <c r="X212" s="14"/>
    </row>
    <row r="213" spans="3:24" x14ac:dyDescent="0.2">
      <c r="C213" s="87" t="s">
        <v>129</v>
      </c>
      <c r="D213" s="56">
        <f>5292.24291526974*Deflactores!$A$5</f>
        <v>19213.800826487368</v>
      </c>
      <c r="E213" s="56">
        <f>6319.07822740228*Deflactores!$B$5</f>
        <v>21311.796180623569</v>
      </c>
      <c r="F213" s="56">
        <f>6875.27540888813*Deflactores!$C$5</f>
        <v>21672.337935121341</v>
      </c>
      <c r="G213" s="56">
        <f>7899.51299098113*Deflactores!$D$5</f>
        <v>23383.073840938763</v>
      </c>
      <c r="H213" s="56">
        <f>8776.41684437683*Deflactores!$E$5</f>
        <v>24625.127432975401</v>
      </c>
      <c r="I213" s="56">
        <f>9866.67998904248*Deflactores!$F$5</f>
        <v>26402.342304093425</v>
      </c>
      <c r="J213" s="56">
        <f>10883.0307968638*Deflactores!$G$5</f>
        <v>27873.829360220276</v>
      </c>
      <c r="K213" s="56">
        <f>12888.538544303*Deflactores!$H$5</f>
        <v>31231.886970239382</v>
      </c>
      <c r="L213" s="56">
        <f>14567.1113134319*Deflactores!$I$5</f>
        <v>32783.52461220933</v>
      </c>
      <c r="M213" s="56">
        <f>16292.6914134021*Deflactores!$J$5</f>
        <v>35947.373725146892</v>
      </c>
      <c r="N213" s="56">
        <f>17785.5995190019*Deflactores!$K$5</f>
        <v>38035.074250473619</v>
      </c>
      <c r="O213" s="56">
        <f>19126.1299425501*Deflactores!$L$5</f>
        <v>39432.322961927872</v>
      </c>
      <c r="P213" s="56">
        <f>20762.5034755085*Deflactores!$M$5</f>
        <v>41786.443417819501</v>
      </c>
      <c r="Q213" s="56">
        <f>22352.9136184808*Deflactores!$N$5</f>
        <v>44131.145543504637</v>
      </c>
      <c r="R213" s="56">
        <f>23326.1275752028*Deflactores!$O$5</f>
        <v>44426.541227286383</v>
      </c>
      <c r="S213" s="56">
        <f>24233.5162276841*Deflactores!$P$5</f>
        <v>43228.189605837535</v>
      </c>
      <c r="T213" s="56">
        <f>26023.5433159473*Deflactores!$Q$5</f>
        <v>43897.18456257497</v>
      </c>
      <c r="U213" s="56">
        <f>27369.0924150468*Deflactores!$R$5</f>
        <v>44352.859557198404</v>
      </c>
      <c r="V213" s="56">
        <f>29186.9672012795*Deflactores!$S$5</f>
        <v>45841.062572123847</v>
      </c>
      <c r="X213" s="14"/>
    </row>
    <row r="214" spans="3:24" x14ac:dyDescent="0.2">
      <c r="C214" s="88" t="s">
        <v>130</v>
      </c>
      <c r="D214" s="57">
        <f>6.224247741*Deflactores!$A$5</f>
        <v>22.597499454386345</v>
      </c>
      <c r="E214" s="57">
        <f>6.48643831909*Deflactores!$B$5</f>
        <v>21.876236757945779</v>
      </c>
      <c r="F214" s="57">
        <f>6.15860292044*Deflactores!$C$5</f>
        <v>19.413233036083696</v>
      </c>
      <c r="G214" s="57">
        <f>5.94239688597*Deflactores!$D$5</f>
        <v>17.589882482051987</v>
      </c>
      <c r="H214" s="57">
        <f>7.56484476649999*Deflactores!$E$5</f>
        <v>21.225663011334152</v>
      </c>
      <c r="I214" s="57">
        <f>7.897846859*Deflactores!$F$5</f>
        <v>21.133923109719021</v>
      </c>
      <c r="J214" s="57">
        <f>8.28655036723*Deflactores!$G$5</f>
        <v>21.223673371171692</v>
      </c>
      <c r="K214" s="57">
        <f>9.0943573215*Deflactores!$H$5</f>
        <v>22.037715056344059</v>
      </c>
      <c r="L214" s="57">
        <f>9.72345936437*Deflactores!$I$5</f>
        <v>21.882805899458834</v>
      </c>
      <c r="M214" s="57">
        <f>10.1987930415*Deflactores!$J$5</f>
        <v>22.502103287039034</v>
      </c>
      <c r="N214" s="57">
        <f>12.57798023542*Deflactores!$K$5</f>
        <v>26.898413610633053</v>
      </c>
      <c r="O214" s="57">
        <f>10.51764083197*Deflactores!$L$5</f>
        <v>21.684209577659281</v>
      </c>
      <c r="P214" s="57">
        <f>15.06537560569*Deflactores!$M$5</f>
        <v>30.320450809699164</v>
      </c>
      <c r="Q214" s="57">
        <f>21.74828914771*Deflactores!$N$5</f>
        <v>42.937441180209014</v>
      </c>
      <c r="R214" s="57">
        <f>23.99024368324*Deflactores!$O$5</f>
        <v>45.69140533978419</v>
      </c>
      <c r="S214" s="57">
        <f>27.1787077522399*Deflactores!$P$5</f>
        <v>48.481876130435246</v>
      </c>
      <c r="T214" s="57">
        <f>57.40816521729*Deflactores!$Q$5</f>
        <v>96.837574858527347</v>
      </c>
      <c r="U214" s="57">
        <f>54.23050693398*Deflactores!$R$5</f>
        <v>87.883003984309369</v>
      </c>
      <c r="V214" s="57">
        <f>36.46642153386*Deflactores!$S$5</f>
        <v>57.274176511283379</v>
      </c>
      <c r="X214" s="14"/>
    </row>
    <row r="215" spans="3:24" x14ac:dyDescent="0.2">
      <c r="C215" s="87" t="s">
        <v>131</v>
      </c>
      <c r="D215" s="56">
        <f>4525.79078903379*Deflactores!$A$5</f>
        <v>16431.151062992016</v>
      </c>
      <c r="E215" s="56">
        <f>7250.96751359888*Deflactores!$B$5</f>
        <v>24454.696745488563</v>
      </c>
      <c r="F215" s="56">
        <f>8100.58100902926*Deflactores!$C$5</f>
        <v>25534.763141495689</v>
      </c>
      <c r="G215" s="56">
        <f>9481.50788126156*Deflactores!$D$5</f>
        <v>28065.881930203093</v>
      </c>
      <c r="H215" s="56">
        <f>10872.7470613413*Deflactores!$E$5</f>
        <v>30507.072154803674</v>
      </c>
      <c r="I215" s="56">
        <f>11912.3974082263*Deflactores!$F$5</f>
        <v>31876.496894971096</v>
      </c>
      <c r="J215" s="56">
        <f>12768.2541125784*Deflactores!$G$5</f>
        <v>32702.299846886588</v>
      </c>
      <c r="K215" s="56">
        <f>13616.5519891653*Deflactores!$H$5</f>
        <v>32996.030635139563</v>
      </c>
      <c r="L215" s="56">
        <f>15023.4152874008*Deflactores!$I$5</f>
        <v>33810.444242284844</v>
      </c>
      <c r="M215" s="56">
        <f>17575.5288142572*Deflactores!$J$5</f>
        <v>38777.761554084791</v>
      </c>
      <c r="N215" s="56">
        <f>19130.1314830883*Deflactores!$K$5</f>
        <v>40910.398921510132</v>
      </c>
      <c r="O215" s="56">
        <f>20553.2729912873*Deflactores!$L$5</f>
        <v>42374.662357284527</v>
      </c>
      <c r="P215" s="56">
        <f>21510.7007810495*Deflactores!$M$5</f>
        <v>43292.259150023172</v>
      </c>
      <c r="Q215" s="56">
        <f>23466.8812583554*Deflactores!$N$5</f>
        <v>46330.441299088619</v>
      </c>
      <c r="R215" s="56">
        <f>24471.7674400186*Deflactores!$O$5</f>
        <v>46608.50720178309</v>
      </c>
      <c r="S215" s="56">
        <f>26493.4579769932*Deflactores!$P$5</f>
        <v>47259.515044515654</v>
      </c>
      <c r="T215" s="56">
        <f>28752.3200118594*Deflactores!$Q$5</f>
        <v>48500.155526067938</v>
      </c>
      <c r="U215" s="56">
        <f>32293.648170316*Deflactores!$R$5</f>
        <v>52333.326226782498</v>
      </c>
      <c r="V215" s="56">
        <f>34666.6615613826*Deflactores!$S$5</f>
        <v>54447.472765595005</v>
      </c>
      <c r="X215" s="14"/>
    </row>
    <row r="216" spans="3:24" x14ac:dyDescent="0.2">
      <c r="C216" s="88" t="s">
        <v>132</v>
      </c>
      <c r="D216" s="57">
        <f>26.48581001095*Deflactores!$A$5</f>
        <v>96.158299312049024</v>
      </c>
      <c r="E216" s="57">
        <f>26.3692258985*Deflactores!$B$5</f>
        <v>88.933155686011474</v>
      </c>
      <c r="F216" s="57">
        <f>30.0931185491699*Deflactores!$C$5</f>
        <v>94.859943192406661</v>
      </c>
      <c r="G216" s="57">
        <f>30.98298108624*Deflactores!$D$5</f>
        <v>91.711645436762282</v>
      </c>
      <c r="H216" s="57">
        <f>29.8308202684399*Deflactores!$E$5</f>
        <v>83.70018921915478</v>
      </c>
      <c r="I216" s="57">
        <f>31.15294615312*Deflactores!$F$5</f>
        <v>83.362463263135169</v>
      </c>
      <c r="J216" s="57">
        <f>38.79691088175*Deflactores!$G$5</f>
        <v>99.367399928079664</v>
      </c>
      <c r="K216" s="57">
        <f>41.43821561205*Deflactores!$H$5</f>
        <v>100.41430700581756</v>
      </c>
      <c r="L216" s="57">
        <f>42.98372513036*Deflactores!$I$5</f>
        <v>96.735583357302616</v>
      </c>
      <c r="M216" s="57">
        <f>41.18396590688*Deflactores!$J$5</f>
        <v>90.8662280757693</v>
      </c>
      <c r="N216" s="57">
        <f>42.98077616109*Deflactores!$K$5</f>
        <v>91.915766510061715</v>
      </c>
      <c r="O216" s="57">
        <f>42.43902201113*Deflactores!$L$5</f>
        <v>87.496489209155669</v>
      </c>
      <c r="P216" s="57">
        <f>48.58657026445*Deflactores!$M$5</f>
        <v>97.784930975026739</v>
      </c>
      <c r="Q216" s="57">
        <f>53.0546764312599*Deflactores!$N$5</f>
        <v>104.74534493864361</v>
      </c>
      <c r="R216" s="57">
        <f>58.9277698738199*Deflactores!$O$5</f>
        <v>112.23281658265316</v>
      </c>
      <c r="S216" s="57">
        <f>60.27436461856*Deflactores!$P$5</f>
        <v>107.51851434279041</v>
      </c>
      <c r="T216" s="57">
        <f>65.6043421592399*Deflactores!$Q$5</f>
        <v>110.66309767685227</v>
      </c>
      <c r="U216" s="57">
        <f>69.0167748833999*Deflactores!$R$5</f>
        <v>111.84482397418877</v>
      </c>
      <c r="V216" s="57">
        <f>75.5182921467199*Deflactores!$S$5</f>
        <v>118.60906039891516</v>
      </c>
      <c r="X216" s="14"/>
    </row>
    <row r="217" spans="3:24" x14ac:dyDescent="0.2">
      <c r="C217" s="87" t="s">
        <v>133</v>
      </c>
      <c r="D217" s="56">
        <f>553.85965850444*Deflactores!$A$5</f>
        <v>2010.8202391137258</v>
      </c>
      <c r="E217" s="56">
        <f>608.06125723718*Deflactores!$B$5</f>
        <v>2050.7544159490149</v>
      </c>
      <c r="F217" s="56">
        <f>627.56286365562*Deflactores!$C$5</f>
        <v>1978.2123111889405</v>
      </c>
      <c r="G217" s="56">
        <f>652.247917801349*Deflactores!$D$5</f>
        <v>1930.6963912788294</v>
      </c>
      <c r="H217" s="56">
        <f>704.315085764969*Deflactores!$E$5</f>
        <v>1976.187896207528</v>
      </c>
      <c r="I217" s="56">
        <f>798.38944527985*Deflactores!$F$5</f>
        <v>2136.4178679823108</v>
      </c>
      <c r="J217" s="56">
        <f>869.63458605359*Deflactores!$G$5</f>
        <v>2227.324952933966</v>
      </c>
      <c r="K217" s="56">
        <f>977.34275265415*Deflactores!$H$5</f>
        <v>2368.325801808568</v>
      </c>
      <c r="L217" s="56">
        <f>1131.95505996227*Deflactores!$I$5</f>
        <v>2547.4835586634408</v>
      </c>
      <c r="M217" s="56">
        <f>1305.8970352268*Deflactores!$J$5</f>
        <v>2881.265444777533</v>
      </c>
      <c r="N217" s="56">
        <f>1372.42656172225*Deflactores!$K$5</f>
        <v>2934.9781615546799</v>
      </c>
      <c r="O217" s="56">
        <f>1454.21462116333*Deflactores!$L$5</f>
        <v>2998.152829135513</v>
      </c>
      <c r="P217" s="56">
        <f>1712.83816785903*Deflactores!$M$5</f>
        <v>3447.2439833448384</v>
      </c>
      <c r="Q217" s="56">
        <f>1962.22725165863*Deflactores!$N$5</f>
        <v>3874.0066691253778</v>
      </c>
      <c r="R217" s="56">
        <f>2247.69982442713*Deflactores!$O$5</f>
        <v>4280.9304113826129</v>
      </c>
      <c r="S217" s="56">
        <f>2493.38857678423*Deflactores!$P$5</f>
        <v>4447.7521605026541</v>
      </c>
      <c r="T217" s="56">
        <f>2817.65371275184*Deflactores!$Q$5</f>
        <v>4752.8910095150777</v>
      </c>
      <c r="U217" s="56">
        <f>3027.52040369815*Deflactores!$R$5</f>
        <v>4906.234566914376</v>
      </c>
      <c r="V217" s="56">
        <f>3350.52459156657*Deflactores!$S$5</f>
        <v>5262.3352879469321</v>
      </c>
      <c r="X217" s="14"/>
    </row>
    <row r="218" spans="3:24" x14ac:dyDescent="0.2">
      <c r="C218" s="88" t="s">
        <v>134</v>
      </c>
      <c r="D218" s="57">
        <f>4497.67330283359*Deflactores!$A$5</f>
        <v>16329.068866796264</v>
      </c>
      <c r="E218" s="57">
        <f>4505.5820948199*Deflactores!$B$5</f>
        <v>15195.578187887466</v>
      </c>
      <c r="F218" s="57">
        <f>4329.6236639101*Deflactores!$C$5</f>
        <v>13647.89940703373</v>
      </c>
      <c r="G218" s="57">
        <f>3460.46925897269*Deflactores!$D$5</f>
        <v>10243.214777827352</v>
      </c>
      <c r="H218" s="57">
        <f>4174.83226922825*Deflactores!$E$5</f>
        <v>11713.866656973179</v>
      </c>
      <c r="I218" s="57">
        <f>5073.0484470288*Deflactores!$F$5</f>
        <v>13575.018321507587</v>
      </c>
      <c r="J218" s="57">
        <f>5160.60173028393*Deflactores!$G$5</f>
        <v>13217.433149913008</v>
      </c>
      <c r="K218" s="57">
        <f>5478.62673894694*Deflactores!$H$5</f>
        <v>13275.97000038109</v>
      </c>
      <c r="L218" s="57">
        <f>5529.38591086574*Deflactores!$I$5</f>
        <v>12443.974319886211</v>
      </c>
      <c r="M218" s="57">
        <f>5348.87389713143*Deflactores!$J$5</f>
        <v>11801.485961410999</v>
      </c>
      <c r="N218" s="57">
        <f>6185.80036632538*Deflactores!$K$5</f>
        <v>13228.532216776022</v>
      </c>
      <c r="O218" s="57">
        <f>5966.35495448134*Deflactores!$L$5</f>
        <v>12300.828038776692</v>
      </c>
      <c r="P218" s="57">
        <f>6533.26590589604*Deflactores!$M$5</f>
        <v>13148.797129995806</v>
      </c>
      <c r="Q218" s="57">
        <f>6690.55016396163*Deflactores!$N$5</f>
        <v>13209.089789878441</v>
      </c>
      <c r="R218" s="57">
        <f>9991.18895857833*Deflactores!$O$5</f>
        <v>19029.046580785904</v>
      </c>
      <c r="S218" s="57">
        <f>13214.2190534966*Deflactores!$P$5</f>
        <v>23571.765705426558</v>
      </c>
      <c r="T218" s="57">
        <f>15092.5713339462*Deflactores!$Q$5</f>
        <v>25458.538882522953</v>
      </c>
      <c r="U218" s="57">
        <f>18066.5746154896*Deflactores!$R$5</f>
        <v>29277.706196787156</v>
      </c>
      <c r="V218" s="57">
        <f>9966.49431834293*Deflactores!$S$5</f>
        <v>15653.380035039972</v>
      </c>
      <c r="X218" s="14"/>
    </row>
    <row r="219" spans="3:24" x14ac:dyDescent="0.2">
      <c r="C219" s="87" t="s">
        <v>135</v>
      </c>
      <c r="D219" s="56"/>
      <c r="E219" s="56"/>
      <c r="F219" s="56"/>
      <c r="G219" s="56"/>
      <c r="H219" s="56"/>
      <c r="I219" s="56"/>
      <c r="J219" s="56"/>
      <c r="K219" s="56"/>
      <c r="L219" s="56"/>
      <c r="M219" s="56"/>
      <c r="N219" s="56"/>
      <c r="O219" s="56"/>
      <c r="P219" s="56"/>
      <c r="Q219" s="56"/>
      <c r="R219" s="56"/>
      <c r="S219" s="56"/>
      <c r="T219" s="56"/>
      <c r="U219" s="56"/>
      <c r="V219" s="56"/>
      <c r="X219" s="14"/>
    </row>
    <row r="220" spans="3:24" x14ac:dyDescent="0.2">
      <c r="C220" s="88" t="s">
        <v>136</v>
      </c>
      <c r="D220" s="57">
        <f>132.4655331882*Deflactores!$A$5</f>
        <v>480.92395073342976</v>
      </c>
      <c r="E220" s="57">
        <f>142.19854219472*Deflactores!$B$5</f>
        <v>479.58044502346485</v>
      </c>
      <c r="F220" s="57">
        <f>150.22082575209*Deflactores!$C$5</f>
        <v>473.52815806963793</v>
      </c>
      <c r="G220" s="57">
        <f>144.899587979879*Deflactores!$D$5</f>
        <v>428.91223409891427</v>
      </c>
      <c r="H220" s="57">
        <f>145.57413807061*Deflactores!$E$5</f>
        <v>408.45618029539526</v>
      </c>
      <c r="I220" s="57">
        <f>150.12712339351*Deflactores!$F$5</f>
        <v>401.72658942686394</v>
      </c>
      <c r="J220" s="57">
        <f>158.72546270256*Deflactores!$G$5</f>
        <v>406.53073073799692</v>
      </c>
      <c r="K220" s="57">
        <f>201.49838345623*Deflactores!$H$5</f>
        <v>488.27682946043876</v>
      </c>
      <c r="L220" s="57">
        <f>222.21925650005*Deflactores!$I$5</f>
        <v>500.10810709319179</v>
      </c>
      <c r="M220" s="57">
        <f>457.85428708307*Deflactores!$J$5</f>
        <v>1010.1866384026147</v>
      </c>
      <c r="N220" s="57">
        <f>593.59590315212*Deflactores!$K$5</f>
        <v>1269.4238519790331</v>
      </c>
      <c r="O220" s="57">
        <f>734.11159954104*Deflactores!$L$5</f>
        <v>1513.5171501057016</v>
      </c>
      <c r="P220" s="57">
        <f>1171.51787288038*Deflactores!$M$5</f>
        <v>2357.7872179925703</v>
      </c>
      <c r="Q220" s="57">
        <f>1103.97688018436*Deflactores!$N$5</f>
        <v>2179.5710933987575</v>
      </c>
      <c r="R220" s="57">
        <f>1118.38771786222*Deflactores!$O$5</f>
        <v>2130.0620043129752</v>
      </c>
      <c r="S220" s="57">
        <f>1088.05530085805*Deflactores!$P$5</f>
        <v>1940.8929519438254</v>
      </c>
      <c r="T220" s="57">
        <f>1044.59474870687*Deflactores!$Q$5</f>
        <v>1762.049384296648</v>
      </c>
      <c r="U220" s="57">
        <f>1181.90141837981*Deflactores!$R$5</f>
        <v>1915.3250252110586</v>
      </c>
      <c r="V220" s="57">
        <f>1319.61249853681*Deflactores!$S$5</f>
        <v>2072.5839275870612</v>
      </c>
      <c r="X220" s="14"/>
    </row>
    <row r="221" spans="3:24" x14ac:dyDescent="0.2">
      <c r="C221" s="87" t="s">
        <v>137</v>
      </c>
      <c r="D221" s="56">
        <f>40.28043249437*Deflactores!$A$5</f>
        <v>146.24049189400219</v>
      </c>
      <c r="E221" s="56">
        <f>38.38875972712*Deflactores!$B$5</f>
        <v>129.47037423647143</v>
      </c>
      <c r="F221" s="56">
        <f>40.21225868783*Deflactores!$C$5</f>
        <v>126.7576362527285</v>
      </c>
      <c r="G221" s="56">
        <f>40.72814560369*Deflactores!$D$5</f>
        <v>120.55796821182336</v>
      </c>
      <c r="H221" s="56">
        <f>43.06725851805*Deflactores!$E$5</f>
        <v>120.83937533976372</v>
      </c>
      <c r="I221" s="56">
        <f>44.3289278592699*Deflactores!$F$5</f>
        <v>118.62019733220197</v>
      </c>
      <c r="J221" s="56">
        <f>46.82146547345*Deflactores!$G$5</f>
        <v>119.92004464220423</v>
      </c>
      <c r="K221" s="56">
        <f>48.10716023558*Deflactores!$H$5</f>
        <v>116.57469043307124</v>
      </c>
      <c r="L221" s="56">
        <f>50.8143633387199*Deflactores!$I$5</f>
        <v>114.35856398190754</v>
      </c>
      <c r="M221" s="56">
        <f>55.58083299583*Deflactores!$J$5</f>
        <v>122.630750497893</v>
      </c>
      <c r="N221" s="56">
        <f>55.1104765613099*Deflactores!$K$5</f>
        <v>117.85551933455656</v>
      </c>
      <c r="O221" s="56">
        <f>56.64784524386*Deflactores!$L$5</f>
        <v>116.7908058484815</v>
      </c>
      <c r="P221" s="56">
        <f>88.62297479424*Deflactores!$M$5</f>
        <v>178.36186884335518</v>
      </c>
      <c r="Q221" s="56">
        <f>113.54618465175*Deflactores!$N$5</f>
        <v>224.17315640826044</v>
      </c>
      <c r="R221" s="56">
        <f>120.49079417961*Deflactores!$O$5</f>
        <v>229.48469341389949</v>
      </c>
      <c r="S221" s="56">
        <f>118.07408337558*Deflactores!$P$5</f>
        <v>210.62271012343399</v>
      </c>
      <c r="T221" s="56">
        <f>133.15833696993*Deflactores!$Q$5</f>
        <v>224.61491976892191</v>
      </c>
      <c r="U221" s="56">
        <f>138.72628481202*Deflactores!$R$5</f>
        <v>224.81225660872568</v>
      </c>
      <c r="V221" s="56">
        <f>142.84899399384*Deflactores!$S$5</f>
        <v>224.35868813905049</v>
      </c>
      <c r="X221" s="14"/>
    </row>
    <row r="222" spans="3:24" x14ac:dyDescent="0.2">
      <c r="C222" s="88" t="s">
        <v>138</v>
      </c>
      <c r="D222" s="57">
        <f>139.87322609475*Deflactores!$A$5</f>
        <v>507.81801783673103</v>
      </c>
      <c r="E222" s="57">
        <f>155.40268809573*Deflactores!$B$5</f>
        <v>524.11289992507545</v>
      </c>
      <c r="F222" s="57">
        <f>169.836471861559*Deflactores!$C$5</f>
        <v>535.36086818196054</v>
      </c>
      <c r="G222" s="57">
        <f>178.677987978699*Deflactores!$D$5</f>
        <v>528.89850189832646</v>
      </c>
      <c r="H222" s="57">
        <f>201.746617911699*Deflactores!$E$5</f>
        <v>566.06656946000385</v>
      </c>
      <c r="I222" s="57">
        <f>220.531902905889*Deflactores!$F$5</f>
        <v>590.12340482925015</v>
      </c>
      <c r="J222" s="57">
        <f>229.60864118934*Deflactores!$G$5</f>
        <v>588.07810099995663</v>
      </c>
      <c r="K222" s="57">
        <f>241.77528992866*Deflactores!$H$5</f>
        <v>585.87701788629136</v>
      </c>
      <c r="L222" s="57">
        <f>276.4616017542*Deflactores!$I$5</f>
        <v>622.18140099489392</v>
      </c>
      <c r="M222" s="57">
        <f>266.49835513089*Deflactores!$J$5</f>
        <v>587.98854811346507</v>
      </c>
      <c r="N222" s="57">
        <f>266.521193427019*Deflactores!$K$5</f>
        <v>569.96410891244398</v>
      </c>
      <c r="O222" s="57">
        <f>273.580532778509*Deflactores!$L$5</f>
        <v>564.04071064154346</v>
      </c>
      <c r="P222" s="57">
        <f>107.98978200229*Deflactores!$M$5</f>
        <v>217.33934545341896</v>
      </c>
      <c r="Q222" s="57">
        <f>135.39801471765*Deflactores!$N$5</f>
        <v>267.31501744211096</v>
      </c>
      <c r="R222" s="57">
        <f>120.23630627767*Deflactores!$O$5</f>
        <v>229.00000013461715</v>
      </c>
      <c r="S222" s="57">
        <f>61.06332925316*Deflactores!$P$5</f>
        <v>108.92588389231651</v>
      </c>
      <c r="T222" s="57">
        <f>79.27123751715*Deflactores!$Q$5</f>
        <v>133.71676952467996</v>
      </c>
      <c r="U222" s="57">
        <f>80.5239965851*Deflactores!$R$5</f>
        <v>130.49280032244565</v>
      </c>
      <c r="V222" s="57">
        <f>85.16624505572*Deflactores!$S$5</f>
        <v>133.76213916672182</v>
      </c>
      <c r="X222" s="14"/>
    </row>
    <row r="223" spans="3:24" x14ac:dyDescent="0.2">
      <c r="C223" s="87" t="s">
        <v>139</v>
      </c>
      <c r="D223" s="56">
        <f>413.6121428413*Deflactores!$A$5</f>
        <v>1501.6433408677592</v>
      </c>
      <c r="E223" s="56">
        <f>486.10094742097*Deflactores!$B$5</f>
        <v>1639.4296670865087</v>
      </c>
      <c r="F223" s="56">
        <f>491.29762082519*Deflactores!$C$5</f>
        <v>1548.6751340142389</v>
      </c>
      <c r="G223" s="56">
        <f>531.789690734509*Deflactores!$D$5</f>
        <v>1574.1321801093188</v>
      </c>
      <c r="H223" s="56">
        <f>644.56058732327*Deflactores!$E$5</f>
        <v>1808.526974340177</v>
      </c>
      <c r="I223" s="56">
        <f>761.31596088897*Deflactores!$F$5</f>
        <v>2037.2125804508898</v>
      </c>
      <c r="J223" s="56">
        <f>852.704309708209*Deflactores!$G$5</f>
        <v>2183.9628010958477</v>
      </c>
      <c r="K223" s="56">
        <f>834.86944596983*Deflactores!$H$5</f>
        <v>2023.0802803442436</v>
      </c>
      <c r="L223" s="56">
        <f>907.27978509735*Deflactores!$I$5</f>
        <v>2041.8481416746683</v>
      </c>
      <c r="M223" s="56">
        <f>1155.42905161845*Deflactores!$J$5</f>
        <v>2549.2804643224722</v>
      </c>
      <c r="N223" s="56">
        <f>1615.62727376911*Deflactores!$K$5</f>
        <v>3455.0706740723281</v>
      </c>
      <c r="O223" s="56">
        <f>1908.0212447803*Deflactores!$L$5</f>
        <v>3933.765490896008</v>
      </c>
      <c r="P223" s="56">
        <f>1805.54671420312*Deflactores!$M$5</f>
        <v>3633.8284398255005</v>
      </c>
      <c r="Q223" s="56">
        <f>2322.96530556225*Deflactores!$N$5</f>
        <v>4586.2083906378348</v>
      </c>
      <c r="R223" s="56">
        <f>2394.73527966533*Deflactores!$O$5</f>
        <v>4560.9716095177446</v>
      </c>
      <c r="S223" s="56">
        <f>2304.96789040998*Deflactores!$P$5</f>
        <v>4111.6438929395981</v>
      </c>
      <c r="T223" s="56">
        <f>2383.25674148544*Deflactores!$Q$5</f>
        <v>4020.1389861032885</v>
      </c>
      <c r="U223" s="56">
        <f>2540.10326881271*Deflactores!$R$5</f>
        <v>4116.3529222654379</v>
      </c>
      <c r="V223" s="56">
        <f>2952.99565666137*Deflactores!$S$5</f>
        <v>4637.9761808993135</v>
      </c>
      <c r="X223" s="14"/>
    </row>
    <row r="224" spans="3:24" x14ac:dyDescent="0.2">
      <c r="C224" s="88" t="s">
        <v>140</v>
      </c>
      <c r="D224" s="57">
        <f>83.1204466983199*Deflactores!$A$5</f>
        <v>301.7736965289655</v>
      </c>
      <c r="E224" s="57">
        <f>75.5852423801599*Deflactores!$B$5</f>
        <v>254.91966104860333</v>
      </c>
      <c r="F224" s="57">
        <f>91.20721606314*Deflactores!$C$5</f>
        <v>287.50464397202455</v>
      </c>
      <c r="G224" s="57">
        <f>62.81247802285*Deflactores!$D$5</f>
        <v>185.92903301982219</v>
      </c>
      <c r="H224" s="57">
        <f>1948.29972056849*Deflactores!$E$5</f>
        <v>5466.5964193996815</v>
      </c>
      <c r="I224" s="57">
        <f>2099.0601038884*Deflactores!$F$5</f>
        <v>5616.8947854065073</v>
      </c>
      <c r="J224" s="57">
        <f>130.07240751671*Deflactores!$G$5</f>
        <v>333.1439705783626</v>
      </c>
      <c r="K224" s="57">
        <f>112.194547890949*Deflactores!$H$5</f>
        <v>271.87313956213359</v>
      </c>
      <c r="L224" s="57">
        <f>114.390584735229*Deflactores!$I$5</f>
        <v>257.43790030728439</v>
      </c>
      <c r="M224" s="57">
        <f>103.273878708539*Deflactores!$J$5</f>
        <v>227.85828441626055</v>
      </c>
      <c r="N224" s="57">
        <f>945.42529593505*Deflactores!$K$5</f>
        <v>2021.8222776661062</v>
      </c>
      <c r="O224" s="57">
        <f>703.72363172918*Deflactores!$L$5</f>
        <v>1450.8663072789921</v>
      </c>
      <c r="P224" s="57">
        <f>152.36142597922*Deflactores!$M$5</f>
        <v>306.64135051194944</v>
      </c>
      <c r="Q224" s="57">
        <f>218.7304769365*Deflactores!$N$5</f>
        <v>431.8375079526171</v>
      </c>
      <c r="R224" s="57">
        <f>425.20569214428*Deflactores!$O$5</f>
        <v>809.83944511246034</v>
      </c>
      <c r="S224" s="57">
        <f>708.61243868158*Deflactores!$P$5</f>
        <v>1264.0358323811288</v>
      </c>
      <c r="T224" s="57">
        <f>523.258524235*Deflactores!$Q$5</f>
        <v>882.64598457691886</v>
      </c>
      <c r="U224" s="57">
        <f>648.55815310444*Deflactores!$R$5</f>
        <v>1051.0179966180665</v>
      </c>
      <c r="V224" s="57">
        <f>577.936707992939*Deflactores!$S$5</f>
        <v>907.70762892659059</v>
      </c>
      <c r="X224" s="14"/>
    </row>
    <row r="225" spans="2:24" x14ac:dyDescent="0.2">
      <c r="C225" s="87" t="s">
        <v>141</v>
      </c>
      <c r="D225" s="56">
        <f>330.98653714445*Deflactores!$A$5</f>
        <v>1201.6661938538564</v>
      </c>
      <c r="E225" s="56">
        <f>324.29685865557*Deflactores!$B$5</f>
        <v>1093.7273293616427</v>
      </c>
      <c r="F225" s="56">
        <f>348.69190980545*Deflactores!$C$5</f>
        <v>1099.1514455954973</v>
      </c>
      <c r="G225" s="56">
        <f>354.71970836968*Deflactores!$D$5</f>
        <v>1049.9934797390986</v>
      </c>
      <c r="H225" s="56">
        <f>379.47339523117*Deflactores!$E$5</f>
        <v>1064.7375666731921</v>
      </c>
      <c r="I225" s="56">
        <f>431.553272707019*Deflactores!$F$5</f>
        <v>1154.7974841705832</v>
      </c>
      <c r="J225" s="56">
        <f>488.01032965096*Deflactores!$G$5</f>
        <v>1249.9015126039747</v>
      </c>
      <c r="K225" s="56">
        <f>549.487148996419*Deflactores!$H$5</f>
        <v>1331.5334760465134</v>
      </c>
      <c r="L225" s="56">
        <f>634.68410127715*Deflactores!$I$5</f>
        <v>1428.3670528426403</v>
      </c>
      <c r="M225" s="56">
        <f>705.13820138687*Deflactores!$J$5</f>
        <v>1555.7814120434989</v>
      </c>
      <c r="N225" s="56">
        <f>783.70735828958*Deflactores!$K$5</f>
        <v>1675.9832881281197</v>
      </c>
      <c r="O225" s="56">
        <f>830.342692577229*Deflactores!$L$5</f>
        <v>1711.9166983143755</v>
      </c>
      <c r="P225" s="56">
        <f>939.197728884529*Deflactores!$M$5</f>
        <v>1890.2216104369261</v>
      </c>
      <c r="Q225" s="56">
        <f>1047.48341563367*Deflactores!$N$5</f>
        <v>2068.0365816614562</v>
      </c>
      <c r="R225" s="56">
        <f>1191.10280200866*Deflactores!$O$5</f>
        <v>2268.5539024329032</v>
      </c>
      <c r="S225" s="56">
        <f>1260.71590365296*Deflactores!$P$5</f>
        <v>2248.888094082959</v>
      </c>
      <c r="T225" s="56">
        <f>1391.12839334215*Deflactores!$Q$5</f>
        <v>2346.5912804947261</v>
      </c>
      <c r="U225" s="56">
        <f>1433.60861488281*Deflactores!$R$5</f>
        <v>2323.2279898667684</v>
      </c>
      <c r="V225" s="56">
        <f>1545.89375367141*Deflactores!$S$5</f>
        <v>2427.9813590498675</v>
      </c>
      <c r="X225" s="14"/>
    </row>
    <row r="226" spans="2:24" x14ac:dyDescent="0.2">
      <c r="C226" s="88" t="s">
        <v>142</v>
      </c>
      <c r="D226" s="57">
        <f>34.21070046103*Deflactores!$A$5</f>
        <v>124.2039708525638</v>
      </c>
      <c r="E226" s="57">
        <f>38.70256779649*Deflactores!$B$5</f>
        <v>130.52872695400029</v>
      </c>
      <c r="F226" s="57">
        <f>42.00992435621*Deflactores!$C$5</f>
        <v>132.42426275748369</v>
      </c>
      <c r="G226" s="57">
        <f>39.74885312057*Deflactores!$D$5</f>
        <v>117.6591985698448</v>
      </c>
      <c r="H226" s="57">
        <f>45.7171570732499*Deflactores!$E$5</f>
        <v>128.27453831838457</v>
      </c>
      <c r="I226" s="57">
        <f>40.3937115361*Deflactores!$F$5</f>
        <v>108.08991475281624</v>
      </c>
      <c r="J226" s="57">
        <f>49.3055870578999*Deflactores!$G$5</f>
        <v>126.28242497976152</v>
      </c>
      <c r="K226" s="57">
        <f>55.52874886061*Deflactores!$H$5</f>
        <v>134.55890301697258</v>
      </c>
      <c r="L226" s="57">
        <f>58.75720484383*Deflactores!$I$5</f>
        <v>132.23405997908256</v>
      </c>
      <c r="M226" s="57">
        <f>58.4343235471399*Deflactores!$J$5</f>
        <v>128.92654832935108</v>
      </c>
      <c r="N226" s="57">
        <f>79.73913328744*Deflactores!$K$5</f>
        <v>170.52469060803375</v>
      </c>
      <c r="O226" s="57">
        <f>67.58831018856*Deflactores!$L$5</f>
        <v>139.34675147621161</v>
      </c>
      <c r="P226" s="57">
        <f>89.4454998821*Deflactores!$M$5</f>
        <v>180.01727605781477</v>
      </c>
      <c r="Q226" s="57">
        <f>109.124591302359*Deflactores!$N$5</f>
        <v>215.44364655703291</v>
      </c>
      <c r="R226" s="57">
        <f>160.468708301089*Deflactores!$O$5</f>
        <v>305.62594078437564</v>
      </c>
      <c r="S226" s="57">
        <f>163.28199370506*Deflactores!$P$5</f>
        <v>291.26540766040728</v>
      </c>
      <c r="T226" s="57">
        <f>160.894288306599*Deflactores!$Q$5</f>
        <v>271.40063838004784</v>
      </c>
      <c r="U226" s="57">
        <f>166.71023100767*Deflactores!$R$5</f>
        <v>270.16151469334886</v>
      </c>
      <c r="V226" s="57">
        <f>160.082127463608*Deflactores!$S$5</f>
        <v>251.42505458450859</v>
      </c>
      <c r="X226" s="14"/>
    </row>
    <row r="227" spans="2:24" x14ac:dyDescent="0.2">
      <c r="C227" s="87" t="s">
        <v>143</v>
      </c>
      <c r="D227" s="56">
        <f>40.77466491261*Deflactores!$A$5</f>
        <v>148.03483191166418</v>
      </c>
      <c r="E227" s="56">
        <f>48.7188006844499*Deflactores!$B$5</f>
        <v>164.30958962479099</v>
      </c>
      <c r="F227" s="56">
        <f>44.26091933012*Deflactores!$C$5</f>
        <v>139.51988014930052</v>
      </c>
      <c r="G227" s="56">
        <f>42.17268777616*Deflactores!$D$5</f>
        <v>124.8339072885462</v>
      </c>
      <c r="H227" s="56">
        <f>70.79457489002*Deflactores!$E$5</f>
        <v>198.6374917170252</v>
      </c>
      <c r="I227" s="56">
        <f>83.1010246837999*Deflactores!$F$5</f>
        <v>222.370817940709</v>
      </c>
      <c r="J227" s="56">
        <f>152.87978478614*Deflactores!$G$5</f>
        <v>391.55866718525431</v>
      </c>
      <c r="K227" s="56">
        <f>207.68690929004*Deflactores!$H$5</f>
        <v>503.27304789820681</v>
      </c>
      <c r="L227" s="56">
        <f>229.72081069987*Deflactores!$I$5</f>
        <v>516.99047872117944</v>
      </c>
      <c r="M227" s="56">
        <f>241.66311817121*Deflactores!$J$5</f>
        <v>533.19333215498773</v>
      </c>
      <c r="N227" s="56">
        <f>232.6856493385*Deflactores!$K$5</f>
        <v>497.60571411461626</v>
      </c>
      <c r="O227" s="56">
        <f>201.756110405469*Deflactores!$L$5</f>
        <v>415.96037091391264</v>
      </c>
      <c r="P227" s="56">
        <f>251.165049447439*Deflactores!$M$5</f>
        <v>505.49270899097121</v>
      </c>
      <c r="Q227" s="56">
        <f>322.3086015684*Deflactores!$N$5</f>
        <v>636.33081791979919</v>
      </c>
      <c r="R227" s="56">
        <f>303.42385259997*Deflactores!$O$5</f>
        <v>577.89584891085099</v>
      </c>
      <c r="S227" s="56">
        <f>386.89641640346*Deflactores!$P$5</f>
        <v>690.15290595764145</v>
      </c>
      <c r="T227" s="56">
        <f>441.58890057785*Deflactores!$Q$5</f>
        <v>744.88355540621433</v>
      </c>
      <c r="U227" s="56">
        <f>913.481582068379*Deflactores!$R$5</f>
        <v>1480.3384673176763</v>
      </c>
      <c r="V227" s="56">
        <f>535.46146471208*Deflactores!$S$5</f>
        <v>840.99599453250107</v>
      </c>
      <c r="X227" s="14"/>
    </row>
    <row r="228" spans="2:24" x14ac:dyDescent="0.2">
      <c r="C228" s="88" t="s">
        <v>144</v>
      </c>
      <c r="D228" s="57">
        <f>648.293309847219*Deflactores!$A$5</f>
        <v>2353.6671940376814</v>
      </c>
      <c r="E228" s="57">
        <f>733.86382156283*Deflactores!$B$5</f>
        <v>2475.0375967271402</v>
      </c>
      <c r="F228" s="57">
        <f>742.22168605816*Deflactores!$C$5</f>
        <v>2339.6414319974651</v>
      </c>
      <c r="G228" s="57">
        <f>743.62049048253*Deflactores!$D$5</f>
        <v>2201.1651678325134</v>
      </c>
      <c r="H228" s="57">
        <f>833.20222115808*Deflactores!$E$5</f>
        <v>2337.823195647532</v>
      </c>
      <c r="I228" s="57">
        <f>975.651544951769*Deflactores!$F$5</f>
        <v>2610.7551970816526</v>
      </c>
      <c r="J228" s="57">
        <f>1101.31913948581*Deflactores!$G$5</f>
        <v>2820.7199205958727</v>
      </c>
      <c r="K228" s="57">
        <f>1200.63062102362*Deflactores!$H$5</f>
        <v>2909.4035541673484</v>
      </c>
      <c r="L228" s="57">
        <f>1321.76166911568*Deflactores!$I$5</f>
        <v>2974.6464675514371</v>
      </c>
      <c r="M228" s="57">
        <f>1532.83931403791*Deflactores!$J$5</f>
        <v>3381.9794584087517</v>
      </c>
      <c r="N228" s="57">
        <f>1649.7047763433*Deflactores!$K$5</f>
        <v>3527.9465048417796</v>
      </c>
      <c r="O228" s="57">
        <f>1808.57890573014*Deflactores!$L$5</f>
        <v>3728.7453199940096</v>
      </c>
      <c r="P228" s="57">
        <f>2085.50490399103*Deflactores!$M$5</f>
        <v>4197.2699858186033</v>
      </c>
      <c r="Q228" s="57">
        <f>2468.78211351965*Deflactores!$N$5</f>
        <v>4874.0931328459801</v>
      </c>
      <c r="R228" s="57">
        <f>2699.52904492785*Deflactores!$O$5</f>
        <v>5141.4765705147893</v>
      </c>
      <c r="S228" s="57">
        <f>2859.14267356723*Deflactores!$P$5</f>
        <v>5100.1910099167235</v>
      </c>
      <c r="T228" s="57">
        <f>3103.56997730652*Deflactores!$Q$5</f>
        <v>5235.181944389713</v>
      </c>
      <c r="U228" s="57">
        <f>3372.54167358996*Deflactores!$R$5</f>
        <v>5465.3572333037328</v>
      </c>
      <c r="V228" s="57">
        <f>3909.73623852785*Deflactores!$S$5</f>
        <v>6140.633328391802</v>
      </c>
      <c r="X228" s="14"/>
    </row>
    <row r="229" spans="2:24" x14ac:dyDescent="0.2">
      <c r="C229" s="87" t="s">
        <v>145</v>
      </c>
      <c r="D229" s="56">
        <f>156.4003456494*Deflactores!$A$5</f>
        <v>567.82070260434898</v>
      </c>
      <c r="E229" s="56">
        <f>129.42913467074*Deflactores!$B$5</f>
        <v>436.51419379108273</v>
      </c>
      <c r="F229" s="56">
        <f>195.12091161476*Deflactores!$C$5</f>
        <v>615.06282777519903</v>
      </c>
      <c r="G229" s="56">
        <f>236.92285074349*Deflactores!$D$5</f>
        <v>701.30709574954017</v>
      </c>
      <c r="H229" s="56">
        <f>129.03754725752*Deflactores!$E$5</f>
        <v>362.05732945455128</v>
      </c>
      <c r="I229" s="56">
        <f>142.09987226784*Deflactores!$F$5</f>
        <v>380.24639221602621</v>
      </c>
      <c r="J229" s="56">
        <f>392.15738265753*Deflactores!$G$5</f>
        <v>1004.401087397143</v>
      </c>
      <c r="K229" s="56">
        <f>324.97624286637*Deflactores!$H$5</f>
        <v>787.49202249170992</v>
      </c>
      <c r="L229" s="56">
        <f>255.01993312458*Deflactores!$I$5</f>
        <v>573.92657159726105</v>
      </c>
      <c r="M229" s="56">
        <f>295.631484691079*Deflactores!$J$5</f>
        <v>652.26641783496359</v>
      </c>
      <c r="N229" s="56">
        <f>658.41295675635*Deflactores!$K$5</f>
        <v>1408.0371972249948</v>
      </c>
      <c r="O229" s="56">
        <f>499.472277036*Deflactores!$L$5</f>
        <v>1029.7614937142412</v>
      </c>
      <c r="P229" s="56">
        <f>374.17023871506*Deflactores!$M$5</f>
        <v>753.05193938400737</v>
      </c>
      <c r="Q229" s="56">
        <f>486.42236572687*Deflactores!$N$5</f>
        <v>960.33906737600898</v>
      </c>
      <c r="R229" s="56">
        <f>1037.3846004243*Deflactores!$O$5</f>
        <v>1975.7848605910956</v>
      </c>
      <c r="S229" s="56">
        <f>795.046099382*Deflactores!$P$5</f>
        <v>1418.2177776663118</v>
      </c>
      <c r="T229" s="56">
        <f>671.41807284777*Deflactores!$Q$5</f>
        <v>1132.5653353433083</v>
      </c>
      <c r="U229" s="56">
        <f>693.79399524451*Deflactores!$R$5</f>
        <v>1124.3247370449828</v>
      </c>
      <c r="V229" s="56">
        <f>1753.92952497311*Deflactores!$S$5</f>
        <v>2754.7224261746223</v>
      </c>
      <c r="X229" s="14"/>
    </row>
    <row r="230" spans="2:24" x14ac:dyDescent="0.2">
      <c r="C230" s="88" t="s">
        <v>146</v>
      </c>
      <c r="D230" s="57">
        <f>186.461747896469*Deflactores!$A$5</f>
        <v>676.96040094917907</v>
      </c>
      <c r="E230" s="57">
        <f>200.46754381628*Deflactores!$B$5</f>
        <v>676.09915258148339</v>
      </c>
      <c r="F230" s="57">
        <f>197.83587207068*Deflactores!$C$5</f>
        <v>623.62096355622157</v>
      </c>
      <c r="G230" s="57">
        <f>210.99657011797*Deflactores!$D$5</f>
        <v>624.56361359063067</v>
      </c>
      <c r="H230" s="57">
        <f>210.816616884279*Deflactores!$E$5</f>
        <v>591.51543822697022</v>
      </c>
      <c r="I230" s="57">
        <f>255.91311183971*Deflactores!$F$5</f>
        <v>684.80031645918189</v>
      </c>
      <c r="J230" s="57">
        <f>257.19265477875*Deflactores!$G$5</f>
        <v>658.72681110769418</v>
      </c>
      <c r="K230" s="57">
        <f>249.38324867153*Deflactores!$H$5</f>
        <v>604.31284803994276</v>
      </c>
      <c r="L230" s="57">
        <f>251.19437684102*Deflactores!$I$5</f>
        <v>565.31709399535384</v>
      </c>
      <c r="M230" s="57">
        <f>266.417356937109*Deflactores!$J$5</f>
        <v>587.80983777831977</v>
      </c>
      <c r="N230" s="57">
        <f>309.09590360287*Deflactores!$K$5</f>
        <v>661.01149030663396</v>
      </c>
      <c r="O230" s="57">
        <f>342.903842462278*Deflactores!$L$5</f>
        <v>706.96450884071294</v>
      </c>
      <c r="P230" s="57">
        <f>530.945027458923*Deflactores!$M$5</f>
        <v>1068.575587431252</v>
      </c>
      <c r="Q230" s="57">
        <f>531.393216453731*Deflactores!$N$5</f>
        <v>1049.1245918277966</v>
      </c>
      <c r="R230" s="57">
        <f>592.263052001411*Deflactores!$O$5</f>
        <v>1128.014018285261</v>
      </c>
      <c r="S230" s="57">
        <f>749.887469043067*Deflactores!$P$5</f>
        <v>1337.6629866780672</v>
      </c>
      <c r="T230" s="57">
        <f>894.392701676638*Deflactores!$Q$5</f>
        <v>1508.6846944804779</v>
      </c>
      <c r="U230" s="57">
        <f>808.207362050047*Deflactores!$R$5</f>
        <v>1309.7368037820718</v>
      </c>
      <c r="V230" s="57">
        <f>745.184517937625*Deflactores!$S$5</f>
        <v>1170.3871073339576</v>
      </c>
      <c r="X230" s="14"/>
    </row>
    <row r="231" spans="2:24" x14ac:dyDescent="0.2">
      <c r="C231" s="90" t="s">
        <v>147</v>
      </c>
      <c r="D231" s="58">
        <f>3923.06360989318*Deflactores!$A$5</f>
        <v>14242.914400743493</v>
      </c>
      <c r="E231" s="58">
        <f>5051.06856991436*Deflactores!$B$5</f>
        <v>17035.292171184516</v>
      </c>
      <c r="F231" s="58">
        <f>6301.10996119986*Deflactores!$C$5</f>
        <v>19862.445694748851</v>
      </c>
      <c r="G231" s="58">
        <f>7064.60079490288*Deflactores!$D$5</f>
        <v>20911.679268401538</v>
      </c>
      <c r="H231" s="58">
        <f>8766.30981775335*Deflactores!$E$5</f>
        <v>24596.768841652207</v>
      </c>
      <c r="I231" s="58">
        <f>11691.2385655142*Deflactores!$F$5</f>
        <v>31284.695855984664</v>
      </c>
      <c r="J231" s="58">
        <f>12818.326185328*Deflactores!$G$5</f>
        <v>32830.54540987232</v>
      </c>
      <c r="K231" s="58">
        <f>14466.7546555852*Deflactores!$H$5</f>
        <v>35056.266827796149</v>
      </c>
      <c r="L231" s="58">
        <f>16672.0320754686*Deflactores!$I$5</f>
        <v>37520.683553622199</v>
      </c>
      <c r="M231" s="58">
        <f>17290.8898023425*Deflactores!$J$5</f>
        <v>38149.748374528855</v>
      </c>
      <c r="N231" s="58">
        <f>16323.4758785196*Deflactores!$K$5</f>
        <v>34908.276012961192</v>
      </c>
      <c r="O231" s="58">
        <f>16906.7791921653*Deflactores!$L$5</f>
        <v>34856.689740892565</v>
      </c>
      <c r="P231" s="58">
        <f>18492.4698742006*Deflactores!$M$5</f>
        <v>37217.792496243754</v>
      </c>
      <c r="Q231" s="58">
        <f>21847.3713775311*Deflactores!$N$5</f>
        <v>43133.058287653781</v>
      </c>
      <c r="R231" s="58">
        <f>24274.9016354469*Deflactores!$O$5</f>
        <v>46233.559977694968</v>
      </c>
      <c r="S231" s="58">
        <f>23734.3832802434*Deflactores!$P$5</f>
        <v>42337.827122417228</v>
      </c>
      <c r="T231" s="58">
        <f>25732.4029000703*Deflactores!$Q$5</f>
        <v>43406.08139440856</v>
      </c>
      <c r="U231" s="58">
        <f>32468.62521268*Deflactores!$R$5</f>
        <v>52616.884485420182</v>
      </c>
      <c r="V231" s="58">
        <f>41143.6584733841*Deflactores!$S$5</f>
        <v>64620.246753208827</v>
      </c>
      <c r="X231" s="14"/>
    </row>
    <row r="232" spans="2:24" ht="22.5" customHeight="1" x14ac:dyDescent="0.2">
      <c r="C232" s="89" t="s">
        <v>148</v>
      </c>
      <c r="D232" s="59">
        <f>0*Deflactores!$A$5</f>
        <v>0</v>
      </c>
      <c r="E232" s="59">
        <f>0*Deflactores!$B$5</f>
        <v>0</v>
      </c>
      <c r="F232" s="59">
        <f>0*Deflactores!$C$5</f>
        <v>0</v>
      </c>
      <c r="G232" s="59">
        <f>0*Deflactores!$D$5</f>
        <v>0</v>
      </c>
      <c r="H232" s="59">
        <f>0*Deflactores!$E$5</f>
        <v>0</v>
      </c>
      <c r="I232" s="59">
        <f>0*Deflactores!$F$5</f>
        <v>0</v>
      </c>
      <c r="J232" s="59">
        <f>0*Deflactores!$G$5</f>
        <v>0</v>
      </c>
      <c r="K232" s="59">
        <f>0*Deflactores!$H$5</f>
        <v>0</v>
      </c>
      <c r="L232" s="59">
        <f>0*Deflactores!$I$5</f>
        <v>0</v>
      </c>
      <c r="M232" s="59">
        <f>0*Deflactores!$J$5</f>
        <v>0</v>
      </c>
      <c r="N232" s="59">
        <f>0*Deflactores!$K$5</f>
        <v>0</v>
      </c>
      <c r="O232" s="59">
        <f>0*Deflactores!$L$5</f>
        <v>0</v>
      </c>
      <c r="P232" s="59">
        <f>0*Deflactores!$M$5</f>
        <v>0</v>
      </c>
      <c r="Q232" s="59">
        <f>0*Deflactores!$N$5</f>
        <v>0</v>
      </c>
      <c r="R232" s="59">
        <f>0*Deflactores!$O$5</f>
        <v>0</v>
      </c>
      <c r="S232" s="59">
        <f>0*Deflactores!$P$5</f>
        <v>0</v>
      </c>
      <c r="T232" s="59">
        <f>0*Deflactores!$Q$5</f>
        <v>0</v>
      </c>
      <c r="U232" s="59">
        <f>0.137947055*Deflactores!$R$5</f>
        <v>0.22354947924325105</v>
      </c>
      <c r="V232" s="59">
        <f>108.008317615179*Deflactores!$S$5</f>
        <v>169.63790763057406</v>
      </c>
      <c r="X232" s="14"/>
    </row>
    <row r="233" spans="2:24" x14ac:dyDescent="0.2">
      <c r="C233" s="87" t="s">
        <v>149</v>
      </c>
      <c r="D233" s="56">
        <f>98.65179410487*Deflactores!$A$5</f>
        <v>358.1611716343528</v>
      </c>
      <c r="E233" s="56">
        <f>84.0761058390299*Deflactores!$B$5</f>
        <v>283.55604517314856</v>
      </c>
      <c r="F233" s="56">
        <f>90.08433051549*Deflactores!$C$5</f>
        <v>283.96506866720483</v>
      </c>
      <c r="G233" s="56">
        <f>119.13169820233*Deflactores!$D$5</f>
        <v>352.63759918388723</v>
      </c>
      <c r="H233" s="56">
        <f>102.23761531329*Deflactores!$E$5</f>
        <v>286.861295466652</v>
      </c>
      <c r="I233" s="56">
        <f>41.06894062056*Deflactores!$F$5</f>
        <v>109.89676664640062</v>
      </c>
      <c r="J233" s="56">
        <f>123.89087313974*Deflactores!$G$5</f>
        <v>317.31170495088219</v>
      </c>
      <c r="K233" s="56">
        <f>126.10177960731*Deflactores!$H$5</f>
        <v>305.5735538908246</v>
      </c>
      <c r="L233" s="56">
        <f>183.78901258877*Deflactores!$I$5</f>
        <v>413.62020842813808</v>
      </c>
      <c r="M233" s="56">
        <f>221.025494818389*Deflactores!$J$5</f>
        <v>487.65951943866594</v>
      </c>
      <c r="N233" s="56">
        <f>339.46853841079*Deflactores!$K$5</f>
        <v>725.96434268968289</v>
      </c>
      <c r="O233" s="56">
        <f>380.77387625308*Deflactores!$L$5</f>
        <v>785.0411196084699</v>
      </c>
      <c r="P233" s="56">
        <f>460.37373131977*Deflactores!$M$5</f>
        <v>926.54437830854397</v>
      </c>
      <c r="Q233" s="56">
        <f>308.078082895999*Deflactores!$N$5</f>
        <v>608.23563975152376</v>
      </c>
      <c r="R233" s="56">
        <f>399.74333458231*Deflactores!$O$5</f>
        <v>761.34427700863364</v>
      </c>
      <c r="S233" s="56">
        <f>420.968762511839*Deflactores!$P$5</f>
        <v>750.93178030878153</v>
      </c>
      <c r="T233" s="56">
        <f>166.99566511722*Deflactores!$Q$5</f>
        <v>281.6925982676745</v>
      </c>
      <c r="U233" s="56">
        <f>179.4248294291*Deflactores!$R$5</f>
        <v>290.76609995178546</v>
      </c>
      <c r="V233" s="56">
        <f>276.792690451559*Deflactores!$S$5</f>
        <v>434.73071234136944</v>
      </c>
      <c r="X233" s="14"/>
    </row>
    <row r="234" spans="2:24" x14ac:dyDescent="0.2">
      <c r="C234" s="88" t="s">
        <v>150</v>
      </c>
      <c r="D234" s="57">
        <f>254.119553091349*Deflactores!$A$5</f>
        <v>922.59606321647857</v>
      </c>
      <c r="E234" s="57">
        <f>270.04173711351*Deflactores!$B$5</f>
        <v>910.74588009816728</v>
      </c>
      <c r="F234" s="57">
        <f>271.40542451932*Deflactores!$C$5</f>
        <v>855.52792110752773</v>
      </c>
      <c r="G234" s="57">
        <f>280.47986255781*Deflactores!$D$5</f>
        <v>830.23869250844211</v>
      </c>
      <c r="H234" s="57">
        <f>334.483935109409*Deflactores!$E$5</f>
        <v>938.50482177469075</v>
      </c>
      <c r="I234" s="57">
        <f>315.75114825516*Deflactores!$F$5</f>
        <v>844.92148406571698</v>
      </c>
      <c r="J234" s="57">
        <f>307.346654692449*Deflactores!$G$5</f>
        <v>787.18220753364301</v>
      </c>
      <c r="K234" s="57">
        <f>304.3416693984*Deflactores!$H$5</f>
        <v>737.489715091574</v>
      </c>
      <c r="L234" s="57">
        <f>303.527266377769*Deflactores!$I$5</f>
        <v>683.09312626704298</v>
      </c>
      <c r="M234" s="57">
        <f>401.049301221429*Deflactores!$J$5</f>
        <v>884.85497867815764</v>
      </c>
      <c r="N234" s="57">
        <f>474.026806580769*Deflactores!$K$5</f>
        <v>1013.7215091204439</v>
      </c>
      <c r="O234" s="57">
        <f>311.64406867539*Deflactores!$L$5</f>
        <v>642.51626450775473</v>
      </c>
      <c r="P234" s="57">
        <f>573.606024617266*Deflactores!$M$5</f>
        <v>1154.4347587979264</v>
      </c>
      <c r="Q234" s="57">
        <f>514.47752699068*Deflactores!$N$5</f>
        <v>1015.7281064118891</v>
      </c>
      <c r="R234" s="57">
        <f>550.21871991966*Deflactores!$O$5</f>
        <v>1047.9371068227122</v>
      </c>
      <c r="S234" s="57">
        <f>560.42631526392*Deflactores!$P$5</f>
        <v>999.69871432251568</v>
      </c>
      <c r="T234" s="57">
        <f>659.782423975059*Deflactores!$Q$5</f>
        <v>1112.9380224954953</v>
      </c>
      <c r="U234" s="57">
        <f>838.352056982399*Deflactores!$R$5</f>
        <v>1358.5876535089756</v>
      </c>
      <c r="V234" s="57">
        <f>856.288404117529*Deflactores!$S$5</f>
        <v>1344.8869162128958</v>
      </c>
      <c r="X234" s="14"/>
    </row>
    <row r="235" spans="2:24" x14ac:dyDescent="0.2">
      <c r="C235" s="87" t="s">
        <v>151</v>
      </c>
      <c r="D235" s="56">
        <f>38.67196502601*Deflactores!$A$5</f>
        <v>140.40085564378705</v>
      </c>
      <c r="E235" s="56">
        <f>34.1491521604399*Deflactores!$B$5</f>
        <v>115.17182481274332</v>
      </c>
      <c r="F235" s="56">
        <f>23.29137328839*Deflactores!$C$5</f>
        <v>73.419388003931516</v>
      </c>
      <c r="G235" s="56">
        <f>22.84984134753*Deflactores!$D$5</f>
        <v>67.637021180044783</v>
      </c>
      <c r="H235" s="56">
        <f>20.4366394329*Deflactores!$E$5</f>
        <v>57.341721486186572</v>
      </c>
      <c r="I235" s="56">
        <f>15.73197551809*Deflactores!$F$5</f>
        <v>42.097342085636924</v>
      </c>
      <c r="J235" s="56">
        <f>23.2056711126799*Deflactores!$G$5</f>
        <v>59.43481451606587</v>
      </c>
      <c r="K235" s="56">
        <f>26.3765574402599*Deflactores!$H$5</f>
        <v>63.916452420616437</v>
      </c>
      <c r="L235" s="56">
        <f>8.44150337384*Deflactores!$I$5</f>
        <v>18.997742769024899</v>
      </c>
      <c r="M235" s="56">
        <f>6.877948654*Deflactores!$J$5</f>
        <v>15.175159490489706</v>
      </c>
      <c r="N235" s="56">
        <f>8.81691673772999*Deflactores!$K$5</f>
        <v>18.855258852619396</v>
      </c>
      <c r="O235" s="56">
        <f>322.19907733797*Deflactores!$L$5</f>
        <v>664.2775153043865</v>
      </c>
      <c r="P235" s="56">
        <f>1351.0575654521*Deflactores!$M$5</f>
        <v>2719.1273239075745</v>
      </c>
      <c r="Q235" s="56">
        <f>1460.99136627098*Deflactores!$N$5</f>
        <v>2884.4214102541828</v>
      </c>
      <c r="R235" s="56">
        <f>1515.81470727709*Deflactores!$O$5</f>
        <v>2886.9946101710452</v>
      </c>
      <c r="S235" s="56">
        <f>1587.73106439595*Deflactores!$P$5</f>
        <v>2832.2237206492882</v>
      </c>
      <c r="T235" s="56">
        <f>1737.21182061143*Deflactores!$Q$5</f>
        <v>2930.3737384192136</v>
      </c>
      <c r="U235" s="56">
        <f>1937.02395482534*Deflactores!$R$5</f>
        <v>3139.0354537319217</v>
      </c>
      <c r="V235" s="56">
        <f>1955.82088193534*Deflactores!$S$5</f>
        <v>3071.8130736356184</v>
      </c>
      <c r="X235" s="14"/>
    </row>
    <row r="236" spans="2:24" x14ac:dyDescent="0.2">
      <c r="C236" s="79" t="s">
        <v>179</v>
      </c>
      <c r="D236" s="44">
        <f t="shared" ref="D236:V236" si="63">+SUM(D207:D235)</f>
        <v>79996.333859365375</v>
      </c>
      <c r="E236" s="44">
        <f t="shared" si="63"/>
        <v>91704.62600299326</v>
      </c>
      <c r="F236" s="44">
        <f t="shared" si="63"/>
        <v>94067.346183901216</v>
      </c>
      <c r="G236" s="44">
        <f t="shared" si="63"/>
        <v>95724.344134476807</v>
      </c>
      <c r="H236" s="44">
        <f t="shared" si="63"/>
        <v>109907.79608547188</v>
      </c>
      <c r="I236" s="44">
        <f t="shared" si="63"/>
        <v>122464.1904977886</v>
      </c>
      <c r="J236" s="44">
        <f t="shared" si="63"/>
        <v>122461.63586940632</v>
      </c>
      <c r="K236" s="44">
        <f t="shared" si="63"/>
        <v>128561.08427038098</v>
      </c>
      <c r="L236" s="44">
        <f t="shared" si="63"/>
        <v>135364.03347580141</v>
      </c>
      <c r="M236" s="44">
        <f t="shared" si="63"/>
        <v>145381.12358881035</v>
      </c>
      <c r="N236" s="44">
        <f t="shared" si="63"/>
        <v>152403.43975654969</v>
      </c>
      <c r="O236" s="44">
        <f t="shared" si="63"/>
        <v>153934.67669314443</v>
      </c>
      <c r="P236" s="44">
        <f t="shared" si="63"/>
        <v>162099.39290103407</v>
      </c>
      <c r="Q236" s="44">
        <f t="shared" si="63"/>
        <v>177844.48934875583</v>
      </c>
      <c r="R236" s="44">
        <f t="shared" si="63"/>
        <v>188135.09543127634</v>
      </c>
      <c r="S236" s="44">
        <f t="shared" si="63"/>
        <v>187689.7745932588</v>
      </c>
      <c r="T236" s="44">
        <f t="shared" si="63"/>
        <v>192051.02062960187</v>
      </c>
      <c r="U236" s="44">
        <f t="shared" si="63"/>
        <v>211183.54123836555</v>
      </c>
      <c r="V236" s="44">
        <f t="shared" si="63"/>
        <v>216003.503996744</v>
      </c>
      <c r="X236" s="14"/>
    </row>
    <row r="237" spans="2:24" x14ac:dyDescent="0.2">
      <c r="C237" s="1" t="s">
        <v>52</v>
      </c>
      <c r="D237" s="12"/>
      <c r="E237" s="12"/>
      <c r="F237" s="12"/>
      <c r="G237" s="12"/>
      <c r="H237" s="13"/>
      <c r="I237" s="13"/>
      <c r="J237" s="13"/>
      <c r="K237" s="13"/>
      <c r="L237" s="13"/>
      <c r="M237" s="13"/>
      <c r="N237" s="13"/>
      <c r="O237" s="13"/>
      <c r="P237" s="13"/>
      <c r="Q237" s="13"/>
      <c r="R237" s="13"/>
      <c r="S237" s="13"/>
      <c r="T237" s="13"/>
      <c r="U237" s="13"/>
      <c r="X237" s="14"/>
    </row>
    <row r="238" spans="2:24" x14ac:dyDescent="0.2">
      <c r="B238" s="9"/>
    </row>
    <row r="241" spans="3:22" ht="18" customHeight="1" x14ac:dyDescent="0.2">
      <c r="C241" s="9"/>
      <c r="D241" s="160" t="s">
        <v>185</v>
      </c>
      <c r="E241" s="158"/>
      <c r="F241" s="158"/>
      <c r="G241" s="158"/>
      <c r="H241" s="158"/>
      <c r="I241" s="158"/>
      <c r="J241" s="158"/>
      <c r="K241" s="158"/>
      <c r="L241" s="158"/>
      <c r="M241" s="158"/>
      <c r="N241" s="158"/>
      <c r="O241" s="158"/>
      <c r="P241" s="158"/>
      <c r="Q241" s="158"/>
      <c r="R241" s="158"/>
      <c r="S241" s="158"/>
      <c r="T241" s="158"/>
      <c r="U241" s="158"/>
      <c r="V241" s="158"/>
    </row>
    <row r="242" spans="3:22" ht="6" customHeight="1" x14ac:dyDescent="0.2">
      <c r="H242" s="27"/>
      <c r="I242" s="27"/>
      <c r="J242" s="27"/>
      <c r="L242" s="175"/>
      <c r="M242" s="158"/>
      <c r="N242" s="158"/>
      <c r="O242" s="158"/>
      <c r="P242" s="158"/>
      <c r="Q242" s="158"/>
      <c r="R242" s="28"/>
      <c r="S242" s="28"/>
      <c r="T242" s="28"/>
      <c r="U242" s="28"/>
      <c r="V242" s="28"/>
    </row>
    <row r="243" spans="3:22" x14ac:dyDescent="0.2"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</row>
    <row r="244" spans="3:22" ht="13.5" customHeight="1" x14ac:dyDescent="0.2">
      <c r="C244" s="177" t="s">
        <v>120</v>
      </c>
      <c r="D244" s="153">
        <v>2000</v>
      </c>
      <c r="E244" s="153">
        <v>2001</v>
      </c>
      <c r="F244" s="153">
        <v>2002</v>
      </c>
      <c r="G244" s="153">
        <v>2003</v>
      </c>
      <c r="H244" s="153">
        <v>2004</v>
      </c>
      <c r="I244" s="153">
        <v>2005</v>
      </c>
      <c r="J244" s="153">
        <v>2006</v>
      </c>
      <c r="K244" s="153">
        <v>2007</v>
      </c>
      <c r="L244" s="153">
        <v>2008</v>
      </c>
      <c r="M244" s="153">
        <v>2009</v>
      </c>
      <c r="N244" s="153">
        <v>2010</v>
      </c>
      <c r="O244" s="153">
        <v>2011</v>
      </c>
      <c r="P244" s="153">
        <v>2012</v>
      </c>
      <c r="Q244" s="153">
        <v>2013</v>
      </c>
      <c r="R244" s="153">
        <v>2014</v>
      </c>
      <c r="S244" s="153">
        <v>2015</v>
      </c>
      <c r="T244" s="153">
        <v>2016</v>
      </c>
      <c r="U244" s="153">
        <v>2017</v>
      </c>
      <c r="V244" s="153">
        <v>2018</v>
      </c>
    </row>
    <row r="245" spans="3:22" ht="12" customHeight="1" thickBot="1" x14ac:dyDescent="0.25">
      <c r="C245" s="156"/>
      <c r="D245" s="154"/>
      <c r="E245" s="154"/>
      <c r="F245" s="154"/>
      <c r="G245" s="154"/>
      <c r="H245" s="154"/>
      <c r="I245" s="154"/>
      <c r="J245" s="154"/>
      <c r="K245" s="154"/>
      <c r="L245" s="154"/>
      <c r="M245" s="154"/>
      <c r="N245" s="154"/>
      <c r="O245" s="154"/>
      <c r="P245" s="154"/>
      <c r="Q245" s="154"/>
      <c r="R245" s="154"/>
      <c r="S245" s="154"/>
      <c r="T245" s="154"/>
      <c r="U245" s="154"/>
      <c r="V245" s="154"/>
    </row>
    <row r="246" spans="3:22" x14ac:dyDescent="0.2">
      <c r="C246" s="87" t="s">
        <v>123</v>
      </c>
      <c r="D246" s="60">
        <f t="shared" ref="D246:V246" si="64">+IFERROR(IF(D207&gt;0,+((D207/D13)*100)," "),"")</f>
        <v>84.776637330918675</v>
      </c>
      <c r="E246" s="60">
        <f t="shared" si="64"/>
        <v>91.119074375001546</v>
      </c>
      <c r="F246" s="60">
        <f t="shared" si="64"/>
        <v>87.700990709371212</v>
      </c>
      <c r="G246" s="60">
        <f t="shared" si="64"/>
        <v>85.812720985144793</v>
      </c>
      <c r="H246" s="60">
        <f t="shared" si="64"/>
        <v>82.849130472868765</v>
      </c>
      <c r="I246" s="60">
        <f t="shared" si="64"/>
        <v>82.401523672653909</v>
      </c>
      <c r="J246" s="60">
        <f t="shared" si="64"/>
        <v>80.685128925448652</v>
      </c>
      <c r="K246" s="60">
        <f t="shared" si="64"/>
        <v>91.433013965009252</v>
      </c>
      <c r="L246" s="60">
        <f t="shared" si="64"/>
        <v>93.194561195200492</v>
      </c>
      <c r="M246" s="60">
        <f t="shared" si="64"/>
        <v>94.438468391239255</v>
      </c>
      <c r="N246" s="60">
        <f t="shared" si="64"/>
        <v>93.04308849621043</v>
      </c>
      <c r="O246" s="60">
        <f t="shared" si="64"/>
        <v>94.637206697273655</v>
      </c>
      <c r="P246" s="60">
        <f t="shared" si="64"/>
        <v>75.791036485880085</v>
      </c>
      <c r="Q246" s="60">
        <f t="shared" si="64"/>
        <v>81.394261596289795</v>
      </c>
      <c r="R246" s="60">
        <f t="shared" si="64"/>
        <v>86.865150373610106</v>
      </c>
      <c r="S246" s="60">
        <f t="shared" si="64"/>
        <v>90.33454985535721</v>
      </c>
      <c r="T246" s="60">
        <f t="shared" si="64"/>
        <v>88.4650388904452</v>
      </c>
      <c r="U246" s="60">
        <f t="shared" si="64"/>
        <v>83.058942601187567</v>
      </c>
      <c r="V246" s="60">
        <f t="shared" si="64"/>
        <v>79.01324959580603</v>
      </c>
    </row>
    <row r="247" spans="3:22" x14ac:dyDescent="0.2">
      <c r="C247" s="88" t="s">
        <v>124</v>
      </c>
      <c r="D247" s="62">
        <f t="shared" ref="D247:V247" si="65">+IFERROR(IF(D208&gt;0,+((D208/D14)*100)," "),"")</f>
        <v>83.092431804818716</v>
      </c>
      <c r="E247" s="62">
        <f t="shared" si="65"/>
        <v>89.145319930130455</v>
      </c>
      <c r="F247" s="62">
        <f t="shared" si="65"/>
        <v>86.088423068644843</v>
      </c>
      <c r="G247" s="62">
        <f t="shared" si="65"/>
        <v>84.458374532707339</v>
      </c>
      <c r="H247" s="62">
        <f t="shared" si="65"/>
        <v>88.633242852497403</v>
      </c>
      <c r="I247" s="62">
        <f t="shared" si="65"/>
        <v>90.514275495045993</v>
      </c>
      <c r="J247" s="62">
        <f t="shared" si="65"/>
        <v>89.678668363308063</v>
      </c>
      <c r="K247" s="62">
        <f t="shared" si="65"/>
        <v>89.208132896003789</v>
      </c>
      <c r="L247" s="62">
        <f t="shared" si="65"/>
        <v>98.986238044864152</v>
      </c>
      <c r="M247" s="62">
        <f t="shared" si="65"/>
        <v>98.964542802924711</v>
      </c>
      <c r="N247" s="62">
        <f t="shared" si="65"/>
        <v>96.543851912871276</v>
      </c>
      <c r="O247" s="62">
        <f t="shared" si="65"/>
        <v>98.335271298807214</v>
      </c>
      <c r="P247" s="62">
        <f t="shared" si="65"/>
        <v>80.941009701484148</v>
      </c>
      <c r="Q247" s="62">
        <f t="shared" si="65"/>
        <v>84.297155557996348</v>
      </c>
      <c r="R247" s="62">
        <f t="shared" si="65"/>
        <v>90.250668990194029</v>
      </c>
      <c r="S247" s="62">
        <f t="shared" si="65"/>
        <v>89.5603498653862</v>
      </c>
      <c r="T247" s="62">
        <f t="shared" si="65"/>
        <v>93.416211188151593</v>
      </c>
      <c r="U247" s="62">
        <f t="shared" si="65"/>
        <v>93.488199097350261</v>
      </c>
      <c r="V247" s="62">
        <f t="shared" si="65"/>
        <v>94.835293856112187</v>
      </c>
    </row>
    <row r="248" spans="3:22" x14ac:dyDescent="0.2">
      <c r="C248" s="87" t="s">
        <v>125</v>
      </c>
      <c r="D248" s="60">
        <f t="shared" ref="D248:V248" si="66">+IFERROR(IF(D209&gt;0,+((D209/D15)*100)," "),"")</f>
        <v>92.619805029499375</v>
      </c>
      <c r="E248" s="60">
        <f t="shared" si="66"/>
        <v>82.890223804266711</v>
      </c>
      <c r="F248" s="60">
        <f t="shared" si="66"/>
        <v>94.694404033766872</v>
      </c>
      <c r="G248" s="60">
        <f t="shared" si="66"/>
        <v>91.71982087051623</v>
      </c>
      <c r="H248" s="60">
        <f t="shared" si="66"/>
        <v>85.239266715310748</v>
      </c>
      <c r="I248" s="60">
        <f t="shared" si="66"/>
        <v>88.374941092352643</v>
      </c>
      <c r="J248" s="60">
        <f t="shared" si="66"/>
        <v>85.872790350967605</v>
      </c>
      <c r="K248" s="60">
        <f t="shared" si="66"/>
        <v>76.986720802141988</v>
      </c>
      <c r="L248" s="60">
        <f t="shared" si="66"/>
        <v>92.995661551502096</v>
      </c>
      <c r="M248" s="60">
        <f t="shared" si="66"/>
        <v>30.366733661261623</v>
      </c>
      <c r="N248" s="60">
        <f t="shared" si="66"/>
        <v>33.326930658897268</v>
      </c>
      <c r="O248" s="60">
        <f t="shared" si="66"/>
        <v>87.429890425665533</v>
      </c>
      <c r="P248" s="60">
        <f t="shared" si="66"/>
        <v>70.200020596130727</v>
      </c>
      <c r="Q248" s="60">
        <f t="shared" si="66"/>
        <v>87.892022511799411</v>
      </c>
      <c r="R248" s="60">
        <f t="shared" si="66"/>
        <v>87.385997176036852</v>
      </c>
      <c r="S248" s="60">
        <f t="shared" si="66"/>
        <v>91.036208855582487</v>
      </c>
      <c r="T248" s="60">
        <f t="shared" si="66"/>
        <v>92.133528138737958</v>
      </c>
      <c r="U248" s="60">
        <f t="shared" si="66"/>
        <v>90.208215217937749</v>
      </c>
      <c r="V248" s="60">
        <f t="shared" si="66"/>
        <v>92.111940480501588</v>
      </c>
    </row>
    <row r="249" spans="3:22" x14ac:dyDescent="0.2">
      <c r="C249" s="88" t="s">
        <v>126</v>
      </c>
      <c r="D249" s="62">
        <f t="shared" ref="D249:V249" si="67">+IFERROR(IF(D210&gt;0,+((D210/D16)*100)," "),"")</f>
        <v>80.920190974192266</v>
      </c>
      <c r="E249" s="62">
        <f t="shared" si="67"/>
        <v>89.017604927556036</v>
      </c>
      <c r="F249" s="62">
        <f t="shared" si="67"/>
        <v>90.557943395711789</v>
      </c>
      <c r="G249" s="62">
        <f t="shared" si="67"/>
        <v>86.84602424365815</v>
      </c>
      <c r="H249" s="62">
        <f t="shared" si="67"/>
        <v>89.145764776204132</v>
      </c>
      <c r="I249" s="62">
        <f t="shared" si="67"/>
        <v>91.327968825892256</v>
      </c>
      <c r="J249" s="62">
        <f t="shared" si="67"/>
        <v>76.527279158592435</v>
      </c>
      <c r="K249" s="62">
        <f t="shared" si="67"/>
        <v>89.157485022211162</v>
      </c>
      <c r="L249" s="62">
        <f t="shared" si="67"/>
        <v>89.829991757227404</v>
      </c>
      <c r="M249" s="62">
        <f t="shared" si="67"/>
        <v>88.691499938791097</v>
      </c>
      <c r="N249" s="62">
        <f t="shared" si="67"/>
        <v>90.07398204136976</v>
      </c>
      <c r="O249" s="62">
        <f t="shared" si="67"/>
        <v>88.389921168097018</v>
      </c>
      <c r="P249" s="62">
        <f t="shared" si="67"/>
        <v>86.866131440944187</v>
      </c>
      <c r="Q249" s="62">
        <f t="shared" si="67"/>
        <v>79.451519026933781</v>
      </c>
      <c r="R249" s="62">
        <f t="shared" si="67"/>
        <v>85.606420286671664</v>
      </c>
      <c r="S249" s="62">
        <f t="shared" si="67"/>
        <v>89.199682727091684</v>
      </c>
      <c r="T249" s="62">
        <f t="shared" si="67"/>
        <v>93.567214128721943</v>
      </c>
      <c r="U249" s="62">
        <f t="shared" si="67"/>
        <v>90.081370526682207</v>
      </c>
      <c r="V249" s="62">
        <f t="shared" si="67"/>
        <v>94.912314342480343</v>
      </c>
    </row>
    <row r="250" spans="3:22" x14ac:dyDescent="0.2">
      <c r="C250" s="87" t="s">
        <v>127</v>
      </c>
      <c r="D250" s="60">
        <f t="shared" ref="D250:V250" si="68">+IFERROR(IF(D211&gt;0,+((D211/D17)*100)," "),"")</f>
        <v>83.645771919463243</v>
      </c>
      <c r="E250" s="60">
        <f t="shared" si="68"/>
        <v>88.763520598214697</v>
      </c>
      <c r="F250" s="60">
        <f t="shared" si="68"/>
        <v>94.253791505514897</v>
      </c>
      <c r="G250" s="60">
        <f t="shared" si="68"/>
        <v>94.712412022184395</v>
      </c>
      <c r="H250" s="60">
        <f t="shared" si="68"/>
        <v>92.166551913861099</v>
      </c>
      <c r="I250" s="60">
        <f t="shared" si="68"/>
        <v>95.134793392056338</v>
      </c>
      <c r="J250" s="60">
        <f t="shared" si="68"/>
        <v>93.726610348659406</v>
      </c>
      <c r="K250" s="60">
        <f t="shared" si="68"/>
        <v>97.17932270356755</v>
      </c>
      <c r="L250" s="60">
        <f t="shared" si="68"/>
        <v>95.674974316140876</v>
      </c>
      <c r="M250" s="60">
        <f t="shared" si="68"/>
        <v>96.336797194101919</v>
      </c>
      <c r="N250" s="60">
        <f t="shared" si="68"/>
        <v>96.800393736583274</v>
      </c>
      <c r="O250" s="60">
        <f t="shared" si="68"/>
        <v>97.642136345622745</v>
      </c>
      <c r="P250" s="60">
        <f t="shared" si="68"/>
        <v>95.881928516000542</v>
      </c>
      <c r="Q250" s="60">
        <f t="shared" si="68"/>
        <v>94.427675514042946</v>
      </c>
      <c r="R250" s="60">
        <f t="shared" si="68"/>
        <v>96.302275137462686</v>
      </c>
      <c r="S250" s="60">
        <f t="shared" si="68"/>
        <v>96.479269296368159</v>
      </c>
      <c r="T250" s="60">
        <f t="shared" si="68"/>
        <v>96.752422817067938</v>
      </c>
      <c r="U250" s="60">
        <f t="shared" si="68"/>
        <v>96.46616276405318</v>
      </c>
      <c r="V250" s="60">
        <f t="shared" si="68"/>
        <v>95.994180668059442</v>
      </c>
    </row>
    <row r="251" spans="3:22" x14ac:dyDescent="0.2">
      <c r="C251" s="88" t="s">
        <v>128</v>
      </c>
      <c r="D251" s="62">
        <f t="shared" ref="D251:V251" si="69">+IFERROR(IF(D212&gt;0,+((D212/D18)*100)," "),"")</f>
        <v>82.30211249329929</v>
      </c>
      <c r="E251" s="62">
        <f t="shared" si="69"/>
        <v>89.382393630398411</v>
      </c>
      <c r="F251" s="62">
        <f t="shared" si="69"/>
        <v>75.152467805345395</v>
      </c>
      <c r="G251" s="62">
        <f t="shared" si="69"/>
        <v>81.472959972277522</v>
      </c>
      <c r="H251" s="62">
        <f t="shared" si="69"/>
        <v>80.150525695825934</v>
      </c>
      <c r="I251" s="62">
        <f t="shared" si="69"/>
        <v>84.592120978510223</v>
      </c>
      <c r="J251" s="62">
        <f t="shared" si="69"/>
        <v>88.452631359141947</v>
      </c>
      <c r="K251" s="62">
        <f t="shared" si="69"/>
        <v>88.796018863597396</v>
      </c>
      <c r="L251" s="62">
        <f t="shared" si="69"/>
        <v>85.699006825316317</v>
      </c>
      <c r="M251" s="62">
        <f t="shared" si="69"/>
        <v>87.133871409289412</v>
      </c>
      <c r="N251" s="62">
        <f t="shared" si="69"/>
        <v>87.494220926142404</v>
      </c>
      <c r="O251" s="62">
        <f t="shared" si="69"/>
        <v>90.525420315542206</v>
      </c>
      <c r="P251" s="62">
        <f t="shared" si="69"/>
        <v>88.475341728802618</v>
      </c>
      <c r="Q251" s="62">
        <f t="shared" si="69"/>
        <v>91.260506321145201</v>
      </c>
      <c r="R251" s="62">
        <f t="shared" si="69"/>
        <v>93.828552311109931</v>
      </c>
      <c r="S251" s="62">
        <f t="shared" si="69"/>
        <v>96.73578647445332</v>
      </c>
      <c r="T251" s="62">
        <f t="shared" si="69"/>
        <v>95.130684195042377</v>
      </c>
      <c r="U251" s="62">
        <f t="shared" si="69"/>
        <v>91.163946644544296</v>
      </c>
      <c r="V251" s="62">
        <f t="shared" si="69"/>
        <v>96.175429542005787</v>
      </c>
    </row>
    <row r="252" spans="3:22" x14ac:dyDescent="0.2">
      <c r="C252" s="87" t="s">
        <v>129</v>
      </c>
      <c r="D252" s="60">
        <f t="shared" ref="D252:V252" si="70">+IFERROR(IF(D213&gt;0,+((D213/D19)*100)," "),"")</f>
        <v>85.53018094015448</v>
      </c>
      <c r="E252" s="60">
        <f t="shared" si="70"/>
        <v>90.308531868985213</v>
      </c>
      <c r="F252" s="60">
        <f t="shared" si="70"/>
        <v>87.677701979358019</v>
      </c>
      <c r="G252" s="60">
        <f t="shared" si="70"/>
        <v>87.505883263602712</v>
      </c>
      <c r="H252" s="60">
        <f t="shared" si="70"/>
        <v>85.30582558820231</v>
      </c>
      <c r="I252" s="60">
        <f t="shared" si="70"/>
        <v>87.130130737366258</v>
      </c>
      <c r="J252" s="60">
        <f t="shared" si="70"/>
        <v>89.339815506202939</v>
      </c>
      <c r="K252" s="60">
        <f t="shared" si="70"/>
        <v>94.216783052994373</v>
      </c>
      <c r="L252" s="60">
        <f t="shared" si="70"/>
        <v>95.813372044893015</v>
      </c>
      <c r="M252" s="60">
        <f t="shared" si="70"/>
        <v>93.591485749821373</v>
      </c>
      <c r="N252" s="60">
        <f t="shared" si="70"/>
        <v>93.957544287448115</v>
      </c>
      <c r="O252" s="60">
        <f t="shared" si="70"/>
        <v>93.384313376955419</v>
      </c>
      <c r="P252" s="60">
        <f t="shared" si="70"/>
        <v>94.179937972677877</v>
      </c>
      <c r="Q252" s="60">
        <f t="shared" si="70"/>
        <v>94.899844803364786</v>
      </c>
      <c r="R252" s="60">
        <f t="shared" si="70"/>
        <v>94.595630678491219</v>
      </c>
      <c r="S252" s="60">
        <f t="shared" si="70"/>
        <v>93.773827461748709</v>
      </c>
      <c r="T252" s="60">
        <f t="shared" si="70"/>
        <v>93.365658523005791</v>
      </c>
      <c r="U252" s="60">
        <f t="shared" si="70"/>
        <v>94.439725315298332</v>
      </c>
      <c r="V252" s="60">
        <f t="shared" si="70"/>
        <v>95.366971779905342</v>
      </c>
    </row>
    <row r="253" spans="3:22" x14ac:dyDescent="0.2">
      <c r="C253" s="88" t="s">
        <v>130</v>
      </c>
      <c r="D253" s="62">
        <f t="shared" ref="D253:V253" si="71">+IFERROR(IF(D214&gt;0,+((D214/D20)*100)," "),"")</f>
        <v>88.403178468398053</v>
      </c>
      <c r="E253" s="62">
        <f t="shared" si="71"/>
        <v>92.21954790890247</v>
      </c>
      <c r="F253" s="62">
        <f t="shared" si="71"/>
        <v>76.614235032145544</v>
      </c>
      <c r="G253" s="62">
        <f t="shared" si="71"/>
        <v>84.499952516814872</v>
      </c>
      <c r="H253" s="62">
        <f t="shared" si="71"/>
        <v>88.168905419442311</v>
      </c>
      <c r="I253" s="62">
        <f t="shared" si="71"/>
        <v>90.055108605863353</v>
      </c>
      <c r="J253" s="62">
        <f t="shared" si="71"/>
        <v>89.085634539880616</v>
      </c>
      <c r="K253" s="62">
        <f t="shared" si="71"/>
        <v>92.508415553522553</v>
      </c>
      <c r="L253" s="62">
        <f t="shared" si="71"/>
        <v>92.008481155625205</v>
      </c>
      <c r="M253" s="62">
        <f t="shared" si="71"/>
        <v>91.79766256642597</v>
      </c>
      <c r="N253" s="62">
        <f t="shared" si="71"/>
        <v>86.799414502400481</v>
      </c>
      <c r="O253" s="62">
        <f t="shared" si="71"/>
        <v>86.263805020074756</v>
      </c>
      <c r="P253" s="62">
        <f t="shared" si="71"/>
        <v>73.561451676250854</v>
      </c>
      <c r="Q253" s="62">
        <f t="shared" si="71"/>
        <v>88.217921579711984</v>
      </c>
      <c r="R253" s="62">
        <f t="shared" si="71"/>
        <v>94.983421742921763</v>
      </c>
      <c r="S253" s="62">
        <f t="shared" si="71"/>
        <v>94.726846150602583</v>
      </c>
      <c r="T253" s="62">
        <f t="shared" si="71"/>
        <v>90.343816120660264</v>
      </c>
      <c r="U253" s="62">
        <f t="shared" si="71"/>
        <v>96.143624091004767</v>
      </c>
      <c r="V253" s="62">
        <f t="shared" si="71"/>
        <v>95.776017388130214</v>
      </c>
    </row>
    <row r="254" spans="3:22" x14ac:dyDescent="0.2">
      <c r="C254" s="87" t="s">
        <v>131</v>
      </c>
      <c r="D254" s="60">
        <f t="shared" ref="D254:V254" si="72">+IFERROR(IF(D215&gt;0,+((D215/D21)*100)," "),"")</f>
        <v>90.033520899912546</v>
      </c>
      <c r="E254" s="60">
        <f t="shared" si="72"/>
        <v>96.414810059912426</v>
      </c>
      <c r="F254" s="60">
        <f t="shared" si="72"/>
        <v>95.581329914246041</v>
      </c>
      <c r="G254" s="60">
        <f t="shared" si="72"/>
        <v>95.688442593964368</v>
      </c>
      <c r="H254" s="60">
        <f t="shared" si="72"/>
        <v>97.341198208556463</v>
      </c>
      <c r="I254" s="60">
        <f t="shared" si="72"/>
        <v>99.302150314588715</v>
      </c>
      <c r="J254" s="60">
        <f t="shared" si="72"/>
        <v>98.878281651737694</v>
      </c>
      <c r="K254" s="60">
        <f t="shared" si="72"/>
        <v>99.115240862432756</v>
      </c>
      <c r="L254" s="60">
        <f t="shared" si="72"/>
        <v>97.416021731289973</v>
      </c>
      <c r="M254" s="60">
        <f t="shared" si="72"/>
        <v>98.350797265363028</v>
      </c>
      <c r="N254" s="60">
        <f t="shared" si="72"/>
        <v>96.502361930763712</v>
      </c>
      <c r="O254" s="60">
        <f t="shared" si="72"/>
        <v>98.697921177304863</v>
      </c>
      <c r="P254" s="60">
        <f t="shared" si="72"/>
        <v>97.063767652301962</v>
      </c>
      <c r="Q254" s="60">
        <f t="shared" si="72"/>
        <v>98.990834732849862</v>
      </c>
      <c r="R254" s="60">
        <f t="shared" si="72"/>
        <v>97.775714813905822</v>
      </c>
      <c r="S254" s="60">
        <f t="shared" si="72"/>
        <v>99.599429782616781</v>
      </c>
      <c r="T254" s="60">
        <f t="shared" si="72"/>
        <v>99.096995525346671</v>
      </c>
      <c r="U254" s="60">
        <f t="shared" si="72"/>
        <v>99.916067773562901</v>
      </c>
      <c r="V254" s="60">
        <f t="shared" si="72"/>
        <v>99.566553406883713</v>
      </c>
    </row>
    <row r="255" spans="3:22" x14ac:dyDescent="0.2">
      <c r="C255" s="88" t="s">
        <v>132</v>
      </c>
      <c r="D255" s="62">
        <f t="shared" ref="D255:V255" si="73">+IFERROR(IF(D216&gt;0,+((D216/D22)*100)," "),"")</f>
        <v>84.289331722458698</v>
      </c>
      <c r="E255" s="62">
        <f t="shared" si="73"/>
        <v>80.266183621218701</v>
      </c>
      <c r="F255" s="62">
        <f t="shared" si="73"/>
        <v>83.55395775213654</v>
      </c>
      <c r="G255" s="62">
        <f t="shared" si="73"/>
        <v>84.667583235529548</v>
      </c>
      <c r="H255" s="62">
        <f t="shared" si="73"/>
        <v>79.804353966338809</v>
      </c>
      <c r="I255" s="62">
        <f t="shared" si="73"/>
        <v>88.595191299293845</v>
      </c>
      <c r="J255" s="62">
        <f t="shared" si="73"/>
        <v>71.030508974027967</v>
      </c>
      <c r="K255" s="62">
        <f t="shared" si="73"/>
        <v>53.680005218027418</v>
      </c>
      <c r="L255" s="62">
        <f t="shared" si="73"/>
        <v>60.054604225955252</v>
      </c>
      <c r="M255" s="62">
        <f t="shared" si="73"/>
        <v>42.079231294266187</v>
      </c>
      <c r="N255" s="62">
        <f t="shared" si="73"/>
        <v>60.497331559151888</v>
      </c>
      <c r="O255" s="62">
        <f t="shared" si="73"/>
        <v>58.957221939379714</v>
      </c>
      <c r="P255" s="62">
        <f t="shared" si="73"/>
        <v>67.842583995006052</v>
      </c>
      <c r="Q255" s="62">
        <f t="shared" si="73"/>
        <v>52.344584971466624</v>
      </c>
      <c r="R255" s="62">
        <f t="shared" si="73"/>
        <v>58.199448013511287</v>
      </c>
      <c r="S255" s="62">
        <f t="shared" si="73"/>
        <v>60.844701958826043</v>
      </c>
      <c r="T255" s="62">
        <f t="shared" si="73"/>
        <v>80.411063145940261</v>
      </c>
      <c r="U255" s="62">
        <f t="shared" si="73"/>
        <v>82.970276070991815</v>
      </c>
      <c r="V255" s="62">
        <f t="shared" si="73"/>
        <v>84.484635609372532</v>
      </c>
    </row>
    <row r="256" spans="3:22" x14ac:dyDescent="0.2">
      <c r="C256" s="87" t="s">
        <v>133</v>
      </c>
      <c r="D256" s="60">
        <f t="shared" ref="D256:V256" si="74">+IFERROR(IF(D217&gt;0,+((D217/D23)*100)," "),"")</f>
        <v>89.541420222117182</v>
      </c>
      <c r="E256" s="60">
        <f t="shared" si="74"/>
        <v>95.906067893220012</v>
      </c>
      <c r="F256" s="60">
        <f t="shared" si="74"/>
        <v>92.87149321807992</v>
      </c>
      <c r="G256" s="60">
        <f t="shared" si="74"/>
        <v>92.237190354511043</v>
      </c>
      <c r="H256" s="60">
        <f t="shared" si="74"/>
        <v>93.750377431564957</v>
      </c>
      <c r="I256" s="60">
        <f t="shared" si="74"/>
        <v>96.416284229760123</v>
      </c>
      <c r="J256" s="60">
        <f t="shared" si="74"/>
        <v>95.453217892824696</v>
      </c>
      <c r="K256" s="60">
        <f t="shared" si="74"/>
        <v>94.78193726547363</v>
      </c>
      <c r="L256" s="60">
        <f t="shared" si="74"/>
        <v>94.958782312571728</v>
      </c>
      <c r="M256" s="60">
        <f t="shared" si="74"/>
        <v>94.731626399001982</v>
      </c>
      <c r="N256" s="60">
        <f t="shared" si="74"/>
        <v>90.938102419519822</v>
      </c>
      <c r="O256" s="60">
        <f t="shared" si="74"/>
        <v>91.031622613613052</v>
      </c>
      <c r="P256" s="60">
        <f t="shared" si="74"/>
        <v>89.663559022443167</v>
      </c>
      <c r="Q256" s="60">
        <f t="shared" si="74"/>
        <v>92.005361834798308</v>
      </c>
      <c r="R256" s="60">
        <f t="shared" si="74"/>
        <v>88.391568156326912</v>
      </c>
      <c r="S256" s="60">
        <f t="shared" si="74"/>
        <v>87.290304381187582</v>
      </c>
      <c r="T256" s="60">
        <f t="shared" si="74"/>
        <v>91.92690560950237</v>
      </c>
      <c r="U256" s="60">
        <f t="shared" si="74"/>
        <v>92.598716014582337</v>
      </c>
      <c r="V256" s="60">
        <f t="shared" si="74"/>
        <v>92.902229127019154</v>
      </c>
    </row>
    <row r="257" spans="3:22" x14ac:dyDescent="0.2">
      <c r="C257" s="88" t="s">
        <v>134</v>
      </c>
      <c r="D257" s="62">
        <f t="shared" ref="D257:V257" si="75">+IFERROR(IF(D218&gt;0,+((D218/D24)*100)," "),"")</f>
        <v>69.344065680803965</v>
      </c>
      <c r="E257" s="62">
        <f t="shared" si="75"/>
        <v>82.742056922072052</v>
      </c>
      <c r="F257" s="62">
        <f t="shared" si="75"/>
        <v>81.162499835789276</v>
      </c>
      <c r="G257" s="62">
        <f t="shared" si="75"/>
        <v>85.562517703013413</v>
      </c>
      <c r="H257" s="62">
        <f t="shared" si="75"/>
        <v>84.573627610762287</v>
      </c>
      <c r="I257" s="62">
        <f t="shared" si="75"/>
        <v>90.382996718106028</v>
      </c>
      <c r="J257" s="62">
        <f t="shared" si="75"/>
        <v>91.663567555111342</v>
      </c>
      <c r="K257" s="62">
        <f t="shared" si="75"/>
        <v>80.282930918470186</v>
      </c>
      <c r="L257" s="62">
        <f t="shared" si="75"/>
        <v>75.768235856728865</v>
      </c>
      <c r="M257" s="62">
        <f t="shared" si="75"/>
        <v>69.444815786159523</v>
      </c>
      <c r="N257" s="62">
        <f t="shared" si="75"/>
        <v>71.337177899167386</v>
      </c>
      <c r="O257" s="62">
        <f t="shared" si="75"/>
        <v>83.490988851098592</v>
      </c>
      <c r="P257" s="62">
        <f t="shared" si="75"/>
        <v>84.550709183685029</v>
      </c>
      <c r="Q257" s="62">
        <f t="shared" si="75"/>
        <v>56.900318027784145</v>
      </c>
      <c r="R257" s="62">
        <f t="shared" si="75"/>
        <v>68.64866775479156</v>
      </c>
      <c r="S257" s="62">
        <f t="shared" si="75"/>
        <v>87.656943101163563</v>
      </c>
      <c r="T257" s="62">
        <f t="shared" si="75"/>
        <v>90.739043374456628</v>
      </c>
      <c r="U257" s="62">
        <f t="shared" si="75"/>
        <v>91.838568640316339</v>
      </c>
      <c r="V257" s="62">
        <f t="shared" si="75"/>
        <v>87.201757438999579</v>
      </c>
    </row>
    <row r="258" spans="3:22" x14ac:dyDescent="0.2">
      <c r="C258" s="87" t="s">
        <v>135</v>
      </c>
      <c r="D258" s="60" t="str">
        <f t="shared" ref="D258:V258" si="76">+IFERROR(IF(D219&gt;0,+((D219/D25)*100)," "),"")</f>
        <v xml:space="preserve"> </v>
      </c>
      <c r="E258" s="60" t="str">
        <f t="shared" si="76"/>
        <v xml:space="preserve"> </v>
      </c>
      <c r="F258" s="60" t="str">
        <f t="shared" si="76"/>
        <v xml:space="preserve"> </v>
      </c>
      <c r="G258" s="60" t="str">
        <f t="shared" si="76"/>
        <v xml:space="preserve"> </v>
      </c>
      <c r="H258" s="60" t="str">
        <f t="shared" si="76"/>
        <v xml:space="preserve"> </v>
      </c>
      <c r="I258" s="60" t="str">
        <f t="shared" si="76"/>
        <v xml:space="preserve"> </v>
      </c>
      <c r="J258" s="60" t="str">
        <f t="shared" si="76"/>
        <v xml:space="preserve"> </v>
      </c>
      <c r="K258" s="60" t="str">
        <f t="shared" si="76"/>
        <v xml:space="preserve"> </v>
      </c>
      <c r="L258" s="60" t="str">
        <f t="shared" si="76"/>
        <v xml:space="preserve"> </v>
      </c>
      <c r="M258" s="60" t="str">
        <f t="shared" si="76"/>
        <v xml:space="preserve"> </v>
      </c>
      <c r="N258" s="60" t="str">
        <f t="shared" si="76"/>
        <v xml:space="preserve"> </v>
      </c>
      <c r="O258" s="60" t="str">
        <f t="shared" si="76"/>
        <v xml:space="preserve"> </v>
      </c>
      <c r="P258" s="60" t="str">
        <f t="shared" si="76"/>
        <v xml:space="preserve"> </v>
      </c>
      <c r="Q258" s="60" t="str">
        <f t="shared" si="76"/>
        <v xml:space="preserve"> </v>
      </c>
      <c r="R258" s="60" t="str">
        <f t="shared" si="76"/>
        <v xml:space="preserve"> </v>
      </c>
      <c r="S258" s="60" t="str">
        <f t="shared" si="76"/>
        <v xml:space="preserve"> </v>
      </c>
      <c r="T258" s="60" t="str">
        <f t="shared" si="76"/>
        <v xml:space="preserve"> </v>
      </c>
      <c r="U258" s="60" t="str">
        <f t="shared" si="76"/>
        <v xml:space="preserve"> </v>
      </c>
      <c r="V258" s="60" t="str">
        <f t="shared" si="76"/>
        <v xml:space="preserve"> </v>
      </c>
    </row>
    <row r="259" spans="3:22" x14ac:dyDescent="0.2">
      <c r="C259" s="88" t="s">
        <v>136</v>
      </c>
      <c r="D259" s="62">
        <f t="shared" ref="D259:V259" si="77">+IFERROR(IF(D220&gt;0,+((D220/D26)*100)," "),"")</f>
        <v>91.896589258565086</v>
      </c>
      <c r="E259" s="62">
        <f t="shared" si="77"/>
        <v>95.98015865497166</v>
      </c>
      <c r="F259" s="62">
        <f t="shared" si="77"/>
        <v>89.808228854958074</v>
      </c>
      <c r="G259" s="62">
        <f t="shared" si="77"/>
        <v>93.915297689530419</v>
      </c>
      <c r="H259" s="62">
        <f t="shared" si="77"/>
        <v>92.157156920537034</v>
      </c>
      <c r="I259" s="62">
        <f t="shared" si="77"/>
        <v>90.922848636984384</v>
      </c>
      <c r="J259" s="62">
        <f t="shared" si="77"/>
        <v>44.921452314716589</v>
      </c>
      <c r="K259" s="62">
        <f t="shared" si="77"/>
        <v>74.551810831037159</v>
      </c>
      <c r="L259" s="62">
        <f t="shared" si="77"/>
        <v>62.008672754764682</v>
      </c>
      <c r="M259" s="62">
        <f t="shared" si="77"/>
        <v>83.083830107228366</v>
      </c>
      <c r="N259" s="62">
        <f t="shared" si="77"/>
        <v>88.173104651107082</v>
      </c>
      <c r="O259" s="62">
        <f t="shared" si="77"/>
        <v>83.106394257922005</v>
      </c>
      <c r="P259" s="62">
        <f t="shared" si="77"/>
        <v>80.906978067969575</v>
      </c>
      <c r="Q259" s="62">
        <f t="shared" si="77"/>
        <v>90.629137968790573</v>
      </c>
      <c r="R259" s="62">
        <f t="shared" si="77"/>
        <v>90.733347110765038</v>
      </c>
      <c r="S259" s="62">
        <f t="shared" si="77"/>
        <v>91.725715152000717</v>
      </c>
      <c r="T259" s="62">
        <f t="shared" si="77"/>
        <v>81.627156689132619</v>
      </c>
      <c r="U259" s="62">
        <f t="shared" si="77"/>
        <v>95.709821524017286</v>
      </c>
      <c r="V259" s="62">
        <f t="shared" si="77"/>
        <v>90.086736810788651</v>
      </c>
    </row>
    <row r="260" spans="3:22" x14ac:dyDescent="0.2">
      <c r="C260" s="87" t="s">
        <v>137</v>
      </c>
      <c r="D260" s="60">
        <f t="shared" ref="D260:V260" si="78">+IFERROR(IF(D221&gt;0,+((D221/D27)*100)," "),"")</f>
        <v>94.488308394965941</v>
      </c>
      <c r="E260" s="60">
        <f t="shared" si="78"/>
        <v>94.691316775075748</v>
      </c>
      <c r="F260" s="60">
        <f t="shared" si="78"/>
        <v>96.175626009110175</v>
      </c>
      <c r="G260" s="60">
        <f t="shared" si="78"/>
        <v>95.069061554977239</v>
      </c>
      <c r="H260" s="60">
        <f t="shared" si="78"/>
        <v>94.918258531352834</v>
      </c>
      <c r="I260" s="60">
        <f t="shared" si="78"/>
        <v>94.795773556898396</v>
      </c>
      <c r="J260" s="60">
        <f t="shared" si="78"/>
        <v>97.127695226524253</v>
      </c>
      <c r="K260" s="60">
        <f t="shared" si="78"/>
        <v>95.968113508209768</v>
      </c>
      <c r="L260" s="60">
        <f t="shared" si="78"/>
        <v>96.282359802335691</v>
      </c>
      <c r="M260" s="60">
        <f t="shared" si="78"/>
        <v>93.312213430122512</v>
      </c>
      <c r="N260" s="60">
        <f t="shared" si="78"/>
        <v>93.167806146716956</v>
      </c>
      <c r="O260" s="60">
        <f t="shared" si="78"/>
        <v>93.574125888377623</v>
      </c>
      <c r="P260" s="60">
        <f t="shared" si="78"/>
        <v>76.659985934950853</v>
      </c>
      <c r="Q260" s="60">
        <f t="shared" si="78"/>
        <v>72.823833746307457</v>
      </c>
      <c r="R260" s="60">
        <f t="shared" si="78"/>
        <v>88.700525750596299</v>
      </c>
      <c r="S260" s="60">
        <f t="shared" si="78"/>
        <v>89.777561939161046</v>
      </c>
      <c r="T260" s="60">
        <f t="shared" si="78"/>
        <v>95.766262228418626</v>
      </c>
      <c r="U260" s="60">
        <f t="shared" si="78"/>
        <v>93.327412138418012</v>
      </c>
      <c r="V260" s="60">
        <f t="shared" si="78"/>
        <v>91.707475442578371</v>
      </c>
    </row>
    <row r="261" spans="3:22" x14ac:dyDescent="0.2">
      <c r="C261" s="88" t="s">
        <v>138</v>
      </c>
      <c r="D261" s="62">
        <f t="shared" ref="D261:V261" si="79">+IFERROR(IF(D222&gt;0,+((D222/D28)*100)," "),"")</f>
        <v>91.118227097152612</v>
      </c>
      <c r="E261" s="62">
        <f t="shared" si="79"/>
        <v>91.817898299096953</v>
      </c>
      <c r="F261" s="62">
        <f t="shared" si="79"/>
        <v>92.971476509569712</v>
      </c>
      <c r="G261" s="62">
        <f t="shared" si="79"/>
        <v>89.622957034300228</v>
      </c>
      <c r="H261" s="62">
        <f t="shared" si="79"/>
        <v>89.325012902467918</v>
      </c>
      <c r="I261" s="62">
        <f t="shared" si="79"/>
        <v>89.543818193470088</v>
      </c>
      <c r="J261" s="62">
        <f t="shared" si="79"/>
        <v>85.627414469577019</v>
      </c>
      <c r="K261" s="62">
        <f t="shared" si="79"/>
        <v>89.541855806297065</v>
      </c>
      <c r="L261" s="62">
        <f t="shared" si="79"/>
        <v>88.069619842995522</v>
      </c>
      <c r="M261" s="62">
        <f t="shared" si="79"/>
        <v>84.553609865334352</v>
      </c>
      <c r="N261" s="62">
        <f t="shared" si="79"/>
        <v>80.65925700462256</v>
      </c>
      <c r="O261" s="62">
        <f t="shared" si="79"/>
        <v>85.715811212111532</v>
      </c>
      <c r="P261" s="62">
        <f t="shared" si="79"/>
        <v>74.202082590740119</v>
      </c>
      <c r="Q261" s="62">
        <f t="shared" si="79"/>
        <v>72.467679148407385</v>
      </c>
      <c r="R261" s="62">
        <f t="shared" si="79"/>
        <v>82.804553438362575</v>
      </c>
      <c r="S261" s="62">
        <f t="shared" si="79"/>
        <v>93.826555497580785</v>
      </c>
      <c r="T261" s="62">
        <f t="shared" si="79"/>
        <v>94.72857230263196</v>
      </c>
      <c r="U261" s="62">
        <f t="shared" si="79"/>
        <v>94.774253313285612</v>
      </c>
      <c r="V261" s="62">
        <f t="shared" si="79"/>
        <v>95.776340816163781</v>
      </c>
    </row>
    <row r="262" spans="3:22" x14ac:dyDescent="0.2">
      <c r="C262" s="87" t="s">
        <v>139</v>
      </c>
      <c r="D262" s="60">
        <f t="shared" ref="D262:V262" si="80">+IFERROR(IF(D223&gt;0,+((D223/D29)*100)," "),"")</f>
        <v>86.833199101817755</v>
      </c>
      <c r="E262" s="60">
        <f t="shared" si="80"/>
        <v>78.876417886985521</v>
      </c>
      <c r="F262" s="60">
        <f t="shared" si="80"/>
        <v>83.397436383762852</v>
      </c>
      <c r="G262" s="60">
        <f t="shared" si="80"/>
        <v>80.163999576601455</v>
      </c>
      <c r="H262" s="60">
        <f t="shared" si="80"/>
        <v>87.74089911193937</v>
      </c>
      <c r="I262" s="60">
        <f t="shared" si="80"/>
        <v>88.508798848415822</v>
      </c>
      <c r="J262" s="60">
        <f t="shared" si="80"/>
        <v>78.139154204409365</v>
      </c>
      <c r="K262" s="60">
        <f t="shared" si="80"/>
        <v>86.061189728731293</v>
      </c>
      <c r="L262" s="60">
        <f t="shared" si="80"/>
        <v>87.937796035348711</v>
      </c>
      <c r="M262" s="60">
        <f t="shared" si="80"/>
        <v>78.50373870417225</v>
      </c>
      <c r="N262" s="60">
        <f t="shared" si="80"/>
        <v>61.867720934964545</v>
      </c>
      <c r="O262" s="60">
        <f t="shared" si="80"/>
        <v>74.718095801016773</v>
      </c>
      <c r="P262" s="60">
        <f t="shared" si="80"/>
        <v>82.671238013876064</v>
      </c>
      <c r="Q262" s="60">
        <f t="shared" si="80"/>
        <v>87.821644662783243</v>
      </c>
      <c r="R262" s="60">
        <f t="shared" si="80"/>
        <v>83.495780497587958</v>
      </c>
      <c r="S262" s="60">
        <f t="shared" si="80"/>
        <v>83.648274991195734</v>
      </c>
      <c r="T262" s="60">
        <f t="shared" si="80"/>
        <v>86.312879613424371</v>
      </c>
      <c r="U262" s="60">
        <f t="shared" si="80"/>
        <v>83.713759573442772</v>
      </c>
      <c r="V262" s="60">
        <f t="shared" si="80"/>
        <v>87.936805275352611</v>
      </c>
    </row>
    <row r="263" spans="3:22" x14ac:dyDescent="0.2">
      <c r="C263" s="88" t="s">
        <v>140</v>
      </c>
      <c r="D263" s="62">
        <f t="shared" ref="D263:V263" si="81">+IFERROR(IF(D224&gt;0,+((D224/D30)*100)," "),"")</f>
        <v>73.247401394487738</v>
      </c>
      <c r="E263" s="62">
        <f t="shared" si="81"/>
        <v>72.710025165286226</v>
      </c>
      <c r="F263" s="62">
        <f t="shared" si="81"/>
        <v>77.585689357481712</v>
      </c>
      <c r="G263" s="62">
        <f t="shared" si="81"/>
        <v>70.941129011471375</v>
      </c>
      <c r="H263" s="62">
        <f t="shared" si="81"/>
        <v>81.778947465129022</v>
      </c>
      <c r="I263" s="62">
        <f t="shared" si="81"/>
        <v>97.695397130632756</v>
      </c>
      <c r="J263" s="62">
        <f t="shared" si="81"/>
        <v>57.877972965889334</v>
      </c>
      <c r="K263" s="62">
        <f t="shared" si="81"/>
        <v>70.8017574802751</v>
      </c>
      <c r="L263" s="62">
        <f t="shared" si="81"/>
        <v>85.473843325825612</v>
      </c>
      <c r="M263" s="62">
        <f t="shared" si="81"/>
        <v>77.109419068045923</v>
      </c>
      <c r="N263" s="62">
        <f t="shared" si="81"/>
        <v>96.024608313044169</v>
      </c>
      <c r="O263" s="62">
        <f t="shared" si="81"/>
        <v>95.170619317077382</v>
      </c>
      <c r="P263" s="62">
        <f t="shared" si="81"/>
        <v>67.456004517537238</v>
      </c>
      <c r="Q263" s="62">
        <f t="shared" si="81"/>
        <v>60.092958996591697</v>
      </c>
      <c r="R263" s="62">
        <f t="shared" si="81"/>
        <v>86.125437619426592</v>
      </c>
      <c r="S263" s="62">
        <f t="shared" si="81"/>
        <v>90.822366347094373</v>
      </c>
      <c r="T263" s="62">
        <f t="shared" si="81"/>
        <v>90.59539652749487</v>
      </c>
      <c r="U263" s="62">
        <f t="shared" si="81"/>
        <v>90.900571151136106</v>
      </c>
      <c r="V263" s="62">
        <f t="shared" si="81"/>
        <v>87.21017080886574</v>
      </c>
    </row>
    <row r="264" spans="3:22" x14ac:dyDescent="0.2">
      <c r="C264" s="87" t="s">
        <v>141</v>
      </c>
      <c r="D264" s="60">
        <f t="shared" ref="D264:V264" si="82">+IFERROR(IF(D225&gt;0,+((D225/D31)*100)," "),"")</f>
        <v>88.652138815384575</v>
      </c>
      <c r="E264" s="60">
        <f t="shared" si="82"/>
        <v>88.69020456755571</v>
      </c>
      <c r="F264" s="60">
        <f t="shared" si="82"/>
        <v>88.505469796825125</v>
      </c>
      <c r="G264" s="60">
        <f t="shared" si="82"/>
        <v>87.449466623322564</v>
      </c>
      <c r="H264" s="60">
        <f t="shared" si="82"/>
        <v>81.953371425741338</v>
      </c>
      <c r="I264" s="60">
        <f t="shared" si="82"/>
        <v>90.062737836731301</v>
      </c>
      <c r="J264" s="60">
        <f t="shared" si="82"/>
        <v>90.810751741445131</v>
      </c>
      <c r="K264" s="60">
        <f t="shared" si="82"/>
        <v>91.65208745007277</v>
      </c>
      <c r="L264" s="60">
        <f t="shared" si="82"/>
        <v>92.158971337307293</v>
      </c>
      <c r="M264" s="60">
        <f t="shared" si="82"/>
        <v>90.17082123497768</v>
      </c>
      <c r="N264" s="60">
        <f t="shared" si="82"/>
        <v>88.081195468551556</v>
      </c>
      <c r="O264" s="60">
        <f t="shared" si="82"/>
        <v>91.044408116385512</v>
      </c>
      <c r="P264" s="60">
        <f t="shared" si="82"/>
        <v>85.272653907420619</v>
      </c>
      <c r="Q264" s="60">
        <f t="shared" si="82"/>
        <v>86.740304380018443</v>
      </c>
      <c r="R264" s="60">
        <f t="shared" si="82"/>
        <v>89.771772766846297</v>
      </c>
      <c r="S264" s="60">
        <f t="shared" si="82"/>
        <v>90.568471746458002</v>
      </c>
      <c r="T264" s="60">
        <f t="shared" si="82"/>
        <v>93.205821087738116</v>
      </c>
      <c r="U264" s="60">
        <f t="shared" si="82"/>
        <v>92.486409305086809</v>
      </c>
      <c r="V264" s="60">
        <f t="shared" si="82"/>
        <v>93.009965010845463</v>
      </c>
    </row>
    <row r="265" spans="3:22" x14ac:dyDescent="0.2">
      <c r="C265" s="88" t="s">
        <v>142</v>
      </c>
      <c r="D265" s="62">
        <f t="shared" ref="D265:V265" si="83">+IFERROR(IF(D226&gt;0,+((D226/D32)*100)," "),"")</f>
        <v>83.167688013641438</v>
      </c>
      <c r="E265" s="62">
        <f t="shared" si="83"/>
        <v>89.536395260815439</v>
      </c>
      <c r="F265" s="62">
        <f t="shared" si="83"/>
        <v>88.650038060297405</v>
      </c>
      <c r="G265" s="62">
        <f t="shared" si="83"/>
        <v>82.614877485385847</v>
      </c>
      <c r="H265" s="62">
        <f t="shared" si="83"/>
        <v>79.651348856461411</v>
      </c>
      <c r="I265" s="62">
        <f t="shared" si="83"/>
        <v>80.365179045066739</v>
      </c>
      <c r="J265" s="62">
        <f t="shared" si="83"/>
        <v>67.782110366674431</v>
      </c>
      <c r="K265" s="62">
        <f t="shared" si="83"/>
        <v>69.001217011303609</v>
      </c>
      <c r="L265" s="62">
        <f t="shared" si="83"/>
        <v>79.647816572961176</v>
      </c>
      <c r="M265" s="62">
        <f t="shared" si="83"/>
        <v>70.492707530106742</v>
      </c>
      <c r="N265" s="62">
        <f t="shared" si="83"/>
        <v>40.346109365606409</v>
      </c>
      <c r="O265" s="62">
        <f t="shared" si="83"/>
        <v>82.656168256764673</v>
      </c>
      <c r="P265" s="62">
        <f t="shared" si="83"/>
        <v>84.020090729900318</v>
      </c>
      <c r="Q265" s="62">
        <f t="shared" si="83"/>
        <v>63.42600825879142</v>
      </c>
      <c r="R265" s="62">
        <f t="shared" si="83"/>
        <v>82.658910071418333</v>
      </c>
      <c r="S265" s="62">
        <f t="shared" si="83"/>
        <v>86.947892955976201</v>
      </c>
      <c r="T265" s="62">
        <f t="shared" si="83"/>
        <v>90.97095266325509</v>
      </c>
      <c r="U265" s="62">
        <f t="shared" si="83"/>
        <v>89.855893559041277</v>
      </c>
      <c r="V265" s="62">
        <f t="shared" si="83"/>
        <v>91.477638628597404</v>
      </c>
    </row>
    <row r="266" spans="3:22" x14ac:dyDescent="0.2">
      <c r="C266" s="87" t="s">
        <v>143</v>
      </c>
      <c r="D266" s="60">
        <f t="shared" ref="D266:V266" si="84">+IFERROR(IF(D227&gt;0,+((D227/D33)*100)," "),"")</f>
        <v>85.507572243251118</v>
      </c>
      <c r="E266" s="60">
        <f t="shared" si="84"/>
        <v>94.604477988158692</v>
      </c>
      <c r="F266" s="60">
        <f t="shared" si="84"/>
        <v>88.42694591658406</v>
      </c>
      <c r="G266" s="60">
        <f t="shared" si="84"/>
        <v>89.070877072591898</v>
      </c>
      <c r="H266" s="60">
        <f t="shared" si="84"/>
        <v>93.824130920661887</v>
      </c>
      <c r="I266" s="60">
        <f t="shared" si="84"/>
        <v>91.013857595711983</v>
      </c>
      <c r="J266" s="60">
        <f t="shared" si="84"/>
        <v>90.462463283363761</v>
      </c>
      <c r="K266" s="60">
        <f t="shared" si="84"/>
        <v>92.300732973923587</v>
      </c>
      <c r="L266" s="60">
        <f t="shared" si="84"/>
        <v>96.383457287142107</v>
      </c>
      <c r="M266" s="60">
        <f t="shared" si="84"/>
        <v>90.536090582530363</v>
      </c>
      <c r="N266" s="60">
        <f t="shared" si="84"/>
        <v>90.348135031628161</v>
      </c>
      <c r="O266" s="60">
        <f t="shared" si="84"/>
        <v>80.826195251291168</v>
      </c>
      <c r="P266" s="60">
        <f t="shared" si="84"/>
        <v>51.162343130280895</v>
      </c>
      <c r="Q266" s="60">
        <f t="shared" si="84"/>
        <v>63.551122362474509</v>
      </c>
      <c r="R266" s="60">
        <f t="shared" si="84"/>
        <v>53.719215330014592</v>
      </c>
      <c r="S266" s="60">
        <f t="shared" si="84"/>
        <v>71.03220637934497</v>
      </c>
      <c r="T266" s="60">
        <f t="shared" si="84"/>
        <v>61.416622154839693</v>
      </c>
      <c r="U266" s="60">
        <f t="shared" si="84"/>
        <v>51.435139131465469</v>
      </c>
      <c r="V266" s="60">
        <f t="shared" si="84"/>
        <v>71.111358660028017</v>
      </c>
    </row>
    <row r="267" spans="3:22" x14ac:dyDescent="0.2">
      <c r="C267" s="88" t="s">
        <v>144</v>
      </c>
      <c r="D267" s="62">
        <f t="shared" ref="D267:V267" si="85">+IFERROR(IF(D228&gt;0,+((D228/D34)*100)," "),"")</f>
        <v>94.85167884324234</v>
      </c>
      <c r="E267" s="62">
        <f t="shared" si="85"/>
        <v>96.552088151037566</v>
      </c>
      <c r="F267" s="62">
        <f t="shared" si="85"/>
        <v>93.956492496096416</v>
      </c>
      <c r="G267" s="62">
        <f t="shared" si="85"/>
        <v>95.361019689010462</v>
      </c>
      <c r="H267" s="62">
        <f t="shared" si="85"/>
        <v>85.85917186662158</v>
      </c>
      <c r="I267" s="62">
        <f t="shared" si="85"/>
        <v>97.033369539644838</v>
      </c>
      <c r="J267" s="62">
        <f t="shared" si="85"/>
        <v>96.764740284827127</v>
      </c>
      <c r="K267" s="62">
        <f t="shared" si="85"/>
        <v>97.894354014673851</v>
      </c>
      <c r="L267" s="62">
        <f t="shared" si="85"/>
        <v>96.752565123296208</v>
      </c>
      <c r="M267" s="62">
        <f t="shared" si="85"/>
        <v>95.830914252418339</v>
      </c>
      <c r="N267" s="62">
        <f t="shared" si="85"/>
        <v>96.500329956555731</v>
      </c>
      <c r="O267" s="62">
        <f t="shared" si="85"/>
        <v>94.800994502082872</v>
      </c>
      <c r="P267" s="62">
        <f t="shared" si="85"/>
        <v>92.788429975371173</v>
      </c>
      <c r="Q267" s="62">
        <f t="shared" si="85"/>
        <v>98.733673552121388</v>
      </c>
      <c r="R267" s="62">
        <f t="shared" si="85"/>
        <v>97.896015258278979</v>
      </c>
      <c r="S267" s="62">
        <f t="shared" si="85"/>
        <v>95.690988017057862</v>
      </c>
      <c r="T267" s="62">
        <f t="shared" si="85"/>
        <v>93.12010826845875</v>
      </c>
      <c r="U267" s="62">
        <f t="shared" si="85"/>
        <v>94.245991873108423</v>
      </c>
      <c r="V267" s="62">
        <f t="shared" si="85"/>
        <v>98.450874930599838</v>
      </c>
    </row>
    <row r="268" spans="3:22" x14ac:dyDescent="0.2">
      <c r="C268" s="87" t="s">
        <v>145</v>
      </c>
      <c r="D268" s="60">
        <f t="shared" ref="D268:V268" si="86">+IFERROR(IF(D229&gt;0,+((D229/D35)*100)," "),"")</f>
        <v>81.665038710004396</v>
      </c>
      <c r="E268" s="60">
        <f t="shared" si="86"/>
        <v>65.997550993222319</v>
      </c>
      <c r="F268" s="60">
        <f t="shared" si="86"/>
        <v>76.238303262239697</v>
      </c>
      <c r="G268" s="60">
        <f t="shared" si="86"/>
        <v>71.038803146064197</v>
      </c>
      <c r="H268" s="60">
        <f t="shared" si="86"/>
        <v>85.231398629819367</v>
      </c>
      <c r="I268" s="60">
        <f t="shared" si="86"/>
        <v>93.166720655702107</v>
      </c>
      <c r="J268" s="60">
        <f t="shared" si="86"/>
        <v>83.543208961332027</v>
      </c>
      <c r="K268" s="60">
        <f t="shared" si="86"/>
        <v>87.209940673290859</v>
      </c>
      <c r="L268" s="60">
        <f t="shared" si="86"/>
        <v>91.018849549486021</v>
      </c>
      <c r="M268" s="60">
        <f t="shared" si="86"/>
        <v>90.576859044865628</v>
      </c>
      <c r="N268" s="60">
        <f t="shared" si="86"/>
        <v>96.149395341580302</v>
      </c>
      <c r="O268" s="60">
        <f t="shared" si="86"/>
        <v>84.714152116007597</v>
      </c>
      <c r="P268" s="60">
        <f t="shared" si="86"/>
        <v>88.82925081708828</v>
      </c>
      <c r="Q268" s="60">
        <f t="shared" si="86"/>
        <v>83.651068028319372</v>
      </c>
      <c r="R268" s="60">
        <f t="shared" si="86"/>
        <v>92.433887976760204</v>
      </c>
      <c r="S268" s="60">
        <f t="shared" si="86"/>
        <v>90.977132056994833</v>
      </c>
      <c r="T268" s="60">
        <f t="shared" si="86"/>
        <v>92.279563204555274</v>
      </c>
      <c r="U268" s="60">
        <f t="shared" si="86"/>
        <v>91.681343997004376</v>
      </c>
      <c r="V268" s="60">
        <f t="shared" si="86"/>
        <v>96.910871954788689</v>
      </c>
    </row>
    <row r="269" spans="3:22" x14ac:dyDescent="0.2">
      <c r="C269" s="88" t="s">
        <v>146</v>
      </c>
      <c r="D269" s="62">
        <f t="shared" ref="D269:V269" si="87">+IFERROR(IF(D230&gt;0,+((D230/D36)*100)," "),"")</f>
        <v>90.831698627213441</v>
      </c>
      <c r="E269" s="62">
        <f t="shared" si="87"/>
        <v>92.909102370520486</v>
      </c>
      <c r="F269" s="62">
        <f t="shared" si="87"/>
        <v>84.754796584108149</v>
      </c>
      <c r="G269" s="62">
        <f t="shared" si="87"/>
        <v>95.250295618303966</v>
      </c>
      <c r="H269" s="62">
        <f t="shared" si="87"/>
        <v>87.912488550006927</v>
      </c>
      <c r="I269" s="62">
        <f t="shared" si="87"/>
        <v>86.168483853128819</v>
      </c>
      <c r="J269" s="62">
        <f t="shared" si="87"/>
        <v>86.550829775616933</v>
      </c>
      <c r="K269" s="62">
        <f t="shared" si="87"/>
        <v>83.789712977218429</v>
      </c>
      <c r="L269" s="62">
        <f t="shared" si="87"/>
        <v>88.329227847649477</v>
      </c>
      <c r="M269" s="62">
        <f t="shared" si="87"/>
        <v>91.96229687830521</v>
      </c>
      <c r="N269" s="62">
        <f t="shared" si="87"/>
        <v>83.848379235742698</v>
      </c>
      <c r="O269" s="62">
        <f t="shared" si="87"/>
        <v>93.486109055330218</v>
      </c>
      <c r="P269" s="62">
        <f t="shared" si="87"/>
        <v>93.307643599403988</v>
      </c>
      <c r="Q269" s="62">
        <f t="shared" si="87"/>
        <v>92.152367309688969</v>
      </c>
      <c r="R269" s="62">
        <f t="shared" si="87"/>
        <v>97.250215637261988</v>
      </c>
      <c r="S269" s="62">
        <f t="shared" si="87"/>
        <v>97.38868917076563</v>
      </c>
      <c r="T269" s="62">
        <f t="shared" si="87"/>
        <v>95.754963761902729</v>
      </c>
      <c r="U269" s="62">
        <f t="shared" si="87"/>
        <v>92.576920596906803</v>
      </c>
      <c r="V269" s="62">
        <f t="shared" si="87"/>
        <v>87.600307237508318</v>
      </c>
    </row>
    <row r="270" spans="3:22" x14ac:dyDescent="0.2">
      <c r="C270" s="90" t="s">
        <v>147</v>
      </c>
      <c r="D270" s="61">
        <f t="shared" ref="D270:V270" si="88">+IFERROR(IF(D231&gt;0,+((D231/D37)*100)," "),"")</f>
        <v>91.592346669064597</v>
      </c>
      <c r="E270" s="61">
        <f t="shared" si="88"/>
        <v>96.807476304320929</v>
      </c>
      <c r="F270" s="61">
        <f t="shared" si="88"/>
        <v>97.807631738959145</v>
      </c>
      <c r="G270" s="61">
        <f t="shared" si="88"/>
        <v>96.263455975993395</v>
      </c>
      <c r="H270" s="61">
        <f t="shared" si="88"/>
        <v>92.196077198148231</v>
      </c>
      <c r="I270" s="61">
        <f t="shared" si="88"/>
        <v>93.339318794760999</v>
      </c>
      <c r="J270" s="61">
        <f t="shared" si="88"/>
        <v>92.667001759992431</v>
      </c>
      <c r="K270" s="61">
        <f t="shared" si="88"/>
        <v>95.578336548935511</v>
      </c>
      <c r="L270" s="61">
        <f t="shared" si="88"/>
        <v>97.1658324598842</v>
      </c>
      <c r="M270" s="61">
        <f t="shared" si="88"/>
        <v>85.604158756290389</v>
      </c>
      <c r="N270" s="61">
        <f t="shared" si="88"/>
        <v>71.642434735055474</v>
      </c>
      <c r="O270" s="61">
        <f t="shared" si="88"/>
        <v>80.82497603342091</v>
      </c>
      <c r="P270" s="61">
        <f t="shared" si="88"/>
        <v>77.974926317029031</v>
      </c>
      <c r="Q270" s="61">
        <f t="shared" si="88"/>
        <v>91.752817087840697</v>
      </c>
      <c r="R270" s="61">
        <f t="shared" si="88"/>
        <v>85.12496262871251</v>
      </c>
      <c r="S270" s="61">
        <f t="shared" si="88"/>
        <v>86.139725155935977</v>
      </c>
      <c r="T270" s="61">
        <f t="shared" si="88"/>
        <v>89.013576113292771</v>
      </c>
      <c r="U270" s="61">
        <f t="shared" si="88"/>
        <v>92.153741001025168</v>
      </c>
      <c r="V270" s="61">
        <f t="shared" si="88"/>
        <v>90.625080537607289</v>
      </c>
    </row>
    <row r="271" spans="3:22" ht="22.5" customHeight="1" x14ac:dyDescent="0.2">
      <c r="C271" s="89" t="s">
        <v>148</v>
      </c>
      <c r="D271" s="63" t="str">
        <f t="shared" ref="D271:V271" si="89">+IFERROR(IF(D232&gt;0,+((D232/D38)*100)," "),"")</f>
        <v xml:space="preserve"> </v>
      </c>
      <c r="E271" s="63" t="str">
        <f t="shared" si="89"/>
        <v xml:space="preserve"> </v>
      </c>
      <c r="F271" s="63" t="str">
        <f t="shared" si="89"/>
        <v xml:space="preserve"> </v>
      </c>
      <c r="G271" s="63" t="str">
        <f t="shared" si="89"/>
        <v xml:space="preserve"> </v>
      </c>
      <c r="H271" s="63" t="str">
        <f t="shared" si="89"/>
        <v xml:space="preserve"> </v>
      </c>
      <c r="I271" s="63" t="str">
        <f t="shared" si="89"/>
        <v xml:space="preserve"> </v>
      </c>
      <c r="J271" s="63" t="str">
        <f t="shared" si="89"/>
        <v xml:space="preserve"> </v>
      </c>
      <c r="K271" s="63" t="str">
        <f t="shared" si="89"/>
        <v xml:space="preserve"> </v>
      </c>
      <c r="L271" s="63" t="str">
        <f t="shared" si="89"/>
        <v xml:space="preserve"> </v>
      </c>
      <c r="M271" s="63" t="str">
        <f t="shared" si="89"/>
        <v xml:space="preserve"> </v>
      </c>
      <c r="N271" s="63" t="str">
        <f t="shared" si="89"/>
        <v xml:space="preserve"> </v>
      </c>
      <c r="O271" s="63" t="str">
        <f t="shared" si="89"/>
        <v xml:space="preserve"> </v>
      </c>
      <c r="P271" s="63" t="str">
        <f t="shared" si="89"/>
        <v xml:space="preserve"> </v>
      </c>
      <c r="Q271" s="63" t="str">
        <f t="shared" si="89"/>
        <v xml:space="preserve"> </v>
      </c>
      <c r="R271" s="63" t="str">
        <f t="shared" si="89"/>
        <v xml:space="preserve"> </v>
      </c>
      <c r="S271" s="63" t="str">
        <f t="shared" si="89"/>
        <v xml:space="preserve"> </v>
      </c>
      <c r="T271" s="63" t="str">
        <f t="shared" si="89"/>
        <v xml:space="preserve"> </v>
      </c>
      <c r="U271" s="63">
        <f t="shared" si="89"/>
        <v>55.081877894904977</v>
      </c>
      <c r="V271" s="63">
        <f t="shared" si="89"/>
        <v>77.692399336423691</v>
      </c>
    </row>
    <row r="272" spans="3:22" x14ac:dyDescent="0.2">
      <c r="C272" s="87" t="s">
        <v>149</v>
      </c>
      <c r="D272" s="60">
        <f t="shared" ref="D272:V272" si="90">+IFERROR(IF(D233&gt;0,+((D233/D39)*100)," "),"")</f>
        <v>42.218964693027552</v>
      </c>
      <c r="E272" s="60">
        <f t="shared" si="90"/>
        <v>41.591470670375074</v>
      </c>
      <c r="F272" s="60">
        <f t="shared" si="90"/>
        <v>45.591173129883373</v>
      </c>
      <c r="G272" s="60">
        <f t="shared" si="90"/>
        <v>57.30583506177517</v>
      </c>
      <c r="H272" s="60">
        <f t="shared" si="90"/>
        <v>52.722488140175081</v>
      </c>
      <c r="I272" s="60">
        <f t="shared" si="90"/>
        <v>26.527341642838596</v>
      </c>
      <c r="J272" s="60">
        <f t="shared" si="90"/>
        <v>49.440147824169486</v>
      </c>
      <c r="K272" s="60">
        <f t="shared" si="90"/>
        <v>51.441175629627232</v>
      </c>
      <c r="L272" s="60">
        <f t="shared" si="90"/>
        <v>60.643121303936155</v>
      </c>
      <c r="M272" s="60">
        <f t="shared" si="90"/>
        <v>52.176450035454415</v>
      </c>
      <c r="N272" s="60">
        <f t="shared" si="90"/>
        <v>67.807028195033553</v>
      </c>
      <c r="O272" s="60">
        <f t="shared" si="90"/>
        <v>73.228085352258105</v>
      </c>
      <c r="P272" s="60">
        <f t="shared" si="90"/>
        <v>69.403142174661596</v>
      </c>
      <c r="Q272" s="60">
        <f t="shared" si="90"/>
        <v>67.190852277095203</v>
      </c>
      <c r="R272" s="60">
        <f t="shared" si="90"/>
        <v>73.394951737224048</v>
      </c>
      <c r="S272" s="60">
        <f t="shared" si="90"/>
        <v>83.216262279164368</v>
      </c>
      <c r="T272" s="60">
        <f t="shared" si="90"/>
        <v>88.591183011775527</v>
      </c>
      <c r="U272" s="60">
        <f t="shared" si="90"/>
        <v>92.315765732418043</v>
      </c>
      <c r="V272" s="60">
        <f t="shared" si="90"/>
        <v>78.744645848880239</v>
      </c>
    </row>
    <row r="273" spans="3:22" x14ac:dyDescent="0.2">
      <c r="C273" s="88" t="s">
        <v>150</v>
      </c>
      <c r="D273" s="62">
        <f t="shared" ref="D273:V273" si="91">+IFERROR(IF(D234&gt;0,+((D234/D40)*100)," "),"")</f>
        <v>84.91277216771131</v>
      </c>
      <c r="E273" s="62">
        <f t="shared" si="91"/>
        <v>81.184314587428631</v>
      </c>
      <c r="F273" s="62">
        <f t="shared" si="91"/>
        <v>55.073755029895146</v>
      </c>
      <c r="G273" s="62">
        <f t="shared" si="91"/>
        <v>90.51187341540296</v>
      </c>
      <c r="H273" s="62">
        <f t="shared" si="91"/>
        <v>89.926905704330593</v>
      </c>
      <c r="I273" s="62">
        <f t="shared" si="91"/>
        <v>87.483695357271799</v>
      </c>
      <c r="J273" s="62">
        <f t="shared" si="91"/>
        <v>79.578040594051217</v>
      </c>
      <c r="K273" s="62">
        <f t="shared" si="91"/>
        <v>81.173797235154652</v>
      </c>
      <c r="L273" s="62">
        <f t="shared" si="91"/>
        <v>85.309410044258726</v>
      </c>
      <c r="M273" s="62">
        <f t="shared" si="91"/>
        <v>84.821073060126523</v>
      </c>
      <c r="N273" s="62">
        <f t="shared" si="91"/>
        <v>85.39605699798426</v>
      </c>
      <c r="O273" s="62">
        <f t="shared" si="91"/>
        <v>70.972044857142265</v>
      </c>
      <c r="P273" s="62">
        <f t="shared" si="91"/>
        <v>88.328497059783857</v>
      </c>
      <c r="Q273" s="62">
        <f t="shared" si="91"/>
        <v>84.667879232341292</v>
      </c>
      <c r="R273" s="62">
        <f t="shared" si="91"/>
        <v>88.760711632864002</v>
      </c>
      <c r="S273" s="62">
        <f t="shared" si="91"/>
        <v>89.636815922199389</v>
      </c>
      <c r="T273" s="62">
        <f t="shared" si="91"/>
        <v>92.556044600013536</v>
      </c>
      <c r="U273" s="62">
        <f t="shared" si="91"/>
        <v>89.045214029596053</v>
      </c>
      <c r="V273" s="62">
        <f t="shared" si="91"/>
        <v>93.679311167834882</v>
      </c>
    </row>
    <row r="274" spans="3:22" x14ac:dyDescent="0.2">
      <c r="C274" s="87" t="s">
        <v>151</v>
      </c>
      <c r="D274" s="60">
        <f t="shared" ref="D274:V274" si="92">+IFERROR(IF(D235&gt;0,+((D235/D41)*100)," "),"")</f>
        <v>80.798488383008831</v>
      </c>
      <c r="E274" s="60">
        <f t="shared" si="92"/>
        <v>77.569739794263668</v>
      </c>
      <c r="F274" s="60">
        <f t="shared" si="92"/>
        <v>74.535068244816088</v>
      </c>
      <c r="G274" s="60">
        <f t="shared" si="92"/>
        <v>69.120805564506881</v>
      </c>
      <c r="H274" s="60">
        <f t="shared" si="92"/>
        <v>55.056568884149556</v>
      </c>
      <c r="I274" s="60">
        <f t="shared" si="92"/>
        <v>77.71545496737626</v>
      </c>
      <c r="J274" s="60">
        <f t="shared" si="92"/>
        <v>56.795955433917776</v>
      </c>
      <c r="K274" s="60">
        <f t="shared" si="92"/>
        <v>66.44341284444107</v>
      </c>
      <c r="L274" s="60">
        <f t="shared" si="92"/>
        <v>81.411518646117969</v>
      </c>
      <c r="M274" s="60">
        <f t="shared" si="92"/>
        <v>90.643937565753561</v>
      </c>
      <c r="N274" s="60">
        <f t="shared" si="92"/>
        <v>72.580292234870427</v>
      </c>
      <c r="O274" s="60">
        <f t="shared" si="92"/>
        <v>98.006519659262878</v>
      </c>
      <c r="P274" s="60">
        <f t="shared" si="92"/>
        <v>99.077536123037987</v>
      </c>
      <c r="Q274" s="60">
        <f t="shared" si="92"/>
        <v>99.613262105117457</v>
      </c>
      <c r="R274" s="60">
        <f t="shared" si="92"/>
        <v>99.541800715356814</v>
      </c>
      <c r="S274" s="60">
        <f t="shared" si="92"/>
        <v>99.02188433704822</v>
      </c>
      <c r="T274" s="60">
        <f t="shared" si="92"/>
        <v>99.25622838323109</v>
      </c>
      <c r="U274" s="60">
        <f t="shared" si="92"/>
        <v>99.507595818516421</v>
      </c>
      <c r="V274" s="60">
        <f t="shared" si="92"/>
        <v>99.485005031816982</v>
      </c>
    </row>
    <row r="275" spans="3:22" x14ac:dyDescent="0.2">
      <c r="C275" s="91" t="s">
        <v>179</v>
      </c>
      <c r="D275" s="64">
        <f t="shared" ref="D275:V275" si="93">+IFERROR(IF(D236&gt;0,+((D236/D42)*100)," "),"")</f>
        <v>83.37900557854752</v>
      </c>
      <c r="E275" s="64">
        <f t="shared" si="93"/>
        <v>90.992420672840041</v>
      </c>
      <c r="F275" s="64">
        <f t="shared" si="93"/>
        <v>89.990395035672123</v>
      </c>
      <c r="G275" s="64">
        <f t="shared" si="93"/>
        <v>91.248011217710982</v>
      </c>
      <c r="H275" s="64">
        <f t="shared" si="93"/>
        <v>89.752804298424365</v>
      </c>
      <c r="I275" s="64">
        <f t="shared" si="93"/>
        <v>92.795371879449334</v>
      </c>
      <c r="J275" s="64">
        <f t="shared" si="93"/>
        <v>91.929746631120508</v>
      </c>
      <c r="K275" s="64">
        <f t="shared" si="93"/>
        <v>93.293974199324296</v>
      </c>
      <c r="L275" s="64">
        <f t="shared" si="93"/>
        <v>93.518467529042255</v>
      </c>
      <c r="M275" s="64">
        <f t="shared" si="93"/>
        <v>89.259091395218945</v>
      </c>
      <c r="N275" s="64">
        <f t="shared" si="93"/>
        <v>84.654833232535751</v>
      </c>
      <c r="O275" s="64">
        <f t="shared" si="93"/>
        <v>89.670612456767032</v>
      </c>
      <c r="P275" s="64">
        <f t="shared" si="93"/>
        <v>88.384184561317653</v>
      </c>
      <c r="Q275" s="64">
        <f t="shared" si="93"/>
        <v>89.388234074589263</v>
      </c>
      <c r="R275" s="64">
        <f t="shared" si="93"/>
        <v>88.572856476966194</v>
      </c>
      <c r="S275" s="64">
        <f t="shared" si="93"/>
        <v>91.869949805959806</v>
      </c>
      <c r="T275" s="64">
        <f t="shared" si="93"/>
        <v>92.881821882546063</v>
      </c>
      <c r="U275" s="64">
        <f t="shared" si="93"/>
        <v>93.826601156822704</v>
      </c>
      <c r="V275" s="64">
        <f t="shared" si="93"/>
        <v>93.743188989527894</v>
      </c>
    </row>
    <row r="276" spans="3:22" x14ac:dyDescent="0.2">
      <c r="C276" s="1" t="s">
        <v>52</v>
      </c>
      <c r="D276" s="11"/>
      <c r="E276" s="11"/>
      <c r="F276" s="11"/>
      <c r="G276" s="11"/>
      <c r="H276" s="11"/>
      <c r="I276" s="11"/>
      <c r="J276" s="11"/>
      <c r="K276" s="11"/>
      <c r="L276" s="11"/>
      <c r="M276" s="11"/>
      <c r="N276" s="11"/>
      <c r="O276" s="11"/>
      <c r="P276" s="11"/>
      <c r="Q276" s="11"/>
      <c r="R276" s="11"/>
      <c r="S276" s="11"/>
      <c r="T276" s="11"/>
      <c r="U276" s="11"/>
      <c r="V276" s="11"/>
    </row>
  </sheetData>
  <mergeCells count="174">
    <mergeCell ref="E244:E245"/>
    <mergeCell ref="D203:V203"/>
    <mergeCell ref="D89:D90"/>
    <mergeCell ref="M205:M206"/>
    <mergeCell ref="C244:C245"/>
    <mergeCell ref="D11:D12"/>
    <mergeCell ref="A7:C7"/>
    <mergeCell ref="C50:C51"/>
    <mergeCell ref="N11:N12"/>
    <mergeCell ref="D86:V86"/>
    <mergeCell ref="U128:U129"/>
    <mergeCell ref="R11:R12"/>
    <mergeCell ref="D6:D7"/>
    <mergeCell ref="F6:F7"/>
    <mergeCell ref="I89:I90"/>
    <mergeCell ref="D128:D129"/>
    <mergeCell ref="F128:F129"/>
    <mergeCell ref="D9:V9"/>
    <mergeCell ref="P6:P7"/>
    <mergeCell ref="Q244:Q245"/>
    <mergeCell ref="T205:T206"/>
    <mergeCell ref="S244:S245"/>
    <mergeCell ref="R6:R7"/>
    <mergeCell ref="T50:T51"/>
    <mergeCell ref="H11:H12"/>
    <mergeCell ref="J11:J12"/>
    <mergeCell ref="S128:S129"/>
    <mergeCell ref="R205:R206"/>
    <mergeCell ref="G244:G245"/>
    <mergeCell ref="J167:J168"/>
    <mergeCell ref="H50:H51"/>
    <mergeCell ref="K89:K90"/>
    <mergeCell ref="L6:L7"/>
    <mergeCell ref="N6:N7"/>
    <mergeCell ref="I11:I12"/>
    <mergeCell ref="I6:I7"/>
    <mergeCell ref="K6:K7"/>
    <mergeCell ref="H128:H129"/>
    <mergeCell ref="J128:J129"/>
    <mergeCell ref="L50:L51"/>
    <mergeCell ref="H205:H206"/>
    <mergeCell ref="D244:D245"/>
    <mergeCell ref="F244:F245"/>
    <mergeCell ref="R244:R245"/>
    <mergeCell ref="L242:Q242"/>
    <mergeCell ref="U205:U206"/>
    <mergeCell ref="O11:O12"/>
    <mergeCell ref="J50:J51"/>
    <mergeCell ref="Q11:Q12"/>
    <mergeCell ref="E50:E51"/>
    <mergeCell ref="D167:D168"/>
    <mergeCell ref="G50:G51"/>
    <mergeCell ref="I50:I51"/>
    <mergeCell ref="P167:P168"/>
    <mergeCell ref="H244:H245"/>
    <mergeCell ref="J244:J245"/>
    <mergeCell ref="N89:N90"/>
    <mergeCell ref="M50:M51"/>
    <mergeCell ref="P89:P90"/>
    <mergeCell ref="F167:F168"/>
    <mergeCell ref="G89:G90"/>
    <mergeCell ref="U244:U245"/>
    <mergeCell ref="M244:M245"/>
    <mergeCell ref="Q89:Q90"/>
    <mergeCell ref="M167:M168"/>
    <mergeCell ref="O244:O245"/>
    <mergeCell ref="S89:S90"/>
    <mergeCell ref="F11:F12"/>
    <mergeCell ref="U89:U90"/>
    <mergeCell ref="L167:L168"/>
    <mergeCell ref="N205:N206"/>
    <mergeCell ref="P205:P206"/>
    <mergeCell ref="P244:P245"/>
    <mergeCell ref="S50:S51"/>
    <mergeCell ref="G11:G12"/>
    <mergeCell ref="R167:R168"/>
    <mergeCell ref="T244:T245"/>
    <mergeCell ref="S167:S168"/>
    <mergeCell ref="N50:N51"/>
    <mergeCell ref="P50:P51"/>
    <mergeCell ref="M128:M129"/>
    <mergeCell ref="P11:P12"/>
    <mergeCell ref="P128:P129"/>
    <mergeCell ref="S11:S12"/>
    <mergeCell ref="R128:R129"/>
    <mergeCell ref="U11:U12"/>
    <mergeCell ref="M11:M12"/>
    <mergeCell ref="F89:F90"/>
    <mergeCell ref="O205:O206"/>
    <mergeCell ref="G6:G7"/>
    <mergeCell ref="J89:J90"/>
    <mergeCell ref="L89:L90"/>
    <mergeCell ref="Q6:Q7"/>
    <mergeCell ref="C167:C168"/>
    <mergeCell ref="F50:F51"/>
    <mergeCell ref="S6:S7"/>
    <mergeCell ref="V89:V90"/>
    <mergeCell ref="O167:O168"/>
    <mergeCell ref="R50:R51"/>
    <mergeCell ref="Q167:Q168"/>
    <mergeCell ref="C11:C12"/>
    <mergeCell ref="O50:O51"/>
    <mergeCell ref="T6:T7"/>
    <mergeCell ref="L48:Q48"/>
    <mergeCell ref="V50:V51"/>
    <mergeCell ref="I128:I129"/>
    <mergeCell ref="L11:L12"/>
    <mergeCell ref="U167:U168"/>
    <mergeCell ref="K128:K129"/>
    <mergeCell ref="U50:U51"/>
    <mergeCell ref="C128:C129"/>
    <mergeCell ref="E89:E90"/>
    <mergeCell ref="T128:T129"/>
    <mergeCell ref="R89:R90"/>
    <mergeCell ref="N167:N168"/>
    <mergeCell ref="L128:L129"/>
    <mergeCell ref="L205:L206"/>
    <mergeCell ref="V167:V168"/>
    <mergeCell ref="E167:E168"/>
    <mergeCell ref="Q205:Q206"/>
    <mergeCell ref="D164:V164"/>
    <mergeCell ref="K11:K12"/>
    <mergeCell ref="S205:S206"/>
    <mergeCell ref="V128:V129"/>
    <mergeCell ref="T11:T12"/>
    <mergeCell ref="V205:V206"/>
    <mergeCell ref="L244:L245"/>
    <mergeCell ref="M6:M7"/>
    <mergeCell ref="I205:I206"/>
    <mergeCell ref="N244:N245"/>
    <mergeCell ref="D241:V241"/>
    <mergeCell ref="E6:E7"/>
    <mergeCell ref="N128:N129"/>
    <mergeCell ref="D50:D51"/>
    <mergeCell ref="V11:V12"/>
    <mergeCell ref="I244:I245"/>
    <mergeCell ref="D205:D206"/>
    <mergeCell ref="G167:G168"/>
    <mergeCell ref="M89:M90"/>
    <mergeCell ref="I167:I168"/>
    <mergeCell ref="O89:O90"/>
    <mergeCell ref="U6:U7"/>
    <mergeCell ref="O128:O129"/>
    <mergeCell ref="E128:E129"/>
    <mergeCell ref="G128:G129"/>
    <mergeCell ref="G205:G206"/>
    <mergeCell ref="J205:J206"/>
    <mergeCell ref="E11:E12"/>
    <mergeCell ref="Q50:Q51"/>
    <mergeCell ref="T89:T90"/>
    <mergeCell ref="D2:V2"/>
    <mergeCell ref="Q128:Q129"/>
    <mergeCell ref="A5:C6"/>
    <mergeCell ref="K205:K206"/>
    <mergeCell ref="V244:V245"/>
    <mergeCell ref="D126:V126"/>
    <mergeCell ref="L165:Q165"/>
    <mergeCell ref="O6:O7"/>
    <mergeCell ref="D47:V47"/>
    <mergeCell ref="L87:Q87"/>
    <mergeCell ref="K167:K168"/>
    <mergeCell ref="D4:V4"/>
    <mergeCell ref="C89:C90"/>
    <mergeCell ref="H89:H90"/>
    <mergeCell ref="F205:F206"/>
    <mergeCell ref="H6:H7"/>
    <mergeCell ref="J6:J7"/>
    <mergeCell ref="K244:K245"/>
    <mergeCell ref="C205:C206"/>
    <mergeCell ref="V6:V7"/>
    <mergeCell ref="E205:E206"/>
    <mergeCell ref="K50:K51"/>
    <mergeCell ref="H167:H168"/>
    <mergeCell ref="T167:T168"/>
  </mergeCells>
  <pageMargins left="0.7" right="0.7" top="0.75" bottom="0.75" header="0.3" footer="0.3"/>
  <pageSetup orientation="portrait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Hoja17"/>
  <dimension ref="A1:L299"/>
  <sheetViews>
    <sheetView showGridLines="0" zoomScaleNormal="100" workbookViewId="0">
      <pane xSplit="3" ySplit="9" topLeftCell="D282" activePane="bottomRight" state="frozen"/>
      <selection activeCell="C204" sqref="C204:V204"/>
      <selection pane="topRight" activeCell="C204" sqref="C204:V204"/>
      <selection pane="bottomLeft" activeCell="C204" sqref="C204:V204"/>
      <selection pane="bottomRight" activeCell="K224" sqref="K224:K254"/>
    </sheetView>
  </sheetViews>
  <sheetFormatPr baseColWidth="10" defaultColWidth="11.42578125" defaultRowHeight="11.25" x14ac:dyDescent="0.2"/>
  <cols>
    <col min="1" max="2" width="2.7109375" style="3" customWidth="1"/>
    <col min="3" max="3" width="56.5703125" style="3" customWidth="1"/>
    <col min="4" max="4" width="10.7109375" style="3" customWidth="1"/>
    <col min="5" max="11" width="10.7109375" style="9" customWidth="1"/>
    <col min="12" max="12" width="22.28515625" style="9" customWidth="1"/>
    <col min="13" max="33" width="10.7109375" style="9" customWidth="1"/>
    <col min="34" max="34" width="11.42578125" style="9" customWidth="1"/>
    <col min="35" max="16384" width="11.42578125" style="9"/>
  </cols>
  <sheetData>
    <row r="1" spans="1:12" ht="16.5" customHeight="1" x14ac:dyDescent="0.2"/>
    <row r="2" spans="1:12" ht="16.5" customHeight="1" x14ac:dyDescent="0.2">
      <c r="D2" s="179"/>
      <c r="E2" s="178"/>
      <c r="F2" s="178"/>
      <c r="G2" s="178"/>
      <c r="H2" s="178"/>
      <c r="I2" s="178"/>
      <c r="J2" s="178"/>
      <c r="K2" s="178"/>
    </row>
    <row r="3" spans="1:12" s="102" customFormat="1" ht="16.5" customHeight="1" x14ac:dyDescent="0.25">
      <c r="A3" s="120"/>
      <c r="B3" s="98"/>
      <c r="C3" s="98"/>
      <c r="D3" s="176"/>
      <c r="E3" s="176"/>
      <c r="F3" s="176"/>
      <c r="G3" s="176"/>
      <c r="H3" s="176"/>
      <c r="I3" s="176"/>
      <c r="J3" s="176"/>
      <c r="K3" s="176"/>
    </row>
    <row r="4" spans="1:12" s="102" customFormat="1" ht="16.5" customHeight="1" x14ac:dyDescent="0.25">
      <c r="A4" s="99"/>
      <c r="B4" s="98"/>
      <c r="C4" s="98"/>
      <c r="D4" s="176"/>
      <c r="E4" s="176"/>
      <c r="F4" s="176"/>
      <c r="G4" s="176"/>
      <c r="H4" s="176"/>
      <c r="I4" s="176"/>
      <c r="J4" s="176"/>
      <c r="K4" s="176"/>
    </row>
    <row r="5" spans="1:12" s="102" customFormat="1" ht="16.5" customHeight="1" x14ac:dyDescent="0.25">
      <c r="A5" s="99"/>
      <c r="B5" s="98"/>
      <c r="C5" s="98"/>
      <c r="D5" s="139"/>
      <c r="E5" s="139"/>
      <c r="F5" s="139"/>
      <c r="G5" s="139"/>
      <c r="H5" s="139"/>
      <c r="I5" s="139"/>
      <c r="J5" s="139"/>
      <c r="K5" s="139"/>
    </row>
    <row r="6" spans="1:12" s="102" customFormat="1" ht="16.5" customHeight="1" x14ac:dyDescent="0.25">
      <c r="A6" s="99"/>
      <c r="B6" s="98"/>
      <c r="C6" s="98"/>
      <c r="D6" s="161"/>
      <c r="E6" s="176"/>
      <c r="F6" s="176"/>
      <c r="G6" s="176"/>
      <c r="H6" s="176"/>
      <c r="I6" s="176"/>
      <c r="J6" s="176"/>
      <c r="K6" s="176"/>
    </row>
    <row r="7" spans="1:12" s="102" customFormat="1" ht="16.5" customHeight="1" x14ac:dyDescent="0.25">
      <c r="A7" s="165" t="s">
        <v>186</v>
      </c>
      <c r="B7" s="176"/>
      <c r="C7" s="176"/>
      <c r="D7" s="147"/>
      <c r="E7" s="147"/>
      <c r="F7" s="147"/>
      <c r="G7" s="147"/>
      <c r="H7" s="147"/>
      <c r="I7" s="147"/>
      <c r="J7" s="147"/>
      <c r="K7" s="147"/>
    </row>
    <row r="8" spans="1:12" s="102" customFormat="1" ht="16.5" customHeight="1" x14ac:dyDescent="0.25">
      <c r="A8" s="176"/>
      <c r="B8" s="176"/>
      <c r="C8" s="176"/>
      <c r="D8" s="151">
        <v>2019</v>
      </c>
      <c r="E8" s="151">
        <v>2020</v>
      </c>
      <c r="F8" s="151">
        <v>2021</v>
      </c>
      <c r="G8" s="151">
        <v>2022</v>
      </c>
      <c r="H8" s="151">
        <v>2023</v>
      </c>
      <c r="I8" s="151">
        <v>2024</v>
      </c>
      <c r="J8" s="151">
        <v>2025</v>
      </c>
      <c r="K8" s="151" t="s">
        <v>36</v>
      </c>
    </row>
    <row r="9" spans="1:12" ht="16.5" customHeight="1" x14ac:dyDescent="0.2">
      <c r="A9" s="162" t="s">
        <v>227</v>
      </c>
      <c r="B9" s="158"/>
      <c r="C9" s="158"/>
      <c r="D9" s="158"/>
      <c r="E9" s="178"/>
      <c r="F9" s="178"/>
      <c r="G9" s="178"/>
      <c r="H9" s="178"/>
      <c r="I9" s="178"/>
      <c r="J9" s="178"/>
      <c r="K9" s="178"/>
    </row>
    <row r="10" spans="1:12" ht="16.5" customHeight="1" x14ac:dyDescent="0.2">
      <c r="D10" s="132"/>
      <c r="E10" s="132"/>
      <c r="F10" s="132"/>
      <c r="G10" s="132"/>
      <c r="H10" s="132"/>
      <c r="I10" s="132"/>
      <c r="J10" s="132"/>
      <c r="K10" s="132"/>
    </row>
    <row r="11" spans="1:12" ht="16.5" customHeight="1" x14ac:dyDescent="0.2">
      <c r="D11" s="160" t="s">
        <v>178</v>
      </c>
      <c r="E11" s="178"/>
      <c r="F11" s="178"/>
      <c r="G11" s="178"/>
      <c r="H11" s="178"/>
      <c r="I11" s="178"/>
      <c r="J11" s="178"/>
      <c r="K11" s="178"/>
      <c r="L11" s="178"/>
    </row>
    <row r="12" spans="1:12" ht="15" customHeight="1" x14ac:dyDescent="0.2">
      <c r="C12" s="2"/>
      <c r="D12" s="2"/>
      <c r="E12" s="2"/>
      <c r="F12" s="2"/>
      <c r="G12" s="2"/>
      <c r="H12" s="2"/>
      <c r="I12" s="2"/>
    </row>
    <row r="13" spans="1:12" ht="9.9499999999999993" customHeight="1" x14ac:dyDescent="0.2">
      <c r="C13" s="177" t="s">
        <v>120</v>
      </c>
      <c r="D13" s="153">
        <v>2019</v>
      </c>
      <c r="E13" s="153">
        <v>2020</v>
      </c>
      <c r="F13" s="153">
        <v>2021</v>
      </c>
      <c r="G13" s="153">
        <v>2022</v>
      </c>
      <c r="H13" s="153">
        <v>2023</v>
      </c>
      <c r="I13" s="153">
        <v>2024</v>
      </c>
      <c r="J13" s="153">
        <v>2025</v>
      </c>
      <c r="K13" s="153" t="s">
        <v>36</v>
      </c>
    </row>
    <row r="14" spans="1:12" ht="9.9499999999999993" customHeight="1" thickBot="1" x14ac:dyDescent="0.25">
      <c r="C14" s="156"/>
      <c r="D14" s="154"/>
      <c r="E14" s="154"/>
      <c r="F14" s="154"/>
      <c r="G14" s="154"/>
      <c r="H14" s="154"/>
      <c r="I14" s="154"/>
      <c r="J14" s="154"/>
      <c r="K14" s="154"/>
    </row>
    <row r="15" spans="1:12" x14ac:dyDescent="0.2">
      <c r="C15" s="87" t="s">
        <v>123</v>
      </c>
      <c r="D15" s="42">
        <f>736.942361246*Deflactores!$T$5</f>
        <v>1115.0693378397325</v>
      </c>
      <c r="E15" s="42">
        <f>725.860149274*Deflactores!$U$5</f>
        <v>1080.8983516079136</v>
      </c>
      <c r="F15" s="42">
        <f>637.894146*Deflactores!$V$5</f>
        <v>899.36162843874092</v>
      </c>
      <c r="G15" s="42">
        <f>763.062259641*Deflactores!$W$5</f>
        <v>951.05649433817177</v>
      </c>
      <c r="H15" s="42">
        <f>936.114944514*Deflactores!$X$5</f>
        <v>1067.664575822293</v>
      </c>
      <c r="I15" s="42">
        <f>1061.435277643*Deflactores!$Y$5</f>
        <v>1150.7564895909916</v>
      </c>
      <c r="J15" s="42">
        <f>858.820829205*Deflactores!$Z$5</f>
        <v>885.91033464481688</v>
      </c>
      <c r="K15" s="42">
        <f>800.513038*Deflactores!$AA$5</f>
        <v>800.51303800000005</v>
      </c>
    </row>
    <row r="16" spans="1:12" x14ac:dyDescent="0.2">
      <c r="C16" s="88" t="s">
        <v>124</v>
      </c>
      <c r="D16" s="50">
        <f>319.431494009*Deflactores!$T$5</f>
        <v>483.33259592723061</v>
      </c>
      <c r="E16" s="50">
        <f>350.177160803*Deflactores!$U$5</f>
        <v>521.45846036771786</v>
      </c>
      <c r="F16" s="50">
        <f>413.202235139*Deflactores!$V$5</f>
        <v>582.57038005352467</v>
      </c>
      <c r="G16" s="50">
        <f>445.54711388*Deflactores!$W$5</f>
        <v>555.31573057821174</v>
      </c>
      <c r="H16" s="50">
        <f>517.842635766*Deflactores!$X$5</f>
        <v>590.61362207484342</v>
      </c>
      <c r="I16" s="50">
        <f>604.031010141*Deflactores!$Y$5</f>
        <v>654.86103531198364</v>
      </c>
      <c r="J16" s="50">
        <f>787.58934808*Deflactores!$Z$5</f>
        <v>812.43202213217091</v>
      </c>
      <c r="K16" s="50">
        <f>682.08457*Deflactores!$AA$5</f>
        <v>682.08456999999999</v>
      </c>
    </row>
    <row r="17" spans="3:11" x14ac:dyDescent="0.2">
      <c r="C17" s="87" t="s">
        <v>125</v>
      </c>
      <c r="D17" s="42">
        <f>23.468888556*Deflactores!$T$5</f>
        <v>35.510834222810722</v>
      </c>
      <c r="E17" s="42">
        <f>24.172511265*Deflactores!$U$5</f>
        <v>35.995952673108285</v>
      </c>
      <c r="F17" s="42">
        <f>25.56990936*Deflactores!$V$5</f>
        <v>36.050801634164245</v>
      </c>
      <c r="G17" s="42">
        <f>27.602653*Deflactores!$W$5</f>
        <v>34.40306746262582</v>
      </c>
      <c r="H17" s="42">
        <f>27.224997*Deflactores!$X$5</f>
        <v>31.050850159067718</v>
      </c>
      <c r="I17" s="42">
        <f>27.813986*Deflactores!$Y$5</f>
        <v>30.154570481176492</v>
      </c>
      <c r="J17" s="42">
        <f>27.025604856*Deflactores!$Z$5</f>
        <v>27.878064699619138</v>
      </c>
      <c r="K17" s="42">
        <f>31.288669554*Deflactores!$AA$5</f>
        <v>31.288669553999998</v>
      </c>
    </row>
    <row r="18" spans="3:11" x14ac:dyDescent="0.2">
      <c r="C18" s="88" t="s">
        <v>126</v>
      </c>
      <c r="D18" s="50">
        <f>655.731683681*Deflactores!$T$5</f>
        <v>992.18925763262939</v>
      </c>
      <c r="E18" s="50">
        <f>720.222095086*Deflactores!$U$5</f>
        <v>1072.5025697425215</v>
      </c>
      <c r="F18" s="50">
        <f>682.760163512*Deflactores!$V$5</f>
        <v>962.6178517857935</v>
      </c>
      <c r="G18" s="50">
        <f>671.693745833*Deflactores!$W$5</f>
        <v>837.17768911982978</v>
      </c>
      <c r="H18" s="50">
        <f>796.753344286*Deflactores!$X$5</f>
        <v>908.71887725683428</v>
      </c>
      <c r="I18" s="50">
        <f>1126.419719992*Deflactores!$Y$5</f>
        <v>1221.2094605169448</v>
      </c>
      <c r="J18" s="50">
        <f>1066.021531823*Deflactores!$Z$5</f>
        <v>1099.6467014780176</v>
      </c>
      <c r="K18" s="50">
        <f>1435.930207216*Deflactores!$AA$5</f>
        <v>1435.9302072160001</v>
      </c>
    </row>
    <row r="19" spans="3:11" x14ac:dyDescent="0.2">
      <c r="C19" s="87" t="s">
        <v>127</v>
      </c>
      <c r="D19" s="42">
        <f>557.367*Deflactores!$T$5</f>
        <v>843.35340768428591</v>
      </c>
      <c r="E19" s="42">
        <f>607.3197*Deflactores!$U$5</f>
        <v>904.3765018448662</v>
      </c>
      <c r="F19" s="42">
        <f>660.634429179*Deflactores!$V$5</f>
        <v>931.42296375474734</v>
      </c>
      <c r="G19" s="42">
        <f>762.603828761*Deflactores!$W$5</f>
        <v>950.48512069189258</v>
      </c>
      <c r="H19" s="42">
        <f>907.149*Deflactores!$X$5</f>
        <v>1034.6281276338846</v>
      </c>
      <c r="I19" s="42">
        <f>1108.608*Deflactores!$Y$5</f>
        <v>1201.898860235139</v>
      </c>
      <c r="J19" s="42">
        <f>1366.670325863*Deflactores!$Z$5</f>
        <v>1409.7787624168423</v>
      </c>
      <c r="K19" s="42">
        <f>1132.522*Deflactores!$AA$5</f>
        <v>1132.5219999999999</v>
      </c>
    </row>
    <row r="20" spans="3:11" x14ac:dyDescent="0.2">
      <c r="C20" s="88" t="s">
        <v>128</v>
      </c>
      <c r="D20" s="50">
        <f>236.470388119*Deflactores!$T$5</f>
        <v>357.80393822487582</v>
      </c>
      <c r="E20" s="50">
        <f>237.756608422*Deflactores!$U$5</f>
        <v>354.04991772074578</v>
      </c>
      <c r="F20" s="50">
        <f>242.850581438*Deflactores!$V$5</f>
        <v>342.39300636155201</v>
      </c>
      <c r="G20" s="50">
        <f>195.818877282*Deflactores!$W$5</f>
        <v>244.06241115983642</v>
      </c>
      <c r="H20" s="50">
        <f>299.543123779*Deflactores!$X$5</f>
        <v>341.63708641146235</v>
      </c>
      <c r="I20" s="50">
        <f>338.542472654*Deflactores!$Y$5</f>
        <v>367.03127888670139</v>
      </c>
      <c r="J20" s="50">
        <f>341.738676018*Deflactores!$Z$5</f>
        <v>352.51802766874533</v>
      </c>
      <c r="K20" s="50">
        <f>395.906730861*Deflactores!$AA$5</f>
        <v>395.90673086100003</v>
      </c>
    </row>
    <row r="21" spans="3:11" x14ac:dyDescent="0.2">
      <c r="C21" s="87" t="s">
        <v>129</v>
      </c>
      <c r="D21" s="42">
        <f>32430.7509406734*Deflactores!$T$5</f>
        <v>49071.050707302864</v>
      </c>
      <c r="E21" s="42">
        <f>34013.038044002*Deflactores!$U$5</f>
        <v>50649.752285906223</v>
      </c>
      <c r="F21" s="42">
        <f>36719.022628343*Deflactores!$V$5</f>
        <v>51769.843308305797</v>
      </c>
      <c r="G21" s="42">
        <f>40307.848102088*Deflactores!$W$5</f>
        <v>50238.417935022677</v>
      </c>
      <c r="H21" s="42">
        <f>45970.390055*Deflactores!$X$5</f>
        <v>52430.481199013608</v>
      </c>
      <c r="I21" s="42">
        <f>52795.803574195*Deflactores!$Y$5</f>
        <v>57238.641739030609</v>
      </c>
      <c r="J21" s="42">
        <f>57745.084219643*Deflactores!$Z$5</f>
        <v>59566.518586271886</v>
      </c>
      <c r="K21" s="42">
        <f>61793.575743991*Deflactores!$AA$5</f>
        <v>61793.575743991001</v>
      </c>
    </row>
    <row r="22" spans="3:11" x14ac:dyDescent="0.2">
      <c r="C22" s="88" t="s">
        <v>130</v>
      </c>
      <c r="D22" s="50">
        <f>37.630371065*Deflactores!$T$5</f>
        <v>56.938608977732635</v>
      </c>
      <c r="E22" s="50">
        <f>39.593952363*Deflactores!$U$5</f>
        <v>58.960445597701202</v>
      </c>
      <c r="F22" s="50">
        <f>39.882291951*Deflactores!$V$5</f>
        <v>56.229710305133686</v>
      </c>
      <c r="G22" s="50">
        <f>52.836845707*Deflactores!$W$5</f>
        <v>65.854161459417412</v>
      </c>
      <c r="H22" s="50">
        <f>57.071743554*Deflactores!$X$5</f>
        <v>65.091877050050471</v>
      </c>
      <c r="I22" s="50">
        <f>64.627885666*Deflactores!$Y$5</f>
        <v>70.066409516594021</v>
      </c>
      <c r="J22" s="50">
        <f>49.600696578*Deflactores!$Z$5</f>
        <v>51.165235180320863</v>
      </c>
      <c r="K22" s="50">
        <f>54.194708762*Deflactores!$AA$5</f>
        <v>54.194708761999998</v>
      </c>
    </row>
    <row r="23" spans="3:11" x14ac:dyDescent="0.2">
      <c r="C23" s="87" t="s">
        <v>131</v>
      </c>
      <c r="D23" s="42">
        <f>37398.2077659*Deflactores!$T$5</f>
        <v>56587.322106720872</v>
      </c>
      <c r="E23" s="42">
        <f>40616.603883028*Deflactores!$U$5</f>
        <v>60483.304158504114</v>
      </c>
      <c r="F23" s="42">
        <f>43233.516413785*Deflactores!$V$5</f>
        <v>60954.573684133975</v>
      </c>
      <c r="G23" s="42">
        <f>44220.539601358*Deflactores!$W$5</f>
        <v>55115.071987436713</v>
      </c>
      <c r="H23" s="42">
        <f>51647.625723569*Deflactores!$X$5</f>
        <v>58905.523016739084</v>
      </c>
      <c r="I23" s="42">
        <f>62044.204609758*Deflactores!$Y$5</f>
        <v>67265.308210534189</v>
      </c>
      <c r="J23" s="42">
        <f>73440.1804428303*Deflactores!$Z$5</f>
        <v>75756.680113022041</v>
      </c>
      <c r="K23" s="42">
        <f>81418.242384056*Deflactores!$AA$5</f>
        <v>81418.242384055993</v>
      </c>
    </row>
    <row r="24" spans="3:11" x14ac:dyDescent="0.2">
      <c r="C24" s="88" t="s">
        <v>132</v>
      </c>
      <c r="D24" s="50">
        <f>87.476593414*Deflactores!$T$5</f>
        <v>132.3610532168386</v>
      </c>
      <c r="E24" s="50">
        <f>89.692894037*Deflactores!$U$5</f>
        <v>133.5641602759211</v>
      </c>
      <c r="F24" s="50">
        <f>166.609527058*Deflactores!$V$5</f>
        <v>234.90138059409523</v>
      </c>
      <c r="G24" s="50">
        <f>174.573208475*Deflactores!$W$5</f>
        <v>217.5824863042138</v>
      </c>
      <c r="H24" s="50">
        <f>182.964845927*Deflactores!$X$5</f>
        <v>208.67638719138108</v>
      </c>
      <c r="I24" s="50">
        <f>208.926002583*Deflactores!$Y$5</f>
        <v>226.50740782854842</v>
      </c>
      <c r="J24" s="50">
        <f>221.767948813*Deflactores!$Z$5</f>
        <v>228.76310292600391</v>
      </c>
      <c r="K24" s="50">
        <f>249.642061349*Deflactores!$AA$5</f>
        <v>249.64206134899999</v>
      </c>
    </row>
    <row r="25" spans="3:11" x14ac:dyDescent="0.2">
      <c r="C25" s="87" t="s">
        <v>133</v>
      </c>
      <c r="D25" s="42">
        <f>3697.965187113*Deflactores!$T$5</f>
        <v>5595.4004131023312</v>
      </c>
      <c r="E25" s="42">
        <f>3826.978427277*Deflactores!$U$5</f>
        <v>5698.8590402987766</v>
      </c>
      <c r="F25" s="42">
        <f>4301.460163733*Deflactores!$V$5</f>
        <v>6064.5927569294299</v>
      </c>
      <c r="G25" s="42">
        <f>4573.9976*Deflactores!$W$5</f>
        <v>5700.8849115586308</v>
      </c>
      <c r="H25" s="42">
        <f>5223.6201*Deflactores!$X$5</f>
        <v>5957.6809140876794</v>
      </c>
      <c r="I25" s="42">
        <f>5766.745473169*Deflactores!$Y$5</f>
        <v>6252.024891997864</v>
      </c>
      <c r="J25" s="42">
        <f>6517.323091365*Deflactores!$Z$5</f>
        <v>6722.8968889870348</v>
      </c>
      <c r="K25" s="42">
        <f>6793.145843692*Deflactores!$AA$5</f>
        <v>6793.1458436920002</v>
      </c>
    </row>
    <row r="26" spans="3:11" x14ac:dyDescent="0.2">
      <c r="C26" s="88" t="s">
        <v>134</v>
      </c>
      <c r="D26" s="50">
        <f>8704.496368164*Deflactores!$T$5</f>
        <v>13170.795318464496</v>
      </c>
      <c r="E26" s="50">
        <f>38968.068004962*Deflactores!$U$5</f>
        <v>58028.423951965306</v>
      </c>
      <c r="F26" s="50">
        <f>21890.0871298231*Deflactores!$V$5</f>
        <v>30862.65100752881</v>
      </c>
      <c r="G26" s="50">
        <f>15649.289069323*Deflactores!$W$5</f>
        <v>19504.775413944884</v>
      </c>
      <c r="H26" s="50">
        <f>36846.092319728*Deflactores!$X$5</f>
        <v>42023.971263139167</v>
      </c>
      <c r="I26" s="50">
        <f>29518.375603216*Deflactores!$Y$5</f>
        <v>32002.386771066096</v>
      </c>
      <c r="J26" s="50">
        <f>22149.5523728996*Deflactores!$Z$5</f>
        <v>22848.208482638584</v>
      </c>
      <c r="K26" s="50">
        <f>28557.825229212*Deflactores!$AA$5</f>
        <v>28557.825229212001</v>
      </c>
    </row>
    <row r="27" spans="3:11" x14ac:dyDescent="0.2">
      <c r="C27" s="87" t="s">
        <v>135</v>
      </c>
      <c r="D27" s="42">
        <f>0*Deflactores!$T$5</f>
        <v>0</v>
      </c>
      <c r="E27" s="42">
        <f>0*Deflactores!$U$5</f>
        <v>0</v>
      </c>
      <c r="F27" s="42">
        <f>0*Deflactores!$V$5</f>
        <v>0</v>
      </c>
      <c r="G27" s="42">
        <f>0*Deflactores!$W$5</f>
        <v>0</v>
      </c>
      <c r="H27" s="42">
        <f>500*Deflactores!$X$5</f>
        <v>570.26361029659097</v>
      </c>
      <c r="I27" s="42">
        <f>2448.356474261*Deflactores!$Y$5</f>
        <v>2654.3889777663694</v>
      </c>
      <c r="J27" s="42">
        <f>1257.32816862*Deflactores!$Z$5</f>
        <v>1296.987661153496</v>
      </c>
      <c r="K27" s="42">
        <f>1622.12330845*Deflactores!$AA$5</f>
        <v>1622.12330845</v>
      </c>
    </row>
    <row r="28" spans="3:11" x14ac:dyDescent="0.2">
      <c r="C28" s="88" t="s">
        <v>136</v>
      </c>
      <c r="D28" s="50">
        <f>1477.630868496*Deflactores!$T$5</f>
        <v>2235.8069786076189</v>
      </c>
      <c r="E28" s="50">
        <f>7506.528553615*Deflactores!$U$5</f>
        <v>11178.178534825953</v>
      </c>
      <c r="F28" s="50">
        <f>9484.95389384*Deflactores!$V$5</f>
        <v>13372.757271910001</v>
      </c>
      <c r="G28" s="50">
        <f>1675.404609127*Deflactores!$W$5</f>
        <v>2088.1709375903256</v>
      </c>
      <c r="H28" s="50">
        <f>2087.835745381*Deflactores!$X$5</f>
        <v>2381.2334997344865</v>
      </c>
      <c r="I28" s="50">
        <f>2268.261699535*Deflactores!$Y$5</f>
        <v>2459.1389845519207</v>
      </c>
      <c r="J28" s="50">
        <f>2071.398943636*Deflactores!$Z$5</f>
        <v>2136.7364052385574</v>
      </c>
      <c r="K28" s="50">
        <f>1994.240853656*Deflactores!$AA$5</f>
        <v>1994.2408536559999</v>
      </c>
    </row>
    <row r="29" spans="3:11" x14ac:dyDescent="0.2">
      <c r="C29" s="87" t="s">
        <v>137</v>
      </c>
      <c r="D29" s="42">
        <f>158.483731379*Deflactores!$T$5</f>
        <v>239.80213202611685</v>
      </c>
      <c r="E29" s="42">
        <f>167.723000001*Deflactores!$U$5</f>
        <v>249.76094142809936</v>
      </c>
      <c r="F29" s="42">
        <f>190.639256866*Deflactores!$V$5</f>
        <v>268.78069594223427</v>
      </c>
      <c r="G29" s="42">
        <f>199.218*Deflactores!$W$5</f>
        <v>248.29896944215434</v>
      </c>
      <c r="H29" s="42">
        <f>225.409*Deflactores!$X$5</f>
        <v>257.08510026668853</v>
      </c>
      <c r="I29" s="42">
        <f>249.029581223*Deflactores!$Y$5</f>
        <v>269.98575676592418</v>
      </c>
      <c r="J29" s="42">
        <f>273.799010614*Deflactores!$Z$5</f>
        <v>282.43536354725421</v>
      </c>
      <c r="K29" s="42">
        <f>309.133447*Deflactores!$AA$5</f>
        <v>309.13344699999999</v>
      </c>
    </row>
    <row r="30" spans="3:11" x14ac:dyDescent="0.2">
      <c r="C30" s="88" t="s">
        <v>138</v>
      </c>
      <c r="D30" s="50">
        <f>90.387*Deflactores!$T$5</f>
        <v>136.76479673242147</v>
      </c>
      <c r="E30" s="50">
        <f>92.601*Deflactores!$U$5</f>
        <v>137.894701007289</v>
      </c>
      <c r="F30" s="50">
        <f>109.327*Deflactores!$V$5</f>
        <v>154.13922414695153</v>
      </c>
      <c r="G30" s="50">
        <f>103.804*Deflactores!$W$5</f>
        <v>129.37799909633361</v>
      </c>
      <c r="H30" s="50">
        <f>114.794*Deflactores!$X$5</f>
        <v>130.92568176077373</v>
      </c>
      <c r="I30" s="50">
        <f>128.047*Deflactores!$Y$5</f>
        <v>138.82232796130717</v>
      </c>
      <c r="J30" s="50">
        <f>140.651175014*Deflactores!$Z$5</f>
        <v>145.08768917514976</v>
      </c>
      <c r="K30" s="50">
        <f>154.503477808*Deflactores!$AA$5</f>
        <v>154.50347780800001</v>
      </c>
    </row>
    <row r="31" spans="3:11" x14ac:dyDescent="0.2">
      <c r="C31" s="87" t="s">
        <v>160</v>
      </c>
      <c r="D31" s="42">
        <f>1292.649722001*Deflactores!$T$5</f>
        <v>1955.9115412137576</v>
      </c>
      <c r="E31" s="42">
        <f>1576.714803424*Deflactores!$U$5</f>
        <v>2347.929465037299</v>
      </c>
      <c r="F31" s="42">
        <f>1883.784798662*Deflactores!$V$5</f>
        <v>2655.9324533334125</v>
      </c>
      <c r="G31" s="42">
        <f>2394.06327222*Deflactores!$W$5</f>
        <v>2983.8842035937405</v>
      </c>
      <c r="H31" s="42">
        <f>2890.076123573*Deflactores!$X$5</f>
        <v>3296.2104885214317</v>
      </c>
      <c r="I31" s="42">
        <f>3556.5098069995*Deflactores!$Y$5</f>
        <v>3855.7949098759823</v>
      </c>
      <c r="J31" s="42">
        <f>4008.230864104*Deflactores!$Z$5</f>
        <v>4134.6611835662088</v>
      </c>
      <c r="K31" s="42">
        <f>3848.519843343*Deflactores!$AA$5</f>
        <v>3848.519843343</v>
      </c>
    </row>
    <row r="32" spans="3:11" x14ac:dyDescent="0.2">
      <c r="C32" s="88" t="s">
        <v>161</v>
      </c>
      <c r="D32" s="50">
        <f>2363.89083455999*Deflactores!$T$5</f>
        <v>3576.8091593506938</v>
      </c>
      <c r="E32" s="50">
        <f>2528.427496633*Deflactores!$U$5</f>
        <v>3765.1510638850091</v>
      </c>
      <c r="F32" s="50">
        <f>2982.511649*Deflactores!$V$5</f>
        <v>4205.0182625161679</v>
      </c>
      <c r="G32" s="50">
        <f>3236.337515924*Deflactores!$W$5</f>
        <v>4033.6679917021102</v>
      </c>
      <c r="H32" s="50">
        <f>3893.283514468*Deflactores!$X$5</f>
        <v>4440.3958257374434</v>
      </c>
      <c r="I32" s="50">
        <f>4187.430084892*Deflactores!$Y$5</f>
        <v>4539.8079811313164</v>
      </c>
      <c r="J32" s="50">
        <f>4351.980821856*Deflactores!$Z$5</f>
        <v>4489.2539341730117</v>
      </c>
      <c r="K32" s="50">
        <f>4946.192901881*Deflactores!$AA$5</f>
        <v>4946.1929018809997</v>
      </c>
    </row>
    <row r="33" spans="1:11" x14ac:dyDescent="0.2">
      <c r="C33" s="87" t="s">
        <v>140</v>
      </c>
      <c r="D33" s="42">
        <f>687.684063311*Deflactores!$T$5</f>
        <v>1040.536483508188</v>
      </c>
      <c r="E33" s="42">
        <f>1201.473565365*Deflactores!$U$5</f>
        <v>1789.1473965094133</v>
      </c>
      <c r="F33" s="42">
        <f>1266.027854134*Deflactores!$V$5</f>
        <v>1784.9620970542019</v>
      </c>
      <c r="G33" s="42">
        <f>995.605366938*Deflactores!$W$5</f>
        <v>1240.8908159994746</v>
      </c>
      <c r="H33" s="42">
        <f>1773.906274417*Deflactores!$X$5</f>
        <v>2023.1883927536276</v>
      </c>
      <c r="I33" s="42">
        <f>4496.808756244*Deflactores!$Y$5</f>
        <v>4875.2212854544223</v>
      </c>
      <c r="J33" s="42">
        <f>3743.658156151*Deflactores!$Z$5</f>
        <v>3861.7431449370138</v>
      </c>
      <c r="K33" s="42">
        <f>3243.261007472*Deflactores!$AA$5</f>
        <v>3243.2610074720001</v>
      </c>
    </row>
    <row r="34" spans="1:11" x14ac:dyDescent="0.2">
      <c r="C34" s="88" t="s">
        <v>141</v>
      </c>
      <c r="D34" s="50">
        <f>1738.67851541*Deflactores!$T$5</f>
        <v>2630.7988288479205</v>
      </c>
      <c r="E34" s="50">
        <f>2142.878077567*Deflactores!$U$5</f>
        <v>3191.0187989457536</v>
      </c>
      <c r="F34" s="50">
        <f>2509.972226424*Deflactores!$V$5</f>
        <v>3538.7888775086844</v>
      </c>
      <c r="G34" s="50">
        <f>2756.78107278*Deflactores!$W$5</f>
        <v>3435.9641164398336</v>
      </c>
      <c r="H34" s="50">
        <f>3454.611995337*Deflactores!$X$5</f>
        <v>3940.0790172695752</v>
      </c>
      <c r="I34" s="50">
        <f>3769.31476*Deflactores!$Y$5</f>
        <v>4086.5076870376961</v>
      </c>
      <c r="J34" s="50">
        <f>3879.211568828*Deflactores!$Z$5</f>
        <v>4001.5722747196392</v>
      </c>
      <c r="K34" s="50">
        <f>4125.540232878*Deflactores!$AA$5</f>
        <v>4125.5402328780001</v>
      </c>
    </row>
    <row r="35" spans="1:11" x14ac:dyDescent="0.2">
      <c r="C35" s="87" t="s">
        <v>142</v>
      </c>
      <c r="D35" s="42">
        <f>201.816091294*Deflactores!$T$5</f>
        <v>305.36843465493627</v>
      </c>
      <c r="E35" s="42">
        <f>406.1413538*Deflactores!$U$5</f>
        <v>604.79628242617878</v>
      </c>
      <c r="F35" s="42">
        <f>981.32019537*Deflactores!$V$5</f>
        <v>1383.5551469816853</v>
      </c>
      <c r="G35" s="42">
        <f>707.59493406*Deflactores!$W$5</f>
        <v>881.92378655335949</v>
      </c>
      <c r="H35" s="42">
        <f>545.691724435*Deflactores!$X$5</f>
        <v>622.37626577055107</v>
      </c>
      <c r="I35" s="42">
        <f>537.898652903*Deflactores!$Y$5</f>
        <v>583.16355090900686</v>
      </c>
      <c r="J35" s="42">
        <f>500.423093931*Deflactores!$Z$5</f>
        <v>516.20777644481677</v>
      </c>
      <c r="K35" s="42">
        <f>599.821533844*Deflactores!$AA$5</f>
        <v>599.82153384399999</v>
      </c>
    </row>
    <row r="36" spans="1:11" x14ac:dyDescent="0.2">
      <c r="C36" s="88" t="s">
        <v>143</v>
      </c>
      <c r="D36" s="50">
        <f>1319.303184481*Deflactores!$T$5</f>
        <v>1996.2409622399275</v>
      </c>
      <c r="E36" s="50">
        <f>4621.73738908*Deflactores!$U$5</f>
        <v>6882.3565123637445</v>
      </c>
      <c r="F36" s="50">
        <f>6365.804150271*Deflactores!$V$5</f>
        <v>8975.0941011297855</v>
      </c>
      <c r="G36" s="50">
        <f>4745.81222325475*Deflactores!$W$5</f>
        <v>5915.0291851144666</v>
      </c>
      <c r="H36" s="50">
        <f>3287.22781*Deflactores!$X$5</f>
        <v>3749.1727975959125</v>
      </c>
      <c r="I36" s="50">
        <f>2113.115714571*Deflactores!$Y$5</f>
        <v>2290.9372554481347</v>
      </c>
      <c r="J36" s="50">
        <f>3587.518379853*Deflactores!$Z$5</f>
        <v>3700.6783025768505</v>
      </c>
      <c r="K36" s="50">
        <f>2481.910913356*Deflactores!$AA$5</f>
        <v>2481.910913356</v>
      </c>
    </row>
    <row r="37" spans="1:11" x14ac:dyDescent="0.2">
      <c r="C37" s="87" t="s">
        <v>144</v>
      </c>
      <c r="D37" s="42">
        <f>4334.331609424*Deflactores!$T$5</f>
        <v>6558.2880451147021</v>
      </c>
      <c r="E37" s="42">
        <f>4599.530195*Deflactores!$U$5</f>
        <v>6849.2871676712202</v>
      </c>
      <c r="F37" s="42">
        <f>4957.475927*Deflactores!$V$5</f>
        <v>6989.5039021922257</v>
      </c>
      <c r="G37" s="42">
        <f>5455.2092*Deflactores!$W$5</f>
        <v>6799.1989802696507</v>
      </c>
      <c r="H37" s="42">
        <f>7176.2295*Deflactores!$X$5</f>
        <v>8184.6850859738006</v>
      </c>
      <c r="I37" s="42">
        <f>8192.5800133*Deflactores!$Y$5</f>
        <v>8881.996684464164</v>
      </c>
      <c r="J37" s="42">
        <f>9425.170014399*Deflactores!$Z$5</f>
        <v>9722.4650795555008</v>
      </c>
      <c r="K37" s="42">
        <f>9459.483033632*Deflactores!$AA$5</f>
        <v>9459.4830336319992</v>
      </c>
    </row>
    <row r="38" spans="1:11" x14ac:dyDescent="0.2">
      <c r="C38" s="88" t="s">
        <v>145</v>
      </c>
      <c r="D38" s="50">
        <f>1449.736586891*Deflactores!$T$5</f>
        <v>2193.6000710467442</v>
      </c>
      <c r="E38" s="50">
        <f>573.460328532*Deflactores!$U$5</f>
        <v>853.95557869204276</v>
      </c>
      <c r="F38" s="50">
        <f>1342.173870562*Deflactores!$V$5</f>
        <v>1892.3197296069375</v>
      </c>
      <c r="G38" s="50">
        <f>3140.838685404*Deflactores!$W$5</f>
        <v>3914.6412912982964</v>
      </c>
      <c r="H38" s="50">
        <f>3124.964674751*Deflactores!$X$5</f>
        <v>3564.1072749456353</v>
      </c>
      <c r="I38" s="50">
        <f>1343.956208107*Deflactores!$Y$5</f>
        <v>1457.0519378623846</v>
      </c>
      <c r="J38" s="50">
        <f>2826.686832365*Deflactores!$Z$5</f>
        <v>2915.8480936177034</v>
      </c>
      <c r="K38" s="50">
        <f>6563.169245*Deflactores!$AA$5</f>
        <v>6563.169245</v>
      </c>
    </row>
    <row r="39" spans="1:11" x14ac:dyDescent="0.2">
      <c r="C39" s="87" t="s">
        <v>146</v>
      </c>
      <c r="D39" s="42">
        <f>909.638895488*Deflactores!$T$5</f>
        <v>1376.3768975773141</v>
      </c>
      <c r="E39" s="42">
        <f>957.210521744999*Deflactores!$U$5</f>
        <v>1425.4085668303555</v>
      </c>
      <c r="F39" s="42">
        <f>1102.87620753499*Deflactores!$V$5</f>
        <v>1554.9359532373128</v>
      </c>
      <c r="G39" s="42">
        <f>1326.690477201*Deflactores!$W$5</f>
        <v>1653.5447512660919</v>
      </c>
      <c r="H39" s="42">
        <f>1398.488*Deflactores!$X$5</f>
        <v>1595.0136316729179</v>
      </c>
      <c r="I39" s="42">
        <f>1538.569206162*Deflactores!$Y$5</f>
        <v>1668.0418825039962</v>
      </c>
      <c r="J39" s="42">
        <f>1716.372328253*Deflactores!$Z$5</f>
        <v>1770.5113010652933</v>
      </c>
      <c r="K39" s="42">
        <f>1699.491282653*Deflactores!$AA$5</f>
        <v>1699.4912826530001</v>
      </c>
    </row>
    <row r="40" spans="1:11" x14ac:dyDescent="0.2">
      <c r="C40" s="88" t="s">
        <v>162</v>
      </c>
      <c r="D40" s="50">
        <f>28950.939836541*Deflactores!$T$5</f>
        <v>43805.739785113939</v>
      </c>
      <c r="E40" s="50">
        <f>34681.685660608*Deflactores!$U$5</f>
        <v>51645.453878449713</v>
      </c>
      <c r="F40" s="50">
        <f>42889.0175780738*Deflactores!$V$5</f>
        <v>60468.867653089008</v>
      </c>
      <c r="G40" s="50">
        <f>41295.6407251082*Deflactores!$W$5</f>
        <v>51469.571195864955</v>
      </c>
      <c r="H40" s="50">
        <f>51778.245040631*Deflactores!$X$5</f>
        <v>59054.497903383584</v>
      </c>
      <c r="I40" s="50">
        <f>59430.39723181*Deflactores!$Y$5</f>
        <v>64431.545412115003</v>
      </c>
      <c r="J40" s="50">
        <f>64829.835003367*Deflactores!$Z$5</f>
        <v>66874.741354336438</v>
      </c>
      <c r="K40" s="50">
        <f>75577.693579844*Deflactores!$AA$5</f>
        <v>75577.693579843995</v>
      </c>
    </row>
    <row r="41" spans="1:11" x14ac:dyDescent="0.2">
      <c r="C41" s="87" t="s">
        <v>148</v>
      </c>
      <c r="D41" s="42">
        <f>279.190136412*Deflactores!$T$5</f>
        <v>422.44329666970037</v>
      </c>
      <c r="E41" s="42">
        <f>325.051517136*Deflactores!$U$5</f>
        <v>484.04317196827674</v>
      </c>
      <c r="F41" s="42">
        <f>368.2064*Deflactores!$V$5</f>
        <v>519.13112791846572</v>
      </c>
      <c r="G41" s="42">
        <f>364.995285796*Deflactores!$W$5</f>
        <v>454.91849789874112</v>
      </c>
      <c r="H41" s="42">
        <f>490.227944563*Deflactores!$X$5</f>
        <v>559.11831506954695</v>
      </c>
      <c r="I41" s="42">
        <f>601.201697709*Deflactores!$Y$5</f>
        <v>651.79363241820158</v>
      </c>
      <c r="J41" s="42">
        <f>703.36457226*Deflactores!$Z$5</f>
        <v>725.55057166577785</v>
      </c>
      <c r="K41" s="42">
        <f>675.156391489*Deflactores!$AA$5</f>
        <v>675.15639148900004</v>
      </c>
    </row>
    <row r="42" spans="1:11" x14ac:dyDescent="0.2">
      <c r="C42" s="88" t="s">
        <v>149</v>
      </c>
      <c r="D42" s="50">
        <f>504.589671788*Deflactores!$T$5</f>
        <v>763.49589980157634</v>
      </c>
      <c r="E42" s="50">
        <f>317.391364936*Deflactores!$U$5</f>
        <v>472.63622822804365</v>
      </c>
      <c r="F42" s="50">
        <f>855.305423779*Deflactores!$V$5</f>
        <v>1205.8879730530853</v>
      </c>
      <c r="G42" s="50">
        <f>931.041113649*Deflactores!$W$5</f>
        <v>1160.4199872869037</v>
      </c>
      <c r="H42" s="50">
        <f>1028.852298238*Deflactores!$X$5</f>
        <v>1173.4340521102938</v>
      </c>
      <c r="I42" s="50">
        <f>793.083724775*Deflactores!$Y$5</f>
        <v>859.8227911742573</v>
      </c>
      <c r="J42" s="50">
        <f>818.860538458*Deflactores!$Z$5</f>
        <v>844.68958947384851</v>
      </c>
      <c r="K42" s="50">
        <f>575.01766157*Deflactores!$AA$5</f>
        <v>575.01766156999997</v>
      </c>
    </row>
    <row r="43" spans="1:11" x14ac:dyDescent="0.2">
      <c r="C43" s="87" t="s">
        <v>163</v>
      </c>
      <c r="D43" s="42">
        <f>22862.832526617*Deflactores!$T$5</f>
        <v>34593.809322470799</v>
      </c>
      <c r="E43" s="42">
        <f>26637.721680862*Deflactores!$U$5</f>
        <v>39666.965439874788</v>
      </c>
      <c r="F43" s="42">
        <f>23740.558575881*Deflactores!$V$5</f>
        <v>33471.615243275264</v>
      </c>
      <c r="G43" s="42">
        <f>30259.434631922*Deflactores!$W$5</f>
        <v>37714.395461296008</v>
      </c>
      <c r="H43" s="42">
        <f>29591.04277809*Deflactores!$X$5</f>
        <v>33749.389774148935</v>
      </c>
      <c r="I43" s="42">
        <f>34511.60108678*Deflactores!$Y$5</f>
        <v>37415.798921792608</v>
      </c>
      <c r="J43" s="42">
        <f>45181.17461875*Deflactores!$Z$5</f>
        <v>46606.309680675462</v>
      </c>
      <c r="K43" s="42">
        <f>50008.778800629*Deflactores!$AA$5</f>
        <v>50008.778800628999</v>
      </c>
    </row>
    <row r="44" spans="1:11" x14ac:dyDescent="0.2">
      <c r="C44" s="88" t="s">
        <v>150</v>
      </c>
      <c r="D44" s="50">
        <f>976.998140541*Deflactores!$T$5</f>
        <v>1478.2983404587342</v>
      </c>
      <c r="E44" s="50">
        <f>915.226585699*Deflactores!$U$5</f>
        <v>1362.8891306668995</v>
      </c>
      <c r="F44" s="50">
        <f>1097.911182352*Deflactores!$V$5</f>
        <v>1547.9358057021552</v>
      </c>
      <c r="G44" s="50">
        <f>1218.79296737*Deflactores!$W$5</f>
        <v>1519.064731908343</v>
      </c>
      <c r="H44" s="50">
        <f>1620.578066813*Deflactores!$X$5</f>
        <v>1848.313398296503</v>
      </c>
      <c r="I44" s="50">
        <f>1554.933628943*Deflactores!$Y$5</f>
        <v>1685.7833935601043</v>
      </c>
      <c r="J44" s="50">
        <f>1524.907324663*Deflactores!$Z$5</f>
        <v>1573.0069792846912</v>
      </c>
      <c r="K44" s="50">
        <f>2238.618196132*Deflactores!$AA$5</f>
        <v>2238.6181961319999</v>
      </c>
    </row>
    <row r="45" spans="1:11" x14ac:dyDescent="0.2">
      <c r="C45" s="87" t="s">
        <v>151</v>
      </c>
      <c r="D45" s="42">
        <f>2193.858246928*Deflactores!$T$5</f>
        <v>3319.5324239199713</v>
      </c>
      <c r="E45" s="42">
        <f>2371.702884348*Deflactores!$U$5</f>
        <v>3531.7681246994352</v>
      </c>
      <c r="F45" s="42">
        <f>2743.274099731*Deflactores!$V$5</f>
        <v>3867.7192400318618</v>
      </c>
      <c r="G45" s="42">
        <f>2659.146005054*Deflactores!$W$5</f>
        <v>3314.274878028742</v>
      </c>
      <c r="H45" s="42">
        <f>2941.964825564*Deflactores!$X$5</f>
        <v>3355.3909655834145</v>
      </c>
      <c r="I45" s="42">
        <f>3774.236903562*Deflactores!$Y$5</f>
        <v>4091.8440356271717</v>
      </c>
      <c r="J45" s="42">
        <f>4342.223109946*Deflactores!$Z$5</f>
        <v>4479.1884379372505</v>
      </c>
      <c r="K45" s="42">
        <f>4698.621505748*Deflactores!$AA$5</f>
        <v>4698.6215057480003</v>
      </c>
    </row>
    <row r="46" spans="1:11" ht="21.75" customHeight="1" x14ac:dyDescent="0.2">
      <c r="C46" s="79" t="s">
        <v>179</v>
      </c>
      <c r="D46" s="44">
        <f t="shared" ref="D46:K46" si="0">+SUM(D15:D45)</f>
        <v>237070.75097867168</v>
      </c>
      <c r="E46" s="44">
        <f t="shared" si="0"/>
        <v>315460.78678001446</v>
      </c>
      <c r="F46" s="44">
        <f t="shared" si="0"/>
        <v>301554.15323845512</v>
      </c>
      <c r="G46" s="44">
        <f t="shared" si="0"/>
        <v>263372.32518972666</v>
      </c>
      <c r="H46" s="44">
        <f t="shared" si="0"/>
        <v>298060.61887747102</v>
      </c>
      <c r="I46" s="44">
        <f t="shared" si="0"/>
        <v>314578.29453341675</v>
      </c>
      <c r="J46" s="44">
        <f t="shared" si="0"/>
        <v>329840.07114520995</v>
      </c>
      <c r="K46" s="44">
        <f t="shared" si="0"/>
        <v>358166.14840307808</v>
      </c>
    </row>
    <row r="47" spans="1:11" s="31" customFormat="1" x14ac:dyDescent="0.2">
      <c r="A47" s="5"/>
      <c r="B47" s="5"/>
      <c r="C47" s="72" t="str">
        <f>+'C1 Aprop Resumen 2000-2026'!B20</f>
        <v>* Información con corte a 28 de febrero</v>
      </c>
      <c r="D47" s="121">
        <f>+D46-'C5 Ejecución PGN 2019-2026'!D14</f>
        <v>1.1350493878126144E-9</v>
      </c>
      <c r="E47" s="121">
        <f>+E46-'C5 Ejecución PGN 2019-2026'!E14</f>
        <v>7.5669959187507629E-10</v>
      </c>
      <c r="F47" s="121">
        <f>+F46-'C5 Ejecución PGN 2019-2026'!F14</f>
        <v>0</v>
      </c>
      <c r="G47" s="121">
        <f>+G46-'C5 Ejecución PGN 2019-2026'!G14</f>
        <v>0</v>
      </c>
      <c r="H47" s="121">
        <f>+H46-'C5 Ejecución PGN 2019-2026'!H14</f>
        <v>0</v>
      </c>
      <c r="I47" s="121">
        <f>+I46-'C5 Ejecución PGN 2019-2026'!I14</f>
        <v>0</v>
      </c>
      <c r="J47" s="121">
        <f>+J46-'C5 Ejecución PGN 2019-2026'!J14</f>
        <v>7.5669959187507629E-10</v>
      </c>
      <c r="K47" s="121">
        <f>+K46-'C5 Ejecución PGN 2019-2026'!K14</f>
        <v>0</v>
      </c>
    </row>
    <row r="48" spans="1:11" x14ac:dyDescent="0.2">
      <c r="C48" s="1" t="s">
        <v>52</v>
      </c>
      <c r="D48" s="10"/>
    </row>
    <row r="49" spans="3:12" x14ac:dyDescent="0.2">
      <c r="D49" s="10"/>
    </row>
    <row r="50" spans="3:12" x14ac:dyDescent="0.2">
      <c r="D50" s="10"/>
    </row>
    <row r="52" spans="3:12" ht="18" customHeight="1" x14ac:dyDescent="0.2">
      <c r="D52" s="160" t="s">
        <v>180</v>
      </c>
      <c r="E52" s="178"/>
      <c r="F52" s="178"/>
      <c r="G52" s="178"/>
      <c r="H52" s="178"/>
      <c r="I52" s="178"/>
      <c r="J52" s="178"/>
      <c r="K52" s="178"/>
      <c r="L52" s="178"/>
    </row>
    <row r="53" spans="3:12" ht="1.5" customHeight="1" x14ac:dyDescent="0.2">
      <c r="D53" s="28"/>
    </row>
    <row r="54" spans="3:12" ht="15.75" customHeight="1" x14ac:dyDescent="0.2">
      <c r="C54" s="2"/>
      <c r="D54" s="2"/>
      <c r="E54" s="2"/>
      <c r="F54" s="2"/>
      <c r="G54" s="2"/>
      <c r="H54" s="2"/>
      <c r="I54" s="2"/>
    </row>
    <row r="55" spans="3:12" x14ac:dyDescent="0.2">
      <c r="C55" s="177" t="s">
        <v>120</v>
      </c>
      <c r="D55" s="180">
        <v>2019</v>
      </c>
      <c r="E55" s="153">
        <v>2020</v>
      </c>
      <c r="F55" s="153">
        <v>2021</v>
      </c>
      <c r="G55" s="153">
        <v>2022</v>
      </c>
      <c r="H55" s="153">
        <v>2023</v>
      </c>
      <c r="I55" s="153">
        <v>2024</v>
      </c>
      <c r="J55" s="153">
        <v>2025</v>
      </c>
      <c r="K55" s="153" t="s">
        <v>36</v>
      </c>
    </row>
    <row r="56" spans="3:12" ht="12" customHeight="1" thickBot="1" x14ac:dyDescent="0.25">
      <c r="C56" s="156"/>
      <c r="D56" s="181"/>
      <c r="E56" s="154"/>
      <c r="F56" s="154"/>
      <c r="G56" s="154"/>
      <c r="H56" s="154"/>
      <c r="I56" s="154"/>
      <c r="J56" s="154"/>
      <c r="K56" s="154"/>
    </row>
    <row r="57" spans="3:12" x14ac:dyDescent="0.2">
      <c r="C57" s="87" t="s">
        <v>123</v>
      </c>
      <c r="D57" s="42">
        <f>713.026190400019*Deflactores!$T$5</f>
        <v>1078.8817196604762</v>
      </c>
      <c r="E57" s="42">
        <f>624.06366325123*Deflactores!$U$5</f>
        <v>929.31039895402694</v>
      </c>
      <c r="F57" s="42">
        <f>592.95086130107*Deflactores!$V$5</f>
        <v>835.99646673020936</v>
      </c>
      <c r="G57" s="42">
        <f>709.472601329039*Deflactores!$W$5</f>
        <v>884.26405122752362</v>
      </c>
      <c r="H57" s="42">
        <f>788.03137500301*Deflactores!$X$5</f>
        <v>898.77123387240647</v>
      </c>
      <c r="I57" s="42">
        <f>1017.57867620547*Deflactores!$Y$5</f>
        <v>1103.20929591969</v>
      </c>
      <c r="J57" s="42">
        <f>814.053183417246*Deflactores!$Z$5</f>
        <v>839.73059760024307</v>
      </c>
      <c r="K57" s="42">
        <f>348.35032739547*Deflactores!$AA$5</f>
        <v>348.35032739547</v>
      </c>
    </row>
    <row r="58" spans="3:12" x14ac:dyDescent="0.2">
      <c r="C58" s="88" t="s">
        <v>124</v>
      </c>
      <c r="D58" s="50">
        <f>312.50760838984*Deflactores!$T$5</f>
        <v>472.85604720558979</v>
      </c>
      <c r="E58" s="50">
        <f>342.330604263479*Deflactores!$U$5</f>
        <v>509.77393678855532</v>
      </c>
      <c r="F58" s="50">
        <f>391.34762989479*Deflactores!$V$5</f>
        <v>551.75775466015955</v>
      </c>
      <c r="G58" s="50">
        <f>417.10350549923*Deflactores!$W$5</f>
        <v>519.86452311622827</v>
      </c>
      <c r="H58" s="50">
        <f>494.72457192577*Deflactores!$X$5</f>
        <v>564.24684097765021</v>
      </c>
      <c r="I58" s="50">
        <f>586.287823801129*Deflactores!$Y$5</f>
        <v>635.62473588167938</v>
      </c>
      <c r="J58" s="50">
        <f>772.53676935788*Deflactores!$Z$5</f>
        <v>796.9046448265633</v>
      </c>
      <c r="K58" s="50">
        <f>289.4210915788*Deflactores!$AA$5</f>
        <v>289.42109157879997</v>
      </c>
    </row>
    <row r="59" spans="3:12" x14ac:dyDescent="0.2">
      <c r="C59" s="87" t="s">
        <v>125</v>
      </c>
      <c r="D59" s="42">
        <f>22.67956867012*Deflactores!$T$5</f>
        <v>34.316512320886368</v>
      </c>
      <c r="E59" s="42">
        <f>22.94716652129*Deflactores!$U$5</f>
        <v>34.171258047081096</v>
      </c>
      <c r="F59" s="42">
        <f>24.69428390912*Deflactores!$V$5</f>
        <v>34.816264624624353</v>
      </c>
      <c r="G59" s="42">
        <f>24.52920631672*Deflactores!$W$5</f>
        <v>30.572421416114803</v>
      </c>
      <c r="H59" s="42">
        <f>26.11209205751*Deflactores!$X$5</f>
        <v>29.781551778225186</v>
      </c>
      <c r="I59" s="42">
        <f>26.79346334176*Deflactores!$Y$5</f>
        <v>29.04816946315859</v>
      </c>
      <c r="J59" s="42">
        <f>25.25286534355*Deflactores!$Z$5</f>
        <v>26.049408242641434</v>
      </c>
      <c r="K59" s="42">
        <f>5.07812759172999*Deflactores!$AA$5</f>
        <v>5.0781275917299897</v>
      </c>
    </row>
    <row r="60" spans="3:12" x14ac:dyDescent="0.2">
      <c r="C60" s="88" t="s">
        <v>126</v>
      </c>
      <c r="D60" s="50">
        <f>637.43418051787*Deflactores!$T$5</f>
        <v>964.50325963716182</v>
      </c>
      <c r="E60" s="50">
        <f>693.02733955293*Deflactores!$U$5</f>
        <v>1032.0061098425313</v>
      </c>
      <c r="F60" s="50">
        <f>640.040956176229*Deflactores!$V$5</f>
        <v>902.38839817498831</v>
      </c>
      <c r="G60" s="50">
        <f>646.0740809606*Deflactores!$W$5</f>
        <v>805.24615489465793</v>
      </c>
      <c r="H60" s="50">
        <f>754.67324539444*Deflactores!$X$5</f>
        <v>860.72537902575698</v>
      </c>
      <c r="I60" s="50">
        <f>1069.76535855299*Deflactores!$Y$5</f>
        <v>1159.7875580582797</v>
      </c>
      <c r="J60" s="50">
        <f>1010.01525763479*Deflactores!$Z$5</f>
        <v>1041.8738396411477</v>
      </c>
      <c r="K60" s="50">
        <f>833.64072171352*Deflactores!$AA$5</f>
        <v>833.64072171351995</v>
      </c>
    </row>
    <row r="61" spans="3:12" x14ac:dyDescent="0.2">
      <c r="C61" s="87" t="s">
        <v>127</v>
      </c>
      <c r="D61" s="42">
        <f>551.90141227832*Deflactores!$T$5</f>
        <v>835.08341317424822</v>
      </c>
      <c r="E61" s="42">
        <f>602.52580513676*Deflactores!$U$5</f>
        <v>897.23778089339851</v>
      </c>
      <c r="F61" s="42">
        <f>632.65134401225*Deflactores!$V$5</f>
        <v>891.96984570668133</v>
      </c>
      <c r="G61" s="42">
        <f>738.717671821719*Deflactores!$W$5</f>
        <v>920.71417553654999</v>
      </c>
      <c r="H61" s="42">
        <f>896.06421984406*Deflactores!$X$5</f>
        <v>1021.9856341317437</v>
      </c>
      <c r="I61" s="42">
        <f>1043.44658585773*Deflactores!$Y$5</f>
        <v>1131.2540251005339</v>
      </c>
      <c r="J61" s="42">
        <f>1156.28635316452*Deflactores!$Z$5</f>
        <v>1192.7587166527599</v>
      </c>
      <c r="K61" s="42">
        <f>326.25871556573*Deflactores!$AA$5</f>
        <v>326.25871556572997</v>
      </c>
    </row>
    <row r="62" spans="3:12" x14ac:dyDescent="0.2">
      <c r="C62" s="88" t="s">
        <v>128</v>
      </c>
      <c r="D62" s="50">
        <f>235.597381400159*Deflactores!$T$5</f>
        <v>356.48298956579509</v>
      </c>
      <c r="E62" s="50">
        <f>237.116722329109*Deflactores!$U$5</f>
        <v>353.09704570577912</v>
      </c>
      <c r="F62" s="50">
        <f>229.02910408488*Deflactores!$V$5</f>
        <v>322.90622088518677</v>
      </c>
      <c r="G62" s="50">
        <f>190.71196081699*Deflactores!$W$5</f>
        <v>237.69731315017287</v>
      </c>
      <c r="H62" s="50">
        <f>296.42994374731*Deflactores!$X$5</f>
        <v>338.08641984271276</v>
      </c>
      <c r="I62" s="50">
        <f>331.42532700873*Deflactores!$Y$5</f>
        <v>359.31521582457532</v>
      </c>
      <c r="J62" s="50">
        <f>339.52142948775*Deflactores!$Z$5</f>
        <v>350.23084325401459</v>
      </c>
      <c r="K62" s="50">
        <f>45.90594081514*Deflactores!$AA$5</f>
        <v>45.905940815139999</v>
      </c>
    </row>
    <row r="63" spans="3:12" x14ac:dyDescent="0.2">
      <c r="C63" s="87" t="s">
        <v>129</v>
      </c>
      <c r="D63" s="42">
        <f>32269.114086411*Deflactores!$T$5</f>
        <v>48826.477577121914</v>
      </c>
      <c r="E63" s="42">
        <f>33901.7351977179*Deflactores!$U$5</f>
        <v>50484.008150209993</v>
      </c>
      <c r="F63" s="42">
        <f>35690.474776191*Deflactores!$V$5</f>
        <v>50319.702282495855</v>
      </c>
      <c r="G63" s="42">
        <f>39586.7184574335*Deflactores!$W$5</f>
        <v>49339.624916310007</v>
      </c>
      <c r="H63" s="42">
        <f>45392.3577240527*Deflactores!$X$5</f>
        <v>51771.219591185283</v>
      </c>
      <c r="I63" s="42">
        <f>52288.3537431111*Deflactores!$Y$5</f>
        <v>56688.489319414068</v>
      </c>
      <c r="J63" s="42">
        <f>57548.5491330769*Deflactores!$Z$5</f>
        <v>59363.784257540712</v>
      </c>
      <c r="K63" s="42">
        <f>11902.0922101551*Deflactores!$AA$5</f>
        <v>11902.0922101551</v>
      </c>
    </row>
    <row r="64" spans="3:12" x14ac:dyDescent="0.2">
      <c r="C64" s="88" t="s">
        <v>130</v>
      </c>
      <c r="D64" s="50">
        <f>36.97973938783*Deflactores!$T$5</f>
        <v>55.954136552761902</v>
      </c>
      <c r="E64" s="50">
        <f>39.0102949904899*Deflactores!$U$5</f>
        <v>58.091305319810253</v>
      </c>
      <c r="F64" s="50">
        <f>36.42389235794*Deflactores!$V$5</f>
        <v>51.353741605138246</v>
      </c>
      <c r="G64" s="50">
        <f>49.74624542684*Deflactores!$W$5</f>
        <v>62.002135716154442</v>
      </c>
      <c r="H64" s="50">
        <f>48.4766144126999*Deflactores!$X$5</f>
        <v>55.288898299884011</v>
      </c>
      <c r="I64" s="50">
        <f>62.4161431238*Deflactores!$Y$5</f>
        <v>67.668545852788824</v>
      </c>
      <c r="J64" s="50">
        <f>46.41038655829*Deflactores!$Z$5</f>
        <v>47.874294251700981</v>
      </c>
      <c r="K64" s="50">
        <f>9.7316620892*Deflactores!$AA$5</f>
        <v>9.7316620892000003</v>
      </c>
    </row>
    <row r="65" spans="3:11" x14ac:dyDescent="0.2">
      <c r="C65" s="87" t="s">
        <v>131</v>
      </c>
      <c r="D65" s="42">
        <f>37392.192336246*Deflactores!$T$5</f>
        <v>56578.220145001964</v>
      </c>
      <c r="E65" s="42">
        <f>40611.4394535181*Deflactores!$U$5</f>
        <v>60475.613664199074</v>
      </c>
      <c r="F65" s="42">
        <f>43221.8048087811*Deflactores!$V$5</f>
        <v>60938.061590060075</v>
      </c>
      <c r="G65" s="42">
        <f>44189.6385611119*Deflactores!$W$5</f>
        <v>55076.557915175181</v>
      </c>
      <c r="H65" s="42">
        <f>51150.5616588756*Deflactores!$X$5</f>
        <v>58338.607920577575</v>
      </c>
      <c r="I65" s="42">
        <f>61971.7744248151*Deflactores!$Y$5</f>
        <v>67186.782927720531</v>
      </c>
      <c r="J65" s="42">
        <f>73143.6751983846*Deflactores!$Z$5</f>
        <v>75450.822300311571</v>
      </c>
      <c r="K65" s="42">
        <f>30362.3711340704*Deflactores!$AA$5</f>
        <v>30362.371134070399</v>
      </c>
    </row>
    <row r="66" spans="3:11" x14ac:dyDescent="0.2">
      <c r="C66" s="88" t="s">
        <v>132</v>
      </c>
      <c r="D66" s="50">
        <f>79.58376714397*Deflactores!$T$5</f>
        <v>120.41839796259882</v>
      </c>
      <c r="E66" s="50">
        <f>77.9594632223399*Deflactores!$U$5</f>
        <v>116.09158509879272</v>
      </c>
      <c r="F66" s="50">
        <f>92.56591726217*Deflactores!$V$5</f>
        <v>130.50791359171836</v>
      </c>
      <c r="G66" s="50">
        <f>139.22447420447*Deflactores!$W$5</f>
        <v>173.52494988452702</v>
      </c>
      <c r="H66" s="50">
        <f>164.954907577849*Deflactores!$X$5</f>
        <v>188.13556226296936</v>
      </c>
      <c r="I66" s="50">
        <f>180.44963145647*Deflactores!$Y$5</f>
        <v>195.63471161797693</v>
      </c>
      <c r="J66" s="50">
        <f>199.61805247925*Deflactores!$Z$5</f>
        <v>205.91453963306995</v>
      </c>
      <c r="K66" s="50">
        <f>44.84204426325*Deflactores!$AA$5</f>
        <v>44.842044263250003</v>
      </c>
    </row>
    <row r="67" spans="3:11" x14ac:dyDescent="0.2">
      <c r="C67" s="87" t="s">
        <v>133</v>
      </c>
      <c r="D67" s="42">
        <f>3673.78731855611*Deflactores!$T$5</f>
        <v>5558.8168194593709</v>
      </c>
      <c r="E67" s="42">
        <f>3786.55175503936*Deflactores!$U$5</f>
        <v>5638.6585685875743</v>
      </c>
      <c r="F67" s="42">
        <f>4102.42352713194*Deflactores!$V$5</f>
        <v>5783.9726654377937</v>
      </c>
      <c r="G67" s="42">
        <f>4529.7210737527*Deflactores!$W$5</f>
        <v>5645.7000595990539</v>
      </c>
      <c r="H67" s="42">
        <f>5192.71999838744*Deflactores!$X$5</f>
        <v>5922.4385070794597</v>
      </c>
      <c r="I67" s="42">
        <f>5690.95166253909*Deflactores!$Y$5</f>
        <v>6169.852929853475</v>
      </c>
      <c r="J67" s="42">
        <f>6494.8325565089*Deflactores!$Z$5</f>
        <v>6699.6969425218876</v>
      </c>
      <c r="K67" s="42">
        <f>1083.91908888852*Deflactores!$AA$5</f>
        <v>1083.91908888852</v>
      </c>
    </row>
    <row r="68" spans="3:11" x14ac:dyDescent="0.2">
      <c r="C68" s="88" t="s">
        <v>134</v>
      </c>
      <c r="D68" s="50">
        <f>8405.95752496066*Deflactores!$T$5</f>
        <v>12719.075444949091</v>
      </c>
      <c r="E68" s="50">
        <f>19778.2694622122*Deflactores!$U$5</f>
        <v>29452.366107637561</v>
      </c>
      <c r="F68" s="50">
        <f>19946.1152744167*Deflactores!$V$5</f>
        <v>28121.861325603462</v>
      </c>
      <c r="G68" s="50">
        <f>14891.3371396266*Deflactores!$W$5</f>
        <v>18560.088272068606</v>
      </c>
      <c r="H68" s="50">
        <f>35521.1069491699*Deflactores!$X$5</f>
        <v>40512.789381129915</v>
      </c>
      <c r="I68" s="50">
        <f>24877.8678355969*Deflactores!$Y$5</f>
        <v>26971.374008381983</v>
      </c>
      <c r="J68" s="50">
        <f>20453.6899007454*Deflactores!$Z$5</f>
        <v>21098.853973376798</v>
      </c>
      <c r="K68" s="50">
        <f>2318.90088829744*Deflactores!$AA$5</f>
        <v>2318.9008882974399</v>
      </c>
    </row>
    <row r="69" spans="3:11" x14ac:dyDescent="0.2">
      <c r="C69" s="87" t="s">
        <v>135</v>
      </c>
      <c r="D69" s="42">
        <f>0*Deflactores!$T$5</f>
        <v>0</v>
      </c>
      <c r="E69" s="42">
        <f>0*Deflactores!$U$5</f>
        <v>0</v>
      </c>
      <c r="F69" s="42">
        <f>0*Deflactores!$V$5</f>
        <v>0</v>
      </c>
      <c r="G69" s="42">
        <f>0*Deflactores!$W$5</f>
        <v>0</v>
      </c>
      <c r="H69" s="42">
        <f>471.96114025259*Deflactores!$X$5</f>
        <v>538.28452752027545</v>
      </c>
      <c r="I69" s="42">
        <f>2255.96164743259*Deflactores!$Y$5</f>
        <v>2445.8038664554251</v>
      </c>
      <c r="J69" s="42">
        <f>1240.68198250512*Deflactores!$Z$5</f>
        <v>1279.8164098166549</v>
      </c>
      <c r="K69" s="42">
        <f>153.94622689463*Deflactores!$AA$5</f>
        <v>153.94622689463</v>
      </c>
    </row>
    <row r="70" spans="3:11" x14ac:dyDescent="0.2">
      <c r="C70" s="88" t="s">
        <v>136</v>
      </c>
      <c r="D70" s="50">
        <f>1398.50468094726*Deflactores!$T$5</f>
        <v>2116.0809454799028</v>
      </c>
      <c r="E70" s="50">
        <f>7417.59731618681*Deflactores!$U$5</f>
        <v>11045.748578396015</v>
      </c>
      <c r="F70" s="50">
        <f>9216.86080528043*Deflactores!$V$5</f>
        <v>12994.775065595622</v>
      </c>
      <c r="G70" s="50">
        <f>1606.57305004349*Deflactores!$W$5</f>
        <v>2002.381474863402</v>
      </c>
      <c r="H70" s="50">
        <f>1904.75194567413*Deflactores!$X$5</f>
        <v>2172.4214425191713</v>
      </c>
      <c r="I70" s="50">
        <f>2127.71075363161*Deflactores!$Y$5</f>
        <v>2306.7604867544528</v>
      </c>
      <c r="J70" s="50">
        <f>1974.62114581956*Deflactores!$Z$5</f>
        <v>2036.905976895179</v>
      </c>
      <c r="K70" s="50">
        <f>236.365263709199*Deflactores!$AA$5</f>
        <v>236.36526370919901</v>
      </c>
    </row>
    <row r="71" spans="3:11" x14ac:dyDescent="0.2">
      <c r="C71" s="87" t="s">
        <v>137</v>
      </c>
      <c r="D71" s="42">
        <f>143.24445026189*Deflactores!$T$5</f>
        <v>216.74353749006875</v>
      </c>
      <c r="E71" s="42">
        <f>148.72989815405*Deflactores!$U$5</f>
        <v>221.47779005407361</v>
      </c>
      <c r="F71" s="42">
        <f>154.10084199066*Deflactores!$V$5</f>
        <v>217.26548999636233</v>
      </c>
      <c r="G71" s="42">
        <f>175.23011052403*Deflactores!$W$5</f>
        <v>218.40122809360327</v>
      </c>
      <c r="H71" s="42">
        <f>207.878671278*Deflactores!$X$5</f>
        <v>237.09128317330109</v>
      </c>
      <c r="I71" s="42">
        <f>237.63910905547*Deflactores!$Y$5</f>
        <v>257.6367609841019</v>
      </c>
      <c r="J71" s="42">
        <f>259.56835313703*Deflactores!$Z$5</f>
        <v>267.75583308068587</v>
      </c>
      <c r="K71" s="42">
        <f>63.03068533994*Deflactores!$AA$5</f>
        <v>63.03068533994</v>
      </c>
    </row>
    <row r="72" spans="3:11" x14ac:dyDescent="0.2">
      <c r="C72" s="88" t="s">
        <v>138</v>
      </c>
      <c r="D72" s="50">
        <f>87.2822857304599*Deflactores!$T$5</f>
        <v>132.06704577281556</v>
      </c>
      <c r="E72" s="50">
        <f>91.83441642363*Deflactores!$U$5</f>
        <v>136.7531602781323</v>
      </c>
      <c r="F72" s="50">
        <f>106.31293775018*Deflactores!$V$5</f>
        <v>149.88972295586544</v>
      </c>
      <c r="G72" s="50">
        <f>100.244969704429*Deflactores!$W$5</f>
        <v>124.94213710292094</v>
      </c>
      <c r="H72" s="50">
        <f>105.58533432232*Deflactores!$X$5</f>
        <v>120.42294789003753</v>
      </c>
      <c r="I72" s="50">
        <f>123.83520786849*Deflactores!$Y$5</f>
        <v>134.2561078344371</v>
      </c>
      <c r="J72" s="50">
        <f>137.17219646521*Deflactores!$Z$5</f>
        <v>141.49897434014315</v>
      </c>
      <c r="K72" s="50">
        <f>25.56727282966*Deflactores!$AA$5</f>
        <v>25.567272829659998</v>
      </c>
    </row>
    <row r="73" spans="3:11" x14ac:dyDescent="0.2">
      <c r="C73" s="87" t="s">
        <v>160</v>
      </c>
      <c r="D73" s="42">
        <f>1277.0788270277*Deflactores!$T$5</f>
        <v>1932.3511809189667</v>
      </c>
      <c r="E73" s="42">
        <f>1541.24403916405*Deflactores!$U$5</f>
        <v>2295.108972471065</v>
      </c>
      <c r="F73" s="42">
        <f>1834.19821467318*Deflactores!$V$5</f>
        <v>2586.020742739192</v>
      </c>
      <c r="G73" s="42">
        <f>2123.60581711354*Deflactores!$W$5</f>
        <v>2646.7946465211785</v>
      </c>
      <c r="H73" s="42">
        <f>2780.42760789089*Deflactores!$X$5</f>
        <v>3171.1533716883469</v>
      </c>
      <c r="I73" s="42">
        <f>3217.10173329016*Deflactores!$Y$5</f>
        <v>3487.8251884362494</v>
      </c>
      <c r="J73" s="42">
        <f>3927.50022136241*Deflactores!$Z$5</f>
        <v>4051.3840804788292</v>
      </c>
      <c r="K73" s="42">
        <f>2351.84762546062*Deflactores!$AA$5</f>
        <v>2351.8476254606198</v>
      </c>
    </row>
    <row r="74" spans="3:11" x14ac:dyDescent="0.2">
      <c r="C74" s="88" t="s">
        <v>161</v>
      </c>
      <c r="D74" s="50">
        <f>2311.72961399883*Deflactores!$T$5</f>
        <v>3497.8838855019981</v>
      </c>
      <c r="E74" s="50">
        <f>2436.79541407373*Deflactores!$U$5</f>
        <v>3628.6992045402317</v>
      </c>
      <c r="F74" s="50">
        <f>2560.79117237842*Deflactores!$V$5</f>
        <v>3610.4380849449094</v>
      </c>
      <c r="G74" s="50">
        <f>2923.71624210692*Deflactores!$W$5</f>
        <v>3644.0267940469062</v>
      </c>
      <c r="H74" s="50">
        <f>3559.56289337771*Deflactores!$X$5</f>
        <v>4059.7783733107049</v>
      </c>
      <c r="I74" s="50">
        <f>3923.75975372176*Deflactores!$Y$5</f>
        <v>4253.9494355396064</v>
      </c>
      <c r="J74" s="50">
        <f>4292.00163521007*Deflactores!$Z$5</f>
        <v>4427.3828435959385</v>
      </c>
      <c r="K74" s="50">
        <f>1386.86439473451*Deflactores!$AA$5</f>
        <v>1386.8643947345099</v>
      </c>
    </row>
    <row r="75" spans="3:11" x14ac:dyDescent="0.2">
      <c r="C75" s="87" t="s">
        <v>140</v>
      </c>
      <c r="D75" s="42">
        <f>632.353076759889*Deflactores!$T$5</f>
        <v>956.8150287783368</v>
      </c>
      <c r="E75" s="42">
        <f>1131.50036246776*Deflactores!$U$5</f>
        <v>1684.948371746859</v>
      </c>
      <c r="F75" s="42">
        <f>1155.07003657059*Deflactores!$V$5</f>
        <v>1628.5235968459913</v>
      </c>
      <c r="G75" s="42">
        <f>913.90746647374*Deflactores!$W$5</f>
        <v>1139.0651552114762</v>
      </c>
      <c r="H75" s="42">
        <f>1711.46374686777*Deflactores!$X$5</f>
        <v>1951.9709903610908</v>
      </c>
      <c r="I75" s="42">
        <f>4448.17208833659*Deflactores!$Y$5</f>
        <v>4822.4917762649238</v>
      </c>
      <c r="J75" s="42">
        <f>3681.77616945115*Deflactores!$Z$5</f>
        <v>3797.9092349042326</v>
      </c>
      <c r="K75" s="42">
        <f>1840.90066360689*Deflactores!$AA$5</f>
        <v>1840.90066360689</v>
      </c>
    </row>
    <row r="76" spans="3:11" x14ac:dyDescent="0.2">
      <c r="C76" s="88" t="s">
        <v>141</v>
      </c>
      <c r="D76" s="50">
        <f>1667.01719381691*Deflactores!$T$5</f>
        <v>2522.3679031478127</v>
      </c>
      <c r="E76" s="50">
        <f>1845.08838478559*Deflactores!$U$5</f>
        <v>2747.5719609078815</v>
      </c>
      <c r="F76" s="50">
        <f>2247.68160317047*Deflactores!$V$5</f>
        <v>3168.9875185642386</v>
      </c>
      <c r="G76" s="50">
        <f>2580.07745544422*Deflactores!$W$5</f>
        <v>3215.726356392172</v>
      </c>
      <c r="H76" s="50">
        <f>3211.62342662757*Deflactores!$X$5</f>
        <v>3662.9439403634938</v>
      </c>
      <c r="I76" s="50">
        <f>3444.98079618202*Deflactores!$Y$5</f>
        <v>3734.8805821923634</v>
      </c>
      <c r="J76" s="50">
        <f>3775.76842614822*Deflactores!$Z$5</f>
        <v>3894.8662587128001</v>
      </c>
      <c r="K76" s="50">
        <f>753.71793557422*Deflactores!$AA$5</f>
        <v>753.71793557421995</v>
      </c>
    </row>
    <row r="77" spans="3:11" x14ac:dyDescent="0.2">
      <c r="C77" s="87" t="s">
        <v>142</v>
      </c>
      <c r="D77" s="42">
        <f>192.79588907593*Deflactores!$T$5</f>
        <v>291.71994402199482</v>
      </c>
      <c r="E77" s="42">
        <f>366.25596293708*Deflactores!$U$5</f>
        <v>545.40184772675639</v>
      </c>
      <c r="F77" s="42">
        <f>499.154355592649*Deflactores!$V$5</f>
        <v>703.75355676660365</v>
      </c>
      <c r="G77" s="42">
        <f>587.317321379959*Deflactores!$W$5</f>
        <v>732.01360135213883</v>
      </c>
      <c r="H77" s="42">
        <f>499.57886940495*Deflactores!$X$5</f>
        <v>569.78329938951185</v>
      </c>
      <c r="I77" s="42">
        <f>488.43471479942*Deflactores!$Y$5</f>
        <v>529.53715561920717</v>
      </c>
      <c r="J77" s="42">
        <f>450.15033992063*Deflactores!$Z$5</f>
        <v>464.34928534362757</v>
      </c>
      <c r="K77" s="42">
        <f>150.43678340231*Deflactores!$AA$5</f>
        <v>150.43678340231</v>
      </c>
    </row>
    <row r="78" spans="3:11" x14ac:dyDescent="0.2">
      <c r="C78" s="88" t="s">
        <v>143</v>
      </c>
      <c r="D78" s="50">
        <f>1297.13467551003*Deflactores!$T$5</f>
        <v>1962.6977356334955</v>
      </c>
      <c r="E78" s="50">
        <f>4602.66574984392*Deflactores!$U$5</f>
        <v>6853.9564087992239</v>
      </c>
      <c r="F78" s="50">
        <f>6335.75565469077*Deflactores!$V$5</f>
        <v>8932.7289781910804</v>
      </c>
      <c r="G78" s="50">
        <f>4712.21453107235*Deflactores!$W$5</f>
        <v>5873.1540917768934</v>
      </c>
      <c r="H78" s="50">
        <f>3243.31515661189*Deflactores!$X$5</f>
        <v>3699.0892210782995</v>
      </c>
      <c r="I78" s="50">
        <f>2039.04091891953*Deflactores!$Y$5</f>
        <v>2210.6289657139346</v>
      </c>
      <c r="J78" s="50">
        <f>3549.53627931391*Deflactores!$Z$5</f>
        <v>3661.4981450226296</v>
      </c>
      <c r="K78" s="50">
        <f>1767.63848585895*Deflactores!$AA$5</f>
        <v>1767.6384858589499</v>
      </c>
    </row>
    <row r="79" spans="3:11" x14ac:dyDescent="0.2">
      <c r="C79" s="87" t="s">
        <v>144</v>
      </c>
      <c r="D79" s="42">
        <f>4304.87282354709*Deflactores!$T$5</f>
        <v>6513.713882210307</v>
      </c>
      <c r="E79" s="42">
        <f>4552.62443572019*Deflactores!$U$5</f>
        <v>6779.4385088942172</v>
      </c>
      <c r="F79" s="42">
        <f>4837.35950806067*Deflactores!$V$5</f>
        <v>6820.1527664012629</v>
      </c>
      <c r="G79" s="42">
        <f>5399.15096306296*Deflactores!$W$5</f>
        <v>6729.3297793931679</v>
      </c>
      <c r="H79" s="42">
        <f>6539.24942233256*Deflactores!$X$5</f>
        <v>7458.1919684185259</v>
      </c>
      <c r="I79" s="42">
        <f>8054.69986637758*Deflactores!$Y$5</f>
        <v>8732.5137369884924</v>
      </c>
      <c r="J79" s="42">
        <f>9300.58513186542*Deflactores!$Z$5</f>
        <v>9593.9504566868654</v>
      </c>
      <c r="K79" s="42">
        <f>1238.62742771135*Deflactores!$AA$5</f>
        <v>1238.62742771135</v>
      </c>
    </row>
    <row r="80" spans="3:11" x14ac:dyDescent="0.2">
      <c r="C80" s="88" t="s">
        <v>145</v>
      </c>
      <c r="D80" s="50">
        <f>1387.03097591526*Deflactores!$T$5</f>
        <v>2098.7200535765396</v>
      </c>
      <c r="E80" s="50">
        <f>552.6110638695*Deflactores!$U$5</f>
        <v>822.90836411706766</v>
      </c>
      <c r="F80" s="50">
        <f>1261.85026147778*Deflactores!$V$5</f>
        <v>1779.0721440615121</v>
      </c>
      <c r="G80" s="50">
        <f>3045.7786312898*Deflactores!$W$5</f>
        <v>3796.1614678301798</v>
      </c>
      <c r="H80" s="50">
        <f>2948.30144879335*Deflactores!$X$5</f>
        <v>3362.6180568631312</v>
      </c>
      <c r="I80" s="50">
        <f>868.26570958165*Deflactores!$Y$5</f>
        <v>941.33144152616546</v>
      </c>
      <c r="J80" s="50">
        <f>2693.20301428098*Deflactores!$Z$5</f>
        <v>2778.1538389756156</v>
      </c>
      <c r="K80" s="50">
        <f>2224.800229495*Deflactores!$AA$5</f>
        <v>2224.8002294950002</v>
      </c>
    </row>
    <row r="81" spans="1:12" x14ac:dyDescent="0.2">
      <c r="C81" s="87" t="s">
        <v>146</v>
      </c>
      <c r="D81" s="42">
        <f>880.094874086934*Deflactores!$T$5</f>
        <v>1331.6737645872261</v>
      </c>
      <c r="E81" s="42">
        <f>887.3417492763*Deflactores!$U$5</f>
        <v>1321.3650522968455</v>
      </c>
      <c r="F81" s="42">
        <f>1019.51278585525*Deflactores!$V$5</f>
        <v>1437.4025613034785</v>
      </c>
      <c r="G81" s="42">
        <f>1292.60302768949*Deflactores!$W$5</f>
        <v>1611.0592399939208</v>
      </c>
      <c r="H81" s="42">
        <f>1319.130752675*Deflactores!$X$5</f>
        <v>1504.5045309474099</v>
      </c>
      <c r="I81" s="42">
        <f>1475.60111536255*Deflactores!$Y$5</f>
        <v>1599.7749418333158</v>
      </c>
      <c r="J81" s="42">
        <f>1650.33219674223*Deflactores!$Z$5</f>
        <v>1702.3880872153779</v>
      </c>
      <c r="K81" s="42">
        <f>692.25568899398*Deflactores!$AA$5</f>
        <v>692.25568899398002</v>
      </c>
    </row>
    <row r="82" spans="1:12" x14ac:dyDescent="0.2">
      <c r="C82" s="88" t="s">
        <v>162</v>
      </c>
      <c r="D82" s="50">
        <f>28898.6617114863*Deflactores!$T$5</f>
        <v>43726.637622782429</v>
      </c>
      <c r="E82" s="50">
        <f>33866.7348793537*Deflactores!$U$5</f>
        <v>50431.888211591715</v>
      </c>
      <c r="F82" s="50">
        <f>42729.0358309918*Deflactores!$V$5</f>
        <v>60243.310724124589</v>
      </c>
      <c r="G82" s="50">
        <f>41209.9832461457*Deflactores!$W$5</f>
        <v>51362.810442562535</v>
      </c>
      <c r="H82" s="50">
        <f>51286.8274943256*Deflactores!$X$5</f>
        <v>58494.022815145159</v>
      </c>
      <c r="I82" s="50">
        <f>58678.1353058655*Deflactores!$Y$5</f>
        <v>63615.979629267524</v>
      </c>
      <c r="J82" s="50">
        <f>64204.6159883901*Deflactores!$Z$5</f>
        <v>66229.801259791668</v>
      </c>
      <c r="K82" s="50">
        <f>14249.344601254*Deflactores!$AA$5</f>
        <v>14249.344601254001</v>
      </c>
    </row>
    <row r="83" spans="1:12" x14ac:dyDescent="0.2">
      <c r="C83" s="87" t="s">
        <v>148</v>
      </c>
      <c r="D83" s="42">
        <f>264.07690960853*Deflactores!$T$5</f>
        <v>399.57543523224189</v>
      </c>
      <c r="E83" s="42">
        <f>317.62768516746*Deflactores!$U$5</f>
        <v>472.98813919724648</v>
      </c>
      <c r="F83" s="42">
        <f>358.64498812644*Deflactores!$V$5</f>
        <v>505.65057317956325</v>
      </c>
      <c r="G83" s="42">
        <f>360.0101767812*Deflactores!$W$5</f>
        <v>448.70521681504567</v>
      </c>
      <c r="H83" s="42">
        <f>451.28346101165*Deflactores!$X$5</f>
        <v>514.7010714872888</v>
      </c>
      <c r="I83" s="42">
        <f>592.63193987723*Deflactores!$Y$5</f>
        <v>642.50271789251212</v>
      </c>
      <c r="J83" s="42">
        <f>699.623488265909*Deflactores!$Z$5</f>
        <v>721.69148387885548</v>
      </c>
      <c r="K83" s="42">
        <f>182.67364028764*Deflactores!$AA$5</f>
        <v>182.67364028764001</v>
      </c>
    </row>
    <row r="84" spans="1:12" x14ac:dyDescent="0.2">
      <c r="C84" s="88" t="s">
        <v>149</v>
      </c>
      <c r="D84" s="50">
        <f>482.97701459646*Deflactores!$T$5</f>
        <v>730.79373391877823</v>
      </c>
      <c r="E84" s="50">
        <f>310.50228994636*Deflactores!$U$5</f>
        <v>462.37751681117777</v>
      </c>
      <c r="F84" s="50">
        <f>735.982120862079*Deflactores!$V$5</f>
        <v>1037.6550449176214</v>
      </c>
      <c r="G84" s="50">
        <f>790.426952881159*Deflactores!$W$5</f>
        <v>985.16297633594388</v>
      </c>
      <c r="H84" s="50">
        <f>984.250297161429*Deflactores!$X$5</f>
        <v>1122.564255789538</v>
      </c>
      <c r="I84" s="50">
        <f>756.47515549688*Deflactores!$Y$5</f>
        <v>820.13356135613265</v>
      </c>
      <c r="J84" s="50">
        <f>776.94355016674*Deflactores!$Z$5</f>
        <v>801.45042728586566</v>
      </c>
      <c r="K84" s="50">
        <f>362.63368662063*Deflactores!$AA$5</f>
        <v>362.63368662062999</v>
      </c>
    </row>
    <row r="85" spans="1:12" x14ac:dyDescent="0.2">
      <c r="C85" s="87" t="s">
        <v>163</v>
      </c>
      <c r="D85" s="42">
        <f>22731.348461844*Deflactores!$T$5</f>
        <v>34394.860453803492</v>
      </c>
      <c r="E85" s="42">
        <f>26449.4423942581*Deflactores!$U$5</f>
        <v>39386.593565574185</v>
      </c>
      <c r="F85" s="42">
        <f>23326.944286685*Deflactores!$V$5</f>
        <v>32888.463911648447</v>
      </c>
      <c r="G85" s="42">
        <f>25684.8366037944*Deflactores!$W$5</f>
        <v>32012.762195244773</v>
      </c>
      <c r="H85" s="42">
        <f>29025.9457795405*Deflactores!$X$5</f>
        <v>33104.881265027725</v>
      </c>
      <c r="I85" s="42">
        <f>31362.0055141346*Deflactores!$Y$5</f>
        <v>34001.160628577927</v>
      </c>
      <c r="J85" s="42">
        <f>45045.0905727994*Deflactores!$Z$5</f>
        <v>46465.933180026877</v>
      </c>
      <c r="K85" s="42">
        <f>1828.04943186342*Deflactores!$AA$5</f>
        <v>1828.0494318634201</v>
      </c>
    </row>
    <row r="86" spans="1:12" x14ac:dyDescent="0.2">
      <c r="C86" s="88" t="s">
        <v>150</v>
      </c>
      <c r="D86" s="50">
        <f>924.845861677049*Deflactores!$T$5</f>
        <v>1399.3865963145452</v>
      </c>
      <c r="E86" s="50">
        <f>853.55703920238*Deflactores!$U$5</f>
        <v>1271.0553094834727</v>
      </c>
      <c r="F86" s="50">
        <f>951.868982316599*Deflactores!$V$5</f>
        <v>1342.0321276887587</v>
      </c>
      <c r="G86" s="50">
        <f>1097.25736348712*Deflactores!$W$5</f>
        <v>1367.58662654312</v>
      </c>
      <c r="H86" s="50">
        <f>1469.79144062042*Deflactores!$X$5</f>
        <v>1676.3371466224564</v>
      </c>
      <c r="I86" s="50">
        <f>1419.16353104033*Deflactores!$Y$5</f>
        <v>1538.588058578549</v>
      </c>
      <c r="J86" s="50">
        <f>1444.17359115768*Deflactores!$Z$5</f>
        <v>1489.7266879426293</v>
      </c>
      <c r="K86" s="50">
        <f>723.312122918709*Deflactores!$AA$5</f>
        <v>723.31212291870895</v>
      </c>
    </row>
    <row r="87" spans="1:12" x14ac:dyDescent="0.2">
      <c r="C87" s="87" t="s">
        <v>151</v>
      </c>
      <c r="D87" s="42">
        <f>2190.79212762716*Deflactores!$T$5</f>
        <v>3314.8930711044477</v>
      </c>
      <c r="E87" s="42">
        <f>2341.04330928252*Deflactores!$U$5</f>
        <v>3486.1121065499024</v>
      </c>
      <c r="F87" s="42">
        <f>2728.56652615388*Deflactores!$V$5</f>
        <v>3846.9831548903917</v>
      </c>
      <c r="G87" s="42">
        <f>2654.77344210921*Deflactores!$W$5</f>
        <v>3308.8250548550718</v>
      </c>
      <c r="H87" s="42">
        <f>2926.31864759444*Deflactores!$X$5</f>
        <v>3337.5460737108856</v>
      </c>
      <c r="I87" s="42">
        <f>3759.52629688483*Deflactores!$Y$5</f>
        <v>4075.895511533301</v>
      </c>
      <c r="J87" s="42">
        <f>4340.45487461282*Deflactores!$Z$5</f>
        <v>4477.3644277334015</v>
      </c>
      <c r="K87" s="42">
        <f>148.88876287019*Deflactores!$AA$5</f>
        <v>148.88876287018999</v>
      </c>
    </row>
    <row r="88" spans="1:12" x14ac:dyDescent="0.2">
      <c r="C88" s="79" t="s">
        <v>179</v>
      </c>
      <c r="D88" s="44">
        <f t="shared" ref="D88:K88" si="1">+SUM(D57:D87)</f>
        <v>235140.06828288731</v>
      </c>
      <c r="E88" s="44">
        <f t="shared" si="1"/>
        <v>283574.8189807203</v>
      </c>
      <c r="F88" s="44">
        <f t="shared" si="1"/>
        <v>292778.40023439145</v>
      </c>
      <c r="G88" s="44">
        <f t="shared" si="1"/>
        <v>253474.76537302925</v>
      </c>
      <c r="H88" s="44">
        <f t="shared" si="1"/>
        <v>291260.38350146997</v>
      </c>
      <c r="I88" s="44">
        <f t="shared" si="1"/>
        <v>301849.69199643732</v>
      </c>
      <c r="J88" s="44">
        <f t="shared" si="1"/>
        <v>325398.321249581</v>
      </c>
      <c r="K88" s="44">
        <f t="shared" si="1"/>
        <v>77951.412881850149</v>
      </c>
    </row>
    <row r="89" spans="1:12" s="31" customFormat="1" x14ac:dyDescent="0.2">
      <c r="A89" s="5"/>
      <c r="B89" s="5"/>
      <c r="C89" s="72" t="str">
        <f>+'C1 Aprop Resumen 2000-2026'!B20</f>
        <v>* Información con corte a 28 de febrero</v>
      </c>
      <c r="D89" s="121">
        <f>+D88-'C5 Ejecución PGN 2019-2026'!D47</f>
        <v>0</v>
      </c>
      <c r="E89" s="121">
        <f>+E88-'C5 Ejecución PGN 2019-2026'!E47</f>
        <v>1.280568540096283E-9</v>
      </c>
      <c r="F89" s="121">
        <f>+F88-'C5 Ejecución PGN 2019-2026'!F47</f>
        <v>0</v>
      </c>
      <c r="G89" s="121">
        <f>+G88-'C5 Ejecución PGN 2019-2026'!G47</f>
        <v>4.0745362639427185E-10</v>
      </c>
      <c r="H89" s="121">
        <f>+H88-'C5 Ejecución PGN 2019-2026'!H47</f>
        <v>0</v>
      </c>
      <c r="I89" s="121">
        <f>+I88-'C5 Ejecución PGN 2019-2026'!I47</f>
        <v>0</v>
      </c>
      <c r="J89" s="121">
        <f>+J88-'C5 Ejecución PGN 2019-2026'!J47</f>
        <v>0</v>
      </c>
      <c r="K89" s="121">
        <f>+K88-'C5 Ejecución PGN 2019-2026'!K47</f>
        <v>-1.4551915228366852E-10</v>
      </c>
    </row>
    <row r="90" spans="1:12" x14ac:dyDescent="0.2">
      <c r="C90" s="1" t="s">
        <v>52</v>
      </c>
      <c r="D90" s="11"/>
      <c r="E90" s="11"/>
      <c r="F90" s="11"/>
    </row>
    <row r="91" spans="1:12" x14ac:dyDescent="0.2">
      <c r="D91" s="11"/>
      <c r="E91" s="11"/>
      <c r="F91" s="11"/>
    </row>
    <row r="92" spans="1:12" x14ac:dyDescent="0.2">
      <c r="D92" s="11"/>
      <c r="E92" s="11"/>
      <c r="F92" s="11"/>
    </row>
    <row r="93" spans="1:12" x14ac:dyDescent="0.2">
      <c r="D93" s="11"/>
      <c r="E93" s="11"/>
      <c r="F93" s="11"/>
    </row>
    <row r="94" spans="1:12" ht="18" customHeight="1" x14ac:dyDescent="0.2">
      <c r="D94" s="160" t="s">
        <v>181</v>
      </c>
      <c r="E94" s="178"/>
      <c r="F94" s="178"/>
      <c r="G94" s="178"/>
      <c r="H94" s="178"/>
      <c r="I94" s="178"/>
      <c r="J94" s="178"/>
      <c r="K94" s="178"/>
      <c r="L94" s="178"/>
    </row>
    <row r="95" spans="1:12" ht="2.25" customHeight="1" x14ac:dyDescent="0.2">
      <c r="D95" s="28"/>
      <c r="E95" s="28"/>
      <c r="F95" s="28"/>
      <c r="H95" s="9">
        <f>+G94-F95</f>
        <v>0</v>
      </c>
    </row>
    <row r="96" spans="1:12" x14ac:dyDescent="0.2">
      <c r="E96" s="29"/>
      <c r="F96" s="29"/>
    </row>
    <row r="97" spans="3:11" x14ac:dyDescent="0.2">
      <c r="C97" s="177" t="s">
        <v>120</v>
      </c>
      <c r="D97" s="153">
        <v>2019</v>
      </c>
      <c r="E97" s="153">
        <v>2020</v>
      </c>
      <c r="F97" s="153">
        <v>2021</v>
      </c>
      <c r="G97" s="153">
        <v>2022</v>
      </c>
      <c r="H97" s="153">
        <v>2023</v>
      </c>
      <c r="I97" s="153">
        <v>2024</v>
      </c>
      <c r="J97" s="153">
        <v>2025</v>
      </c>
      <c r="K97" s="153" t="s">
        <v>36</v>
      </c>
    </row>
    <row r="98" spans="3:11" ht="12" customHeight="1" thickBot="1" x14ac:dyDescent="0.25">
      <c r="C98" s="156"/>
      <c r="D98" s="154"/>
      <c r="E98" s="154"/>
      <c r="F98" s="154"/>
      <c r="G98" s="154"/>
      <c r="H98" s="154"/>
      <c r="I98" s="154"/>
      <c r="J98" s="154"/>
      <c r="K98" s="154"/>
    </row>
    <row r="99" spans="3:11" x14ac:dyDescent="0.2">
      <c r="C99" s="87" t="s">
        <v>123</v>
      </c>
      <c r="D99" s="47">
        <f t="shared" ref="D99:K108" si="2">+IFERROR(IF(D57&gt;0,+((D57/D15)*100)," "),"")</f>
        <v>96.754675520953342</v>
      </c>
      <c r="E99" s="47">
        <f t="shared" si="2"/>
        <v>85.97574393296199</v>
      </c>
      <c r="F99" s="47">
        <f t="shared" si="2"/>
        <v>92.954429041126517</v>
      </c>
      <c r="G99" s="47">
        <f t="shared" si="2"/>
        <v>92.977026758318061</v>
      </c>
      <c r="H99" s="47">
        <f t="shared" si="2"/>
        <v>84.181048451494377</v>
      </c>
      <c r="I99" s="47">
        <f t="shared" si="2"/>
        <v>95.868179401864509</v>
      </c>
      <c r="J99" s="47">
        <f t="shared" si="2"/>
        <v>94.787312526037027</v>
      </c>
      <c r="K99" s="47">
        <f t="shared" si="2"/>
        <v>43.515884296624037</v>
      </c>
    </row>
    <row r="100" spans="3:11" x14ac:dyDescent="0.2">
      <c r="C100" s="88" t="s">
        <v>124</v>
      </c>
      <c r="D100" s="116">
        <f t="shared" si="2"/>
        <v>97.832434888538302</v>
      </c>
      <c r="E100" s="116">
        <f t="shared" si="2"/>
        <v>97.759260906243057</v>
      </c>
      <c r="F100" s="116">
        <f t="shared" si="2"/>
        <v>94.710917951143657</v>
      </c>
      <c r="G100" s="116">
        <f t="shared" si="2"/>
        <v>93.616026791628869</v>
      </c>
      <c r="H100" s="116">
        <f t="shared" si="2"/>
        <v>95.535697093377919</v>
      </c>
      <c r="I100" s="116">
        <f t="shared" si="2"/>
        <v>97.062537180710422</v>
      </c>
      <c r="J100" s="116">
        <f t="shared" si="2"/>
        <v>98.088778275275629</v>
      </c>
      <c r="K100" s="116">
        <f t="shared" si="2"/>
        <v>42.431848528518969</v>
      </c>
    </row>
    <row r="101" spans="3:11" x14ac:dyDescent="0.2">
      <c r="C101" s="87" t="s">
        <v>125</v>
      </c>
      <c r="D101" s="47">
        <f t="shared" si="2"/>
        <v>96.63673938373104</v>
      </c>
      <c r="E101" s="47">
        <f t="shared" si="2"/>
        <v>94.930833911807056</v>
      </c>
      <c r="F101" s="47">
        <f t="shared" si="2"/>
        <v>96.575562945679522</v>
      </c>
      <c r="G101" s="47">
        <f t="shared" si="2"/>
        <v>88.865393905143819</v>
      </c>
      <c r="H101" s="47">
        <f t="shared" si="2"/>
        <v>95.912194434805642</v>
      </c>
      <c r="I101" s="47">
        <f t="shared" si="2"/>
        <v>96.330901086093874</v>
      </c>
      <c r="J101" s="47">
        <f t="shared" si="2"/>
        <v>93.440518641874419</v>
      </c>
      <c r="K101" s="47">
        <f t="shared" si="2"/>
        <v>16.229924966818519</v>
      </c>
    </row>
    <row r="102" spans="3:11" x14ac:dyDescent="0.2">
      <c r="C102" s="88" t="s">
        <v>126</v>
      </c>
      <c r="D102" s="116">
        <f t="shared" si="2"/>
        <v>97.209605145138696</v>
      </c>
      <c r="E102" s="116">
        <f t="shared" si="2"/>
        <v>96.224115350165334</v>
      </c>
      <c r="F102" s="116">
        <f t="shared" si="2"/>
        <v>93.7431605388295</v>
      </c>
      <c r="G102" s="116">
        <f t="shared" si="2"/>
        <v>96.185811609630548</v>
      </c>
      <c r="H102" s="116">
        <f t="shared" si="2"/>
        <v>94.718553841870644</v>
      </c>
      <c r="I102" s="116">
        <f t="shared" si="2"/>
        <v>94.970403976999592</v>
      </c>
      <c r="J102" s="116">
        <f t="shared" si="2"/>
        <v>94.746234244215131</v>
      </c>
      <c r="K102" s="116">
        <f t="shared" si="2"/>
        <v>58.055796690132546</v>
      </c>
    </row>
    <row r="103" spans="3:11" x14ac:dyDescent="0.2">
      <c r="C103" s="87" t="s">
        <v>127</v>
      </c>
      <c r="D103" s="47">
        <f t="shared" si="2"/>
        <v>99.019391581905651</v>
      </c>
      <c r="E103" s="47">
        <f t="shared" si="2"/>
        <v>99.210647231887918</v>
      </c>
      <c r="F103" s="47">
        <f t="shared" si="2"/>
        <v>95.764210290776731</v>
      </c>
      <c r="G103" s="47">
        <f t="shared" si="2"/>
        <v>96.867815759843651</v>
      </c>
      <c r="H103" s="47">
        <f t="shared" si="2"/>
        <v>98.778064005368464</v>
      </c>
      <c r="I103" s="47">
        <f t="shared" si="2"/>
        <v>94.122231289845459</v>
      </c>
      <c r="J103" s="47">
        <f t="shared" si="2"/>
        <v>84.606091994744204</v>
      </c>
      <c r="K103" s="47">
        <f t="shared" si="2"/>
        <v>28.808156977588954</v>
      </c>
    </row>
    <row r="104" spans="3:11" x14ac:dyDescent="0.2">
      <c r="C104" s="88" t="s">
        <v>128</v>
      </c>
      <c r="D104" s="116">
        <f t="shared" si="2"/>
        <v>99.630817741796193</v>
      </c>
      <c r="E104" s="116">
        <f t="shared" si="2"/>
        <v>99.730865065270763</v>
      </c>
      <c r="F104" s="116">
        <f t="shared" si="2"/>
        <v>94.308649676159547</v>
      </c>
      <c r="G104" s="116">
        <f t="shared" si="2"/>
        <v>97.392020352738768</v>
      </c>
      <c r="H104" s="116">
        <f t="shared" si="2"/>
        <v>98.960690536836736</v>
      </c>
      <c r="I104" s="116">
        <f t="shared" si="2"/>
        <v>97.897709675989788</v>
      </c>
      <c r="J104" s="116">
        <f t="shared" si="2"/>
        <v>99.35118653935055</v>
      </c>
      <c r="K104" s="116">
        <f t="shared" si="2"/>
        <v>11.59514027844534</v>
      </c>
    </row>
    <row r="105" spans="3:11" x14ac:dyDescent="0.2">
      <c r="C105" s="87" t="s">
        <v>129</v>
      </c>
      <c r="D105" s="47">
        <f t="shared" si="2"/>
        <v>99.501593858994852</v>
      </c>
      <c r="E105" s="47">
        <f t="shared" si="2"/>
        <v>99.672764173138219</v>
      </c>
      <c r="F105" s="47">
        <f t="shared" si="2"/>
        <v>97.198869200407088</v>
      </c>
      <c r="G105" s="47">
        <f t="shared" si="2"/>
        <v>98.210944819410614</v>
      </c>
      <c r="H105" s="47">
        <f t="shared" si="2"/>
        <v>98.742598593886783</v>
      </c>
      <c r="I105" s="47">
        <f t="shared" si="2"/>
        <v>99.038844383965525</v>
      </c>
      <c r="J105" s="47">
        <f t="shared" si="2"/>
        <v>99.659650532643525</v>
      </c>
      <c r="K105" s="47">
        <f t="shared" si="2"/>
        <v>19.261051115515833</v>
      </c>
    </row>
    <row r="106" spans="3:11" x14ac:dyDescent="0.2">
      <c r="C106" s="88" t="s">
        <v>130</v>
      </c>
      <c r="D106" s="116">
        <f t="shared" si="2"/>
        <v>98.270993193114819</v>
      </c>
      <c r="E106" s="116">
        <f t="shared" si="2"/>
        <v>98.525892623299924</v>
      </c>
      <c r="F106" s="116">
        <f t="shared" si="2"/>
        <v>91.328483334636218</v>
      </c>
      <c r="G106" s="116">
        <f t="shared" si="2"/>
        <v>94.150672246222769</v>
      </c>
      <c r="H106" s="116">
        <f t="shared" si="2"/>
        <v>84.939781744765554</v>
      </c>
      <c r="I106" s="116">
        <f t="shared" si="2"/>
        <v>96.577727215724821</v>
      </c>
      <c r="J106" s="116">
        <f t="shared" si="2"/>
        <v>93.568013677604199</v>
      </c>
      <c r="K106" s="116">
        <f t="shared" si="2"/>
        <v>17.956849130673071</v>
      </c>
    </row>
    <row r="107" spans="3:11" x14ac:dyDescent="0.2">
      <c r="C107" s="87" t="s">
        <v>131</v>
      </c>
      <c r="D107" s="47">
        <f t="shared" si="2"/>
        <v>99.983915192696799</v>
      </c>
      <c r="E107" s="47">
        <f t="shared" si="2"/>
        <v>99.987284930259619</v>
      </c>
      <c r="F107" s="47">
        <f t="shared" si="2"/>
        <v>99.972910820179848</v>
      </c>
      <c r="G107" s="47">
        <f t="shared" si="2"/>
        <v>99.930120616969688</v>
      </c>
      <c r="H107" s="47">
        <f t="shared" si="2"/>
        <v>99.03758583723905</v>
      </c>
      <c r="I107" s="47">
        <f t="shared" si="2"/>
        <v>99.883260353809902</v>
      </c>
      <c r="J107" s="47">
        <f t="shared" si="2"/>
        <v>99.596262914037197</v>
      </c>
      <c r="K107" s="47">
        <f t="shared" si="2"/>
        <v>37.291852839132545</v>
      </c>
    </row>
    <row r="108" spans="3:11" x14ac:dyDescent="0.2">
      <c r="C108" s="88" t="s">
        <v>132</v>
      </c>
      <c r="D108" s="116">
        <f t="shared" si="2"/>
        <v>90.977213489926754</v>
      </c>
      <c r="E108" s="116">
        <f t="shared" si="2"/>
        <v>86.918215828982142</v>
      </c>
      <c r="F108" s="116">
        <f t="shared" si="2"/>
        <v>55.55859793656699</v>
      </c>
      <c r="G108" s="116">
        <f t="shared" si="2"/>
        <v>79.751340667149293</v>
      </c>
      <c r="H108" s="116">
        <f t="shared" si="2"/>
        <v>90.156612731859624</v>
      </c>
      <c r="I108" s="116">
        <f t="shared" si="2"/>
        <v>86.370116321343389</v>
      </c>
      <c r="J108" s="116">
        <f t="shared" si="2"/>
        <v>90.012129141155867</v>
      </c>
      <c r="K108" s="116">
        <f t="shared" si="2"/>
        <v>17.962535648414132</v>
      </c>
    </row>
    <row r="109" spans="3:11" x14ac:dyDescent="0.2">
      <c r="C109" s="87" t="s">
        <v>133</v>
      </c>
      <c r="D109" s="47">
        <f t="shared" ref="D109:K118" si="3">+IFERROR(IF(D67&gt;0,+((D67/D25)*100)," "),"")</f>
        <v>99.346184527611371</v>
      </c>
      <c r="E109" s="47">
        <f t="shared" si="3"/>
        <v>98.943639923614498</v>
      </c>
      <c r="F109" s="47">
        <f t="shared" si="3"/>
        <v>95.372812277114591</v>
      </c>
      <c r="G109" s="47">
        <f t="shared" si="3"/>
        <v>99.031994982959773</v>
      </c>
      <c r="H109" s="47">
        <f t="shared" si="3"/>
        <v>99.408454270773632</v>
      </c>
      <c r="I109" s="47">
        <f t="shared" si="3"/>
        <v>98.685674424464253</v>
      </c>
      <c r="J109" s="47">
        <f t="shared" si="3"/>
        <v>99.654911463789503</v>
      </c>
      <c r="K109" s="47">
        <f t="shared" si="3"/>
        <v>15.956069747788925</v>
      </c>
    </row>
    <row r="110" spans="3:11" x14ac:dyDescent="0.2">
      <c r="C110" s="88" t="s">
        <v>134</v>
      </c>
      <c r="D110" s="116">
        <f t="shared" si="3"/>
        <v>96.570291599003681</v>
      </c>
      <c r="E110" s="116">
        <f t="shared" si="3"/>
        <v>50.755068123197013</v>
      </c>
      <c r="F110" s="116">
        <f t="shared" si="3"/>
        <v>91.119396446997555</v>
      </c>
      <c r="G110" s="116">
        <f t="shared" si="3"/>
        <v>95.156636660369458</v>
      </c>
      <c r="H110" s="116">
        <f t="shared" si="3"/>
        <v>96.40400029652892</v>
      </c>
      <c r="I110" s="116">
        <f t="shared" si="3"/>
        <v>84.279257673265988</v>
      </c>
      <c r="J110" s="116">
        <f t="shared" si="3"/>
        <v>92.343581289574416</v>
      </c>
      <c r="K110" s="116">
        <f t="shared" si="3"/>
        <v>8.120019188034739</v>
      </c>
    </row>
    <row r="111" spans="3:11" x14ac:dyDescent="0.2">
      <c r="C111" s="87" t="s">
        <v>135</v>
      </c>
      <c r="D111" s="47" t="str">
        <f t="shared" si="3"/>
        <v xml:space="preserve"> </v>
      </c>
      <c r="E111" s="47" t="str">
        <f t="shared" si="3"/>
        <v xml:space="preserve"> </v>
      </c>
      <c r="F111" s="47" t="str">
        <f t="shared" si="3"/>
        <v xml:space="preserve"> </v>
      </c>
      <c r="G111" s="47" t="str">
        <f t="shared" si="3"/>
        <v xml:space="preserve"> </v>
      </c>
      <c r="H111" s="47">
        <f t="shared" si="3"/>
        <v>94.392228050518014</v>
      </c>
      <c r="I111" s="47">
        <f t="shared" si="3"/>
        <v>92.141878486608789</v>
      </c>
      <c r="J111" s="47">
        <f t="shared" si="3"/>
        <v>98.676066715887671</v>
      </c>
      <c r="K111" s="47">
        <f t="shared" si="3"/>
        <v>9.4904145753094102</v>
      </c>
    </row>
    <row r="112" spans="3:11" x14ac:dyDescent="0.2">
      <c r="C112" s="88" t="s">
        <v>136</v>
      </c>
      <c r="D112" s="116">
        <f t="shared" si="3"/>
        <v>94.645063984804395</v>
      </c>
      <c r="E112" s="116">
        <f t="shared" si="3"/>
        <v>98.815281434114254</v>
      </c>
      <c r="F112" s="116">
        <f t="shared" si="3"/>
        <v>97.173490861840847</v>
      </c>
      <c r="G112" s="116">
        <f t="shared" si="3"/>
        <v>95.89164559363509</v>
      </c>
      <c r="H112" s="116">
        <f t="shared" si="3"/>
        <v>91.23092896019655</v>
      </c>
      <c r="I112" s="116">
        <f t="shared" si="3"/>
        <v>93.803583337310528</v>
      </c>
      <c r="J112" s="116">
        <f t="shared" si="3"/>
        <v>95.327901555913598</v>
      </c>
      <c r="K112" s="116">
        <f t="shared" si="3"/>
        <v>11.852393018419793</v>
      </c>
    </row>
    <row r="113" spans="3:11" x14ac:dyDescent="0.2">
      <c r="C113" s="87" t="s">
        <v>137</v>
      </c>
      <c r="D113" s="47">
        <f t="shared" si="3"/>
        <v>90.384324634137613</v>
      </c>
      <c r="E113" s="47">
        <f t="shared" si="3"/>
        <v>88.675910968181611</v>
      </c>
      <c r="F113" s="47">
        <f t="shared" si="3"/>
        <v>80.833740397434099</v>
      </c>
      <c r="G113" s="47">
        <f t="shared" si="3"/>
        <v>87.958974853692936</v>
      </c>
      <c r="H113" s="47">
        <f t="shared" si="3"/>
        <v>92.222879866376246</v>
      </c>
      <c r="I113" s="47">
        <f t="shared" si="3"/>
        <v>95.426056570632809</v>
      </c>
      <c r="J113" s="47">
        <f t="shared" si="3"/>
        <v>94.802516837055961</v>
      </c>
      <c r="K113" s="47">
        <f t="shared" si="3"/>
        <v>20.389474497704548</v>
      </c>
    </row>
    <row r="114" spans="3:11" x14ac:dyDescent="0.2">
      <c r="C114" s="88" t="s">
        <v>138</v>
      </c>
      <c r="D114" s="116">
        <f t="shared" si="3"/>
        <v>96.565087601601903</v>
      </c>
      <c r="E114" s="116">
        <f t="shared" si="3"/>
        <v>99.172164904947024</v>
      </c>
      <c r="F114" s="116">
        <f t="shared" si="3"/>
        <v>97.243076047252742</v>
      </c>
      <c r="G114" s="116">
        <f t="shared" si="3"/>
        <v>96.571393881188584</v>
      </c>
      <c r="H114" s="116">
        <f t="shared" si="3"/>
        <v>91.978094954718898</v>
      </c>
      <c r="I114" s="116">
        <f t="shared" si="3"/>
        <v>96.710745170515537</v>
      </c>
      <c r="J114" s="116">
        <f t="shared" si="3"/>
        <v>97.526520095943965</v>
      </c>
      <c r="K114" s="116">
        <f t="shared" si="3"/>
        <v>16.548024156085472</v>
      </c>
    </row>
    <row r="115" spans="3:11" x14ac:dyDescent="0.2">
      <c r="C115" s="87" t="s">
        <v>160</v>
      </c>
      <c r="D115" s="47">
        <f t="shared" si="3"/>
        <v>98.795428126561887</v>
      </c>
      <c r="E115" s="47">
        <f t="shared" si="3"/>
        <v>97.750337335393723</v>
      </c>
      <c r="F115" s="47">
        <f t="shared" si="3"/>
        <v>97.367715037087038</v>
      </c>
      <c r="G115" s="47">
        <f t="shared" si="3"/>
        <v>88.702994685029097</v>
      </c>
      <c r="H115" s="47">
        <f t="shared" si="3"/>
        <v>96.206033647772855</v>
      </c>
      <c r="I115" s="47">
        <f t="shared" si="3"/>
        <v>90.456709186029599</v>
      </c>
      <c r="J115" s="47">
        <f t="shared" si="3"/>
        <v>97.985878421710197</v>
      </c>
      <c r="K115" s="47">
        <f t="shared" si="3"/>
        <v>61.110445604918532</v>
      </c>
    </row>
    <row r="116" spans="3:11" x14ac:dyDescent="0.2">
      <c r="C116" s="88" t="s">
        <v>161</v>
      </c>
      <c r="D116" s="116">
        <f t="shared" si="3"/>
        <v>97.793416692574581</v>
      </c>
      <c r="E116" s="116">
        <f t="shared" si="3"/>
        <v>96.375926037772786</v>
      </c>
      <c r="F116" s="116">
        <f t="shared" si="3"/>
        <v>85.860223655355114</v>
      </c>
      <c r="G116" s="116">
        <f t="shared" si="3"/>
        <v>90.340275936027524</v>
      </c>
      <c r="H116" s="116">
        <f t="shared" si="3"/>
        <v>91.428299021888961</v>
      </c>
      <c r="I116" s="116">
        <f t="shared" si="3"/>
        <v>93.703289945746249</v>
      </c>
      <c r="J116" s="116">
        <f t="shared" si="3"/>
        <v>98.621795704045624</v>
      </c>
      <c r="K116" s="116">
        <f t="shared" si="3"/>
        <v>28.039027636934577</v>
      </c>
    </row>
    <row r="117" spans="3:11" x14ac:dyDescent="0.2">
      <c r="C117" s="87" t="s">
        <v>140</v>
      </c>
      <c r="D117" s="47">
        <f t="shared" si="3"/>
        <v>91.954010641935142</v>
      </c>
      <c r="E117" s="47">
        <f t="shared" si="3"/>
        <v>94.176051399351209</v>
      </c>
      <c r="F117" s="47">
        <f t="shared" si="3"/>
        <v>91.235752262393262</v>
      </c>
      <c r="G117" s="47">
        <f t="shared" si="3"/>
        <v>91.794148246154677</v>
      </c>
      <c r="H117" s="47">
        <f t="shared" si="3"/>
        <v>96.479942122660773</v>
      </c>
      <c r="I117" s="47">
        <f t="shared" si="3"/>
        <v>98.918418137309558</v>
      </c>
      <c r="J117" s="47">
        <f t="shared" si="3"/>
        <v>98.347018234072053</v>
      </c>
      <c r="K117" s="47">
        <f t="shared" si="3"/>
        <v>56.760792898435355</v>
      </c>
    </row>
    <row r="118" spans="3:11" x14ac:dyDescent="0.2">
      <c r="C118" s="88" t="s">
        <v>141</v>
      </c>
      <c r="D118" s="116">
        <f t="shared" si="3"/>
        <v>95.878402996416426</v>
      </c>
      <c r="E118" s="116">
        <f t="shared" si="3"/>
        <v>86.103283434607846</v>
      </c>
      <c r="F118" s="116">
        <f t="shared" si="3"/>
        <v>89.550058741995741</v>
      </c>
      <c r="G118" s="116">
        <f t="shared" si="3"/>
        <v>93.590219438151166</v>
      </c>
      <c r="H118" s="116">
        <f t="shared" si="3"/>
        <v>92.966255862093533</v>
      </c>
      <c r="I118" s="116">
        <f t="shared" si="3"/>
        <v>91.395413106387011</v>
      </c>
      <c r="J118" s="116">
        <f t="shared" si="3"/>
        <v>97.333397757652278</v>
      </c>
      <c r="K118" s="116">
        <f t="shared" si="3"/>
        <v>18.269557270767955</v>
      </c>
    </row>
    <row r="119" spans="3:11" x14ac:dyDescent="0.2">
      <c r="C119" s="87" t="s">
        <v>142</v>
      </c>
      <c r="D119" s="47">
        <f t="shared" ref="D119:K128" si="4">+IFERROR(IF(D77&gt;0,+((D77/D35)*100)," "),"")</f>
        <v>95.530484135217137</v>
      </c>
      <c r="E119" s="47">
        <f t="shared" si="4"/>
        <v>90.179431252262688</v>
      </c>
      <c r="F119" s="47">
        <f t="shared" si="4"/>
        <v>50.865594935040171</v>
      </c>
      <c r="G119" s="47">
        <f t="shared" si="4"/>
        <v>83.001911561192415</v>
      </c>
      <c r="H119" s="47">
        <f t="shared" si="4"/>
        <v>91.549651027272873</v>
      </c>
      <c r="I119" s="47">
        <f t="shared" si="4"/>
        <v>90.804227183573204</v>
      </c>
      <c r="J119" s="47">
        <f t="shared" si="4"/>
        <v>89.953950043460267</v>
      </c>
      <c r="K119" s="47">
        <f t="shared" si="4"/>
        <v>25.080257195540302</v>
      </c>
    </row>
    <row r="120" spans="3:11" x14ac:dyDescent="0.2">
      <c r="C120" s="88" t="s">
        <v>143</v>
      </c>
      <c r="D120" s="116">
        <f t="shared" si="4"/>
        <v>98.319680477411197</v>
      </c>
      <c r="E120" s="116">
        <f t="shared" si="4"/>
        <v>99.587349136687379</v>
      </c>
      <c r="F120" s="116">
        <f t="shared" si="4"/>
        <v>99.52797015316672</v>
      </c>
      <c r="G120" s="116">
        <f t="shared" si="4"/>
        <v>99.292056014821455</v>
      </c>
      <c r="H120" s="116">
        <f t="shared" si="4"/>
        <v>98.664143286494337</v>
      </c>
      <c r="I120" s="116">
        <f t="shared" si="4"/>
        <v>96.494522512861622</v>
      </c>
      <c r="J120" s="116">
        <f t="shared" si="4"/>
        <v>98.941270914390515</v>
      </c>
      <c r="K120" s="116">
        <f t="shared" si="4"/>
        <v>71.220867612398607</v>
      </c>
    </row>
    <row r="121" spans="3:11" x14ac:dyDescent="0.2">
      <c r="C121" s="87" t="s">
        <v>144</v>
      </c>
      <c r="D121" s="47">
        <f t="shared" si="4"/>
        <v>99.320338438968108</v>
      </c>
      <c r="E121" s="47">
        <f t="shared" si="4"/>
        <v>98.980205427702174</v>
      </c>
      <c r="F121" s="47">
        <f t="shared" si="4"/>
        <v>97.577065008321313</v>
      </c>
      <c r="G121" s="47">
        <f t="shared" si="4"/>
        <v>98.972390702504313</v>
      </c>
      <c r="H121" s="47">
        <f t="shared" si="4"/>
        <v>91.123749907002832</v>
      </c>
      <c r="I121" s="47">
        <f t="shared" si="4"/>
        <v>98.317011897368317</v>
      </c>
      <c r="J121" s="47">
        <f t="shared" si="4"/>
        <v>98.67816832647847</v>
      </c>
      <c r="K121" s="47">
        <f t="shared" si="4"/>
        <v>13.094028746682735</v>
      </c>
    </row>
    <row r="122" spans="3:11" x14ac:dyDescent="0.2">
      <c r="C122" s="88" t="s">
        <v>145</v>
      </c>
      <c r="D122" s="116">
        <f t="shared" si="4"/>
        <v>95.674689350965892</v>
      </c>
      <c r="E122" s="116">
        <f t="shared" si="4"/>
        <v>96.364305667687262</v>
      </c>
      <c r="F122" s="116">
        <f t="shared" si="4"/>
        <v>94.015409564590414</v>
      </c>
      <c r="G122" s="116">
        <f t="shared" si="4"/>
        <v>96.973418133317068</v>
      </c>
      <c r="H122" s="116">
        <f t="shared" si="4"/>
        <v>94.346712864146951</v>
      </c>
      <c r="I122" s="116">
        <f t="shared" si="4"/>
        <v>64.60520843939004</v>
      </c>
      <c r="J122" s="116">
        <f t="shared" si="4"/>
        <v>95.277728804066399</v>
      </c>
      <c r="K122" s="116">
        <f t="shared" si="4"/>
        <v>33.898260831684532</v>
      </c>
    </row>
    <row r="123" spans="3:11" x14ac:dyDescent="0.2">
      <c r="C123" s="87" t="s">
        <v>146</v>
      </c>
      <c r="D123" s="47">
        <f t="shared" si="4"/>
        <v>96.752115422107551</v>
      </c>
      <c r="E123" s="47">
        <f t="shared" si="4"/>
        <v>92.70079351600441</v>
      </c>
      <c r="F123" s="47">
        <f t="shared" si="4"/>
        <v>92.441271186177502</v>
      </c>
      <c r="G123" s="47">
        <f t="shared" si="4"/>
        <v>97.430640371865309</v>
      </c>
      <c r="H123" s="47">
        <f t="shared" si="4"/>
        <v>94.325496727537157</v>
      </c>
      <c r="I123" s="47">
        <f t="shared" si="4"/>
        <v>95.907360517338986</v>
      </c>
      <c r="J123" s="47">
        <f t="shared" si="4"/>
        <v>96.152342331340861</v>
      </c>
      <c r="K123" s="47">
        <f t="shared" si="4"/>
        <v>40.7331120824186</v>
      </c>
    </row>
    <row r="124" spans="3:11" x14ac:dyDescent="0.2">
      <c r="C124" s="88" t="s">
        <v>162</v>
      </c>
      <c r="D124" s="116">
        <f t="shared" si="4"/>
        <v>99.819425119357547</v>
      </c>
      <c r="E124" s="116">
        <f t="shared" si="4"/>
        <v>97.650198467198706</v>
      </c>
      <c r="F124" s="116">
        <f t="shared" si="4"/>
        <v>99.626986683034247</v>
      </c>
      <c r="G124" s="116">
        <f t="shared" si="4"/>
        <v>99.792575009229921</v>
      </c>
      <c r="H124" s="116">
        <f t="shared" si="4"/>
        <v>99.050918883172301</v>
      </c>
      <c r="I124" s="116">
        <f t="shared" si="4"/>
        <v>98.734213532158847</v>
      </c>
      <c r="J124" s="116">
        <f t="shared" si="4"/>
        <v>99.035599867029688</v>
      </c>
      <c r="K124" s="116">
        <f t="shared" si="4"/>
        <v>18.85390242320678</v>
      </c>
    </row>
    <row r="125" spans="3:11" x14ac:dyDescent="0.2">
      <c r="C125" s="87" t="s">
        <v>148</v>
      </c>
      <c r="D125" s="47">
        <f t="shared" si="4"/>
        <v>94.586761911542794</v>
      </c>
      <c r="E125" s="47">
        <f t="shared" si="4"/>
        <v>97.716106039451617</v>
      </c>
      <c r="F125" s="47">
        <f t="shared" si="4"/>
        <v>97.403246691649031</v>
      </c>
      <c r="G125" s="47">
        <f t="shared" si="4"/>
        <v>98.634199068098027</v>
      </c>
      <c r="H125" s="47">
        <f t="shared" si="4"/>
        <v>92.055841780691225</v>
      </c>
      <c r="I125" s="47">
        <f t="shared" si="4"/>
        <v>98.574561937461795</v>
      </c>
      <c r="J125" s="47">
        <f t="shared" si="4"/>
        <v>99.468115947030071</v>
      </c>
      <c r="K125" s="47">
        <f t="shared" si="4"/>
        <v>27.056492775661773</v>
      </c>
    </row>
    <row r="126" spans="3:11" x14ac:dyDescent="0.2">
      <c r="C126" s="88" t="s">
        <v>149</v>
      </c>
      <c r="D126" s="116">
        <f t="shared" si="4"/>
        <v>95.71678565774917</v>
      </c>
      <c r="E126" s="116">
        <f t="shared" si="4"/>
        <v>97.829469938153764</v>
      </c>
      <c r="F126" s="116">
        <f t="shared" si="4"/>
        <v>86.049041710771093</v>
      </c>
      <c r="G126" s="116">
        <f t="shared" si="4"/>
        <v>84.897105110993834</v>
      </c>
      <c r="H126" s="116">
        <f t="shared" si="4"/>
        <v>95.664878121674406</v>
      </c>
      <c r="I126" s="116">
        <f t="shared" si="4"/>
        <v>95.384022123451601</v>
      </c>
      <c r="J126" s="116">
        <f t="shared" si="4"/>
        <v>94.881058944396813</v>
      </c>
      <c r="K126" s="116">
        <f t="shared" si="4"/>
        <v>63.064791024072683</v>
      </c>
    </row>
    <row r="127" spans="3:11" x14ac:dyDescent="0.2">
      <c r="C127" s="87" t="s">
        <v>163</v>
      </c>
      <c r="D127" s="47">
        <f t="shared" si="4"/>
        <v>99.42490037216551</v>
      </c>
      <c r="E127" s="47">
        <f t="shared" si="4"/>
        <v>99.293185472618077</v>
      </c>
      <c r="F127" s="47">
        <f t="shared" si="4"/>
        <v>98.257773557121723</v>
      </c>
      <c r="G127" s="47">
        <f t="shared" si="4"/>
        <v>84.882076999212472</v>
      </c>
      <c r="H127" s="47">
        <f t="shared" si="4"/>
        <v>98.090310629512828</v>
      </c>
      <c r="I127" s="47">
        <f t="shared" si="4"/>
        <v>90.873806275386386</v>
      </c>
      <c r="J127" s="47">
        <f t="shared" si="4"/>
        <v>99.698803656392499</v>
      </c>
      <c r="K127" s="47">
        <f t="shared" si="4"/>
        <v>3.6554570531532904</v>
      </c>
    </row>
    <row r="128" spans="3:11" x14ac:dyDescent="0.2">
      <c r="C128" s="88" t="s">
        <v>150</v>
      </c>
      <c r="D128" s="116">
        <f t="shared" si="4"/>
        <v>94.661987909713702</v>
      </c>
      <c r="E128" s="116">
        <f t="shared" si="4"/>
        <v>93.261827457785216</v>
      </c>
      <c r="F128" s="116">
        <f t="shared" si="4"/>
        <v>86.698177194757946</v>
      </c>
      <c r="G128" s="116">
        <f t="shared" si="4"/>
        <v>90.02819944513314</v>
      </c>
      <c r="H128" s="116">
        <f t="shared" si="4"/>
        <v>90.695503704482789</v>
      </c>
      <c r="I128" s="116">
        <f t="shared" si="4"/>
        <v>91.268431309511101</v>
      </c>
      <c r="J128" s="116">
        <f t="shared" si="4"/>
        <v>94.705662947539309</v>
      </c>
      <c r="K128" s="116">
        <f t="shared" si="4"/>
        <v>32.310651462070886</v>
      </c>
    </row>
    <row r="129" spans="1:12" x14ac:dyDescent="0.2">
      <c r="C129" s="87" t="s">
        <v>151</v>
      </c>
      <c r="D129" s="47">
        <f t="shared" ref="D129:K130" si="5">+IFERROR(IF(D87&gt;0,+((D87/D45)*100)," "),"")</f>
        <v>99.860240774209856</v>
      </c>
      <c r="E129" s="47">
        <f t="shared" si="5"/>
        <v>98.707275887388036</v>
      </c>
      <c r="F129" s="47">
        <f t="shared" si="5"/>
        <v>99.463867880407491</v>
      </c>
      <c r="G129" s="47">
        <f t="shared" si="5"/>
        <v>99.835565142475104</v>
      </c>
      <c r="H129" s="47">
        <f t="shared" si="5"/>
        <v>99.468172500445831</v>
      </c>
      <c r="I129" s="47">
        <f t="shared" si="5"/>
        <v>99.610236266216191</v>
      </c>
      <c r="J129" s="47">
        <f t="shared" si="5"/>
        <v>99.959278109659323</v>
      </c>
      <c r="K129" s="47">
        <f t="shared" si="5"/>
        <v>3.1687754097249323</v>
      </c>
    </row>
    <row r="130" spans="1:12" x14ac:dyDescent="0.2">
      <c r="C130" s="91" t="s">
        <v>179</v>
      </c>
      <c r="D130" s="64">
        <f t="shared" si="5"/>
        <v>99.185609069101034</v>
      </c>
      <c r="E130" s="64">
        <f t="shared" si="5"/>
        <v>89.892256300771308</v>
      </c>
      <c r="F130" s="64">
        <f t="shared" si="5"/>
        <v>97.089825190660122</v>
      </c>
      <c r="G130" s="64">
        <f t="shared" si="5"/>
        <v>96.241989430906429</v>
      </c>
      <c r="H130" s="64">
        <f t="shared" si="5"/>
        <v>97.718505919496693</v>
      </c>
      <c r="I130" s="64">
        <f t="shared" si="5"/>
        <v>95.953756899897201</v>
      </c>
      <c r="J130" s="64">
        <f t="shared" si="5"/>
        <v>98.653362558343161</v>
      </c>
      <c r="K130" s="64">
        <f t="shared" si="5"/>
        <v>21.764036950282662</v>
      </c>
    </row>
    <row r="131" spans="1:12" s="31" customFormat="1" x14ac:dyDescent="0.2">
      <c r="A131" s="5"/>
      <c r="B131" s="5"/>
      <c r="C131" s="72" t="str">
        <f>+'C1 Aprop Resumen 2000-2026'!B20</f>
        <v>* Información con corte a 28 de febrero</v>
      </c>
      <c r="D131" s="47"/>
      <c r="E131" s="47"/>
      <c r="F131" s="47"/>
      <c r="G131" s="47"/>
      <c r="H131" s="47"/>
      <c r="I131" s="47"/>
    </row>
    <row r="132" spans="1:12" x14ac:dyDescent="0.2">
      <c r="C132" s="1" t="s">
        <v>52</v>
      </c>
      <c r="D132" s="11"/>
      <c r="E132" s="11"/>
      <c r="F132" s="11"/>
    </row>
    <row r="133" spans="1:12" x14ac:dyDescent="0.2">
      <c r="D133" s="11"/>
      <c r="E133" s="11"/>
      <c r="F133" s="11"/>
    </row>
    <row r="134" spans="1:12" x14ac:dyDescent="0.2">
      <c r="E134" s="3"/>
      <c r="F134" s="3"/>
    </row>
    <row r="135" spans="1:12" x14ac:dyDescent="0.2">
      <c r="E135" s="3"/>
      <c r="F135" s="3"/>
    </row>
    <row r="136" spans="1:12" x14ac:dyDescent="0.2">
      <c r="E136" s="3"/>
      <c r="F136" s="3"/>
    </row>
    <row r="137" spans="1:12" ht="18" customHeight="1" x14ac:dyDescent="0.2">
      <c r="D137" s="160" t="s">
        <v>182</v>
      </c>
      <c r="E137" s="178"/>
      <c r="F137" s="178"/>
      <c r="G137" s="178"/>
      <c r="H137" s="178"/>
      <c r="I137" s="178"/>
      <c r="J137" s="178"/>
      <c r="K137" s="178"/>
      <c r="L137" s="178"/>
    </row>
    <row r="138" spans="1:12" ht="15.75" customHeight="1" x14ac:dyDescent="0.2">
      <c r="C138" s="2"/>
      <c r="D138" s="2"/>
      <c r="E138" s="2"/>
      <c r="F138" s="2"/>
      <c r="G138" s="2"/>
      <c r="H138" s="2"/>
      <c r="I138" s="2"/>
    </row>
    <row r="139" spans="1:12" x14ac:dyDescent="0.2">
      <c r="C139" s="177" t="s">
        <v>120</v>
      </c>
      <c r="D139" s="153">
        <v>2019</v>
      </c>
      <c r="E139" s="153">
        <v>2020</v>
      </c>
      <c r="F139" s="153">
        <v>2021</v>
      </c>
      <c r="G139" s="153">
        <v>2022</v>
      </c>
      <c r="H139" s="153">
        <v>2023</v>
      </c>
      <c r="I139" s="153">
        <v>2024</v>
      </c>
      <c r="J139" s="153" t="s">
        <v>187</v>
      </c>
      <c r="K139" s="153" t="s">
        <v>36</v>
      </c>
    </row>
    <row r="140" spans="1:12" ht="12" customHeight="1" thickBot="1" x14ac:dyDescent="0.25">
      <c r="C140" s="156"/>
      <c r="D140" s="154"/>
      <c r="E140" s="154"/>
      <c r="F140" s="154"/>
      <c r="G140" s="154"/>
      <c r="H140" s="154"/>
      <c r="I140" s="154"/>
      <c r="J140" s="154"/>
      <c r="K140" s="154"/>
    </row>
    <row r="141" spans="1:12" x14ac:dyDescent="0.2">
      <c r="C141" s="87" t="s">
        <v>123</v>
      </c>
      <c r="D141" s="42">
        <f>550.94961865328*Deflactores!$T$5</f>
        <v>833.64325184950235</v>
      </c>
      <c r="E141" s="42">
        <f>583.37008877332*Deflactores!$U$5</f>
        <v>868.71247576152098</v>
      </c>
      <c r="F141" s="42">
        <f>592.03272026262*Deflactores!$V$5</f>
        <v>834.70198734886583</v>
      </c>
      <c r="G141" s="42">
        <f>700.56826697568*Deflactores!$W$5</f>
        <v>873.16597252224904</v>
      </c>
      <c r="H141" s="42">
        <f>710.862389260989*Deflactores!$X$5</f>
        <v>810.75790504806434</v>
      </c>
      <c r="I141" s="42">
        <f>819.606263210479*Deflactores!$Y$5</f>
        <v>888.5772370344215</v>
      </c>
      <c r="J141" s="42">
        <f>785.02281948073*Deflactores!$Z$5</f>
        <v>809.78453835798314</v>
      </c>
      <c r="K141" s="42">
        <f>65.90578146014*Deflactores!$AA$5</f>
        <v>65.905781460140005</v>
      </c>
    </row>
    <row r="142" spans="1:12" x14ac:dyDescent="0.2">
      <c r="C142" s="88" t="s">
        <v>124</v>
      </c>
      <c r="D142" s="50">
        <f>304.43805658167*Deflactores!$T$5</f>
        <v>460.64598809569441</v>
      </c>
      <c r="E142" s="50">
        <f>338.501691976169*Deflactores!$U$5</f>
        <v>504.07219798398791</v>
      </c>
      <c r="F142" s="50">
        <f>386.82017852223*Deflactores!$V$5</f>
        <v>545.37453878549502</v>
      </c>
      <c r="G142" s="50">
        <f>412.67784388114*Deflactores!$W$5</f>
        <v>514.34851944752643</v>
      </c>
      <c r="H142" s="50">
        <f>490.29124433829*Deflactores!$X$5</f>
        <v>559.19051018632263</v>
      </c>
      <c r="I142" s="50">
        <f>582.15267019203*Deflactores!$Y$5</f>
        <v>631.14160351237183</v>
      </c>
      <c r="J142" s="50">
        <f>769.00184488935*Deflactores!$Z$5</f>
        <v>793.25821938790875</v>
      </c>
      <c r="K142" s="50">
        <f>212.047511350219*Deflactores!$AA$5</f>
        <v>212.047511350219</v>
      </c>
    </row>
    <row r="143" spans="1:12" x14ac:dyDescent="0.2">
      <c r="C143" s="87" t="s">
        <v>125</v>
      </c>
      <c r="D143" s="42">
        <f>22.32428966408*Deflactores!$T$5</f>
        <v>33.778938764463902</v>
      </c>
      <c r="E143" s="42">
        <f>21.9513317790499*Deflactores!$U$5</f>
        <v>32.688333089101498</v>
      </c>
      <c r="F143" s="42">
        <f>24.25331393745*Deflactores!$V$5</f>
        <v>34.194544744765608</v>
      </c>
      <c r="G143" s="42">
        <f>23.96646871316*Deflactores!$W$5</f>
        <v>29.871043192107457</v>
      </c>
      <c r="H143" s="42">
        <f>25.59483440175*Deflactores!$X$5</f>
        <v>29.191605341770686</v>
      </c>
      <c r="I143" s="42">
        <f>26.2082651191699*Deflactores!$Y$5</f>
        <v>28.413726019901219</v>
      </c>
      <c r="J143" s="42">
        <f>24.36302321479*Deflactores!$Z$5</f>
        <v>25.131498113702705</v>
      </c>
      <c r="K143" s="42">
        <f>2.76607340549*Deflactores!$AA$5</f>
        <v>2.7660734054899998</v>
      </c>
    </row>
    <row r="144" spans="1:12" x14ac:dyDescent="0.2">
      <c r="C144" s="88" t="s">
        <v>126</v>
      </c>
      <c r="D144" s="50">
        <f>601.65551045078*Deflactores!$T$5</f>
        <v>910.36646409043567</v>
      </c>
      <c r="E144" s="50">
        <f>681.10805485492*Deflactores!$U$5</f>
        <v>1014.2567745259273</v>
      </c>
      <c r="F144" s="50">
        <f>625.253676882129*Deflactores!$V$5</f>
        <v>881.53993660888978</v>
      </c>
      <c r="G144" s="50">
        <f>641.48128723704*Deflactores!$W$5</f>
        <v>799.52184309341339</v>
      </c>
      <c r="H144" s="50">
        <f>738.77674124178*Deflactores!$X$5</f>
        <v>842.59498332737576</v>
      </c>
      <c r="I144" s="50">
        <f>853.23803293667*Deflactores!$Y$5</f>
        <v>925.03916559853042</v>
      </c>
      <c r="J144" s="50">
        <f>944.04564089688*Deflactores!$Z$5</f>
        <v>973.82336478858474</v>
      </c>
      <c r="K144" s="50">
        <f>101.90737683717*Deflactores!$AA$5</f>
        <v>101.90737683717001</v>
      </c>
    </row>
    <row r="145" spans="3:11" x14ac:dyDescent="0.2">
      <c r="C145" s="87" t="s">
        <v>127</v>
      </c>
      <c r="D145" s="42">
        <f>534.55512548138*Deflactores!$T$5</f>
        <v>808.83670305171086</v>
      </c>
      <c r="E145" s="42">
        <f>574.45739305315*Deflactores!$U$5</f>
        <v>855.44033494768757</v>
      </c>
      <c r="F145" s="42">
        <f>620.32288849422*Deflactores!$V$5</f>
        <v>874.58805924515457</v>
      </c>
      <c r="G145" s="42">
        <f>723.0786412986*Deflactores!$W$5</f>
        <v>901.22218604782483</v>
      </c>
      <c r="H145" s="42">
        <f>853.40507203029*Deflactores!$X$5</f>
        <v>973.33171484283093</v>
      </c>
      <c r="I145" s="42">
        <f>956.798178938159*Deflactores!$Y$5</f>
        <v>1037.3140377309471</v>
      </c>
      <c r="J145" s="42">
        <f>1097.22904794437*Deflactores!$Z$5</f>
        <v>1131.8385861067463</v>
      </c>
      <c r="K145" s="42">
        <f>148.85166429042*Deflactores!$AA$5</f>
        <v>148.85166429041999</v>
      </c>
    </row>
    <row r="146" spans="3:11" x14ac:dyDescent="0.2">
      <c r="C146" s="88" t="s">
        <v>128</v>
      </c>
      <c r="D146" s="50">
        <f>230.497928258609*Deflactores!$T$5</f>
        <v>348.76699420860223</v>
      </c>
      <c r="E146" s="50">
        <f>230.760492422019*Deflactores!$U$5</f>
        <v>343.6318085855346</v>
      </c>
      <c r="F146" s="50">
        <f>216.23649284489*Deflactores!$V$5</f>
        <v>304.8700251481261</v>
      </c>
      <c r="G146" s="50">
        <f>182.7676079624*Deflactores!$W$5</f>
        <v>227.79572480635088</v>
      </c>
      <c r="H146" s="50">
        <f>274.27541182356*Deflactores!$X$5</f>
        <v>312.81857312417526</v>
      </c>
      <c r="I146" s="50">
        <f>314.48738554402*Deflactores!$Y$5</f>
        <v>340.95192371305848</v>
      </c>
      <c r="J146" s="50">
        <f>310.2229683975*Deflactores!$Z$5</f>
        <v>320.00823035690019</v>
      </c>
      <c r="K146" s="50">
        <f>19.86589749744*Deflactores!$AA$5</f>
        <v>19.865897497439999</v>
      </c>
    </row>
    <row r="147" spans="3:11" x14ac:dyDescent="0.2">
      <c r="C147" s="87" t="s">
        <v>129</v>
      </c>
      <c r="D147" s="42">
        <f>31549.6913649519*Deflactores!$T$5</f>
        <v>47737.917250249258</v>
      </c>
      <c r="E147" s="42">
        <f>33230.3514632327*Deflactores!$U$5</f>
        <v>49484.232129130374</v>
      </c>
      <c r="F147" s="42">
        <f>35034.704311918*Deflactores!$V$5</f>
        <v>49395.136982235847</v>
      </c>
      <c r="G147" s="42">
        <f>38818.7511070497*Deflactores!$W$5</f>
        <v>48382.454873113515</v>
      </c>
      <c r="H147" s="42">
        <f>43879.5089630275*Deflactores!$X$5</f>
        <v>50045.774398595378</v>
      </c>
      <c r="I147" s="42">
        <f>49048.2037219894*Deflactores!$Y$5</f>
        <v>53175.676298601451</v>
      </c>
      <c r="J147" s="42">
        <f>54512.2039062196*Deflactores!$Z$5</f>
        <v>56231.664583041922</v>
      </c>
      <c r="K147" s="42">
        <f>7697.72061699745*Deflactores!$AA$5</f>
        <v>7697.7206169974497</v>
      </c>
    </row>
    <row r="148" spans="3:11" x14ac:dyDescent="0.2">
      <c r="C148" s="88" t="s">
        <v>130</v>
      </c>
      <c r="D148" s="50">
        <f>35.19635672401*Deflactores!$T$5</f>
        <v>53.255695764667749</v>
      </c>
      <c r="E148" s="50">
        <f>37.52834642101*Deflactores!$U$5</f>
        <v>55.884494865316121</v>
      </c>
      <c r="F148" s="50">
        <f>35.65260900663*Deflactores!$V$5</f>
        <v>50.266315650265398</v>
      </c>
      <c r="G148" s="50">
        <f>48.70019650441*Deflactores!$W$5</f>
        <v>60.698373659385254</v>
      </c>
      <c r="H148" s="50">
        <f>47.58309044185*Deflactores!$X$5</f>
        <v>54.269809888877184</v>
      </c>
      <c r="I148" s="50">
        <f>60.11913009778*Deflactores!$Y$5</f>
        <v>65.178236078803167</v>
      </c>
      <c r="J148" s="50">
        <f>44.59167876021*Deflactores!$Z$5</f>
        <v>45.998219546445327</v>
      </c>
      <c r="K148" s="50">
        <f>5.34656097667*Deflactores!$AA$5</f>
        <v>5.3465609766700002</v>
      </c>
    </row>
    <row r="149" spans="3:11" x14ac:dyDescent="0.2">
      <c r="C149" s="87" t="s">
        <v>131</v>
      </c>
      <c r="D149" s="42">
        <f>37374.7153265805*Deflactores!$T$5</f>
        <v>56551.775637778665</v>
      </c>
      <c r="E149" s="42">
        <f>40602.7147169017*Deflactores!$U$5</f>
        <v>60462.621418466457</v>
      </c>
      <c r="F149" s="42">
        <f>43204.9641443643*Deflactores!$V$5</f>
        <v>60914.318077960364</v>
      </c>
      <c r="G149" s="42">
        <f>44174.487360484*Deflactores!$W$5</f>
        <v>55057.673941328852</v>
      </c>
      <c r="H149" s="42">
        <f>51128.3182462946*Deflactores!$X$5</f>
        <v>58313.238703050054</v>
      </c>
      <c r="I149" s="42">
        <f>61840.0174803646*Deflactores!$Y$5</f>
        <v>67043.938458473407</v>
      </c>
      <c r="J149" s="42">
        <f>71916.5310447585*Deflactores!$Z$5</f>
        <v>74184.970738696938</v>
      </c>
      <c r="K149" s="42">
        <f>12682.6364314352*Deflactores!$AA$5</f>
        <v>12682.636431435199</v>
      </c>
    </row>
    <row r="150" spans="3:11" x14ac:dyDescent="0.2">
      <c r="C150" s="88" t="s">
        <v>132</v>
      </c>
      <c r="D150" s="50">
        <f>78.0400563333699*Deflactores!$T$5</f>
        <v>118.0826052576151</v>
      </c>
      <c r="E150" s="50">
        <f>77.35142788346*Deflactores!$U$5</f>
        <v>115.18614291937014</v>
      </c>
      <c r="F150" s="50">
        <f>92.14093762066*Deflactores!$V$5</f>
        <v>129.90873834479308</v>
      </c>
      <c r="G150" s="50">
        <f>137.361435775109*Deflactores!$W$5</f>
        <v>171.2029181301601</v>
      </c>
      <c r="H150" s="50">
        <f>162.8243772651*Deflactores!$X$5</f>
        <v>185.70563444698018</v>
      </c>
      <c r="I150" s="50">
        <f>178.99946131674*Deflactores!$Y$5</f>
        <v>194.06250770271694</v>
      </c>
      <c r="J150" s="50">
        <f>195.73838679159*Deflactores!$Z$5</f>
        <v>201.91249891539604</v>
      </c>
      <c r="K150" s="50">
        <f>22.4190904435099*Deflactores!$AA$5</f>
        <v>22.419090443509901</v>
      </c>
    </row>
    <row r="151" spans="3:11" x14ac:dyDescent="0.2">
      <c r="C151" s="87" t="s">
        <v>133</v>
      </c>
      <c r="D151" s="42">
        <f>3531.33633471202*Deflactores!$T$5</f>
        <v>5343.2738779990896</v>
      </c>
      <c r="E151" s="42">
        <f>3652.45423177794*Deflactores!$U$5</f>
        <v>5438.9702512265148</v>
      </c>
      <c r="F151" s="42">
        <f>3975.7511740663*Deflactores!$V$5</f>
        <v>5605.3783728805438</v>
      </c>
      <c r="G151" s="42">
        <f>4354.53842344542*Deflactores!$W$5</f>
        <v>5427.3579844078422</v>
      </c>
      <c r="H151" s="42">
        <f>4987.96653730631*Deflactores!$X$5</f>
        <v>5688.9116112057636</v>
      </c>
      <c r="I151" s="42">
        <f>5413.56807720895*Deflactores!$Y$5</f>
        <v>5869.127141246292</v>
      </c>
      <c r="J151" s="42">
        <f>6118.1187661645*Deflactores!$Z$5</f>
        <v>6311.1005918974406</v>
      </c>
      <c r="K151" s="42">
        <f>785.69437958343*Deflactores!$AA$5</f>
        <v>785.69437958342996</v>
      </c>
    </row>
    <row r="152" spans="3:11" x14ac:dyDescent="0.2">
      <c r="C152" s="88" t="s">
        <v>134</v>
      </c>
      <c r="D152" s="50">
        <f>7969.1342874065*Deflactores!$T$5</f>
        <v>12058.117107001233</v>
      </c>
      <c r="E152" s="50">
        <f>16338.4981002119*Deflactores!$U$5</f>
        <v>24330.107778931968</v>
      </c>
      <c r="F152" s="50">
        <f>17924.5618813687*Deflactores!$V$5</f>
        <v>25271.690081756507</v>
      </c>
      <c r="G152" s="50">
        <f>13089.5418608054*Deflactores!$W$5</f>
        <v>16314.38802973587</v>
      </c>
      <c r="H152" s="50">
        <f>32976.8839745503*Deflactores!$X$5</f>
        <v>37611.033823317695</v>
      </c>
      <c r="I152" s="50">
        <f>21888.8235882934*Deflactores!$Y$5</f>
        <v>23730.797651341014</v>
      </c>
      <c r="J152" s="50">
        <f>16538.1688164601*Deflactores!$Z$5</f>
        <v>17059.826883990696</v>
      </c>
      <c r="K152" s="50">
        <f>1884.35656575948*Deflactores!$AA$5</f>
        <v>1884.35656575948</v>
      </c>
    </row>
    <row r="153" spans="3:11" x14ac:dyDescent="0.2">
      <c r="C153" s="87" t="s">
        <v>135</v>
      </c>
      <c r="D153" s="42">
        <f>0*Deflactores!$T$5</f>
        <v>0</v>
      </c>
      <c r="E153" s="42">
        <f>0*Deflactores!$U$5</f>
        <v>0</v>
      </c>
      <c r="F153" s="42">
        <f>0*Deflactores!$V$5</f>
        <v>0</v>
      </c>
      <c r="G153" s="42">
        <f>0*Deflactores!$W$5</f>
        <v>0</v>
      </c>
      <c r="H153" s="42">
        <f>2.91414025259*Deflactores!$X$5</f>
        <v>3.3236562827051861</v>
      </c>
      <c r="I153" s="42">
        <f>941.492081639519*Deflactores!$Y$5</f>
        <v>1020.7199116756746</v>
      </c>
      <c r="J153" s="42">
        <f>1204.33780825378*Deflactores!$Z$5</f>
        <v>1242.3258431251143</v>
      </c>
      <c r="K153" s="42">
        <f>126.88994506165*Deflactores!$AA$5</f>
        <v>126.88994506165</v>
      </c>
    </row>
    <row r="154" spans="3:11" x14ac:dyDescent="0.2">
      <c r="C154" s="88" t="s">
        <v>136</v>
      </c>
      <c r="D154" s="50">
        <f>1389.04955860798*Deflactores!$T$5</f>
        <v>2101.7743761191341</v>
      </c>
      <c r="E154" s="50">
        <f>7370.96964955375*Deflactores!$U$5</f>
        <v>10976.314035042993</v>
      </c>
      <c r="F154" s="50">
        <f>9177.77460247228*Deflactores!$V$5</f>
        <v>12939.667754723663</v>
      </c>
      <c r="G154" s="50">
        <f>1588.66319028154*Deflactores!$W$5</f>
        <v>1980.0591961448843</v>
      </c>
      <c r="H154" s="50">
        <f>1866.93386082371*Deflactores!$X$5</f>
        <v>2129.2888873165643</v>
      </c>
      <c r="I154" s="50">
        <f>1092.31574234515*Deflactores!$Y$5</f>
        <v>1184.2355870979964</v>
      </c>
      <c r="J154" s="50">
        <f>1140.82790819177*Deflactores!$Z$5</f>
        <v>1176.812670989691</v>
      </c>
      <c r="K154" s="50">
        <f>53.34291658625*Deflactores!$AA$5</f>
        <v>53.342916586249999</v>
      </c>
    </row>
    <row r="155" spans="3:11" x14ac:dyDescent="0.2">
      <c r="C155" s="87" t="s">
        <v>137</v>
      </c>
      <c r="D155" s="42">
        <f>142.33992183894*Deflactores!$T$5</f>
        <v>215.37489326132507</v>
      </c>
      <c r="E155" s="42">
        <f>147.316447537489*Deflactores!$U$5</f>
        <v>219.3729817889442</v>
      </c>
      <c r="F155" s="42">
        <f>152.18502291976*Deflactores!$V$5</f>
        <v>214.56439269016661</v>
      </c>
      <c r="G155" s="42">
        <f>172.73294155391*Deflactores!$W$5</f>
        <v>215.28883623240736</v>
      </c>
      <c r="H155" s="42">
        <f>205.4969227005*Deflactores!$X$5</f>
        <v>234.37483408805323</v>
      </c>
      <c r="I155" s="42">
        <f>233.94588656526*Deflactores!$Y$5</f>
        <v>253.63274883411006</v>
      </c>
      <c r="J155" s="42">
        <f>256.052947271279*Deflactores!$Z$5</f>
        <v>264.12954191373467</v>
      </c>
      <c r="K155" s="42">
        <f>36.30595112115*Deflactores!$AA$5</f>
        <v>36.305951121150002</v>
      </c>
    </row>
    <row r="156" spans="3:11" x14ac:dyDescent="0.2">
      <c r="C156" s="88" t="s">
        <v>138</v>
      </c>
      <c r="D156" s="50">
        <f>86.51463718401*Deflactores!$T$5</f>
        <v>130.90551482901657</v>
      </c>
      <c r="E156" s="50">
        <f>90.77501368117*Deflactores!$U$5</f>
        <v>135.17557445921216</v>
      </c>
      <c r="F156" s="50">
        <f>103.43565574278*Deflactores!$V$5</f>
        <v>145.83306708611124</v>
      </c>
      <c r="G156" s="50">
        <f>99.5883479329599*Deflactores!$W$5</f>
        <v>124.12374464255564</v>
      </c>
      <c r="H156" s="50">
        <f>101.14452172284*Deflactores!$X$5</f>
        <v>115.35808023877742</v>
      </c>
      <c r="I156" s="50">
        <f>121.30639423118*Deflactores!$Y$5</f>
        <v>131.5144911147039</v>
      </c>
      <c r="J156" s="50">
        <f>135.22252019535*Deflactores!$Z$5</f>
        <v>139.48780006729788</v>
      </c>
      <c r="K156" s="50">
        <f>18.34312832941*Deflactores!$AA$5</f>
        <v>18.34312832941</v>
      </c>
    </row>
    <row r="157" spans="3:11" x14ac:dyDescent="0.2">
      <c r="C157" s="87" t="s">
        <v>160</v>
      </c>
      <c r="D157" s="42">
        <f>1129.2545941681*Deflactores!$T$5</f>
        <v>1708.6779628768884</v>
      </c>
      <c r="E157" s="42">
        <f>1314.42372819879*Deflactores!$U$5</f>
        <v>1957.344596676691</v>
      </c>
      <c r="F157" s="42">
        <f>1542.67768829214*Deflactores!$V$5</f>
        <v>2175.0083875178429</v>
      </c>
      <c r="G157" s="42">
        <f>1690.89340637662*Deflactores!$W$5</f>
        <v>2107.475681112393</v>
      </c>
      <c r="H157" s="42">
        <f>2098.96821195896*Deflactores!$X$5</f>
        <v>2393.9303808989939</v>
      </c>
      <c r="I157" s="42">
        <f>2675.34363169003*Deflactores!$Y$5</f>
        <v>2900.4774110105504</v>
      </c>
      <c r="J157" s="42">
        <f>3281.87139734377*Deflactores!$Z$5</f>
        <v>3385.3903969393209</v>
      </c>
      <c r="K157" s="42">
        <f>275.549697825799*Deflactores!$AA$5</f>
        <v>275.549697825799</v>
      </c>
    </row>
    <row r="158" spans="3:11" x14ac:dyDescent="0.2">
      <c r="C158" s="88" t="s">
        <v>161</v>
      </c>
      <c r="D158" s="50">
        <f>2023.7300204703*Deflactores!$T$5</f>
        <v>3062.1109771418423</v>
      </c>
      <c r="E158" s="50">
        <f>2246.48092019577*Deflactores!$U$5</f>
        <v>3345.2966470013839</v>
      </c>
      <c r="F158" s="50">
        <f>2246.74067526672*Deflactores!$V$5</f>
        <v>3167.6609121718348</v>
      </c>
      <c r="G158" s="50">
        <f>2543.7446438053*Deflactores!$W$5</f>
        <v>3170.4422972866705</v>
      </c>
      <c r="H158" s="50">
        <f>2960.99921282595*Deflactores!$X$5</f>
        <v>3377.1002023829806</v>
      </c>
      <c r="I158" s="50">
        <f>3533.56822730151*Deflactores!$Y$5</f>
        <v>3830.9227652666996</v>
      </c>
      <c r="J158" s="50">
        <f>3856.63622799505*Deflactores!$Z$5</f>
        <v>3978.2848472703618</v>
      </c>
      <c r="K158" s="50">
        <f>379.06123747977*Deflactores!$AA$5</f>
        <v>379.06123747977</v>
      </c>
    </row>
    <row r="159" spans="3:11" x14ac:dyDescent="0.2">
      <c r="C159" s="87" t="s">
        <v>140</v>
      </c>
      <c r="D159" s="42">
        <f>619.861313088259*Deflactores!$T$5</f>
        <v>937.91370979020883</v>
      </c>
      <c r="E159" s="42">
        <f>1114.42598897947*Deflactores!$U$5</f>
        <v>1659.5224516482151</v>
      </c>
      <c r="F159" s="42">
        <f>1148.46163833429*Deflactores!$V$5</f>
        <v>1619.2064713692348</v>
      </c>
      <c r="G159" s="42">
        <f>903.12072403123*Deflactores!$W$5</f>
        <v>1125.6209030248606</v>
      </c>
      <c r="H159" s="42">
        <f>1691.05162280594*Deflactores!$X$5</f>
        <v>1928.6904072384489</v>
      </c>
      <c r="I159" s="42">
        <f>4410.79756426403*Deflactores!$Y$5</f>
        <v>4781.9721355220827</v>
      </c>
      <c r="J159" s="42">
        <f>3642.34057760215*Deflactores!$Z$5</f>
        <v>3757.229739037552</v>
      </c>
      <c r="K159" s="42">
        <f>1714.56887089332*Deflactores!$AA$5</f>
        <v>1714.5688708933201</v>
      </c>
    </row>
    <row r="160" spans="3:11" x14ac:dyDescent="0.2">
      <c r="C160" s="88" t="s">
        <v>141</v>
      </c>
      <c r="D160" s="50">
        <f>1602.98854737534*Deflactores!$T$5</f>
        <v>2425.4859973910843</v>
      </c>
      <c r="E160" s="50">
        <f>1781.51894623452*Deflactores!$U$5</f>
        <v>2652.9089581087646</v>
      </c>
      <c r="F160" s="50">
        <f>2194.09617402772*Deflactores!$V$5</f>
        <v>3093.437869587819</v>
      </c>
      <c r="G160" s="50">
        <f>2530.70825635387*Deflactores!$W$5</f>
        <v>3154.1941592196354</v>
      </c>
      <c r="H160" s="50">
        <f>2976.67962251757*Deflactores!$X$5</f>
        <v>3394.9841364663262</v>
      </c>
      <c r="I160" s="50">
        <f>3395.93174375014*Deflactores!$Y$5</f>
        <v>3681.7039857637874</v>
      </c>
      <c r="J160" s="50">
        <f>3628.71197118004*Deflactores!$Z$5</f>
        <v>3743.1712499259984</v>
      </c>
      <c r="K160" s="50">
        <f>453.67502131823*Deflactores!$AA$5</f>
        <v>453.67502131822999</v>
      </c>
    </row>
    <row r="161" spans="1:11" x14ac:dyDescent="0.2">
      <c r="C161" s="87" t="s">
        <v>142</v>
      </c>
      <c r="D161" s="42">
        <f>190.85883588481*Deflactores!$T$5</f>
        <v>288.78898397305619</v>
      </c>
      <c r="E161" s="42">
        <f>364.97699249817*Deflactores!$U$5</f>
        <v>543.49729760018477</v>
      </c>
      <c r="F161" s="42">
        <f>495.987163479659*Deflactores!$V$5</f>
        <v>699.28815906045031</v>
      </c>
      <c r="G161" s="42">
        <f>582.284589841019*Deflactores!$W$5</f>
        <v>725.74096507129161</v>
      </c>
      <c r="H161" s="42">
        <f>496.18384191627*Deflactores!$X$5</f>
        <v>565.91117812401023</v>
      </c>
      <c r="I161" s="42">
        <f>483.80546440751*Deflactores!$Y$5</f>
        <v>524.51834755559969</v>
      </c>
      <c r="J161" s="42">
        <f>446.95614318052*Deflactores!$Z$5</f>
        <v>461.05433509705313</v>
      </c>
      <c r="K161" s="42">
        <f>86.56436991908*Deflactores!$AA$5</f>
        <v>86.564369919079994</v>
      </c>
    </row>
    <row r="162" spans="1:11" x14ac:dyDescent="0.2">
      <c r="C162" s="88" t="s">
        <v>143</v>
      </c>
      <c r="D162" s="50">
        <f>571.41931260076*Deflactores!$T$5</f>
        <v>864.61599717683907</v>
      </c>
      <c r="E162" s="50">
        <f>1732.48362359133*Deflactores!$U$5</f>
        <v>2579.8891078406396</v>
      </c>
      <c r="F162" s="50">
        <f>3587.29638675409*Deflactores!$V$5</f>
        <v>5057.6992128151142</v>
      </c>
      <c r="G162" s="50">
        <f>919.23644559331*Deflactores!$W$5</f>
        <v>1145.7070250403472</v>
      </c>
      <c r="H162" s="50">
        <f>733.51434310156*Deflactores!$X$5</f>
        <v>836.59307500285593</v>
      </c>
      <c r="I162" s="50">
        <f>713.69842254485*Deflactores!$Y$5</f>
        <v>773.7571085616122</v>
      </c>
      <c r="J162" s="50">
        <f>1330.47563549567*Deflactores!$Z$5</f>
        <v>1372.4423947307334</v>
      </c>
      <c r="K162" s="50">
        <f>75.59412375847*Deflactores!$AA$5</f>
        <v>75.594123758470005</v>
      </c>
    </row>
    <row r="163" spans="1:11" x14ac:dyDescent="0.2">
      <c r="C163" s="87" t="s">
        <v>144</v>
      </c>
      <c r="D163" s="42">
        <f>4147.32285530746*Deflactores!$T$5</f>
        <v>6275.3246295357803</v>
      </c>
      <c r="E163" s="42">
        <f>4314.73352545996*Deflactores!$U$5</f>
        <v>6425.1885986050602</v>
      </c>
      <c r="F163" s="42">
        <f>4675.53911346223*Deflactores!$V$5</f>
        <v>6592.0035436607031</v>
      </c>
      <c r="G163" s="42">
        <f>5178.99546720401*Deflactores!$W$5</f>
        <v>6454.9349820415046</v>
      </c>
      <c r="H163" s="42">
        <f>6266.11140587502*Deflactores!$X$5</f>
        <v>7146.6706256698726</v>
      </c>
      <c r="I163" s="42">
        <f>7662.25595568172*Deflactores!$Y$5</f>
        <v>8307.0451412616221</v>
      </c>
      <c r="J163" s="42">
        <f>8732.32619687421*Deflactores!$Z$5</f>
        <v>9007.7671153617775</v>
      </c>
      <c r="K163" s="42">
        <f>1039.51431585463*Deflactores!$AA$5</f>
        <v>1039.51431585463</v>
      </c>
    </row>
    <row r="164" spans="1:11" x14ac:dyDescent="0.2">
      <c r="C164" s="88" t="s">
        <v>145</v>
      </c>
      <c r="D164" s="50">
        <f>1338.81878379526*Deflactores!$T$5</f>
        <v>2025.7700645812615</v>
      </c>
      <c r="E164" s="50">
        <f>534.03175917673*Deflactores!$U$5</f>
        <v>795.24140948879335</v>
      </c>
      <c r="F164" s="50">
        <f>1148.35464884171*Deflactores!$V$5</f>
        <v>1619.0556277772753</v>
      </c>
      <c r="G164" s="50">
        <f>2920.45972506698*Deflactores!$W$5</f>
        <v>3639.9679749392553</v>
      </c>
      <c r="H164" s="50">
        <f>2483.89143939984*Deflactores!$X$5</f>
        <v>2832.9457996338974</v>
      </c>
      <c r="I164" s="50">
        <f>788.22006667305*Deflactores!$Y$5</f>
        <v>854.54984967527207</v>
      </c>
      <c r="J164" s="50">
        <f>2058.98609633044*Deflactores!$Z$5</f>
        <v>2123.9320235370292</v>
      </c>
      <c r="K164" s="50">
        <f>193.94001811203*Deflactores!$AA$5</f>
        <v>193.94001811203</v>
      </c>
    </row>
    <row r="165" spans="1:11" x14ac:dyDescent="0.2">
      <c r="C165" s="87" t="s">
        <v>146</v>
      </c>
      <c r="D165" s="42">
        <f>863.083427856437*Deflactores!$T$5</f>
        <v>1305.9337025668199</v>
      </c>
      <c r="E165" s="42">
        <f>813.93072248072*Deflactores!$U$5</f>
        <v>1212.0466692273906</v>
      </c>
      <c r="F165" s="42">
        <f>1013.40184365795*Deflactores!$V$5</f>
        <v>1428.7867949411097</v>
      </c>
      <c r="G165" s="42">
        <f>1260.86017246513*Deflactores!$W$5</f>
        <v>1571.4959563581042</v>
      </c>
      <c r="H165" s="42">
        <f>1302.18723162908*Deflactores!$X$5</f>
        <v>1485.1799839818448</v>
      </c>
      <c r="I165" s="42">
        <f>1419.01067346674*Deflactores!$Y$5</f>
        <v>1538.4223378337263</v>
      </c>
      <c r="J165" s="42">
        <f>1582.66067975384*Deflactores!$Z$5</f>
        <v>1632.5820296275538</v>
      </c>
      <c r="K165" s="42">
        <f>292.113692769939*Deflactores!$AA$5</f>
        <v>292.11369276993901</v>
      </c>
    </row>
    <row r="166" spans="1:11" x14ac:dyDescent="0.2">
      <c r="C166" s="88" t="s">
        <v>162</v>
      </c>
      <c r="D166" s="50">
        <f>28795.1450550206*Deflactores!$T$5</f>
        <v>43570.006309872922</v>
      </c>
      <c r="E166" s="50">
        <f>33768.3958912633*Deflactores!$U$5</f>
        <v>50285.448914390981</v>
      </c>
      <c r="F166" s="50">
        <f>42583.8340262913*Deflactores!$V$5</f>
        <v>60038.591912474469</v>
      </c>
      <c r="G166" s="50">
        <f>41177.2058983625*Deflactores!$W$5</f>
        <v>51321.957800353426</v>
      </c>
      <c r="H166" s="50">
        <f>48660.4301664704*Deflactores!$X$5</f>
        <v>55498.545170633115</v>
      </c>
      <c r="I166" s="50">
        <f>56879.0915248487*Deflactores!$Y$5</f>
        <v>61665.543884696664</v>
      </c>
      <c r="J166" s="50">
        <f>63413.6240013666*Deflactores!$Z$5</f>
        <v>65413.859270385066</v>
      </c>
      <c r="K166" s="50">
        <f>10345.6737382487*Deflactores!$AA$5</f>
        <v>10345.673738248701</v>
      </c>
    </row>
    <row r="167" spans="1:11" x14ac:dyDescent="0.2">
      <c r="C167" s="87" t="s">
        <v>148</v>
      </c>
      <c r="D167" s="42">
        <f>261.13458804366*Deflactores!$T$5</f>
        <v>395.12340108196736</v>
      </c>
      <c r="E167" s="42">
        <f>312.86440454456*Deflactores!$U$5</f>
        <v>465.89500675473926</v>
      </c>
      <c r="F167" s="42">
        <f>356.96159296429*Deflactores!$V$5</f>
        <v>503.27716840099498</v>
      </c>
      <c r="G167" s="42">
        <f>358.201944011099*Deflactores!$W$5</f>
        <v>446.45149308863733</v>
      </c>
      <c r="H167" s="42">
        <f>439.06493918917*Deflactores!$X$5</f>
        <v>500.76551475333855</v>
      </c>
      <c r="I167" s="42">
        <f>576.45136574244*Deflactores!$Y$5</f>
        <v>624.96052659445706</v>
      </c>
      <c r="J167" s="42">
        <f>642.43666857635*Deflactores!$Z$5</f>
        <v>662.70083897874565</v>
      </c>
      <c r="K167" s="42">
        <f>93.11465580772*Deflactores!$AA$5</f>
        <v>93.114655807719998</v>
      </c>
    </row>
    <row r="168" spans="1:11" x14ac:dyDescent="0.2">
      <c r="C168" s="88" t="s">
        <v>149</v>
      </c>
      <c r="D168" s="50">
        <f>471.87672926694*Deflactores!$T$5</f>
        <v>713.99786430518691</v>
      </c>
      <c r="E168" s="50">
        <f>305.55287475045*Deflactores!$U$5</f>
        <v>455.00720624648682</v>
      </c>
      <c r="F168" s="50">
        <f>705.37592186894*Deflactores!$V$5</f>
        <v>994.50362059527049</v>
      </c>
      <c r="G168" s="50">
        <f>782.55862903342*Deflactores!$W$5</f>
        <v>975.35614812448341</v>
      </c>
      <c r="H168" s="50">
        <f>977.15633054271*Deflactores!$X$5</f>
        <v>1114.4733937589097</v>
      </c>
      <c r="I168" s="50">
        <f>747.09526212896*Deflactores!$Y$5</f>
        <v>809.96433729494049</v>
      </c>
      <c r="J168" s="50">
        <f>662.38485180802*Deflactores!$Z$5</f>
        <v>683.2782412509797</v>
      </c>
      <c r="K168" s="50">
        <f>73.4973077763699*Deflactores!$AA$5</f>
        <v>73.497307776369894</v>
      </c>
    </row>
    <row r="169" spans="1:11" x14ac:dyDescent="0.2">
      <c r="C169" s="87" t="s">
        <v>163</v>
      </c>
      <c r="D169" s="42">
        <f>18245.9415818559*Deflactores!$T$5</f>
        <v>27607.980037330133</v>
      </c>
      <c r="E169" s="42">
        <f>22972.6077130273*Deflactores!$U$5</f>
        <v>34209.143226807922</v>
      </c>
      <c r="F169" s="42">
        <f>22320.536643617*Deflactores!$V$5</f>
        <v>31469.538181700096</v>
      </c>
      <c r="G169" s="42">
        <f>18396.7723556309*Deflactores!$W$5</f>
        <v>22929.151065491405</v>
      </c>
      <c r="H169" s="42">
        <f>22306.8215424723*Deflactores!$X$5</f>
        <v>25441.537174104047</v>
      </c>
      <c r="I169" s="42">
        <f>27655.8215617685*Deflactores!$Y$5</f>
        <v>29983.096291886704</v>
      </c>
      <c r="J169" s="42">
        <f>38784.2505052736*Deflactores!$Z$5</f>
        <v>40007.609475286474</v>
      </c>
      <c r="K169" s="42">
        <f>1766.94996660932*Deflactores!$AA$5</f>
        <v>1766.94996660932</v>
      </c>
    </row>
    <row r="170" spans="1:11" x14ac:dyDescent="0.2">
      <c r="C170" s="88" t="s">
        <v>150</v>
      </c>
      <c r="D170" s="50">
        <f>899.15426537356*Deflactores!$T$5</f>
        <v>1360.512577416052</v>
      </c>
      <c r="E170" s="50">
        <f>834.181042032*Deflactores!$U$5</f>
        <v>1242.2019781314611</v>
      </c>
      <c r="F170" s="50">
        <f>924.9981015312*Deflactores!$V$5</f>
        <v>1304.1470973082794</v>
      </c>
      <c r="G170" s="50">
        <f>1041.58968843729*Deflactores!$W$5</f>
        <v>1298.2042095621568</v>
      </c>
      <c r="H170" s="50">
        <f>1397.23399763066*Deflactores!$X$5</f>
        <v>1593.5834078359974</v>
      </c>
      <c r="I170" s="50">
        <f>1271.4276849658*Deflactores!$Y$5</f>
        <v>1378.4200415582391</v>
      </c>
      <c r="J170" s="50">
        <f>1413.98725184224*Deflactores!$Z$5</f>
        <v>1458.5881907669163</v>
      </c>
      <c r="K170" s="50">
        <f>441.0928437797*Deflactores!$AA$5</f>
        <v>441.09284377969999</v>
      </c>
    </row>
    <row r="171" spans="1:11" x14ac:dyDescent="0.2">
      <c r="C171" s="87" t="s">
        <v>151</v>
      </c>
      <c r="D171" s="42">
        <f>2184.37924621438*Deflactores!$T$5</f>
        <v>3305.1897241310116</v>
      </c>
      <c r="E171" s="42">
        <f>2339.43149135068*Deflactores!$U$5</f>
        <v>3483.7119040489652</v>
      </c>
      <c r="F171" s="42">
        <f>2722.94042561438*Deflactores!$V$5</f>
        <v>3839.0509627317178</v>
      </c>
      <c r="G171" s="42">
        <f>2651.12126017479*Deflactores!$W$5</f>
        <v>3304.2730916261885</v>
      </c>
      <c r="H171" s="42">
        <f>2924.4423574912*Deflactores!$X$5</f>
        <v>3335.4061137744111</v>
      </c>
      <c r="I171" s="42">
        <f>3756.2286585442*Deflactores!$Y$5</f>
        <v>4072.3203724732625</v>
      </c>
      <c r="J171" s="42">
        <f>4332.14239693372*Deflactores!$Z$5</f>
        <v>4468.7897522807389</v>
      </c>
      <c r="K171" s="42">
        <f>141.99301756578*Deflactores!$AA$5</f>
        <v>141.99301756578001</v>
      </c>
    </row>
    <row r="172" spans="1:11" x14ac:dyDescent="0.2">
      <c r="C172" s="79" t="s">
        <v>179</v>
      </c>
      <c r="D172" s="44">
        <f t="shared" ref="D172:K172" si="6">+SUM(D141:D171)</f>
        <v>223553.94723749152</v>
      </c>
      <c r="E172" s="44">
        <f t="shared" si="6"/>
        <v>266149.01070430264</v>
      </c>
      <c r="F172" s="44">
        <f t="shared" si="6"/>
        <v>281743.28879732179</v>
      </c>
      <c r="G172" s="44">
        <f t="shared" si="6"/>
        <v>234450.14693884528</v>
      </c>
      <c r="H172" s="44">
        <f t="shared" si="6"/>
        <v>269355.48129456042</v>
      </c>
      <c r="I172" s="44">
        <f t="shared" si="6"/>
        <v>282247.99526273069</v>
      </c>
      <c r="J172" s="44">
        <f t="shared" si="6"/>
        <v>303068.75370977283</v>
      </c>
      <c r="K172" s="44">
        <f t="shared" si="6"/>
        <v>41237.302768853937</v>
      </c>
    </row>
    <row r="173" spans="1:11" s="31" customFormat="1" x14ac:dyDescent="0.2">
      <c r="A173" s="5"/>
      <c r="B173" s="5"/>
      <c r="C173" s="72" t="str">
        <f>+'C1 Aprop Resumen 2000-2026'!B20</f>
        <v>* Información con corte a 28 de febrero</v>
      </c>
      <c r="D173" s="121">
        <f>+D172-'C5 Ejecución PGN 2019-2026'!D79</f>
        <v>7.8580342233181E-10</v>
      </c>
      <c r="E173" s="121">
        <f>+E172-'C5 Ejecución PGN 2019-2026'!E79</f>
        <v>9.8953023552894592E-10</v>
      </c>
      <c r="F173" s="121">
        <f>+F172-'C5 Ejecución PGN 2019-2026'!F79</f>
        <v>0</v>
      </c>
      <c r="G173" s="121">
        <f>+G172-'C5 Ejecución PGN 2019-2026'!G79</f>
        <v>0</v>
      </c>
      <c r="H173" s="121">
        <f>+H172-'C5 Ejecución PGN 2019-2026'!H79</f>
        <v>5.2386894822120667E-10</v>
      </c>
      <c r="I173" s="121">
        <f>+I172-'C5 Ejecución PGN 2019-2026'!I79</f>
        <v>6.4028427004814148E-10</v>
      </c>
      <c r="J173" s="121">
        <f>+J172-'C5 Ejecución PGN 2019-2026'!J79</f>
        <v>0</v>
      </c>
      <c r="K173" s="121">
        <f>+K172-'C5 Ejecución PGN 2019-2026'!K79</f>
        <v>-6.5483618527650833E-11</v>
      </c>
    </row>
    <row r="174" spans="1:11" x14ac:dyDescent="0.2">
      <c r="C174" s="1" t="s">
        <v>52</v>
      </c>
      <c r="D174" s="11"/>
      <c r="E174" s="11"/>
      <c r="F174" s="11"/>
    </row>
    <row r="175" spans="1:11" x14ac:dyDescent="0.2">
      <c r="B175" s="9"/>
      <c r="D175" s="11"/>
      <c r="E175" s="11"/>
      <c r="F175" s="11"/>
    </row>
    <row r="176" spans="1:11" x14ac:dyDescent="0.2">
      <c r="D176" s="11"/>
      <c r="E176" s="11"/>
      <c r="F176" s="11"/>
    </row>
    <row r="177" spans="3:12" x14ac:dyDescent="0.2">
      <c r="D177" s="11"/>
      <c r="E177" s="11"/>
      <c r="F177" s="11"/>
    </row>
    <row r="178" spans="3:12" ht="18" customHeight="1" x14ac:dyDescent="0.2">
      <c r="D178" s="160" t="s">
        <v>183</v>
      </c>
      <c r="E178" s="178"/>
      <c r="F178" s="178"/>
      <c r="G178" s="178"/>
      <c r="H178" s="178"/>
      <c r="I178" s="178"/>
      <c r="J178" s="178"/>
      <c r="K178" s="178"/>
      <c r="L178" s="178"/>
    </row>
    <row r="179" spans="3:12" ht="2.25" customHeight="1" x14ac:dyDescent="0.2">
      <c r="D179" s="28"/>
      <c r="E179" s="28"/>
      <c r="F179" s="28"/>
    </row>
    <row r="180" spans="3:12" x14ac:dyDescent="0.2">
      <c r="D180" s="29"/>
      <c r="E180" s="29"/>
      <c r="F180" s="29"/>
    </row>
    <row r="181" spans="3:12" x14ac:dyDescent="0.2">
      <c r="C181" s="177" t="s">
        <v>120</v>
      </c>
      <c r="D181" s="153">
        <v>2019</v>
      </c>
      <c r="E181" s="153">
        <v>2020</v>
      </c>
      <c r="F181" s="153">
        <v>2021</v>
      </c>
      <c r="G181" s="153">
        <v>2022</v>
      </c>
      <c r="H181" s="153">
        <v>2023</v>
      </c>
      <c r="I181" s="153">
        <v>2024</v>
      </c>
      <c r="J181" s="153" t="s">
        <v>187</v>
      </c>
      <c r="K181" s="153" t="s">
        <v>36</v>
      </c>
    </row>
    <row r="182" spans="3:12" ht="12" customHeight="1" thickBot="1" x14ac:dyDescent="0.25">
      <c r="C182" s="156"/>
      <c r="D182" s="154"/>
      <c r="E182" s="154"/>
      <c r="F182" s="154"/>
      <c r="G182" s="154"/>
      <c r="H182" s="154"/>
      <c r="I182" s="154"/>
      <c r="J182" s="154"/>
      <c r="K182" s="154"/>
    </row>
    <row r="183" spans="3:12" x14ac:dyDescent="0.2">
      <c r="C183" s="87" t="s">
        <v>123</v>
      </c>
      <c r="D183" s="47">
        <f t="shared" ref="D183:K192" si="7">+IFERROR(IF(D141&gt;0,+((D141/D15)*100)," "),"")</f>
        <v>74.76156177557101</v>
      </c>
      <c r="E183" s="47">
        <f t="shared" si="7"/>
        <v>80.369488441651242</v>
      </c>
      <c r="F183" s="47">
        <f t="shared" si="7"/>
        <v>92.810495906733109</v>
      </c>
      <c r="G183" s="47">
        <f t="shared" si="7"/>
        <v>91.810105679355487</v>
      </c>
      <c r="H183" s="47">
        <f t="shared" si="7"/>
        <v>75.937511031836507</v>
      </c>
      <c r="I183" s="47">
        <f t="shared" si="7"/>
        <v>77.216791308319685</v>
      </c>
      <c r="J183" s="47">
        <f t="shared" si="7"/>
        <v>91.40705404262448</v>
      </c>
      <c r="K183" s="47">
        <f t="shared" si="7"/>
        <v>8.2329429168073087</v>
      </c>
    </row>
    <row r="184" spans="3:12" x14ac:dyDescent="0.2">
      <c r="C184" s="88" t="s">
        <v>124</v>
      </c>
      <c r="D184" s="116">
        <f t="shared" si="7"/>
        <v>95.306211908175982</v>
      </c>
      <c r="E184" s="116">
        <f t="shared" si="7"/>
        <v>96.665839428231806</v>
      </c>
      <c r="F184" s="116">
        <f t="shared" si="7"/>
        <v>93.615219286532863</v>
      </c>
      <c r="G184" s="116">
        <f t="shared" si="7"/>
        <v>92.622717334510043</v>
      </c>
      <c r="H184" s="116">
        <f t="shared" si="7"/>
        <v>94.679582265960875</v>
      </c>
      <c r="I184" s="116">
        <f t="shared" si="7"/>
        <v>96.377944247620178</v>
      </c>
      <c r="J184" s="116">
        <f t="shared" si="7"/>
        <v>97.639949900800076</v>
      </c>
      <c r="K184" s="116">
        <f t="shared" si="7"/>
        <v>31.088155439466842</v>
      </c>
    </row>
    <row r="185" spans="3:12" x14ac:dyDescent="0.2">
      <c r="C185" s="87" t="s">
        <v>125</v>
      </c>
      <c r="D185" s="47">
        <f t="shared" si="7"/>
        <v>95.122909680239729</v>
      </c>
      <c r="E185" s="47">
        <f t="shared" si="7"/>
        <v>90.811134757164439</v>
      </c>
      <c r="F185" s="47">
        <f t="shared" si="7"/>
        <v>94.850996911981227</v>
      </c>
      <c r="G185" s="47">
        <f t="shared" si="7"/>
        <v>86.826685511570219</v>
      </c>
      <c r="H185" s="47">
        <f t="shared" si="7"/>
        <v>94.01225793248021</v>
      </c>
      <c r="I185" s="47">
        <f t="shared" si="7"/>
        <v>94.226930002660907</v>
      </c>
      <c r="J185" s="47">
        <f t="shared" si="7"/>
        <v>90.147929508342244</v>
      </c>
      <c r="K185" s="47">
        <f t="shared" si="7"/>
        <v>8.8404954410609644</v>
      </c>
    </row>
    <row r="186" spans="3:12" x14ac:dyDescent="0.2">
      <c r="C186" s="88" t="s">
        <v>126</v>
      </c>
      <c r="D186" s="116">
        <f t="shared" si="7"/>
        <v>91.753307858077051</v>
      </c>
      <c r="E186" s="116">
        <f t="shared" si="7"/>
        <v>94.569169635595614</v>
      </c>
      <c r="F186" s="116">
        <f t="shared" si="7"/>
        <v>91.577351798899983</v>
      </c>
      <c r="G186" s="116">
        <f t="shared" si="7"/>
        <v>95.502048547661843</v>
      </c>
      <c r="H186" s="116">
        <f t="shared" si="7"/>
        <v>92.723393825704619</v>
      </c>
      <c r="I186" s="116">
        <f t="shared" si="7"/>
        <v>75.747789016222995</v>
      </c>
      <c r="J186" s="116">
        <f t="shared" si="7"/>
        <v>88.557839847987935</v>
      </c>
      <c r="K186" s="116">
        <f t="shared" si="7"/>
        <v>7.0969589138144347</v>
      </c>
    </row>
    <row r="187" spans="3:12" x14ac:dyDescent="0.2">
      <c r="C187" s="87" t="s">
        <v>127</v>
      </c>
      <c r="D187" s="47">
        <f t="shared" si="7"/>
        <v>95.907207545724816</v>
      </c>
      <c r="E187" s="47">
        <f t="shared" si="7"/>
        <v>94.588960814732332</v>
      </c>
      <c r="F187" s="47">
        <f t="shared" si="7"/>
        <v>93.898056337318522</v>
      </c>
      <c r="G187" s="47">
        <f t="shared" si="7"/>
        <v>94.8170746104676</v>
      </c>
      <c r="H187" s="47">
        <f t="shared" si="7"/>
        <v>94.075512625851971</v>
      </c>
      <c r="I187" s="47">
        <f t="shared" si="7"/>
        <v>86.306266862421978</v>
      </c>
      <c r="J187" s="47">
        <f t="shared" si="7"/>
        <v>80.284837329113145</v>
      </c>
      <c r="K187" s="47">
        <f t="shared" si="7"/>
        <v>13.143379492002804</v>
      </c>
    </row>
    <row r="188" spans="3:12" x14ac:dyDescent="0.2">
      <c r="C188" s="88" t="s">
        <v>128</v>
      </c>
      <c r="D188" s="116">
        <f t="shared" si="7"/>
        <v>97.474330757479265</v>
      </c>
      <c r="E188" s="116">
        <f t="shared" si="7"/>
        <v>97.05744624874383</v>
      </c>
      <c r="F188" s="116">
        <f t="shared" si="7"/>
        <v>89.040961551123715</v>
      </c>
      <c r="G188" s="116">
        <f t="shared" si="7"/>
        <v>93.33503005391826</v>
      </c>
      <c r="H188" s="116">
        <f t="shared" si="7"/>
        <v>91.564582876526899</v>
      </c>
      <c r="I188" s="116">
        <f t="shared" si="7"/>
        <v>92.894514262449732</v>
      </c>
      <c r="J188" s="116">
        <f t="shared" si="7"/>
        <v>90.777834107708671</v>
      </c>
      <c r="K188" s="116">
        <f t="shared" si="7"/>
        <v>5.0178226205542265</v>
      </c>
    </row>
    <row r="189" spans="3:12" x14ac:dyDescent="0.2">
      <c r="C189" s="87" t="s">
        <v>129</v>
      </c>
      <c r="D189" s="47">
        <f t="shared" si="7"/>
        <v>97.2832587893717</v>
      </c>
      <c r="E189" s="47">
        <f t="shared" si="7"/>
        <v>97.698863066107904</v>
      </c>
      <c r="F189" s="47">
        <f t="shared" si="7"/>
        <v>95.412954387503504</v>
      </c>
      <c r="G189" s="47">
        <f t="shared" si="7"/>
        <v>96.305689672971738</v>
      </c>
      <c r="H189" s="47">
        <f t="shared" si="7"/>
        <v>95.451678592522455</v>
      </c>
      <c r="I189" s="47">
        <f t="shared" si="7"/>
        <v>92.901708850895645</v>
      </c>
      <c r="J189" s="47">
        <f t="shared" si="7"/>
        <v>94.4014622939563</v>
      </c>
      <c r="K189" s="47">
        <f t="shared" si="7"/>
        <v>12.457153554099028</v>
      </c>
    </row>
    <row r="190" spans="3:12" x14ac:dyDescent="0.2">
      <c r="C190" s="88" t="s">
        <v>130</v>
      </c>
      <c r="D190" s="116">
        <f t="shared" si="7"/>
        <v>93.531782249009296</v>
      </c>
      <c r="E190" s="116">
        <f t="shared" si="7"/>
        <v>94.783026652524129</v>
      </c>
      <c r="F190" s="116">
        <f t="shared" si="7"/>
        <v>89.394584068622095</v>
      </c>
      <c r="G190" s="116">
        <f t="shared" si="7"/>
        <v>92.17090053874665</v>
      </c>
      <c r="H190" s="116">
        <f t="shared" si="7"/>
        <v>83.374166406582532</v>
      </c>
      <c r="I190" s="116">
        <f t="shared" si="7"/>
        <v>93.023513732877703</v>
      </c>
      <c r="J190" s="116">
        <f t="shared" si="7"/>
        <v>89.901315579483793</v>
      </c>
      <c r="K190" s="116">
        <f t="shared" si="7"/>
        <v>9.8654667564499903</v>
      </c>
    </row>
    <row r="191" spans="3:12" x14ac:dyDescent="0.2">
      <c r="C191" s="87" t="s">
        <v>131</v>
      </c>
      <c r="D191" s="47">
        <f t="shared" si="7"/>
        <v>99.937182980888949</v>
      </c>
      <c r="E191" s="47">
        <f t="shared" si="7"/>
        <v>99.965804216013964</v>
      </c>
      <c r="F191" s="47">
        <f t="shared" si="7"/>
        <v>99.933958021948911</v>
      </c>
      <c r="G191" s="47">
        <f t="shared" si="7"/>
        <v>99.895857804338988</v>
      </c>
      <c r="H191" s="47">
        <f t="shared" si="7"/>
        <v>98.994518199047789</v>
      </c>
      <c r="I191" s="47">
        <f t="shared" si="7"/>
        <v>99.670900560853866</v>
      </c>
      <c r="J191" s="47">
        <f t="shared" si="7"/>
        <v>97.925319097959076</v>
      </c>
      <c r="K191" s="47">
        <f t="shared" si="7"/>
        <v>15.577143475549676</v>
      </c>
    </row>
    <row r="192" spans="3:12" x14ac:dyDescent="0.2">
      <c r="C192" s="88" t="s">
        <v>132</v>
      </c>
      <c r="D192" s="116">
        <f t="shared" si="7"/>
        <v>89.212500496024276</v>
      </c>
      <c r="E192" s="116">
        <f t="shared" si="7"/>
        <v>86.240307790214786</v>
      </c>
      <c r="F192" s="116">
        <f t="shared" si="7"/>
        <v>55.303522702266584</v>
      </c>
      <c r="G192" s="116">
        <f t="shared" si="7"/>
        <v>78.684144591854732</v>
      </c>
      <c r="H192" s="116">
        <f t="shared" si="7"/>
        <v>88.992164828244796</v>
      </c>
      <c r="I192" s="116">
        <f t="shared" si="7"/>
        <v>85.676009258650737</v>
      </c>
      <c r="J192" s="116">
        <f t="shared" si="7"/>
        <v>88.262703352431359</v>
      </c>
      <c r="K192" s="116">
        <f t="shared" si="7"/>
        <v>8.9804940410934915</v>
      </c>
    </row>
    <row r="193" spans="3:11" x14ac:dyDescent="0.2">
      <c r="C193" s="87" t="s">
        <v>133</v>
      </c>
      <c r="D193" s="47">
        <f t="shared" ref="D193:K202" si="8">+IFERROR(IF(D151&gt;0,+((D151/D25)*100)," "),"")</f>
        <v>95.494039452246255</v>
      </c>
      <c r="E193" s="47">
        <f t="shared" si="8"/>
        <v>95.439634719257128</v>
      </c>
      <c r="F193" s="47">
        <f t="shared" si="8"/>
        <v>92.427943598946754</v>
      </c>
      <c r="G193" s="47">
        <f t="shared" si="8"/>
        <v>95.202026853827405</v>
      </c>
      <c r="H193" s="47">
        <f t="shared" si="8"/>
        <v>95.488692550714205</v>
      </c>
      <c r="I193" s="47">
        <f t="shared" si="8"/>
        <v>93.875620181204766</v>
      </c>
      <c r="J193" s="47">
        <f t="shared" si="8"/>
        <v>93.874719426915959</v>
      </c>
      <c r="K193" s="47">
        <f t="shared" si="8"/>
        <v>11.565987212139902</v>
      </c>
    </row>
    <row r="194" spans="3:11" x14ac:dyDescent="0.2">
      <c r="C194" s="88" t="s">
        <v>134</v>
      </c>
      <c r="D194" s="116">
        <f t="shared" si="8"/>
        <v>91.551928455653936</v>
      </c>
      <c r="E194" s="116">
        <f t="shared" si="8"/>
        <v>41.927914153022513</v>
      </c>
      <c r="F194" s="116">
        <f t="shared" si="8"/>
        <v>81.884378874619642</v>
      </c>
      <c r="G194" s="116">
        <f t="shared" si="8"/>
        <v>83.643044759551259</v>
      </c>
      <c r="H194" s="116">
        <f t="shared" si="8"/>
        <v>89.49899948248769</v>
      </c>
      <c r="I194" s="116">
        <f t="shared" si="8"/>
        <v>74.153211824801872</v>
      </c>
      <c r="J194" s="116">
        <f t="shared" si="8"/>
        <v>74.665927952091991</v>
      </c>
      <c r="K194" s="116">
        <f t="shared" si="8"/>
        <v>6.5983895854645063</v>
      </c>
    </row>
    <row r="195" spans="3:11" x14ac:dyDescent="0.2">
      <c r="C195" s="87" t="s">
        <v>135</v>
      </c>
      <c r="D195" s="47" t="str">
        <f t="shared" si="8"/>
        <v xml:space="preserve"> </v>
      </c>
      <c r="E195" s="47" t="str">
        <f t="shared" si="8"/>
        <v xml:space="preserve"> </v>
      </c>
      <c r="F195" s="47" t="str">
        <f t="shared" si="8"/>
        <v xml:space="preserve"> </v>
      </c>
      <c r="G195" s="47" t="str">
        <f t="shared" si="8"/>
        <v xml:space="preserve"> </v>
      </c>
      <c r="H195" s="47">
        <f t="shared" si="8"/>
        <v>0.58282805051800002</v>
      </c>
      <c r="I195" s="47">
        <f t="shared" si="8"/>
        <v>38.454044234865528</v>
      </c>
      <c r="J195" s="47">
        <f t="shared" si="8"/>
        <v>95.785478947442925</v>
      </c>
      <c r="K195" s="47">
        <f t="shared" si="8"/>
        <v>7.8224598833302084</v>
      </c>
    </row>
    <row r="196" spans="3:11" x14ac:dyDescent="0.2">
      <c r="C196" s="88" t="s">
        <v>136</v>
      </c>
      <c r="D196" s="116">
        <f t="shared" si="8"/>
        <v>94.005180063801603</v>
      </c>
      <c r="E196" s="116">
        <f t="shared" si="8"/>
        <v>98.194119917175726</v>
      </c>
      <c r="F196" s="116">
        <f t="shared" si="8"/>
        <v>96.761404485400632</v>
      </c>
      <c r="G196" s="116">
        <f t="shared" si="8"/>
        <v>94.822658456773738</v>
      </c>
      <c r="H196" s="116">
        <f t="shared" si="8"/>
        <v>89.419575507987162</v>
      </c>
      <c r="I196" s="116">
        <f t="shared" si="8"/>
        <v>48.156513094105399</v>
      </c>
      <c r="J196" s="116">
        <f t="shared" si="8"/>
        <v>55.075238485409017</v>
      </c>
      <c r="K196" s="116">
        <f t="shared" si="8"/>
        <v>2.6748482505740241</v>
      </c>
    </row>
    <row r="197" spans="3:11" x14ac:dyDescent="0.2">
      <c r="C197" s="87" t="s">
        <v>137</v>
      </c>
      <c r="D197" s="47">
        <f t="shared" si="8"/>
        <v>89.813585659809149</v>
      </c>
      <c r="E197" s="47">
        <f t="shared" si="8"/>
        <v>87.833181815619014</v>
      </c>
      <c r="F197" s="47">
        <f t="shared" si="8"/>
        <v>79.828795716891918</v>
      </c>
      <c r="G197" s="47">
        <f t="shared" si="8"/>
        <v>86.705489239882937</v>
      </c>
      <c r="H197" s="47">
        <f t="shared" si="8"/>
        <v>91.166245669205765</v>
      </c>
      <c r="I197" s="47">
        <f t="shared" si="8"/>
        <v>93.94301087298021</v>
      </c>
      <c r="J197" s="47">
        <f t="shared" si="8"/>
        <v>93.518580179334805</v>
      </c>
      <c r="K197" s="47">
        <f t="shared" si="8"/>
        <v>11.744426710691711</v>
      </c>
    </row>
    <row r="198" spans="3:11" x14ac:dyDescent="0.2">
      <c r="C198" s="88" t="s">
        <v>138</v>
      </c>
      <c r="D198" s="116">
        <f t="shared" si="8"/>
        <v>95.715796722991143</v>
      </c>
      <c r="E198" s="116">
        <f t="shared" si="8"/>
        <v>98.028113822928475</v>
      </c>
      <c r="F198" s="116">
        <f t="shared" si="8"/>
        <v>94.611263222058611</v>
      </c>
      <c r="G198" s="116">
        <f t="shared" si="8"/>
        <v>95.938834662402144</v>
      </c>
      <c r="H198" s="116">
        <f t="shared" si="8"/>
        <v>88.109589109918645</v>
      </c>
      <c r="I198" s="116">
        <f t="shared" si="8"/>
        <v>94.735834678813262</v>
      </c>
      <c r="J198" s="116">
        <f t="shared" si="8"/>
        <v>96.140341651529297</v>
      </c>
      <c r="K198" s="116">
        <f t="shared" si="8"/>
        <v>11.872307723846081</v>
      </c>
    </row>
    <row r="199" spans="3:11" x14ac:dyDescent="0.2">
      <c r="C199" s="87" t="s">
        <v>160</v>
      </c>
      <c r="D199" s="47">
        <f t="shared" si="8"/>
        <v>87.359674856080332</v>
      </c>
      <c r="E199" s="47">
        <f t="shared" si="8"/>
        <v>83.364710304259376</v>
      </c>
      <c r="F199" s="47">
        <f t="shared" si="8"/>
        <v>81.892458702706449</v>
      </c>
      <c r="G199" s="47">
        <f t="shared" si="8"/>
        <v>70.628601424082888</v>
      </c>
      <c r="H199" s="47">
        <f t="shared" si="8"/>
        <v>72.62674484034028</v>
      </c>
      <c r="I199" s="47">
        <f t="shared" si="8"/>
        <v>75.223850822082269</v>
      </c>
      <c r="J199" s="47">
        <f t="shared" si="8"/>
        <v>81.878302638074203</v>
      </c>
      <c r="K199" s="47">
        <f t="shared" si="8"/>
        <v>7.1598876722029301</v>
      </c>
    </row>
    <row r="200" spans="3:11" x14ac:dyDescent="0.2">
      <c r="C200" s="88" t="s">
        <v>161</v>
      </c>
      <c r="D200" s="116">
        <f t="shared" si="8"/>
        <v>85.610130166903119</v>
      </c>
      <c r="E200" s="116">
        <f t="shared" si="8"/>
        <v>88.848935679876675</v>
      </c>
      <c r="F200" s="116">
        <f t="shared" si="8"/>
        <v>75.330491199255661</v>
      </c>
      <c r="G200" s="116">
        <f t="shared" si="8"/>
        <v>78.59948572388133</v>
      </c>
      <c r="H200" s="116">
        <f t="shared" si="8"/>
        <v>76.054035156249284</v>
      </c>
      <c r="I200" s="116">
        <f t="shared" si="8"/>
        <v>84.385127767276984</v>
      </c>
      <c r="J200" s="116">
        <f t="shared" si="8"/>
        <v>88.617950902419196</v>
      </c>
      <c r="K200" s="116">
        <f t="shared" si="8"/>
        <v>7.6636970089786818</v>
      </c>
    </row>
    <row r="201" spans="3:11" x14ac:dyDescent="0.2">
      <c r="C201" s="87" t="s">
        <v>140</v>
      </c>
      <c r="D201" s="47">
        <f t="shared" si="8"/>
        <v>90.137513163211295</v>
      </c>
      <c r="E201" s="47">
        <f t="shared" si="8"/>
        <v>92.754932035555399</v>
      </c>
      <c r="F201" s="47">
        <f t="shared" si="8"/>
        <v>90.713773364794662</v>
      </c>
      <c r="G201" s="47">
        <f t="shared" si="8"/>
        <v>90.710712700233017</v>
      </c>
      <c r="H201" s="47">
        <f t="shared" si="8"/>
        <v>95.329254267489944</v>
      </c>
      <c r="I201" s="47">
        <f t="shared" si="8"/>
        <v>98.087283746266962</v>
      </c>
      <c r="J201" s="47">
        <f t="shared" si="8"/>
        <v>97.293620989876416</v>
      </c>
      <c r="K201" s="47">
        <f t="shared" si="8"/>
        <v>52.865583958343279</v>
      </c>
    </row>
    <row r="202" spans="3:11" x14ac:dyDescent="0.2">
      <c r="C202" s="88" t="s">
        <v>141</v>
      </c>
      <c r="D202" s="116">
        <f t="shared" si="8"/>
        <v>92.195798887946651</v>
      </c>
      <c r="E202" s="116">
        <f t="shared" si="8"/>
        <v>83.136738617310272</v>
      </c>
      <c r="F202" s="116">
        <f t="shared" si="8"/>
        <v>87.415157463861092</v>
      </c>
      <c r="G202" s="116">
        <f t="shared" si="8"/>
        <v>91.799391737764907</v>
      </c>
      <c r="H202" s="116">
        <f t="shared" si="8"/>
        <v>86.165382003404773</v>
      </c>
      <c r="I202" s="116">
        <f t="shared" si="8"/>
        <v>90.094140711935125</v>
      </c>
      <c r="J202" s="116">
        <f t="shared" si="8"/>
        <v>93.542512616200469</v>
      </c>
      <c r="K202" s="116">
        <f t="shared" si="8"/>
        <v>10.996742140646724</v>
      </c>
    </row>
    <row r="203" spans="3:11" x14ac:dyDescent="0.2">
      <c r="C203" s="87" t="s">
        <v>142</v>
      </c>
      <c r="D203" s="47">
        <f t="shared" ref="D203:K212" si="9">+IFERROR(IF(D161&gt;0,+((D161/D35)*100)," "),"")</f>
        <v>94.570673062323976</v>
      </c>
      <c r="E203" s="47">
        <f t="shared" si="9"/>
        <v>89.864523541697508</v>
      </c>
      <c r="F203" s="47">
        <f t="shared" si="9"/>
        <v>50.542846852616783</v>
      </c>
      <c r="G203" s="47">
        <f t="shared" si="9"/>
        <v>82.290666850880058</v>
      </c>
      <c r="H203" s="47">
        <f t="shared" si="9"/>
        <v>90.927499849848445</v>
      </c>
      <c r="I203" s="47">
        <f t="shared" si="9"/>
        <v>89.94360959940073</v>
      </c>
      <c r="J203" s="47">
        <f t="shared" si="9"/>
        <v>89.315650816496444</v>
      </c>
      <c r="K203" s="47">
        <f t="shared" si="9"/>
        <v>14.431687599530802</v>
      </c>
    </row>
    <row r="204" spans="3:11" x14ac:dyDescent="0.2">
      <c r="C204" s="88" t="s">
        <v>143</v>
      </c>
      <c r="D204" s="116">
        <f t="shared" si="9"/>
        <v>43.312205967694254</v>
      </c>
      <c r="E204" s="116">
        <f t="shared" si="9"/>
        <v>37.48554878268834</v>
      </c>
      <c r="F204" s="116">
        <f t="shared" si="9"/>
        <v>56.352603725664011</v>
      </c>
      <c r="G204" s="116">
        <f t="shared" si="9"/>
        <v>19.369423027084785</v>
      </c>
      <c r="H204" s="116">
        <f t="shared" si="9"/>
        <v>22.314070867560591</v>
      </c>
      <c r="I204" s="116">
        <f t="shared" si="9"/>
        <v>33.774696654023209</v>
      </c>
      <c r="J204" s="116">
        <f t="shared" si="9"/>
        <v>37.086238859915937</v>
      </c>
      <c r="K204" s="116">
        <f t="shared" si="9"/>
        <v>3.0458032700397308</v>
      </c>
    </row>
    <row r="205" spans="3:11" x14ac:dyDescent="0.2">
      <c r="C205" s="87" t="s">
        <v>144</v>
      </c>
      <c r="D205" s="47">
        <f t="shared" si="9"/>
        <v>95.68540732532017</v>
      </c>
      <c r="E205" s="47">
        <f t="shared" si="9"/>
        <v>93.808135668950868</v>
      </c>
      <c r="F205" s="47">
        <f t="shared" si="9"/>
        <v>94.312895963805829</v>
      </c>
      <c r="G205" s="47">
        <f t="shared" si="9"/>
        <v>94.93669770178586</v>
      </c>
      <c r="H205" s="47">
        <f t="shared" si="9"/>
        <v>87.317600501419577</v>
      </c>
      <c r="I205" s="47">
        <f t="shared" si="9"/>
        <v>93.526775975854491</v>
      </c>
      <c r="J205" s="47">
        <f t="shared" si="9"/>
        <v>92.649004564731257</v>
      </c>
      <c r="K205" s="47">
        <f t="shared" si="9"/>
        <v>10.989123952744224</v>
      </c>
    </row>
    <row r="206" spans="3:11" x14ac:dyDescent="0.2">
      <c r="C206" s="88" t="s">
        <v>145</v>
      </c>
      <c r="D206" s="116">
        <f t="shared" si="9"/>
        <v>92.349106444667584</v>
      </c>
      <c r="E206" s="116">
        <f t="shared" si="9"/>
        <v>93.124446907041843</v>
      </c>
      <c r="F206" s="116">
        <f t="shared" si="9"/>
        <v>85.559305990725832</v>
      </c>
      <c r="G206" s="116">
        <f t="shared" si="9"/>
        <v>92.983435877775008</v>
      </c>
      <c r="H206" s="116">
        <f t="shared" si="9"/>
        <v>79.485424570367613</v>
      </c>
      <c r="I206" s="116">
        <f t="shared" si="9"/>
        <v>58.649237372345638</v>
      </c>
      <c r="J206" s="116">
        <f t="shared" si="9"/>
        <v>72.840969602838911</v>
      </c>
      <c r="K206" s="116">
        <f t="shared" si="9"/>
        <v>2.9549751175436891</v>
      </c>
    </row>
    <row r="207" spans="3:11" x14ac:dyDescent="0.2">
      <c r="C207" s="87" t="s">
        <v>146</v>
      </c>
      <c r="D207" s="47">
        <f t="shared" si="9"/>
        <v>94.881983624217483</v>
      </c>
      <c r="E207" s="47">
        <f t="shared" si="9"/>
        <v>85.03152692021402</v>
      </c>
      <c r="F207" s="47">
        <f t="shared" si="9"/>
        <v>91.887179788108597</v>
      </c>
      <c r="G207" s="47">
        <f t="shared" si="9"/>
        <v>95.038005784532629</v>
      </c>
      <c r="H207" s="47">
        <f t="shared" si="9"/>
        <v>93.113936739470063</v>
      </c>
      <c r="I207" s="47">
        <f t="shared" si="9"/>
        <v>92.229239203772835</v>
      </c>
      <c r="J207" s="47">
        <f t="shared" si="9"/>
        <v>92.209636201997171</v>
      </c>
      <c r="K207" s="47">
        <f t="shared" si="9"/>
        <v>17.188301920203635</v>
      </c>
    </row>
    <row r="208" spans="3:11" x14ac:dyDescent="0.2">
      <c r="C208" s="88" t="s">
        <v>162</v>
      </c>
      <c r="D208" s="116">
        <f t="shared" si="9"/>
        <v>99.461866238539983</v>
      </c>
      <c r="E208" s="116">
        <f t="shared" si="9"/>
        <v>97.366651153343383</v>
      </c>
      <c r="F208" s="116">
        <f t="shared" si="9"/>
        <v>99.288434268220399</v>
      </c>
      <c r="G208" s="116">
        <f t="shared" si="9"/>
        <v>99.713202593140338</v>
      </c>
      <c r="H208" s="116">
        <f t="shared" si="9"/>
        <v>93.978523467309458</v>
      </c>
      <c r="I208" s="116">
        <f t="shared" si="9"/>
        <v>95.707069402531744</v>
      </c>
      <c r="J208" s="116">
        <f t="shared" si="9"/>
        <v>97.815494977078302</v>
      </c>
      <c r="K208" s="116">
        <f t="shared" si="9"/>
        <v>13.688792616195705</v>
      </c>
    </row>
    <row r="209" spans="1:12" x14ac:dyDescent="0.2">
      <c r="C209" s="87" t="s">
        <v>148</v>
      </c>
      <c r="D209" s="47">
        <f t="shared" si="9"/>
        <v>93.532884578094311</v>
      </c>
      <c r="E209" s="47">
        <f t="shared" si="9"/>
        <v>96.25071351802336</v>
      </c>
      <c r="F209" s="47">
        <f t="shared" si="9"/>
        <v>96.946058776895242</v>
      </c>
      <c r="G209" s="47">
        <f t="shared" si="9"/>
        <v>98.138786431149157</v>
      </c>
      <c r="H209" s="47">
        <f t="shared" si="9"/>
        <v>89.563425353192002</v>
      </c>
      <c r="I209" s="47">
        <f t="shared" si="9"/>
        <v>95.88318994093396</v>
      </c>
      <c r="J209" s="47">
        <f t="shared" si="9"/>
        <v>91.337649622032998</v>
      </c>
      <c r="K209" s="47">
        <f t="shared" si="9"/>
        <v>13.791568439774901</v>
      </c>
    </row>
    <row r="210" spans="1:12" x14ac:dyDescent="0.2">
      <c r="C210" s="88" t="s">
        <v>149</v>
      </c>
      <c r="D210" s="116">
        <f t="shared" si="9"/>
        <v>93.516921897124348</v>
      </c>
      <c r="E210" s="116">
        <f t="shared" si="9"/>
        <v>96.270065448082633</v>
      </c>
      <c r="F210" s="116">
        <f t="shared" si="9"/>
        <v>82.470647590702086</v>
      </c>
      <c r="G210" s="116">
        <f t="shared" si="9"/>
        <v>84.051994864798473</v>
      </c>
      <c r="H210" s="116">
        <f t="shared" si="9"/>
        <v>94.975375203629909</v>
      </c>
      <c r="I210" s="116">
        <f t="shared" si="9"/>
        <v>94.201310503618402</v>
      </c>
      <c r="J210" s="116">
        <f t="shared" si="9"/>
        <v>80.891045629743004</v>
      </c>
      <c r="K210" s="116">
        <f t="shared" si="9"/>
        <v>12.781747881568794</v>
      </c>
    </row>
    <row r="211" spans="1:12" x14ac:dyDescent="0.2">
      <c r="C211" s="87" t="s">
        <v>163</v>
      </c>
      <c r="D211" s="47">
        <f t="shared" si="9"/>
        <v>79.806128836459351</v>
      </c>
      <c r="E211" s="47">
        <f t="shared" si="9"/>
        <v>86.240887971782058</v>
      </c>
      <c r="F211" s="47">
        <f t="shared" si="9"/>
        <v>94.018582470478762</v>
      </c>
      <c r="G211" s="47">
        <f t="shared" si="9"/>
        <v>60.796814545316522</v>
      </c>
      <c r="H211" s="47">
        <f t="shared" si="9"/>
        <v>75.383695362668561</v>
      </c>
      <c r="I211" s="47">
        <f t="shared" si="9"/>
        <v>80.134855210650684</v>
      </c>
      <c r="J211" s="47">
        <f t="shared" si="9"/>
        <v>85.84161618759309</v>
      </c>
      <c r="K211" s="47">
        <f t="shared" si="9"/>
        <v>3.5332795740796925</v>
      </c>
    </row>
    <row r="212" spans="1:12" x14ac:dyDescent="0.2">
      <c r="C212" s="88" t="s">
        <v>150</v>
      </c>
      <c r="D212" s="116">
        <f t="shared" si="9"/>
        <v>92.032341522744872</v>
      </c>
      <c r="E212" s="116">
        <f t="shared" si="9"/>
        <v>91.144756398755433</v>
      </c>
      <c r="F212" s="116">
        <f t="shared" si="9"/>
        <v>84.250722317047803</v>
      </c>
      <c r="G212" s="116">
        <f t="shared" si="9"/>
        <v>85.460756364955728</v>
      </c>
      <c r="H212" s="116">
        <f t="shared" si="9"/>
        <v>86.21824682463064</v>
      </c>
      <c r="I212" s="116">
        <f t="shared" si="9"/>
        <v>81.767328283335189</v>
      </c>
      <c r="J212" s="116">
        <f t="shared" si="9"/>
        <v>92.726110562471533</v>
      </c>
      <c r="K212" s="116">
        <f t="shared" si="9"/>
        <v>19.703799627012906</v>
      </c>
    </row>
    <row r="213" spans="1:12" x14ac:dyDescent="0.2">
      <c r="C213" s="87" t="s">
        <v>151</v>
      </c>
      <c r="D213" s="47">
        <f t="shared" ref="D213:K214" si="10">+IFERROR(IF(D171&gt;0,+((D171/D45)*100)," "),"")</f>
        <v>99.56793011914543</v>
      </c>
      <c r="E213" s="47">
        <f t="shared" si="10"/>
        <v>98.639315522602161</v>
      </c>
      <c r="F213" s="47">
        <f t="shared" si="10"/>
        <v>99.258780807990917</v>
      </c>
      <c r="G213" s="47">
        <f t="shared" si="10"/>
        <v>99.698220975307208</v>
      </c>
      <c r="H213" s="47">
        <f t="shared" si="10"/>
        <v>99.404395731704881</v>
      </c>
      <c r="I213" s="47">
        <f t="shared" si="10"/>
        <v>99.522863946330332</v>
      </c>
      <c r="J213" s="47">
        <f t="shared" si="10"/>
        <v>99.767844425377632</v>
      </c>
      <c r="K213" s="47">
        <f t="shared" si="10"/>
        <v>3.0220143800064467</v>
      </c>
    </row>
    <row r="214" spans="1:12" x14ac:dyDescent="0.2">
      <c r="C214" s="91" t="s">
        <v>179</v>
      </c>
      <c r="D214" s="64">
        <f t="shared" si="10"/>
        <v>94.298409362867289</v>
      </c>
      <c r="E214" s="64">
        <f t="shared" si="10"/>
        <v>84.368334150482156</v>
      </c>
      <c r="F214" s="64">
        <f t="shared" si="10"/>
        <v>93.430412339415597</v>
      </c>
      <c r="G214" s="64">
        <f t="shared" si="10"/>
        <v>89.018520366539434</v>
      </c>
      <c r="H214" s="64">
        <f t="shared" si="10"/>
        <v>90.369362550806855</v>
      </c>
      <c r="I214" s="64">
        <f t="shared" si="10"/>
        <v>89.722654158756114</v>
      </c>
      <c r="J214" s="64">
        <f t="shared" si="10"/>
        <v>91.883546064464923</v>
      </c>
      <c r="K214" s="64">
        <f t="shared" si="10"/>
        <v>11.513456241667406</v>
      </c>
    </row>
    <row r="215" spans="1:12" s="31" customFormat="1" x14ac:dyDescent="0.2">
      <c r="A215" s="5"/>
      <c r="B215" s="5"/>
      <c r="C215" s="72" t="str">
        <f>+'C1 Aprop Resumen 2000-2026'!B20</f>
        <v>* Información con corte a 28 de febrero</v>
      </c>
      <c r="D215" s="47"/>
      <c r="E215" s="47"/>
      <c r="F215" s="47"/>
      <c r="G215" s="47"/>
      <c r="H215" s="47"/>
      <c r="I215" s="47"/>
    </row>
    <row r="216" spans="1:12" x14ac:dyDescent="0.2">
      <c r="C216" s="1" t="s">
        <v>52</v>
      </c>
      <c r="D216" s="11"/>
      <c r="E216" s="11"/>
      <c r="F216" s="11"/>
    </row>
    <row r="217" spans="1:12" x14ac:dyDescent="0.2">
      <c r="E217" s="3"/>
      <c r="F217" s="3"/>
    </row>
    <row r="218" spans="1:12" x14ac:dyDescent="0.2">
      <c r="E218" s="3"/>
      <c r="F218" s="3"/>
    </row>
    <row r="219" spans="1:12" x14ac:dyDescent="0.2">
      <c r="E219" s="3"/>
      <c r="F219" s="3"/>
    </row>
    <row r="220" spans="1:12" ht="18" customHeight="1" x14ac:dyDescent="0.2">
      <c r="D220" s="160" t="s">
        <v>184</v>
      </c>
      <c r="E220" s="178"/>
      <c r="F220" s="178"/>
      <c r="G220" s="178"/>
      <c r="H220" s="178"/>
      <c r="I220" s="178"/>
      <c r="J220" s="178"/>
      <c r="K220" s="178"/>
      <c r="L220" s="178"/>
    </row>
    <row r="221" spans="1:12" ht="15.75" customHeight="1" x14ac:dyDescent="0.2">
      <c r="C221" s="2"/>
      <c r="D221" s="2"/>
      <c r="E221" s="2"/>
      <c r="F221" s="2"/>
      <c r="G221" s="2"/>
      <c r="H221" s="2"/>
      <c r="I221" s="2"/>
    </row>
    <row r="222" spans="1:12" x14ac:dyDescent="0.2">
      <c r="C222" s="177" t="s">
        <v>120</v>
      </c>
      <c r="D222" s="153">
        <v>2019</v>
      </c>
      <c r="E222" s="153">
        <v>2020</v>
      </c>
      <c r="F222" s="153">
        <v>2021</v>
      </c>
      <c r="G222" s="153">
        <v>2022</v>
      </c>
      <c r="H222" s="153">
        <v>2023</v>
      </c>
      <c r="I222" s="153">
        <v>2024</v>
      </c>
      <c r="J222" s="153" t="s">
        <v>187</v>
      </c>
      <c r="K222" s="153" t="s">
        <v>36</v>
      </c>
    </row>
    <row r="223" spans="1:12" ht="12" customHeight="1" thickBot="1" x14ac:dyDescent="0.25">
      <c r="C223" s="156"/>
      <c r="D223" s="154"/>
      <c r="E223" s="154"/>
      <c r="F223" s="154"/>
      <c r="G223" s="154"/>
      <c r="H223" s="154"/>
      <c r="I223" s="154"/>
      <c r="J223" s="154"/>
      <c r="K223" s="154"/>
    </row>
    <row r="224" spans="1:12" x14ac:dyDescent="0.2">
      <c r="C224" s="87" t="s">
        <v>123</v>
      </c>
      <c r="D224" s="42">
        <f>550.66712649648*Deflactores!$T$5</f>
        <v>833.21581225748957</v>
      </c>
      <c r="E224" s="42">
        <f>582.83199641832*Deflactores!$U$5</f>
        <v>867.91118760688948</v>
      </c>
      <c r="F224" s="42">
        <f>591.21613086241*Deflactores!$V$5</f>
        <v>833.55068477406724</v>
      </c>
      <c r="G224" s="42">
        <f>699.708013949029*Deflactores!$W$5</f>
        <v>872.09378055175966</v>
      </c>
      <c r="H224" s="42">
        <f>709.416547443719*Deflactores!$X$5</f>
        <v>809.10888309879601</v>
      </c>
      <c r="I224" s="42">
        <f>813.34995926858*Deflactores!$Y$5</f>
        <v>881.79445666746312</v>
      </c>
      <c r="J224" s="42">
        <f>784.50911376031*Deflactores!$Z$5</f>
        <v>809.2546289854921</v>
      </c>
      <c r="K224" s="42">
        <f>62.19129382295*Deflactores!$AA$5</f>
        <v>62.191293822950001</v>
      </c>
      <c r="L224" s="14"/>
    </row>
    <row r="225" spans="3:12" x14ac:dyDescent="0.2">
      <c r="C225" s="88" t="s">
        <v>124</v>
      </c>
      <c r="D225" s="50">
        <f>302.00651647512*Deflactores!$T$5</f>
        <v>456.96681865297541</v>
      </c>
      <c r="E225" s="50">
        <f>334.524774583969*Deflactores!$U$5</f>
        <v>498.15006069898982</v>
      </c>
      <c r="F225" s="50">
        <f>385.9339369024*Deflactores!$V$5</f>
        <v>544.12503412802403</v>
      </c>
      <c r="G225" s="50">
        <f>410.66203359347*Deflactores!$W$5</f>
        <v>511.83607771525652</v>
      </c>
      <c r="H225" s="50">
        <f>487.78865783487*Deflactores!$X$5</f>
        <v>556.33624215728298</v>
      </c>
      <c r="I225" s="50">
        <f>578.00278915885*Deflactores!$Y$5</f>
        <v>626.64250438635941</v>
      </c>
      <c r="J225" s="50">
        <f>767.11884690793*Deflactores!$Z$5</f>
        <v>791.31582661501864</v>
      </c>
      <c r="K225" s="50">
        <f>211.851245393709*Deflactores!$AA$5</f>
        <v>211.85124539370901</v>
      </c>
      <c r="L225" s="14"/>
    </row>
    <row r="226" spans="3:12" x14ac:dyDescent="0.2">
      <c r="C226" s="87" t="s">
        <v>125</v>
      </c>
      <c r="D226" s="42">
        <f>22.25149053408*Deflactores!$T$5</f>
        <v>33.668786218005373</v>
      </c>
      <c r="E226" s="42">
        <f>21.95107669705*Deflactores!$U$5</f>
        <v>32.687953239465863</v>
      </c>
      <c r="F226" s="42">
        <f>24.25307473745*Deflactores!$V$5</f>
        <v>34.194207498683525</v>
      </c>
      <c r="G226" s="42">
        <f>23.96039671316*Deflactores!$W$5</f>
        <v>29.863475244720913</v>
      </c>
      <c r="H226" s="42">
        <f>25.56892056175*Deflactores!$X$5</f>
        <v>29.162049901860591</v>
      </c>
      <c r="I226" s="42">
        <f>25.32357174979*Deflactores!$Y$5</f>
        <v>27.454584508821299</v>
      </c>
      <c r="J226" s="42">
        <f>23.99464129079*Deflactores!$Z$5</f>
        <v>24.751496438766569</v>
      </c>
      <c r="K226" s="42">
        <f>2.76606440549*Deflactores!$AA$5</f>
        <v>2.7660644054899999</v>
      </c>
      <c r="L226" s="14"/>
    </row>
    <row r="227" spans="3:12" x14ac:dyDescent="0.2">
      <c r="C227" s="88" t="s">
        <v>126</v>
      </c>
      <c r="D227" s="50">
        <f>598.31926147892*Deflactores!$T$5</f>
        <v>905.31837739118487</v>
      </c>
      <c r="E227" s="50">
        <f>674.56375690688*Deflactores!$U$5</f>
        <v>1004.5114801031069</v>
      </c>
      <c r="F227" s="50">
        <f>623.683508732549*Deflactores!$V$5</f>
        <v>879.32616964961608</v>
      </c>
      <c r="G227" s="50">
        <f>639.24594569026*Deflactores!$W$5</f>
        <v>796.7357845925917</v>
      </c>
      <c r="H227" s="50">
        <f>735.5223724059*Deflactores!$X$5</f>
        <v>838.88328708420443</v>
      </c>
      <c r="I227" s="50">
        <f>843.75795774866*Deflactores!$Y$5</f>
        <v>914.76132928180471</v>
      </c>
      <c r="J227" s="50">
        <f>938.28302413873*Deflactores!$Z$5</f>
        <v>967.87897968864684</v>
      </c>
      <c r="K227" s="50">
        <f>101.59161229375*Deflactores!$AA$5</f>
        <v>101.59161229375</v>
      </c>
      <c r="L227" s="14"/>
    </row>
    <row r="228" spans="3:12" x14ac:dyDescent="0.2">
      <c r="C228" s="87" t="s">
        <v>127</v>
      </c>
      <c r="D228" s="42">
        <f>534.54812548138*Deflactores!$T$5</f>
        <v>808.82611133412843</v>
      </c>
      <c r="E228" s="42">
        <f>574.04592685615*Deflactores!$U$5</f>
        <v>854.82760929450967</v>
      </c>
      <c r="F228" s="42">
        <f>619.06556045522*Deflactores!$V$5</f>
        <v>872.81536294479247</v>
      </c>
      <c r="G228" s="42">
        <f>722.313306968599*Deflactores!$W$5</f>
        <v>900.268297717363</v>
      </c>
      <c r="H228" s="42">
        <f>853.21862736429*Deflactores!$X$5</f>
        <v>973.11906962612352</v>
      </c>
      <c r="I228" s="42">
        <f>956.774522803159*Deflactores!$Y$5</f>
        <v>1037.2883909002421</v>
      </c>
      <c r="J228" s="42">
        <f>1096.79041804132*Deflactores!$Z$5</f>
        <v>1131.3861206436577</v>
      </c>
      <c r="K228" s="42">
        <f>145.81397864951*Deflactores!$AA$5</f>
        <v>145.81397864951001</v>
      </c>
      <c r="L228" s="14"/>
    </row>
    <row r="229" spans="3:12" x14ac:dyDescent="0.2">
      <c r="C229" s="88" t="s">
        <v>128</v>
      </c>
      <c r="D229" s="50">
        <f>229.974579602719*Deflactores!$T$5</f>
        <v>347.97511404283739</v>
      </c>
      <c r="E229" s="50">
        <f>228.951644979519*Deflactores!$U$5</f>
        <v>340.93820401051556</v>
      </c>
      <c r="F229" s="50">
        <f>200.84353147442*Deflactores!$V$5</f>
        <v>283.16761748150907</v>
      </c>
      <c r="G229" s="50">
        <f>182.57472450534*Deflactores!$W$5</f>
        <v>227.55532100945277</v>
      </c>
      <c r="H229" s="50">
        <f>273.8755099897*Deflactores!$X$5</f>
        <v>312.36247419709281</v>
      </c>
      <c r="I229" s="50">
        <f>302.89218979829*Deflactores!$Y$5</f>
        <v>328.38097658747739</v>
      </c>
      <c r="J229" s="50">
        <f>310.13891886897*Deflactores!$Z$5</f>
        <v>319.9215296814919</v>
      </c>
      <c r="K229" s="50">
        <f>19.29233431637*Deflactores!$AA$5</f>
        <v>19.292334316369999</v>
      </c>
      <c r="L229" s="14"/>
    </row>
    <row r="230" spans="3:12" x14ac:dyDescent="0.2">
      <c r="C230" s="87" t="s">
        <v>129</v>
      </c>
      <c r="D230" s="42">
        <f>31303.726877375*Deflactores!$T$5</f>
        <v>47365.747766287524</v>
      </c>
      <c r="E230" s="42">
        <f>33064.3119085846*Deflactores!$U$5</f>
        <v>49236.978052569822</v>
      </c>
      <c r="F230" s="42">
        <f>34908.722829742*Deflactores!$V$5</f>
        <v>49217.516742775406</v>
      </c>
      <c r="G230" s="42">
        <f>38674.0689622985*Deflactores!$W$5</f>
        <v>48202.127656504563</v>
      </c>
      <c r="H230" s="42">
        <f>43636.233539055*Deflactores!$X$5</f>
        <v>49768.312155453386</v>
      </c>
      <c r="I230" s="42">
        <f>48719.9393392468*Deflactores!$Y$5</f>
        <v>52819.788024771457</v>
      </c>
      <c r="J230" s="42">
        <f>54290.5060244459*Deflactores!$Z$5</f>
        <v>56002.973757257001</v>
      </c>
      <c r="K230" s="42">
        <f>7603.23104298462*Deflactores!$AA$5</f>
        <v>7603.2310429846202</v>
      </c>
      <c r="L230" s="14"/>
    </row>
    <row r="231" spans="3:12" x14ac:dyDescent="0.2">
      <c r="C231" s="88" t="s">
        <v>130</v>
      </c>
      <c r="D231" s="50">
        <f>35.19635672401*Deflactores!$T$5</f>
        <v>53.255695764667749</v>
      </c>
      <c r="E231" s="50">
        <f>37.52763321301*Deflactores!$U$5</f>
        <v>55.883432807628665</v>
      </c>
      <c r="F231" s="50">
        <f>35.65260900663*Deflactores!$V$5</f>
        <v>50.266315650265398</v>
      </c>
      <c r="G231" s="50">
        <f>48.6718256948099*Deflactores!$W$5</f>
        <v>60.663013186004605</v>
      </c>
      <c r="H231" s="50">
        <f>47.58309044185*Deflactores!$X$5</f>
        <v>54.269809888877184</v>
      </c>
      <c r="I231" s="50">
        <f>60.11913009778*Deflactores!$Y$5</f>
        <v>65.178236078803167</v>
      </c>
      <c r="J231" s="50">
        <f>44.59167876021*Deflactores!$Z$5</f>
        <v>45.998219546445327</v>
      </c>
      <c r="K231" s="50">
        <f>5.34656097667*Deflactores!$AA$5</f>
        <v>5.3465609766700002</v>
      </c>
      <c r="L231" s="14"/>
    </row>
    <row r="232" spans="3:12" x14ac:dyDescent="0.2">
      <c r="C232" s="87" t="s">
        <v>131</v>
      </c>
      <c r="D232" s="42">
        <f>37374.6389102855*Deflactores!$T$5</f>
        <v>56551.660012090761</v>
      </c>
      <c r="E232" s="42">
        <f>40601.9440362689*Deflactores!$U$5</f>
        <v>60461.473776697661</v>
      </c>
      <c r="F232" s="42">
        <f>43204.3925396314*Deflactores!$V$5</f>
        <v>60913.512177221783</v>
      </c>
      <c r="G232" s="42">
        <f>44173.5040483049*Deflactores!$W$5</f>
        <v>55056.448372350591</v>
      </c>
      <c r="H232" s="42">
        <f>51123.1574022098*Deflactores!$X$5</f>
        <v>58307.352619890102</v>
      </c>
      <c r="I232" s="42">
        <f>61827.2106177621*Deflactores!$Y$5</f>
        <v>67030.053881088854</v>
      </c>
      <c r="J232" s="42">
        <f>71901.5484214835*Deflactores!$Z$5</f>
        <v>74169.515523420312</v>
      </c>
      <c r="K232" s="42">
        <f>11991.7686349262*Deflactores!$AA$5</f>
        <v>11991.7686349262</v>
      </c>
      <c r="L232" s="14"/>
    </row>
    <row r="233" spans="3:12" x14ac:dyDescent="0.2">
      <c r="C233" s="88" t="s">
        <v>132</v>
      </c>
      <c r="D233" s="50">
        <f>77.32665713347*Deflactores!$T$5</f>
        <v>117.00315913634343</v>
      </c>
      <c r="E233" s="50">
        <f>76.7354875896*Deflactores!$U$5</f>
        <v>114.26892925364119</v>
      </c>
      <c r="F233" s="50">
        <f>91.5847407433399*Deflactores!$V$5</f>
        <v>129.12456101309024</v>
      </c>
      <c r="G233" s="50">
        <f>136.89238026433*Deflactores!$W$5</f>
        <v>170.61830228250784</v>
      </c>
      <c r="H233" s="50">
        <f>160.018942383669*Deflactores!$X$5</f>
        <v>182.50595959910655</v>
      </c>
      <c r="I233" s="50">
        <f>177.04966258538*Deflactores!$Y$5</f>
        <v>191.94863077515598</v>
      </c>
      <c r="J233" s="50">
        <f>195.275979377269*Deflactores!$Z$5</f>
        <v>201.43550593475007</v>
      </c>
      <c r="K233" s="50">
        <f>21.32364204771*Deflactores!$AA$5</f>
        <v>21.323642047709999</v>
      </c>
      <c r="L233" s="14"/>
    </row>
    <row r="234" spans="3:12" x14ac:dyDescent="0.2">
      <c r="C234" s="87" t="s">
        <v>133</v>
      </c>
      <c r="D234" s="42">
        <f>3529.18318391437*Deflactores!$T$5</f>
        <v>5340.0159401189203</v>
      </c>
      <c r="E234" s="42">
        <f>3649.9688496191*Deflactores!$U$5</f>
        <v>5435.269200161385</v>
      </c>
      <c r="F234" s="42">
        <f>3970.85956631971*Deflactores!$V$5</f>
        <v>5598.4817359757481</v>
      </c>
      <c r="G234" s="42">
        <f>4349.09429101342*Deflactores!$W$5</f>
        <v>5420.572591158375</v>
      </c>
      <c r="H234" s="42">
        <f>4981.16824919831*Deflactores!$X$5</f>
        <v>5681.1579785651556</v>
      </c>
      <c r="I234" s="42">
        <f>5404.48892685839*Deflactores!$Y$5</f>
        <v>5859.2839681334863</v>
      </c>
      <c r="J234" s="42">
        <f>6108.36931515902*Deflactores!$Z$5</f>
        <v>6301.0436171372176</v>
      </c>
      <c r="K234" s="42">
        <f>777.99751135056*Deflactores!$AA$5</f>
        <v>777.99751135055999</v>
      </c>
      <c r="L234" s="14"/>
    </row>
    <row r="235" spans="3:12" x14ac:dyDescent="0.2">
      <c r="C235" s="88" t="s">
        <v>134</v>
      </c>
      <c r="D235" s="50">
        <f>7947.52274427015*Deflactores!$T$5</f>
        <v>12025.41662679814</v>
      </c>
      <c r="E235" s="50">
        <f>16337.5069694785*Deflactores!$U$5</f>
        <v>24328.631858843186</v>
      </c>
      <c r="F235" s="50">
        <f>17882.5317187254*Deflactores!$V$5</f>
        <v>25212.432106502376</v>
      </c>
      <c r="G235" s="50">
        <f>13086.6686943021*Deflactores!$W$5</f>
        <v>16310.807006526093</v>
      </c>
      <c r="H235" s="50">
        <f>32963.6199437911*Deflactores!$X$5</f>
        <v>37595.905835182042</v>
      </c>
      <c r="I235" s="50">
        <f>21875.9784449936*Deflactores!$Y$5</f>
        <v>23716.871571886793</v>
      </c>
      <c r="J235" s="50">
        <f>16532.4570809773*Deflactores!$Z$5</f>
        <v>17053.934985097589</v>
      </c>
      <c r="K235" s="50">
        <f>1853.88969738187*Deflactores!$AA$5</f>
        <v>1853.8896973818701</v>
      </c>
      <c r="L235" s="14"/>
    </row>
    <row r="236" spans="3:12" x14ac:dyDescent="0.2">
      <c r="C236" s="87" t="s">
        <v>135</v>
      </c>
      <c r="D236" s="42">
        <f>0*Deflactores!$T$5</f>
        <v>0</v>
      </c>
      <c r="E236" s="42">
        <f>0*Deflactores!$U$5</f>
        <v>0</v>
      </c>
      <c r="F236" s="42">
        <f>0*Deflactores!$V$5</f>
        <v>0</v>
      </c>
      <c r="G236" s="42">
        <f>0*Deflactores!$W$5</f>
        <v>0</v>
      </c>
      <c r="H236" s="42">
        <f>2.127776892*Deflactores!$X$5</f>
        <v>2.4267874646751593</v>
      </c>
      <c r="I236" s="42">
        <f>939.076347601489*Deflactores!$Y$5</f>
        <v>1018.1008903562006</v>
      </c>
      <c r="J236" s="42">
        <f>1202.6834153551*Deflactores!$Z$5</f>
        <v>1240.6192662505637</v>
      </c>
      <c r="K236" s="42">
        <f>126.48258558523*Deflactores!$AA$5</f>
        <v>126.48258558523</v>
      </c>
      <c r="L236" s="14"/>
    </row>
    <row r="237" spans="3:12" x14ac:dyDescent="0.2">
      <c r="C237" s="88" t="s">
        <v>136</v>
      </c>
      <c r="D237" s="50">
        <f>1388.02835020398*Deflactores!$T$5</f>
        <v>2100.2291831179887</v>
      </c>
      <c r="E237" s="50">
        <f>7369.59242845061*Deflactores!$U$5</f>
        <v>10974.263177144714</v>
      </c>
      <c r="F237" s="50">
        <f>9176.99087415286*Deflactores!$V$5</f>
        <v>12938.562782712197</v>
      </c>
      <c r="G237" s="50">
        <f>1562.55292323179*Deflactores!$W$5</f>
        <v>1947.5161909931792</v>
      </c>
      <c r="H237" s="50">
        <f>1855.10332746871*Deflactores!$X$5</f>
        <v>2115.7958419910515</v>
      </c>
      <c r="I237" s="50">
        <f>1089.4495620064*Deflactores!$Y$5</f>
        <v>1181.1282138133256</v>
      </c>
      <c r="J237" s="50">
        <f>1140.5491932095*Deflactores!$Z$5</f>
        <v>1176.5251645915964</v>
      </c>
      <c r="K237" s="50">
        <f>51.07556268289*Deflactores!$AA$5</f>
        <v>51.075562682890002</v>
      </c>
      <c r="L237" s="14"/>
    </row>
    <row r="238" spans="3:12" x14ac:dyDescent="0.2">
      <c r="C238" s="87" t="s">
        <v>137</v>
      </c>
      <c r="D238" s="42">
        <f>142.2682397831*Deflactores!$T$5</f>
        <v>215.26643096258388</v>
      </c>
      <c r="E238" s="42">
        <f>147.29471016858*Deflactores!$U$5</f>
        <v>219.34061207386128</v>
      </c>
      <c r="F238" s="42">
        <f>151.88497884683*Deflactores!$V$5</f>
        <v>214.14136305785874</v>
      </c>
      <c r="G238" s="42">
        <f>172.50483227118*Deflactores!$W$5</f>
        <v>215.00452808845426</v>
      </c>
      <c r="H238" s="42">
        <f>204.96641317379*Deflactores!$X$5</f>
        <v>233.76977353205646</v>
      </c>
      <c r="I238" s="42">
        <f>233.55035319239*Deflactores!$Y$5</f>
        <v>253.20393079379517</v>
      </c>
      <c r="J238" s="42">
        <f>256.002497180859*Deflactores!$Z$5</f>
        <v>264.0775004925593</v>
      </c>
      <c r="K238" s="42">
        <f>36.27905697346*Deflactores!$AA$5</f>
        <v>36.279056973460001</v>
      </c>
      <c r="L238" s="14"/>
    </row>
    <row r="239" spans="3:12" x14ac:dyDescent="0.2">
      <c r="C239" s="88" t="s">
        <v>138</v>
      </c>
      <c r="D239" s="50">
        <f>86.1550347765099*Deflactores!$T$5</f>
        <v>130.36139952298538</v>
      </c>
      <c r="E239" s="50">
        <f>90.77501368117*Deflactores!$U$5</f>
        <v>135.17557445921216</v>
      </c>
      <c r="F239" s="50">
        <f>103.43565574278*Deflactores!$V$5</f>
        <v>145.83306708611124</v>
      </c>
      <c r="G239" s="50">
        <f>97.92361061966*Deflactores!$W$5</f>
        <v>122.04886908269523</v>
      </c>
      <c r="H239" s="50">
        <f>101.14452172284*Deflactores!$X$5</f>
        <v>115.35808023877742</v>
      </c>
      <c r="I239" s="50">
        <f>121.15914611053*Deflactores!$Y$5</f>
        <v>131.35485186586121</v>
      </c>
      <c r="J239" s="50">
        <f>135.22252019535*Deflactores!$Z$5</f>
        <v>139.48780006729788</v>
      </c>
      <c r="K239" s="50">
        <f>18.04253326841*Deflactores!$AA$5</f>
        <v>18.042533268410001</v>
      </c>
      <c r="L239" s="14"/>
    </row>
    <row r="240" spans="3:12" x14ac:dyDescent="0.2">
      <c r="C240" s="87" t="s">
        <v>160</v>
      </c>
      <c r="D240" s="42">
        <f>1122.0618064631*Deflactores!$T$5</f>
        <v>1697.7945377337396</v>
      </c>
      <c r="E240" s="42">
        <f>1313.12609290395*Deflactores!$U$5</f>
        <v>1955.4122521987858</v>
      </c>
      <c r="F240" s="42">
        <f>1520.99906983797*Deflactores!$V$5</f>
        <v>2144.4438844298265</v>
      </c>
      <c r="G240" s="42">
        <f>1681.42012023929*Deflactores!$W$5</f>
        <v>2095.668479026589</v>
      </c>
      <c r="H240" s="42">
        <f>2093.91197580753*Deflactores!$X$5</f>
        <v>2388.1636059345401</v>
      </c>
      <c r="I240" s="42">
        <f>2669.07114421047*Deflactores!$Y$5</f>
        <v>2893.6770852393829</v>
      </c>
      <c r="J240" s="42">
        <f>3247.75416769551*Deflactores!$Z$5</f>
        <v>3350.1970186384915</v>
      </c>
      <c r="K240" s="42">
        <f>269.1418552561*Deflactores!$AA$5</f>
        <v>269.14185525609997</v>
      </c>
      <c r="L240" s="14"/>
    </row>
    <row r="241" spans="1:12" x14ac:dyDescent="0.2">
      <c r="C241" s="88" t="s">
        <v>161</v>
      </c>
      <c r="D241" s="50">
        <f>2022.7450143203*Deflactores!$T$5</f>
        <v>3060.620561862157</v>
      </c>
      <c r="E241" s="50">
        <f>2244.58470187636*Deflactores!$U$5</f>
        <v>3342.4729360457836</v>
      </c>
      <c r="F241" s="50">
        <f>2243.56615114411*Deflactores!$V$5</f>
        <v>3163.1851771265592</v>
      </c>
      <c r="G241" s="50">
        <f>2528.83674847668*Deflactores!$W$5</f>
        <v>3151.8615714152743</v>
      </c>
      <c r="H241" s="50">
        <f>2954.12009791699*Deflactores!$X$5</f>
        <v>3369.2543845757232</v>
      </c>
      <c r="I241" s="50">
        <f>3524.34347524794*Deflactores!$Y$5</f>
        <v>3820.9217378709586</v>
      </c>
      <c r="J241" s="50">
        <f>3851.92619342908*Deflactores!$Z$5</f>
        <v>3973.4262456195497</v>
      </c>
      <c r="K241" s="50">
        <f>367.2402331651*Deflactores!$AA$5</f>
        <v>367.24023316509999</v>
      </c>
      <c r="L241" s="14"/>
    </row>
    <row r="242" spans="1:12" x14ac:dyDescent="0.2">
      <c r="C242" s="87" t="s">
        <v>140</v>
      </c>
      <c r="D242" s="42">
        <f>611.13921542121*Deflactores!$T$5</f>
        <v>924.71628190219087</v>
      </c>
      <c r="E242" s="42">
        <f>1113.06667943966*Deflactores!$U$5</f>
        <v>1657.4982663525007</v>
      </c>
      <c r="F242" s="42">
        <f>1145.32869003176*Deflactores!$V$5</f>
        <v>1614.7893537254279</v>
      </c>
      <c r="G242" s="42">
        <f>902.20661466711*Deflactores!$W$5</f>
        <v>1124.481586230854</v>
      </c>
      <c r="H242" s="42">
        <f>1686.08437847115*Deflactores!$X$5</f>
        <v>1923.0251298632836</v>
      </c>
      <c r="I242" s="42">
        <f>4402.49664406245*Deflactores!$Y$5</f>
        <v>4772.972681676195</v>
      </c>
      <c r="J242" s="42">
        <f>3635.0857275211*Deflactores!$Z$5</f>
        <v>3749.7460515854787</v>
      </c>
      <c r="K242" s="42">
        <f>1712.20963495201*Deflactores!$AA$5</f>
        <v>1712.20963495201</v>
      </c>
      <c r="L242" s="14"/>
    </row>
    <row r="243" spans="1:12" x14ac:dyDescent="0.2">
      <c r="C243" s="88" t="s">
        <v>141</v>
      </c>
      <c r="D243" s="50">
        <f>1600.45947890501*Deflactores!$T$5</f>
        <v>2421.6592575361601</v>
      </c>
      <c r="E243" s="50">
        <f>1761.23543356335*Deflactores!$U$5</f>
        <v>2622.7042204151267</v>
      </c>
      <c r="F243" s="50">
        <f>2166.7765067092*Deflactores!$V$5</f>
        <v>3054.9200988227799</v>
      </c>
      <c r="G243" s="50">
        <f>2498.21293593999*Deflactores!$W$5</f>
        <v>3113.6930269401273</v>
      </c>
      <c r="H243" s="50">
        <f>2962.30505250405*Deflactores!$X$5</f>
        <v>3378.5895480815839</v>
      </c>
      <c r="I243" s="50">
        <f>3387.97152926469*Deflactores!$Y$5</f>
        <v>3673.0739084801226</v>
      </c>
      <c r="J243" s="50">
        <f>3615.83488970978*Deflactores!$Z$5</f>
        <v>3729.8879908728536</v>
      </c>
      <c r="K243" s="50">
        <f>452.56379749274*Deflactores!$AA$5</f>
        <v>452.56379749273998</v>
      </c>
      <c r="L243" s="14"/>
    </row>
    <row r="244" spans="1:12" x14ac:dyDescent="0.2">
      <c r="C244" s="87" t="s">
        <v>142</v>
      </c>
      <c r="D244" s="42">
        <f>188.98482964045*Deflactores!$T$5</f>
        <v>285.95342041762029</v>
      </c>
      <c r="E244" s="42">
        <f>350.83018750299*Deflactores!$U$5</f>
        <v>522.43090042284575</v>
      </c>
      <c r="F244" s="42">
        <f>492.59271124277*Deflactores!$V$5</f>
        <v>694.50234920380058</v>
      </c>
      <c r="G244" s="42">
        <f>577.02835983284*Deflactores!$W$5</f>
        <v>719.1897674175566</v>
      </c>
      <c r="H244" s="42">
        <f>492.59168764182*Deflactores!$X$5</f>
        <v>561.81422839342986</v>
      </c>
      <c r="I244" s="42">
        <f>478.22869665993*Deflactores!$Y$5</f>
        <v>518.47228727134018</v>
      </c>
      <c r="J244" s="42">
        <f>444.86133175793*Deflactores!$Z$5</f>
        <v>458.89344772066943</v>
      </c>
      <c r="K244" s="42">
        <f>85.8326016887*Deflactores!$AA$5</f>
        <v>85.832601688699995</v>
      </c>
      <c r="L244" s="14"/>
    </row>
    <row r="245" spans="1:12" x14ac:dyDescent="0.2">
      <c r="C245" s="88" t="s">
        <v>143</v>
      </c>
      <c r="D245" s="50">
        <f>568.046921213329*Deflactores!$T$5</f>
        <v>859.51322329780589</v>
      </c>
      <c r="E245" s="50">
        <f>1729.4800182068*Deflactores!$U$5</f>
        <v>2575.4163562888889</v>
      </c>
      <c r="F245" s="50">
        <f>3585.53548047188*Deflactores!$V$5</f>
        <v>5055.2165257557854</v>
      </c>
      <c r="G245" s="50">
        <f>914.48165824006*Deflactores!$W$5</f>
        <v>1139.7808095390944</v>
      </c>
      <c r="H245" s="50">
        <f>726.77095557776*Deflactores!$X$5</f>
        <v>828.90205797295357</v>
      </c>
      <c r="I245" s="50">
        <f>712.29303404206*Deflactores!$Y$5</f>
        <v>772.23345471851269</v>
      </c>
      <c r="J245" s="50">
        <f>1328.96235205607*Deflactores!$Z$5</f>
        <v>1370.8813782849288</v>
      </c>
      <c r="K245" s="50">
        <f>74.56270325294*Deflactores!$AA$5</f>
        <v>74.562703252939997</v>
      </c>
      <c r="L245" s="14"/>
    </row>
    <row r="246" spans="1:12" x14ac:dyDescent="0.2">
      <c r="C246" s="87" t="s">
        <v>144</v>
      </c>
      <c r="D246" s="42">
        <f>4146.96161893015*Deflactores!$T$5</f>
        <v>6274.7780418659258</v>
      </c>
      <c r="E246" s="42">
        <f>4303.76763789497*Deflactores!$U$5</f>
        <v>6408.858993233046</v>
      </c>
      <c r="F246" s="42">
        <f>4651.07505393403*Deflactores!$V$5</f>
        <v>6557.5118704677907</v>
      </c>
      <c r="G246" s="42">
        <f>5148.81283218463*Deflactores!$W$5</f>
        <v>6417.3163071709569</v>
      </c>
      <c r="H246" s="42">
        <f>6254.43319146432*Deflactores!$X$5</f>
        <v>7133.3513042465456</v>
      </c>
      <c r="I246" s="42">
        <f>7643.24711338602*Deflactores!$Y$5</f>
        <v>8286.436679217697</v>
      </c>
      <c r="J246" s="42">
        <f>8727.96979723988*Deflactores!$Z$5</f>
        <v>9003.2733032339693</v>
      </c>
      <c r="K246" s="42">
        <f>1036.49794311837*Deflactores!$AA$5</f>
        <v>1036.4979431183699</v>
      </c>
      <c r="L246" s="14"/>
    </row>
    <row r="247" spans="1:12" x14ac:dyDescent="0.2">
      <c r="C247" s="88" t="s">
        <v>145</v>
      </c>
      <c r="D247" s="50">
        <f>1330.36334044576*Deflactores!$T$5</f>
        <v>2012.9761120109042</v>
      </c>
      <c r="E247" s="50">
        <f>528.194697707019*Deflactores!$U$5</f>
        <v>786.5492803959437</v>
      </c>
      <c r="F247" s="50">
        <f>1142.9755845837*Deflactores!$V$5</f>
        <v>1611.4717300085058</v>
      </c>
      <c r="G247" s="50">
        <f>2919.22849633598*Deflactores!$W$5</f>
        <v>3638.4334106676788</v>
      </c>
      <c r="H247" s="50">
        <f>2470.33673072893*Deflactores!$X$5</f>
        <v>2817.4862854275143</v>
      </c>
      <c r="I247" s="50">
        <f>784.57408582461*Deflactores!$Y$5</f>
        <v>850.59705461499902</v>
      </c>
      <c r="J247" s="50">
        <f>2057.17551693507*Deflactores!$Z$5</f>
        <v>2122.0643336260405</v>
      </c>
      <c r="K247" s="50">
        <f>193.31407902003*Deflactores!$AA$5</f>
        <v>193.31407902002999</v>
      </c>
      <c r="L247" s="14"/>
    </row>
    <row r="248" spans="1:12" x14ac:dyDescent="0.2">
      <c r="C248" s="87" t="s">
        <v>146</v>
      </c>
      <c r="D248" s="42">
        <f>843.826416613937*Deflactores!$T$5</f>
        <v>1276.7958704863829</v>
      </c>
      <c r="E248" s="42">
        <f>812.6721861162*Deflactores!$U$5</f>
        <v>1210.1725480441175</v>
      </c>
      <c r="F248" s="42">
        <f>1009.89527711684*Deflactores!$V$5</f>
        <v>1423.8429160633727</v>
      </c>
      <c r="G248" s="42">
        <f>1260.19409086284*Deflactores!$W$5</f>
        <v>1570.6657734659309</v>
      </c>
      <c r="H248" s="42">
        <f>1297.37593716779*Deflactores!$X$5</f>
        <v>1479.6925716824542</v>
      </c>
      <c r="I248" s="42">
        <f>1401.03355553227*Deflactores!$Y$5</f>
        <v>1518.9324211492426</v>
      </c>
      <c r="J248" s="42">
        <f>1579.01758937052*Deflactores!$Z$5</f>
        <v>1628.8240264319211</v>
      </c>
      <c r="K248" s="42">
        <f>290.666484748639*Deflactores!$AA$5</f>
        <v>290.66648474863899</v>
      </c>
      <c r="L248" s="14"/>
    </row>
    <row r="249" spans="1:12" x14ac:dyDescent="0.2">
      <c r="C249" s="88" t="s">
        <v>162</v>
      </c>
      <c r="D249" s="50">
        <f>28791.5371825324*Deflactores!$T$5</f>
        <v>43564.547228948839</v>
      </c>
      <c r="E249" s="50">
        <f>33766.7886293309*Deflactores!$U$5</f>
        <v>50283.055496354362</v>
      </c>
      <c r="F249" s="50">
        <f>42567.154144801*Deflactores!$V$5</f>
        <v>60015.075086879908</v>
      </c>
      <c r="G249" s="50">
        <f>41174.9199566663*Deflactores!$W$5</f>
        <v>51319.108675438147</v>
      </c>
      <c r="H249" s="50">
        <f>48655.7360299608*Deflactores!$X$5</f>
        <v>55493.191380166732</v>
      </c>
      <c r="I249" s="50">
        <f>56874.5182216903*Deflactores!$Y$5</f>
        <v>61660.585731901818</v>
      </c>
      <c r="J249" s="50">
        <f>63410.7738352664*Deflactores!$Z$5</f>
        <v>65410.919202424717</v>
      </c>
      <c r="K249" s="50">
        <f>10337.7344701776*Deflactores!$AA$5</f>
        <v>10337.7344701776</v>
      </c>
      <c r="L249" s="14"/>
    </row>
    <row r="250" spans="1:12" x14ac:dyDescent="0.2">
      <c r="C250" s="87" t="s">
        <v>148</v>
      </c>
      <c r="D250" s="42">
        <f>259.78888794685*Deflactores!$T$5</f>
        <v>393.08721888537912</v>
      </c>
      <c r="E250" s="42">
        <f>312.25130553392*Deflactores!$U$5</f>
        <v>464.98202412215358</v>
      </c>
      <c r="F250" s="42">
        <f>356.32473052329*Deflactores!$V$5</f>
        <v>502.37926136481843</v>
      </c>
      <c r="G250" s="42">
        <f>357.949919800099*Deflactores!$W$5</f>
        <v>446.13737813985875</v>
      </c>
      <c r="H250" s="42">
        <f>437.92387793794*Deflactores!$X$5</f>
        <v>499.46410333594662</v>
      </c>
      <c r="I250" s="42">
        <f>573.84912724069*Deflactores!$Y$5</f>
        <v>622.13930620879023</v>
      </c>
      <c r="J250" s="42">
        <f>640.88192650466*Deflactores!$Z$5</f>
        <v>661.09705618473458</v>
      </c>
      <c r="K250" s="42">
        <f>93.08767964772*Deflactores!$AA$5</f>
        <v>93.087679647719995</v>
      </c>
      <c r="L250" s="14"/>
    </row>
    <row r="251" spans="1:12" x14ac:dyDescent="0.2">
      <c r="C251" s="88" t="s">
        <v>149</v>
      </c>
      <c r="D251" s="50">
        <f>449.09408081736*Deflactores!$T$5</f>
        <v>679.52538171108574</v>
      </c>
      <c r="E251" s="50">
        <f>293.19843298268*Deflactores!$U$5</f>
        <v>436.60986654520275</v>
      </c>
      <c r="F251" s="50">
        <f>701.15731856198*Deflactores!$V$5</f>
        <v>988.55584702864383</v>
      </c>
      <c r="G251" s="50">
        <f>771.4861883724*Deflactores!$W$5</f>
        <v>961.55581077875831</v>
      </c>
      <c r="H251" s="50">
        <f>966.37252394161*Deflactores!$X$5</f>
        <v>1102.1741687887427</v>
      </c>
      <c r="I251" s="50">
        <f>742.95118709403*Deflactores!$Y$5</f>
        <v>805.47153274977097</v>
      </c>
      <c r="J251" s="50">
        <f>656.91224446385*Deflactores!$Z$5</f>
        <v>677.63301323742382</v>
      </c>
      <c r="K251" s="50">
        <f>42.2955434814399*Deflactores!$AA$5</f>
        <v>42.2955434814399</v>
      </c>
      <c r="L251" s="14"/>
    </row>
    <row r="252" spans="1:12" x14ac:dyDescent="0.2">
      <c r="C252" s="87" t="s">
        <v>163</v>
      </c>
      <c r="D252" s="42">
        <f>18245.8119319509*Deflactores!$T$5</f>
        <v>27607.783863733224</v>
      </c>
      <c r="E252" s="42">
        <f>22972.5315302363*Deflactores!$U$5</f>
        <v>34209.029780914396</v>
      </c>
      <c r="F252" s="42">
        <f>22320.5115860576*Deflactores!$V$5</f>
        <v>31469.502853256392</v>
      </c>
      <c r="G252" s="42">
        <f>18394.2872316495*Deflactores!$W$5</f>
        <v>22926.053686120478</v>
      </c>
      <c r="H252" s="42">
        <f>22302.5985519811*Deflactores!$X$5</f>
        <v>25436.72073849653</v>
      </c>
      <c r="I252" s="42">
        <f>27653.4859092775*Deflactores!$Y$5</f>
        <v>29980.564091084587</v>
      </c>
      <c r="J252" s="42">
        <f>38783.8562966318*Deflactores!$Z$5</f>
        <v>40007.20283224999</v>
      </c>
      <c r="K252" s="42">
        <f>1762.36539740937*Deflactores!$AA$5</f>
        <v>1762.36539740937</v>
      </c>
      <c r="L252" s="14"/>
    </row>
    <row r="253" spans="1:12" x14ac:dyDescent="0.2">
      <c r="C253" s="88" t="s">
        <v>150</v>
      </c>
      <c r="D253" s="50">
        <f>891.68141859344*Deflactores!$T$5</f>
        <v>1349.2053941828917</v>
      </c>
      <c r="E253" s="50">
        <f>819.90809351197*Deflactores!$U$5</f>
        <v>1220.9477371549924</v>
      </c>
      <c r="F253" s="50">
        <f>905.40723841583*Deflactores!$V$5</f>
        <v>1276.5261030344748</v>
      </c>
      <c r="G253" s="50">
        <f>1021.23143321411*Deflactores!$W$5</f>
        <v>1272.8303287303245</v>
      </c>
      <c r="H253" s="50">
        <f>1375.01315591173*Deflactores!$X$5</f>
        <v>1568.2399329910652</v>
      </c>
      <c r="I253" s="50">
        <f>1245.22793527831*Deflactores!$Y$5</f>
        <v>1350.0155475550926</v>
      </c>
      <c r="J253" s="50">
        <f>1397.78485356464*Deflactores!$Z$5</f>
        <v>1441.8747255224316</v>
      </c>
      <c r="K253" s="50">
        <f>436.8933812255*Deflactores!$AA$5</f>
        <v>436.89338122549998</v>
      </c>
      <c r="L253" s="14"/>
    </row>
    <row r="254" spans="1:12" x14ac:dyDescent="0.2">
      <c r="C254" s="87" t="s">
        <v>151</v>
      </c>
      <c r="D254" s="42">
        <f>2184.34873721739*Deflactores!$T$5</f>
        <v>3305.1435608910338</v>
      </c>
      <c r="E254" s="42">
        <f>2334.07401490468*Deflactores!$U$5</f>
        <v>3475.7339382313739</v>
      </c>
      <c r="F254" s="42">
        <f>2718.89761447776*Deflactores!$V$5</f>
        <v>3833.3510370777508</v>
      </c>
      <c r="G254" s="42">
        <f>2645.99908813304*Deflactores!$W$5</f>
        <v>3297.8889795516166</v>
      </c>
      <c r="H254" s="42">
        <f>2922.82673025365*Deflactores!$X$5</f>
        <v>3333.5634469316537</v>
      </c>
      <c r="I254" s="42">
        <f>3756.1458252721*Deflactores!$Y$5</f>
        <v>4072.2305686694594</v>
      </c>
      <c r="J254" s="42">
        <f>4331.82240967672*Deflactores!$Z$5</f>
        <v>4468.4596717700069</v>
      </c>
      <c r="K254" s="42">
        <f>141.71767374178*Deflactores!$AA$5</f>
        <v>141.71767374178</v>
      </c>
      <c r="L254" s="14"/>
    </row>
    <row r="255" spans="1:12" x14ac:dyDescent="0.2">
      <c r="C255" s="79" t="s">
        <v>179</v>
      </c>
      <c r="D255" s="44">
        <f t="shared" ref="D255:K255" si="11">+SUM(D224:D254)</f>
        <v>222999.02718916186</v>
      </c>
      <c r="E255" s="44">
        <f t="shared" si="11"/>
        <v>265732.18570568413</v>
      </c>
      <c r="F255" s="44">
        <f t="shared" si="11"/>
        <v>281272.32402271737</v>
      </c>
      <c r="G255" s="44">
        <f t="shared" si="11"/>
        <v>234038.82485763688</v>
      </c>
      <c r="H255" s="44">
        <f t="shared" si="11"/>
        <v>268889.45973475929</v>
      </c>
      <c r="I255" s="44">
        <f t="shared" si="11"/>
        <v>281681.55853030388</v>
      </c>
      <c r="J255" s="44">
        <f t="shared" si="11"/>
        <v>302694.50021925149</v>
      </c>
      <c r="K255" s="44">
        <f t="shared" si="11"/>
        <v>40325.066835437443</v>
      </c>
      <c r="L255" s="14"/>
    </row>
    <row r="256" spans="1:12" s="31" customFormat="1" x14ac:dyDescent="0.2">
      <c r="A256" s="5"/>
      <c r="B256" s="5"/>
      <c r="C256" s="72" t="str">
        <f>+'C1 Aprop Resumen 2000-2026'!B20</f>
        <v>* Información con corte a 28 de febrero</v>
      </c>
      <c r="D256" s="121">
        <f>+D255-'C5 Ejecución PGN 2019-2026'!D112</f>
        <v>2.9103830456733704E-10</v>
      </c>
      <c r="E256" s="121">
        <f>+E255-'C5 Ejecución PGN 2019-2026'!E112</f>
        <v>1.1059455573558807E-9</v>
      </c>
      <c r="F256" s="121">
        <f>+F255-'C5 Ejecución PGN 2019-2026'!F112</f>
        <v>0</v>
      </c>
      <c r="G256" s="121">
        <f>+G255-'C5 Ejecución PGN 2019-2026'!G112</f>
        <v>0</v>
      </c>
      <c r="H256" s="121">
        <f>+H255-'C5 Ejecución PGN 2019-2026'!H112</f>
        <v>8.7311491370201111E-10</v>
      </c>
      <c r="I256" s="121">
        <f>+I255-'C5 Ejecución PGN 2019-2026'!I112</f>
        <v>0</v>
      </c>
      <c r="J256" s="121">
        <f>+J255-'C5 Ejecución PGN 2019-2026'!J112</f>
        <v>-4.6566128730773926E-10</v>
      </c>
      <c r="K256" s="121">
        <f>+K255-'C5 Ejecución PGN 2019-2026'!K112</f>
        <v>-1.0913936421275139E-10</v>
      </c>
      <c r="L256" s="6"/>
    </row>
    <row r="257" spans="2:12" x14ac:dyDescent="0.2">
      <c r="C257" s="1" t="s">
        <v>52</v>
      </c>
      <c r="E257" s="3"/>
      <c r="F257" s="3"/>
      <c r="L257" s="14"/>
    </row>
    <row r="258" spans="2:12" x14ac:dyDescent="0.2">
      <c r="B258" s="9"/>
      <c r="E258" s="3"/>
      <c r="F258" s="3"/>
    </row>
    <row r="259" spans="2:12" x14ac:dyDescent="0.2">
      <c r="E259" s="3"/>
      <c r="F259" s="3"/>
    </row>
    <row r="260" spans="2:12" x14ac:dyDescent="0.2">
      <c r="E260" s="3"/>
      <c r="F260" s="3"/>
    </row>
    <row r="261" spans="2:12" ht="18" customHeight="1" x14ac:dyDescent="0.2">
      <c r="D261" s="160" t="s">
        <v>185</v>
      </c>
      <c r="E261" s="178"/>
      <c r="F261" s="178"/>
      <c r="G261" s="178"/>
      <c r="H261" s="178"/>
      <c r="I261" s="178"/>
      <c r="J261" s="178"/>
      <c r="K261" s="178"/>
      <c r="L261" s="178"/>
    </row>
    <row r="262" spans="2:12" ht="6" customHeight="1" x14ac:dyDescent="0.2">
      <c r="D262" s="28"/>
      <c r="E262" s="28"/>
      <c r="F262" s="28"/>
    </row>
    <row r="263" spans="2:12" x14ac:dyDescent="0.2">
      <c r="D263" s="29"/>
      <c r="E263" s="29"/>
      <c r="F263" s="29"/>
    </row>
    <row r="264" spans="2:12" ht="13.5" customHeight="1" x14ac:dyDescent="0.2">
      <c r="C264" s="177" t="s">
        <v>120</v>
      </c>
      <c r="D264" s="153">
        <v>2019</v>
      </c>
      <c r="E264" s="153">
        <v>2020</v>
      </c>
      <c r="F264" s="153">
        <v>2021</v>
      </c>
      <c r="G264" s="153">
        <v>2022</v>
      </c>
      <c r="H264" s="153">
        <v>2023</v>
      </c>
      <c r="I264" s="153">
        <v>2024</v>
      </c>
      <c r="J264" s="153" t="s">
        <v>187</v>
      </c>
      <c r="K264" s="153" t="s">
        <v>36</v>
      </c>
    </row>
    <row r="265" spans="2:12" ht="12" customHeight="1" thickBot="1" x14ac:dyDescent="0.25">
      <c r="C265" s="156"/>
      <c r="D265" s="154"/>
      <c r="E265" s="154"/>
      <c r="F265" s="154"/>
      <c r="G265" s="154"/>
      <c r="H265" s="154"/>
      <c r="I265" s="154"/>
      <c r="J265" s="154"/>
      <c r="K265" s="154"/>
    </row>
    <row r="266" spans="2:12" x14ac:dyDescent="0.2">
      <c r="C266" s="87" t="s">
        <v>123</v>
      </c>
      <c r="D266" s="47">
        <f t="shared" ref="D266:K275" si="12">+IFERROR(IF(D224&gt;0,+((D224/D15)*100)," "),"")</f>
        <v>74.723228769944583</v>
      </c>
      <c r="E266" s="47">
        <f t="shared" si="12"/>
        <v>80.29535675725748</v>
      </c>
      <c r="F266" s="47">
        <f t="shared" si="12"/>
        <v>92.682482598360451</v>
      </c>
      <c r="G266" s="47">
        <f t="shared" si="12"/>
        <v>91.697368741342615</v>
      </c>
      <c r="H266" s="47">
        <f t="shared" si="12"/>
        <v>75.783059719447678</v>
      </c>
      <c r="I266" s="47">
        <f t="shared" si="12"/>
        <v>76.627372049917824</v>
      </c>
      <c r="J266" s="47">
        <f t="shared" si="12"/>
        <v>91.347238804922853</v>
      </c>
      <c r="K266" s="47">
        <f t="shared" si="12"/>
        <v>7.7689295327817005</v>
      </c>
    </row>
    <row r="267" spans="2:12" x14ac:dyDescent="0.2">
      <c r="C267" s="88" t="s">
        <v>124</v>
      </c>
      <c r="D267" s="116">
        <f t="shared" si="12"/>
        <v>94.545003275917111</v>
      </c>
      <c r="E267" s="116">
        <f t="shared" si="12"/>
        <v>95.530152171221545</v>
      </c>
      <c r="F267" s="116">
        <f t="shared" si="12"/>
        <v>93.400737963717205</v>
      </c>
      <c r="G267" s="116">
        <f t="shared" si="12"/>
        <v>92.17028251339417</v>
      </c>
      <c r="H267" s="116">
        <f t="shared" si="12"/>
        <v>94.196310644318871</v>
      </c>
      <c r="I267" s="116">
        <f t="shared" si="12"/>
        <v>95.690913124464544</v>
      </c>
      <c r="J267" s="116">
        <f t="shared" si="12"/>
        <v>97.40086617194946</v>
      </c>
      <c r="K267" s="116">
        <f t="shared" si="12"/>
        <v>31.059381008092444</v>
      </c>
    </row>
    <row r="268" spans="2:12" x14ac:dyDescent="0.2">
      <c r="C268" s="87" t="s">
        <v>125</v>
      </c>
      <c r="D268" s="47">
        <f t="shared" si="12"/>
        <v>94.812715484948839</v>
      </c>
      <c r="E268" s="47">
        <f t="shared" si="12"/>
        <v>90.810079500649664</v>
      </c>
      <c r="F268" s="47">
        <f t="shared" si="12"/>
        <v>94.850061437409806</v>
      </c>
      <c r="G268" s="47">
        <f t="shared" si="12"/>
        <v>86.804687626077097</v>
      </c>
      <c r="H268" s="47">
        <f t="shared" si="12"/>
        <v>93.917073936684005</v>
      </c>
      <c r="I268" s="47">
        <f t="shared" si="12"/>
        <v>91.046179967840644</v>
      </c>
      <c r="J268" s="47">
        <f t="shared" si="12"/>
        <v>88.784844663570624</v>
      </c>
      <c r="K268" s="47">
        <f t="shared" si="12"/>
        <v>8.8404666766547813</v>
      </c>
    </row>
    <row r="269" spans="2:12" x14ac:dyDescent="0.2">
      <c r="C269" s="88" t="s">
        <v>126</v>
      </c>
      <c r="D269" s="116">
        <f t="shared" si="12"/>
        <v>91.244525218029565</v>
      </c>
      <c r="E269" s="116">
        <f t="shared" si="12"/>
        <v>93.660519652112598</v>
      </c>
      <c r="F269" s="116">
        <f t="shared" si="12"/>
        <v>91.347378195650592</v>
      </c>
      <c r="G269" s="116">
        <f t="shared" si="12"/>
        <v>95.169256771551474</v>
      </c>
      <c r="H269" s="116">
        <f t="shared" si="12"/>
        <v>92.314940085382204</v>
      </c>
      <c r="I269" s="116">
        <f t="shared" si="12"/>
        <v>74.906177757137684</v>
      </c>
      <c r="J269" s="116">
        <f t="shared" si="12"/>
        <v>88.017267581281885</v>
      </c>
      <c r="K269" s="116">
        <f t="shared" si="12"/>
        <v>7.0749686707069923</v>
      </c>
    </row>
    <row r="270" spans="2:12" x14ac:dyDescent="0.2">
      <c r="C270" s="87" t="s">
        <v>127</v>
      </c>
      <c r="D270" s="47">
        <f t="shared" si="12"/>
        <v>95.905951640728659</v>
      </c>
      <c r="E270" s="47">
        <f t="shared" si="12"/>
        <v>94.521209645619919</v>
      </c>
      <c r="F270" s="47">
        <f t="shared" si="12"/>
        <v>93.707735036540626</v>
      </c>
      <c r="G270" s="47">
        <f t="shared" si="12"/>
        <v>94.716716560699552</v>
      </c>
      <c r="H270" s="47">
        <f t="shared" si="12"/>
        <v>94.054959809721439</v>
      </c>
      <c r="I270" s="47">
        <f t="shared" si="12"/>
        <v>86.304133003113719</v>
      </c>
      <c r="J270" s="47">
        <f t="shared" si="12"/>
        <v>80.252742544090779</v>
      </c>
      <c r="K270" s="47">
        <f t="shared" si="12"/>
        <v>12.875156389854681</v>
      </c>
    </row>
    <row r="271" spans="2:12" x14ac:dyDescent="0.2">
      <c r="C271" s="88" t="s">
        <v>128</v>
      </c>
      <c r="D271" s="116">
        <f t="shared" si="12"/>
        <v>97.253013974412681</v>
      </c>
      <c r="E271" s="116">
        <f t="shared" si="12"/>
        <v>96.296648282073036</v>
      </c>
      <c r="F271" s="116">
        <f t="shared" si="12"/>
        <v>82.702512090009364</v>
      </c>
      <c r="G271" s="116">
        <f t="shared" si="12"/>
        <v>93.236529102560922</v>
      </c>
      <c r="H271" s="116">
        <f t="shared" si="12"/>
        <v>91.431078949341099</v>
      </c>
      <c r="I271" s="116">
        <f t="shared" si="12"/>
        <v>89.469479980981419</v>
      </c>
      <c r="J271" s="116">
        <f t="shared" si="12"/>
        <v>90.753239429251607</v>
      </c>
      <c r="K271" s="116">
        <f t="shared" si="12"/>
        <v>4.8729493116759857</v>
      </c>
    </row>
    <row r="272" spans="2:12" x14ac:dyDescent="0.2">
      <c r="C272" s="87" t="s">
        <v>129</v>
      </c>
      <c r="D272" s="47">
        <f t="shared" si="12"/>
        <v>96.524828964459999</v>
      </c>
      <c r="E272" s="47">
        <f t="shared" si="12"/>
        <v>97.210698632124377</v>
      </c>
      <c r="F272" s="47">
        <f t="shared" si="12"/>
        <v>95.069858430263196</v>
      </c>
      <c r="G272" s="47">
        <f t="shared" si="12"/>
        <v>95.946746808086573</v>
      </c>
      <c r="H272" s="47">
        <f t="shared" si="12"/>
        <v>94.922478331916764</v>
      </c>
      <c r="I272" s="47">
        <f t="shared" si="12"/>
        <v>92.279946588519465</v>
      </c>
      <c r="J272" s="47">
        <f t="shared" si="12"/>
        <v>94.017537177611445</v>
      </c>
      <c r="K272" s="47">
        <f t="shared" si="12"/>
        <v>12.304241907742298</v>
      </c>
    </row>
    <row r="273" spans="3:11" x14ac:dyDescent="0.2">
      <c r="C273" s="88" t="s">
        <v>130</v>
      </c>
      <c r="D273" s="116">
        <f t="shared" si="12"/>
        <v>93.531782249009296</v>
      </c>
      <c r="E273" s="116">
        <f t="shared" si="12"/>
        <v>94.781225347129151</v>
      </c>
      <c r="F273" s="116">
        <f t="shared" si="12"/>
        <v>89.394584068622095</v>
      </c>
      <c r="G273" s="116">
        <f t="shared" si="12"/>
        <v>92.117205415162942</v>
      </c>
      <c r="H273" s="116">
        <f t="shared" si="12"/>
        <v>83.374166406582532</v>
      </c>
      <c r="I273" s="116">
        <f t="shared" si="12"/>
        <v>93.023513732877703</v>
      </c>
      <c r="J273" s="116">
        <f t="shared" si="12"/>
        <v>89.901315579483793</v>
      </c>
      <c r="K273" s="116">
        <f t="shared" si="12"/>
        <v>9.8654667564499903</v>
      </c>
    </row>
    <row r="274" spans="3:11" x14ac:dyDescent="0.2">
      <c r="C274" s="87" t="s">
        <v>131</v>
      </c>
      <c r="D274" s="47">
        <f t="shared" si="12"/>
        <v>99.936978649452868</v>
      </c>
      <c r="E274" s="47">
        <f t="shared" si="12"/>
        <v>99.963906763841408</v>
      </c>
      <c r="F274" s="47">
        <f t="shared" si="12"/>
        <v>99.932635888612765</v>
      </c>
      <c r="G274" s="47">
        <f t="shared" si="12"/>
        <v>99.893634149476412</v>
      </c>
      <c r="H274" s="47">
        <f t="shared" si="12"/>
        <v>98.984525786013307</v>
      </c>
      <c r="I274" s="47">
        <f t="shared" si="12"/>
        <v>99.650259047785809</v>
      </c>
      <c r="J274" s="47">
        <f t="shared" si="12"/>
        <v>97.904917972601453</v>
      </c>
      <c r="K274" s="47">
        <f t="shared" si="12"/>
        <v>14.728601703731362</v>
      </c>
    </row>
    <row r="275" spans="3:11" x14ac:dyDescent="0.2">
      <c r="C275" s="88" t="s">
        <v>132</v>
      </c>
      <c r="D275" s="116">
        <f t="shared" si="12"/>
        <v>88.39696896689442</v>
      </c>
      <c r="E275" s="116">
        <f t="shared" si="12"/>
        <v>85.553586394419582</v>
      </c>
      <c r="F275" s="116">
        <f t="shared" si="12"/>
        <v>54.969690125497749</v>
      </c>
      <c r="G275" s="116">
        <f t="shared" si="12"/>
        <v>78.415457595220786</v>
      </c>
      <c r="H275" s="116">
        <f t="shared" si="12"/>
        <v>87.458845754180544</v>
      </c>
      <c r="I275" s="116">
        <f t="shared" si="12"/>
        <v>84.742760784428199</v>
      </c>
      <c r="J275" s="116">
        <f t="shared" si="12"/>
        <v>88.054193774380977</v>
      </c>
      <c r="K275" s="116">
        <f t="shared" si="12"/>
        <v>8.5416864179388075</v>
      </c>
    </row>
    <row r="276" spans="3:11" x14ac:dyDescent="0.2">
      <c r="C276" s="87" t="s">
        <v>133</v>
      </c>
      <c r="D276" s="47">
        <f t="shared" ref="D276:K285" si="13">+IFERROR(IF(D234&gt;0,+((D234/D25)*100)," "),"")</f>
        <v>95.435814166482231</v>
      </c>
      <c r="E276" s="47">
        <f t="shared" si="13"/>
        <v>95.374690999137741</v>
      </c>
      <c r="F276" s="47">
        <f t="shared" si="13"/>
        <v>92.314223895395102</v>
      </c>
      <c r="G276" s="47">
        <f t="shared" si="13"/>
        <v>95.083003345113696</v>
      </c>
      <c r="H276" s="47">
        <f t="shared" si="13"/>
        <v>95.358547402754468</v>
      </c>
      <c r="I276" s="47">
        <f t="shared" si="13"/>
        <v>93.718180419162152</v>
      </c>
      <c r="J276" s="47">
        <f t="shared" si="13"/>
        <v>93.725126551608028</v>
      </c>
      <c r="K276" s="47">
        <f t="shared" si="13"/>
        <v>11.452683767609601</v>
      </c>
    </row>
    <row r="277" spans="3:11" x14ac:dyDescent="0.2">
      <c r="C277" s="88" t="s">
        <v>134</v>
      </c>
      <c r="D277" s="116">
        <f t="shared" si="13"/>
        <v>91.303648231017462</v>
      </c>
      <c r="E277" s="116">
        <f t="shared" si="13"/>
        <v>41.925370709674816</v>
      </c>
      <c r="F277" s="116">
        <f t="shared" si="13"/>
        <v>81.692373413910275</v>
      </c>
      <c r="G277" s="116">
        <f t="shared" si="13"/>
        <v>83.624685034131318</v>
      </c>
      <c r="H277" s="116">
        <f t="shared" si="13"/>
        <v>89.463001009042785</v>
      </c>
      <c r="I277" s="116">
        <f t="shared" si="13"/>
        <v>74.109696072199284</v>
      </c>
      <c r="J277" s="116">
        <f t="shared" si="13"/>
        <v>74.640140814787188</v>
      </c>
      <c r="K277" s="116">
        <f t="shared" si="13"/>
        <v>6.4917047516822572</v>
      </c>
    </row>
    <row r="278" spans="3:11" x14ac:dyDescent="0.2">
      <c r="C278" s="87" t="s">
        <v>135</v>
      </c>
      <c r="D278" s="47" t="str">
        <f t="shared" si="13"/>
        <v xml:space="preserve"> </v>
      </c>
      <c r="E278" s="47" t="str">
        <f t="shared" si="13"/>
        <v xml:space="preserve"> </v>
      </c>
      <c r="F278" s="47" t="str">
        <f t="shared" si="13"/>
        <v xml:space="preserve"> </v>
      </c>
      <c r="G278" s="47" t="str">
        <f t="shared" si="13"/>
        <v xml:space="preserve"> </v>
      </c>
      <c r="H278" s="47">
        <f t="shared" si="13"/>
        <v>0.42555537840000007</v>
      </c>
      <c r="I278" s="47">
        <f t="shared" si="13"/>
        <v>38.355376656699278</v>
      </c>
      <c r="J278" s="47">
        <f t="shared" si="13"/>
        <v>95.653898908120667</v>
      </c>
      <c r="K278" s="47">
        <f t="shared" si="13"/>
        <v>7.7973471514991592</v>
      </c>
    </row>
    <row r="279" spans="3:11" x14ac:dyDescent="0.2">
      <c r="C279" s="88" t="s">
        <v>136</v>
      </c>
      <c r="D279" s="116">
        <f t="shared" si="13"/>
        <v>93.936068865208426</v>
      </c>
      <c r="E279" s="116">
        <f t="shared" si="13"/>
        <v>98.175772939697339</v>
      </c>
      <c r="F279" s="116">
        <f t="shared" si="13"/>
        <v>96.753141626896593</v>
      </c>
      <c r="G279" s="116">
        <f t="shared" si="13"/>
        <v>93.264212997837376</v>
      </c>
      <c r="H279" s="116">
        <f t="shared" si="13"/>
        <v>88.852934507555346</v>
      </c>
      <c r="I279" s="116">
        <f t="shared" si="13"/>
        <v>48.03015288005524</v>
      </c>
      <c r="J279" s="116">
        <f t="shared" si="13"/>
        <v>55.061783086914851</v>
      </c>
      <c r="K279" s="116">
        <f t="shared" si="13"/>
        <v>2.5611531620794072</v>
      </c>
    </row>
    <row r="280" spans="3:11" x14ac:dyDescent="0.2">
      <c r="C280" s="87" t="s">
        <v>137</v>
      </c>
      <c r="D280" s="47">
        <f t="shared" si="13"/>
        <v>89.768355745535743</v>
      </c>
      <c r="E280" s="47">
        <f t="shared" si="13"/>
        <v>87.820221536522595</v>
      </c>
      <c r="F280" s="47">
        <f t="shared" si="13"/>
        <v>79.671407318582695</v>
      </c>
      <c r="G280" s="47">
        <f t="shared" si="13"/>
        <v>86.590986894346884</v>
      </c>
      <c r="H280" s="47">
        <f t="shared" si="13"/>
        <v>90.930891478951608</v>
      </c>
      <c r="I280" s="47">
        <f t="shared" si="13"/>
        <v>93.784180997859551</v>
      </c>
      <c r="J280" s="47">
        <f t="shared" si="13"/>
        <v>93.500154221437128</v>
      </c>
      <c r="K280" s="47">
        <f t="shared" si="13"/>
        <v>11.735726860206103</v>
      </c>
    </row>
    <row r="281" spans="3:11" x14ac:dyDescent="0.2">
      <c r="C281" s="88" t="s">
        <v>138</v>
      </c>
      <c r="D281" s="116">
        <f t="shared" si="13"/>
        <v>95.317949236626845</v>
      </c>
      <c r="E281" s="116">
        <f t="shared" si="13"/>
        <v>98.028113822928475</v>
      </c>
      <c r="F281" s="116">
        <f t="shared" si="13"/>
        <v>94.611263222058611</v>
      </c>
      <c r="G281" s="116">
        <f t="shared" si="13"/>
        <v>94.335103290489769</v>
      </c>
      <c r="H281" s="116">
        <f t="shared" si="13"/>
        <v>88.109589109918645</v>
      </c>
      <c r="I281" s="116">
        <f t="shared" si="13"/>
        <v>94.620839309417633</v>
      </c>
      <c r="J281" s="116">
        <f t="shared" si="13"/>
        <v>96.140341651529297</v>
      </c>
      <c r="K281" s="116">
        <f t="shared" si="13"/>
        <v>11.677752193275081</v>
      </c>
    </row>
    <row r="282" spans="3:11" x14ac:dyDescent="0.2">
      <c r="C282" s="87" t="s">
        <v>160</v>
      </c>
      <c r="D282" s="47">
        <f t="shared" si="13"/>
        <v>86.803237363186611</v>
      </c>
      <c r="E282" s="47">
        <f t="shared" si="13"/>
        <v>83.282410366945257</v>
      </c>
      <c r="F282" s="47">
        <f t="shared" si="13"/>
        <v>80.741657482229044</v>
      </c>
      <c r="G282" s="47">
        <f t="shared" si="13"/>
        <v>70.23290235266505</v>
      </c>
      <c r="H282" s="47">
        <f t="shared" si="13"/>
        <v>72.45179318041032</v>
      </c>
      <c r="I282" s="47">
        <f t="shared" si="13"/>
        <v>75.047484445495456</v>
      </c>
      <c r="J282" s="47">
        <f t="shared" si="13"/>
        <v>81.027123382063806</v>
      </c>
      <c r="K282" s="47">
        <f t="shared" si="13"/>
        <v>6.9933861903206678</v>
      </c>
    </row>
    <row r="283" spans="3:11" x14ac:dyDescent="0.2">
      <c r="C283" s="88" t="s">
        <v>161</v>
      </c>
      <c r="D283" s="116">
        <f t="shared" si="13"/>
        <v>85.568461315888555</v>
      </c>
      <c r="E283" s="116">
        <f t="shared" si="13"/>
        <v>88.773939725990914</v>
      </c>
      <c r="F283" s="116">
        <f t="shared" si="13"/>
        <v>75.2240532537853</v>
      </c>
      <c r="G283" s="116">
        <f t="shared" si="13"/>
        <v>78.138844790873947</v>
      </c>
      <c r="H283" s="116">
        <f t="shared" si="13"/>
        <v>75.877343300046249</v>
      </c>
      <c r="I283" s="116">
        <f t="shared" si="13"/>
        <v>84.164831502824669</v>
      </c>
      <c r="J283" s="116">
        <f t="shared" si="13"/>
        <v>88.509723528293009</v>
      </c>
      <c r="K283" s="116">
        <f t="shared" si="13"/>
        <v>7.424705029709644</v>
      </c>
    </row>
    <row r="284" spans="3:11" x14ac:dyDescent="0.2">
      <c r="C284" s="87" t="s">
        <v>140</v>
      </c>
      <c r="D284" s="47">
        <f t="shared" si="13"/>
        <v>88.869183979449986</v>
      </c>
      <c r="E284" s="47">
        <f t="shared" si="13"/>
        <v>92.641795169377488</v>
      </c>
      <c r="F284" s="47">
        <f t="shared" si="13"/>
        <v>90.466310539051932</v>
      </c>
      <c r="G284" s="47">
        <f t="shared" si="13"/>
        <v>90.618898273103994</v>
      </c>
      <c r="H284" s="47">
        <f t="shared" si="13"/>
        <v>95.049236974218772</v>
      </c>
      <c r="I284" s="47">
        <f t="shared" si="13"/>
        <v>97.90268794396485</v>
      </c>
      <c r="J284" s="47">
        <f t="shared" si="13"/>
        <v>97.09983059079498</v>
      </c>
      <c r="K284" s="47">
        <f t="shared" si="13"/>
        <v>52.792841248586811</v>
      </c>
    </row>
    <row r="285" spans="3:11" x14ac:dyDescent="0.2">
      <c r="C285" s="88" t="s">
        <v>141</v>
      </c>
      <c r="D285" s="116">
        <f t="shared" si="13"/>
        <v>92.050339652791052</v>
      </c>
      <c r="E285" s="116">
        <f t="shared" si="13"/>
        <v>82.19018394005117</v>
      </c>
      <c r="F285" s="116">
        <f t="shared" si="13"/>
        <v>86.326712459135194</v>
      </c>
      <c r="G285" s="116">
        <f t="shared" si="13"/>
        <v>90.620650315940239</v>
      </c>
      <c r="H285" s="116">
        <f t="shared" si="13"/>
        <v>85.749284044128231</v>
      </c>
      <c r="I285" s="116">
        <f t="shared" si="13"/>
        <v>89.882956053919202</v>
      </c>
      <c r="J285" s="116">
        <f t="shared" si="13"/>
        <v>93.210561619411948</v>
      </c>
      <c r="K285" s="116">
        <f t="shared" si="13"/>
        <v>10.969806908828252</v>
      </c>
    </row>
    <row r="286" spans="3:11" x14ac:dyDescent="0.2">
      <c r="C286" s="87" t="s">
        <v>142</v>
      </c>
      <c r="D286" s="47">
        <f t="shared" ref="D286:K295" si="14">+IFERROR(IF(D244&gt;0,+((D244/D35)*100)," "),"")</f>
        <v>93.642101791151148</v>
      </c>
      <c r="E286" s="47">
        <f t="shared" si="14"/>
        <v>86.381301539599576</v>
      </c>
      <c r="F286" s="47">
        <f t="shared" si="14"/>
        <v>50.196940159479887</v>
      </c>
      <c r="G286" s="47">
        <f t="shared" si="14"/>
        <v>81.547836489161654</v>
      </c>
      <c r="H286" s="47">
        <f t="shared" si="14"/>
        <v>90.269224469519159</v>
      </c>
      <c r="I286" s="47">
        <f t="shared" si="14"/>
        <v>88.90684036462342</v>
      </c>
      <c r="J286" s="47">
        <f t="shared" si="14"/>
        <v>88.897042753040679</v>
      </c>
      <c r="K286" s="47">
        <f t="shared" si="14"/>
        <v>14.309689940378684</v>
      </c>
    </row>
    <row r="287" spans="3:11" x14ac:dyDescent="0.2">
      <c r="C287" s="88" t="s">
        <v>143</v>
      </c>
      <c r="D287" s="116">
        <f t="shared" si="14"/>
        <v>43.056586832752373</v>
      </c>
      <c r="E287" s="116">
        <f t="shared" si="14"/>
        <v>37.42056011864986</v>
      </c>
      <c r="F287" s="116">
        <f t="shared" si="14"/>
        <v>56.32494176433687</v>
      </c>
      <c r="G287" s="116">
        <f t="shared" si="14"/>
        <v>19.269233910247184</v>
      </c>
      <c r="H287" s="116">
        <f t="shared" si="14"/>
        <v>22.108931829028304</v>
      </c>
      <c r="I287" s="116">
        <f t="shared" si="14"/>
        <v>33.708188772173706</v>
      </c>
      <c r="J287" s="116">
        <f t="shared" si="14"/>
        <v>37.044056959243363</v>
      </c>
      <c r="K287" s="116">
        <f t="shared" si="14"/>
        <v>3.004245754821131</v>
      </c>
    </row>
    <row r="288" spans="3:11" x14ac:dyDescent="0.2">
      <c r="C288" s="87" t="s">
        <v>144</v>
      </c>
      <c r="D288" s="47">
        <f t="shared" si="14"/>
        <v>95.677073021213758</v>
      </c>
      <c r="E288" s="47">
        <f t="shared" si="14"/>
        <v>93.569722459338479</v>
      </c>
      <c r="F288" s="47">
        <f t="shared" si="14"/>
        <v>93.819417833232151</v>
      </c>
      <c r="G288" s="47">
        <f t="shared" si="14"/>
        <v>94.383416720015617</v>
      </c>
      <c r="H288" s="47">
        <f t="shared" si="14"/>
        <v>87.154865817269638</v>
      </c>
      <c r="I288" s="47">
        <f t="shared" si="14"/>
        <v>93.29475087185989</v>
      </c>
      <c r="J288" s="47">
        <f t="shared" si="14"/>
        <v>92.602783651711391</v>
      </c>
      <c r="K288" s="47">
        <f t="shared" si="14"/>
        <v>10.957236663285215</v>
      </c>
    </row>
    <row r="289" spans="1:11" x14ac:dyDescent="0.2">
      <c r="C289" s="88" t="s">
        <v>145</v>
      </c>
      <c r="D289" s="116">
        <f t="shared" si="14"/>
        <v>91.765866466732476</v>
      </c>
      <c r="E289" s="116">
        <f t="shared" si="14"/>
        <v>92.106580251007713</v>
      </c>
      <c r="F289" s="116">
        <f t="shared" si="14"/>
        <v>85.158533454768346</v>
      </c>
      <c r="G289" s="116">
        <f t="shared" si="14"/>
        <v>92.944235242074697</v>
      </c>
      <c r="H289" s="116">
        <f t="shared" si="14"/>
        <v>79.051668989690853</v>
      </c>
      <c r="I289" s="116">
        <f t="shared" si="14"/>
        <v>58.377950195989236</v>
      </c>
      <c r="J289" s="116">
        <f t="shared" si="14"/>
        <v>72.776916543453666</v>
      </c>
      <c r="K289" s="116">
        <f t="shared" si="14"/>
        <v>2.9454379706466032</v>
      </c>
    </row>
    <row r="290" spans="1:11" x14ac:dyDescent="0.2">
      <c r="C290" s="87" t="s">
        <v>146</v>
      </c>
      <c r="D290" s="47">
        <f t="shared" si="14"/>
        <v>92.764988480538079</v>
      </c>
      <c r="E290" s="47">
        <f t="shared" si="14"/>
        <v>84.900047341173718</v>
      </c>
      <c r="F290" s="47">
        <f t="shared" si="14"/>
        <v>91.569232359634512</v>
      </c>
      <c r="G290" s="47">
        <f t="shared" si="14"/>
        <v>94.987799529664869</v>
      </c>
      <c r="H290" s="47">
        <f t="shared" si="14"/>
        <v>92.76990129109366</v>
      </c>
      <c r="I290" s="47">
        <f t="shared" si="14"/>
        <v>91.060808309506186</v>
      </c>
      <c r="J290" s="47">
        <f t="shared" si="14"/>
        <v>91.997380951586081</v>
      </c>
      <c r="K290" s="47">
        <f t="shared" si="14"/>
        <v>17.103146554237835</v>
      </c>
    </row>
    <row r="291" spans="1:11" x14ac:dyDescent="0.2">
      <c r="C291" s="88" t="s">
        <v>162</v>
      </c>
      <c r="D291" s="116">
        <f t="shared" si="14"/>
        <v>99.449404216551869</v>
      </c>
      <c r="E291" s="116">
        <f t="shared" si="14"/>
        <v>97.362016828621876</v>
      </c>
      <c r="F291" s="116">
        <f t="shared" si="14"/>
        <v>99.249543469521356</v>
      </c>
      <c r="G291" s="116">
        <f t="shared" si="14"/>
        <v>99.707667041067367</v>
      </c>
      <c r="H291" s="116">
        <f t="shared" si="14"/>
        <v>93.969457620241997</v>
      </c>
      <c r="I291" s="116">
        <f t="shared" si="14"/>
        <v>95.699374176904101</v>
      </c>
      <c r="J291" s="116">
        <f t="shared" si="14"/>
        <v>97.811098596769668</v>
      </c>
      <c r="K291" s="116">
        <f t="shared" si="14"/>
        <v>13.678287839329615</v>
      </c>
    </row>
    <row r="292" spans="1:11" x14ac:dyDescent="0.2">
      <c r="C292" s="87" t="s">
        <v>148</v>
      </c>
      <c r="D292" s="47">
        <f t="shared" si="14"/>
        <v>93.050883274572556</v>
      </c>
      <c r="E292" s="47">
        <f t="shared" si="14"/>
        <v>96.06209756691446</v>
      </c>
      <c r="F292" s="47">
        <f t="shared" si="14"/>
        <v>96.773095340898479</v>
      </c>
      <c r="G292" s="47">
        <f t="shared" si="14"/>
        <v>98.069737810301802</v>
      </c>
      <c r="H292" s="47">
        <f t="shared" si="14"/>
        <v>89.330663989037788</v>
      </c>
      <c r="I292" s="47">
        <f t="shared" si="14"/>
        <v>95.450350427727926</v>
      </c>
      <c r="J292" s="47">
        <f t="shared" si="14"/>
        <v>91.116606064679175</v>
      </c>
      <c r="K292" s="47">
        <f t="shared" si="14"/>
        <v>13.78757289735835</v>
      </c>
    </row>
    <row r="293" spans="1:11" x14ac:dyDescent="0.2">
      <c r="C293" s="88" t="s">
        <v>149</v>
      </c>
      <c r="D293" s="116">
        <f t="shared" si="14"/>
        <v>89.001837716179793</v>
      </c>
      <c r="E293" s="116">
        <f t="shared" si="14"/>
        <v>92.377570839648286</v>
      </c>
      <c r="F293" s="116">
        <f t="shared" si="14"/>
        <v>81.977419886343455</v>
      </c>
      <c r="G293" s="116">
        <f t="shared" si="14"/>
        <v>82.862741189670842</v>
      </c>
      <c r="H293" s="116">
        <f t="shared" si="14"/>
        <v>93.927235774912276</v>
      </c>
      <c r="I293" s="116">
        <f t="shared" si="14"/>
        <v>93.678783700271666</v>
      </c>
      <c r="J293" s="116">
        <f t="shared" si="14"/>
        <v>80.222725801500275</v>
      </c>
      <c r="K293" s="116">
        <f t="shared" si="14"/>
        <v>7.3555207619115954</v>
      </c>
    </row>
    <row r="294" spans="1:11" x14ac:dyDescent="0.2">
      <c r="C294" s="87" t="s">
        <v>163</v>
      </c>
      <c r="D294" s="47">
        <f t="shared" si="14"/>
        <v>79.805561759283549</v>
      </c>
      <c r="E294" s="47">
        <f t="shared" si="14"/>
        <v>86.240601975885298</v>
      </c>
      <c r="F294" s="47">
        <f t="shared" si="14"/>
        <v>94.01847692300683</v>
      </c>
      <c r="G294" s="47">
        <f t="shared" si="14"/>
        <v>60.788601820883201</v>
      </c>
      <c r="H294" s="47">
        <f t="shared" si="14"/>
        <v>75.369424184316145</v>
      </c>
      <c r="I294" s="47">
        <f t="shared" si="14"/>
        <v>80.128087479170702</v>
      </c>
      <c r="J294" s="47">
        <f t="shared" si="14"/>
        <v>85.840743681189409</v>
      </c>
      <c r="K294" s="47">
        <f t="shared" si="14"/>
        <v>3.5241120452779446</v>
      </c>
    </row>
    <row r="295" spans="1:11" x14ac:dyDescent="0.2">
      <c r="C295" s="88" t="s">
        <v>150</v>
      </c>
      <c r="D295" s="116">
        <f t="shared" si="14"/>
        <v>91.267463221545427</v>
      </c>
      <c r="E295" s="116">
        <f t="shared" si="14"/>
        <v>89.585257500553155</v>
      </c>
      <c r="F295" s="116">
        <f t="shared" si="14"/>
        <v>82.466346364759815</v>
      </c>
      <c r="G295" s="116">
        <f t="shared" si="14"/>
        <v>83.790394312645006</v>
      </c>
      <c r="H295" s="116">
        <f t="shared" si="14"/>
        <v>84.847079204015543</v>
      </c>
      <c r="I295" s="116">
        <f t="shared" si="14"/>
        <v>80.082385003453865</v>
      </c>
      <c r="J295" s="116">
        <f t="shared" si="14"/>
        <v>91.663593646489062</v>
      </c>
      <c r="K295" s="116">
        <f t="shared" si="14"/>
        <v>19.516207899157923</v>
      </c>
    </row>
    <row r="296" spans="1:11" x14ac:dyDescent="0.2">
      <c r="C296" s="87" t="s">
        <v>151</v>
      </c>
      <c r="D296" s="47">
        <f t="shared" ref="D296:K297" si="15">+IFERROR(IF(D254&gt;0,+((D254/D45)*100)," "),"")</f>
        <v>99.566539464255456</v>
      </c>
      <c r="E296" s="47">
        <f t="shared" si="15"/>
        <v>98.413423970951371</v>
      </c>
      <c r="F296" s="47">
        <f t="shared" si="15"/>
        <v>99.11140905476303</v>
      </c>
      <c r="G296" s="47">
        <f t="shared" si="15"/>
        <v>99.505596274293595</v>
      </c>
      <c r="H296" s="47">
        <f t="shared" si="15"/>
        <v>99.349479125513312</v>
      </c>
      <c r="I296" s="47">
        <f t="shared" si="15"/>
        <v>99.520669243819157</v>
      </c>
      <c r="J296" s="47">
        <f t="shared" si="15"/>
        <v>99.76047522188675</v>
      </c>
      <c r="K296" s="47">
        <f t="shared" si="15"/>
        <v>3.0161542820253016</v>
      </c>
    </row>
    <row r="297" spans="1:11" x14ac:dyDescent="0.2">
      <c r="C297" s="91" t="s">
        <v>179</v>
      </c>
      <c r="D297" s="64">
        <f t="shared" si="15"/>
        <v>94.064335759928568</v>
      </c>
      <c r="E297" s="64">
        <f t="shared" si="15"/>
        <v>84.236202038953138</v>
      </c>
      <c r="F297" s="64">
        <f t="shared" si="15"/>
        <v>93.274233169091914</v>
      </c>
      <c r="G297" s="64">
        <f t="shared" si="15"/>
        <v>88.86234523275796</v>
      </c>
      <c r="H297" s="64">
        <f t="shared" si="15"/>
        <v>90.213011281874984</v>
      </c>
      <c r="I297" s="64">
        <f t="shared" si="15"/>
        <v>89.542591915979017</v>
      </c>
      <c r="J297" s="64">
        <f t="shared" si="15"/>
        <v>91.770080926884162</v>
      </c>
      <c r="K297" s="64">
        <f t="shared" si="15"/>
        <v>11.258759940109094</v>
      </c>
    </row>
    <row r="298" spans="1:11" s="31" customFormat="1" x14ac:dyDescent="0.2">
      <c r="A298" s="5"/>
      <c r="B298" s="5"/>
      <c r="C298" s="72" t="str">
        <f>+'C1 Aprop Resumen 2000-2026'!B20</f>
        <v>* Información con corte a 28 de febrero</v>
      </c>
      <c r="D298" s="47"/>
      <c r="E298" s="47"/>
      <c r="F298" s="47"/>
      <c r="G298" s="47"/>
      <c r="H298" s="47"/>
      <c r="I298" s="47"/>
      <c r="K298" s="60"/>
    </row>
    <row r="299" spans="1:11" x14ac:dyDescent="0.2">
      <c r="C299" s="1" t="s">
        <v>52</v>
      </c>
      <c r="D299" s="11"/>
      <c r="K299" s="60" t="str">
        <f>+IFERROR(IF(K257&gt;0,+((K257/K48)*100)," "),"")</f>
        <v xml:space="preserve"> </v>
      </c>
    </row>
  </sheetData>
  <mergeCells count="82">
    <mergeCell ref="D2:K4"/>
    <mergeCell ref="J139:J140"/>
    <mergeCell ref="D6:K6"/>
    <mergeCell ref="J97:J98"/>
    <mergeCell ref="E8:E9"/>
    <mergeCell ref="G8:G9"/>
    <mergeCell ref="F55:F56"/>
    <mergeCell ref="H55:H56"/>
    <mergeCell ref="G97:G98"/>
    <mergeCell ref="J13:J14"/>
    <mergeCell ref="A7:C8"/>
    <mergeCell ref="F13:F14"/>
    <mergeCell ref="H13:H14"/>
    <mergeCell ref="C222:C223"/>
    <mergeCell ref="E222:E223"/>
    <mergeCell ref="G222:G223"/>
    <mergeCell ref="H139:H140"/>
    <mergeCell ref="D8:D9"/>
    <mergeCell ref="D52:L52"/>
    <mergeCell ref="K181:K182"/>
    <mergeCell ref="F8:F9"/>
    <mergeCell ref="I8:I9"/>
    <mergeCell ref="K8:K9"/>
    <mergeCell ref="E139:E140"/>
    <mergeCell ref="K97:K98"/>
    <mergeCell ref="D222:D223"/>
    <mergeCell ref="C264:C265"/>
    <mergeCell ref="E264:E265"/>
    <mergeCell ref="D261:L261"/>
    <mergeCell ref="K222:K223"/>
    <mergeCell ref="H8:H9"/>
    <mergeCell ref="J8:J9"/>
    <mergeCell ref="K55:K56"/>
    <mergeCell ref="D11:L11"/>
    <mergeCell ref="E55:E56"/>
    <mergeCell ref="E13:E14"/>
    <mergeCell ref="G13:G14"/>
    <mergeCell ref="C97:C98"/>
    <mergeCell ref="D139:D140"/>
    <mergeCell ref="H222:H223"/>
    <mergeCell ref="C139:C140"/>
    <mergeCell ref="J222:J223"/>
    <mergeCell ref="F264:F265"/>
    <mergeCell ref="D94:L94"/>
    <mergeCell ref="I97:I98"/>
    <mergeCell ref="J55:J56"/>
    <mergeCell ref="G139:G140"/>
    <mergeCell ref="E181:E182"/>
    <mergeCell ref="G181:G182"/>
    <mergeCell ref="F222:F223"/>
    <mergeCell ref="K139:K140"/>
    <mergeCell ref="I222:I223"/>
    <mergeCell ref="G264:G265"/>
    <mergeCell ref="I264:I265"/>
    <mergeCell ref="K264:K265"/>
    <mergeCell ref="D137:L137"/>
    <mergeCell ref="K13:K14"/>
    <mergeCell ref="H264:H265"/>
    <mergeCell ref="J264:J265"/>
    <mergeCell ref="D55:D56"/>
    <mergeCell ref="E97:E98"/>
    <mergeCell ref="H97:H98"/>
    <mergeCell ref="I139:I140"/>
    <mergeCell ref="F139:F140"/>
    <mergeCell ref="D220:L220"/>
    <mergeCell ref="G55:G56"/>
    <mergeCell ref="D181:D182"/>
    <mergeCell ref="D264:D265"/>
    <mergeCell ref="F181:F182"/>
    <mergeCell ref="A9:C9"/>
    <mergeCell ref="D178:L178"/>
    <mergeCell ref="C13:C14"/>
    <mergeCell ref="H181:H182"/>
    <mergeCell ref="J181:J182"/>
    <mergeCell ref="C55:C56"/>
    <mergeCell ref="D97:D98"/>
    <mergeCell ref="F97:F98"/>
    <mergeCell ref="I55:I56"/>
    <mergeCell ref="I13:I14"/>
    <mergeCell ref="C181:C182"/>
    <mergeCell ref="I181:I182"/>
    <mergeCell ref="D13:D14"/>
  </mergeCells>
  <pageMargins left="0.7" right="0.7" top="0.75" bottom="0.75" header="0.3" footer="0.3"/>
  <pageSetup orientation="portrait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Hoja18"/>
  <dimension ref="A1:V277"/>
  <sheetViews>
    <sheetView showGridLines="0" zoomScale="70" zoomScaleNormal="70" workbookViewId="0">
      <pane xSplit="3" ySplit="7" topLeftCell="D161" activePane="bottomRight" state="frozen"/>
      <selection activeCell="O5" sqref="O5:O6"/>
      <selection pane="topRight" activeCell="O5" sqref="O5:O6"/>
      <selection pane="bottomLeft" activeCell="O5" sqref="O5:O6"/>
      <selection pane="bottomRight" activeCell="A5" sqref="A5:C7"/>
    </sheetView>
  </sheetViews>
  <sheetFormatPr baseColWidth="10" defaultColWidth="11.42578125" defaultRowHeight="11.25" x14ac:dyDescent="0.2"/>
  <cols>
    <col min="1" max="2" width="2.7109375" style="3" customWidth="1"/>
    <col min="3" max="3" width="50.85546875" style="3" customWidth="1"/>
    <col min="4" max="22" width="10.7109375" style="3" customWidth="1"/>
    <col min="23" max="33" width="10.7109375" style="9" customWidth="1"/>
    <col min="34" max="34" width="11.42578125" style="9" customWidth="1"/>
    <col min="35" max="16384" width="11.42578125" style="9"/>
  </cols>
  <sheetData>
    <row r="1" spans="1:22" ht="16.5" customHeight="1" x14ac:dyDescent="0.2"/>
    <row r="2" spans="1:22" ht="16.5" customHeight="1" x14ac:dyDescent="0.2">
      <c r="D2" s="179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  <c r="Q2" s="158"/>
      <c r="R2" s="158"/>
      <c r="S2" s="158"/>
      <c r="T2" s="158"/>
      <c r="U2" s="158"/>
      <c r="V2" s="158"/>
    </row>
    <row r="3" spans="1:22" s="102" customFormat="1" ht="15" customHeight="1" x14ac:dyDescent="0.25">
      <c r="A3" s="120"/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  <c r="R3" s="98"/>
      <c r="S3" s="98"/>
      <c r="T3" s="98"/>
      <c r="U3" s="98"/>
      <c r="V3" s="98"/>
    </row>
    <row r="4" spans="1:22" s="102" customFormat="1" ht="15" customHeight="1" x14ac:dyDescent="0.25">
      <c r="A4" s="120"/>
      <c r="B4" s="98"/>
      <c r="C4" s="98"/>
      <c r="D4" s="161"/>
      <c r="E4" s="176"/>
      <c r="F4" s="176"/>
      <c r="G4" s="176"/>
      <c r="H4" s="176"/>
      <c r="I4" s="176"/>
      <c r="J4" s="176"/>
      <c r="K4" s="176"/>
      <c r="L4" s="176"/>
      <c r="M4" s="176"/>
      <c r="N4" s="176"/>
      <c r="O4" s="176"/>
      <c r="P4" s="176"/>
      <c r="Q4" s="176"/>
      <c r="R4" s="176"/>
      <c r="S4" s="176"/>
      <c r="T4" s="176"/>
      <c r="U4" s="176"/>
      <c r="V4" s="176"/>
    </row>
    <row r="5" spans="1:22" s="102" customFormat="1" ht="20.25" customHeight="1" x14ac:dyDescent="0.25">
      <c r="A5" s="165" t="s">
        <v>16</v>
      </c>
      <c r="B5" s="176"/>
      <c r="C5" s="176"/>
      <c r="D5" s="147"/>
      <c r="E5" s="147"/>
      <c r="F5" s="147"/>
      <c r="G5" s="147"/>
      <c r="H5" s="147"/>
      <c r="I5" s="147"/>
      <c r="J5" s="147"/>
      <c r="K5" s="147"/>
      <c r="L5" s="147"/>
      <c r="M5" s="147"/>
      <c r="N5" s="147"/>
      <c r="O5" s="147"/>
      <c r="P5" s="147"/>
      <c r="Q5" s="147"/>
      <c r="R5" s="147"/>
      <c r="S5" s="147"/>
      <c r="T5" s="147"/>
      <c r="U5" s="147"/>
      <c r="V5" s="147"/>
    </row>
    <row r="6" spans="1:22" s="102" customFormat="1" ht="20.25" customHeight="1" x14ac:dyDescent="0.25">
      <c r="A6" s="176"/>
      <c r="B6" s="176"/>
      <c r="C6" s="176"/>
      <c r="D6" s="151" t="s">
        <v>27</v>
      </c>
      <c r="E6" s="151" t="s">
        <v>28</v>
      </c>
      <c r="F6" s="151" t="s">
        <v>29</v>
      </c>
      <c r="G6" s="151" t="s">
        <v>30</v>
      </c>
      <c r="H6" s="151">
        <v>2004</v>
      </c>
      <c r="I6" s="151" t="s">
        <v>31</v>
      </c>
      <c r="J6" s="151" t="s">
        <v>32</v>
      </c>
      <c r="K6" s="151" t="s">
        <v>33</v>
      </c>
      <c r="L6" s="151" t="s">
        <v>34</v>
      </c>
      <c r="M6" s="151" t="s">
        <v>35</v>
      </c>
      <c r="N6" s="151">
        <v>2010</v>
      </c>
      <c r="O6" s="151">
        <v>2011</v>
      </c>
      <c r="P6" s="151">
        <v>2012</v>
      </c>
      <c r="Q6" s="151">
        <v>2013</v>
      </c>
      <c r="R6" s="151">
        <v>2014</v>
      </c>
      <c r="S6" s="151">
        <v>2015</v>
      </c>
      <c r="T6" s="151">
        <v>2016</v>
      </c>
      <c r="U6" s="151">
        <v>2017</v>
      </c>
      <c r="V6" s="151">
        <v>2018</v>
      </c>
    </row>
    <row r="7" spans="1:22" s="102" customFormat="1" ht="15" customHeight="1" x14ac:dyDescent="0.25">
      <c r="A7" s="162" t="s">
        <v>227</v>
      </c>
      <c r="B7" s="176"/>
      <c r="C7" s="176"/>
      <c r="D7" s="176"/>
      <c r="E7" s="176"/>
      <c r="F7" s="176"/>
      <c r="G7" s="176"/>
      <c r="H7" s="176"/>
      <c r="I7" s="176"/>
      <c r="J7" s="176"/>
      <c r="K7" s="176"/>
      <c r="L7" s="176"/>
      <c r="M7" s="176"/>
      <c r="N7" s="176"/>
      <c r="O7" s="176"/>
      <c r="P7" s="176"/>
      <c r="Q7" s="176"/>
      <c r="R7" s="176"/>
      <c r="S7" s="176"/>
      <c r="T7" s="176"/>
      <c r="U7" s="176"/>
      <c r="V7" s="176"/>
    </row>
    <row r="8" spans="1:22" s="102" customFormat="1" ht="15" customHeight="1" x14ac:dyDescent="0.25">
      <c r="A8" s="99"/>
      <c r="B8" s="98"/>
      <c r="C8" s="98"/>
      <c r="D8" s="98"/>
      <c r="E8" s="98"/>
      <c r="F8" s="98"/>
      <c r="G8" s="98"/>
      <c r="H8" s="98"/>
      <c r="I8" s="98"/>
      <c r="J8" s="98"/>
      <c r="K8" s="98"/>
      <c r="L8" s="98"/>
      <c r="M8" s="98"/>
      <c r="N8" s="98"/>
      <c r="O8" s="98"/>
      <c r="P8" s="98"/>
      <c r="Q8" s="98"/>
      <c r="R8" s="98"/>
      <c r="S8" s="98"/>
      <c r="T8" s="98"/>
      <c r="U8" s="98"/>
      <c r="V8" s="98"/>
    </row>
    <row r="10" spans="1:22" ht="18" customHeight="1" x14ac:dyDescent="0.2">
      <c r="D10" s="160" t="s">
        <v>164</v>
      </c>
      <c r="E10" s="158"/>
      <c r="F10" s="158"/>
      <c r="G10" s="158"/>
      <c r="H10" s="158"/>
      <c r="I10" s="158"/>
      <c r="J10" s="158"/>
      <c r="K10" s="158"/>
      <c r="L10" s="158"/>
      <c r="M10" s="158"/>
      <c r="N10" s="158"/>
      <c r="O10" s="158"/>
      <c r="P10" s="158"/>
      <c r="Q10" s="158"/>
      <c r="R10" s="158"/>
      <c r="S10" s="158"/>
      <c r="T10" s="158"/>
      <c r="U10" s="158"/>
      <c r="V10" s="158"/>
    </row>
    <row r="11" spans="1:22" ht="15.75" customHeight="1" x14ac:dyDescent="0.2"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</row>
    <row r="12" spans="1:22" ht="9.9499999999999993" customHeight="1" x14ac:dyDescent="0.2">
      <c r="C12" s="177" t="s">
        <v>120</v>
      </c>
      <c r="D12" s="153" t="s">
        <v>27</v>
      </c>
      <c r="E12" s="153" t="s">
        <v>28</v>
      </c>
      <c r="F12" s="153" t="s">
        <v>29</v>
      </c>
      <c r="G12" s="153" t="s">
        <v>30</v>
      </c>
      <c r="H12" s="153" t="s">
        <v>121</v>
      </c>
      <c r="I12" s="153" t="s">
        <v>31</v>
      </c>
      <c r="J12" s="153" t="s">
        <v>32</v>
      </c>
      <c r="K12" s="153" t="s">
        <v>33</v>
      </c>
      <c r="L12" s="153" t="s">
        <v>34</v>
      </c>
      <c r="M12" s="153" t="s">
        <v>122</v>
      </c>
      <c r="N12" s="153">
        <v>2010</v>
      </c>
      <c r="O12" s="153">
        <v>2011</v>
      </c>
      <c r="P12" s="153">
        <v>2012</v>
      </c>
      <c r="Q12" s="153">
        <v>2013</v>
      </c>
      <c r="R12" s="153">
        <v>2014</v>
      </c>
      <c r="S12" s="153">
        <v>2015</v>
      </c>
      <c r="T12" s="153">
        <v>2016</v>
      </c>
      <c r="U12" s="153">
        <v>2017</v>
      </c>
      <c r="V12" s="153">
        <v>2018</v>
      </c>
    </row>
    <row r="13" spans="1:22" ht="9.9499999999999993" customHeight="1" thickBot="1" x14ac:dyDescent="0.25">
      <c r="C13" s="156"/>
      <c r="D13" s="154"/>
      <c r="E13" s="154"/>
      <c r="F13" s="154"/>
      <c r="G13" s="154"/>
      <c r="H13" s="154"/>
      <c r="I13" s="154"/>
      <c r="J13" s="154"/>
      <c r="K13" s="154"/>
      <c r="L13" s="154"/>
      <c r="M13" s="154"/>
      <c r="N13" s="154"/>
      <c r="O13" s="154"/>
      <c r="P13" s="154"/>
      <c r="Q13" s="154"/>
      <c r="R13" s="154"/>
      <c r="S13" s="154"/>
      <c r="T13" s="154"/>
      <c r="U13" s="154"/>
      <c r="V13" s="154"/>
    </row>
    <row r="14" spans="1:22" x14ac:dyDescent="0.2">
      <c r="C14" s="87" t="s">
        <v>123</v>
      </c>
      <c r="D14" s="56">
        <f>226.147478655*Deflactores!$A$5</f>
        <v>821.04179302737191</v>
      </c>
      <c r="E14" s="56">
        <f>229.324387711*Deflactores!$B$5</f>
        <v>773.42207743996585</v>
      </c>
      <c r="F14" s="56">
        <f>233.160262339*Deflactores!$C$5</f>
        <v>734.97099358664752</v>
      </c>
      <c r="G14" s="56">
        <f>276.164926097*Deflactores!$D$5</f>
        <v>817.46619906520414</v>
      </c>
      <c r="H14" s="56">
        <f>265.073613227*Deflactores!$E$5</f>
        <v>743.7513076895782</v>
      </c>
      <c r="I14" s="56">
        <f>284.29359958*Deflactores!$F$5</f>
        <v>760.7439320328516</v>
      </c>
      <c r="J14" s="56">
        <f>392.9501*Deflactores!$G$5</f>
        <v>1006.4314104153655</v>
      </c>
      <c r="K14" s="56">
        <f>430.651948*Deflactores!$H$5</f>
        <v>1043.5685098986353</v>
      </c>
      <c r="L14" s="56">
        <f>736.4319*Deflactores!$I$5</f>
        <v>1657.3521544113341</v>
      </c>
      <c r="M14" s="56">
        <f>337.2967*Deflactores!$J$5</f>
        <v>744.1944503524436</v>
      </c>
      <c r="N14" s="56">
        <f>407.8586*Deflactores!$K$5</f>
        <v>872.21867995624268</v>
      </c>
      <c r="O14" s="56">
        <f>280.7302*Deflactores!$L$5</f>
        <v>578.78117239700487</v>
      </c>
      <c r="P14" s="56">
        <f>433.7912118*Deflactores!$M$5</f>
        <v>873.04461855528291</v>
      </c>
      <c r="Q14" s="56">
        <f>1399.788201392*Deflactores!$N$5</f>
        <v>2763.58858178728</v>
      </c>
      <c r="R14" s="56">
        <f>403.162426402*Deflactores!$O$5</f>
        <v>767.8562204590678</v>
      </c>
      <c r="S14" s="56">
        <f>519.077663936*Deflactores!$P$5</f>
        <v>925.94023359873813</v>
      </c>
      <c r="T14" s="56">
        <f>517.399056735*Deflactores!$Q$5</f>
        <v>872.76208355840208</v>
      </c>
      <c r="U14" s="56">
        <f>584.735675535*Deflactores!$R$5</f>
        <v>947.59076778260953</v>
      </c>
      <c r="V14" s="56">
        <f>675.337306883*Deflactores!$S$5</f>
        <v>1060.6850492077183</v>
      </c>
    </row>
    <row r="15" spans="1:22" x14ac:dyDescent="0.2">
      <c r="C15" s="88" t="s">
        <v>124</v>
      </c>
      <c r="D15" s="57">
        <f>93.775796859*Deflactores!$A$5</f>
        <v>340.45857532262016</v>
      </c>
      <c r="E15" s="57">
        <f>97.251305587*Deflactores!$B$5</f>
        <v>327.99087594484655</v>
      </c>
      <c r="F15" s="57">
        <f>102.819736516*Deflactores!$C$5</f>
        <v>324.10979104839316</v>
      </c>
      <c r="G15" s="57">
        <f>110.4942676*Deflactores!$D$5</f>
        <v>327.07024106942436</v>
      </c>
      <c r="H15" s="57">
        <f>111.317485167*Deflactores!$E$5</f>
        <v>312.33786024099948</v>
      </c>
      <c r="I15" s="57">
        <f>118.847202884*Deflactores!$F$5</f>
        <v>318.02435428251096</v>
      </c>
      <c r="J15" s="57">
        <f>124.194613801*Deflactores!$G$5</f>
        <v>318.08965141816236</v>
      </c>
      <c r="K15" s="57">
        <f>134.082646611*Deflactores!$H$5</f>
        <v>324.91302634745438</v>
      </c>
      <c r="L15" s="57">
        <f>1053.453945815*Deflactores!$I$5</f>
        <v>2370.8155046917591</v>
      </c>
      <c r="M15" s="57">
        <f>1263.270433444*Deflactores!$J$5</f>
        <v>2787.2162575659672</v>
      </c>
      <c r="N15" s="57">
        <f>1397.872596732*Deflactores!$K$5</f>
        <v>2989.3953224685956</v>
      </c>
      <c r="O15" s="57">
        <f>1107.068853688*Deflactores!$L$5</f>
        <v>2282.4427477405311</v>
      </c>
      <c r="P15" s="57">
        <f>230.425748668*Deflactores!$M$5</f>
        <v>463.75296312807774</v>
      </c>
      <c r="Q15" s="57">
        <f>251.178179*Deflactores!$N$5</f>
        <v>495.89869866614862</v>
      </c>
      <c r="R15" s="57">
        <f>252.920629344*Deflactores!$O$5</f>
        <v>481.70827886268825</v>
      </c>
      <c r="S15" s="57">
        <f>254.100826172*Deflactores!$P$5</f>
        <v>453.2697025706413</v>
      </c>
      <c r="T15" s="57">
        <f>263.118971981*Deflactores!$Q$5</f>
        <v>443.83587333731629</v>
      </c>
      <c r="U15" s="57">
        <f>278.83379775*Deflactores!$R$5</f>
        <v>451.86285624169705</v>
      </c>
      <c r="V15" s="57">
        <f>292.088027472*Deflactores!$S$5</f>
        <v>458.75357489438665</v>
      </c>
    </row>
    <row r="16" spans="1:22" x14ac:dyDescent="0.2">
      <c r="C16" s="87" t="s">
        <v>125</v>
      </c>
      <c r="D16" s="56">
        <f>6.559897136*Deflactores!$A$5</f>
        <v>23.816094429392756</v>
      </c>
      <c r="E16" s="56">
        <f>3.732766761*Deflactores!$B$5</f>
        <v>12.589172271244623</v>
      </c>
      <c r="F16" s="56">
        <f>4.127397104*Deflactores!$C$5</f>
        <v>13.010438056734527</v>
      </c>
      <c r="G16" s="56">
        <f>4.541631518*Deflactores!$D$5</f>
        <v>13.443525602777566</v>
      </c>
      <c r="H16" s="56">
        <f>4.792757016*Deflactores!$E$5</f>
        <v>13.44765800976117</v>
      </c>
      <c r="I16" s="56">
        <f>4.803558529*Deflactores!$F$5</f>
        <v>12.853887700954344</v>
      </c>
      <c r="J16" s="56">
        <f>5.048685536*Deflactores!$G$5</f>
        <v>12.930791224484063</v>
      </c>
      <c r="K16" s="56">
        <f>5.491990493*Deflactores!$H$5</f>
        <v>13.308353443596825</v>
      </c>
      <c r="L16" s="56">
        <f>5.285664815*Deflactores!$I$5</f>
        <v>11.895475968160035</v>
      </c>
      <c r="M16" s="56">
        <f>25.837213018*Deflactores!$J$5</f>
        <v>57.005925467309673</v>
      </c>
      <c r="N16" s="56">
        <f>26.312060741*Deflactores!$K$5</f>
        <v>56.26918467930674</v>
      </c>
      <c r="O16" s="56">
        <f>10.479912615*Deflactores!$L$5</f>
        <v>21.606425350489047</v>
      </c>
      <c r="P16" s="56">
        <f>16.938482499*Deflactores!$M$5</f>
        <v>34.090250309318947</v>
      </c>
      <c r="Q16" s="56">
        <f>17.628*Deflactores!$N$5</f>
        <v>34.802793359238692</v>
      </c>
      <c r="R16" s="56">
        <f>22.785*Deflactores!$O$5</f>
        <v>43.395918958267956</v>
      </c>
      <c r="S16" s="56">
        <f>21.30448316*Deflactores!$P$5</f>
        <v>38.003326832231011</v>
      </c>
      <c r="T16" s="56">
        <f>21.872865769*Deflactores!$Q$5</f>
        <v>36.895714542678526</v>
      </c>
      <c r="U16" s="56">
        <f>23.431825456*Deflactores!$R$5</f>
        <v>37.972339303710058</v>
      </c>
      <c r="V16" s="56">
        <f>23.7000418*Deflactores!$S$5</f>
        <v>37.223295302436341</v>
      </c>
    </row>
    <row r="17" spans="3:22" x14ac:dyDescent="0.2">
      <c r="C17" s="88" t="s">
        <v>126</v>
      </c>
      <c r="D17" s="57">
        <f>119.401607607*Deflactores!$A$5</f>
        <v>433.49459646002782</v>
      </c>
      <c r="E17" s="57">
        <f>118.7445314*Deflactores!$B$5</f>
        <v>400.47917745129547</v>
      </c>
      <c r="F17" s="57">
        <f>117.558142188899*Deflactores!$C$5</f>
        <v>370.56839661276757</v>
      </c>
      <c r="G17" s="57">
        <f>121.92927106*Deflactores!$D$5</f>
        <v>360.91859736453318</v>
      </c>
      <c r="H17" s="57">
        <f>116.773985026*Deflactores!$E$5</f>
        <v>327.64786735990452</v>
      </c>
      <c r="I17" s="57">
        <f>130.088374508*Deflactores!$F$5</f>
        <v>348.10471175285716</v>
      </c>
      <c r="J17" s="57">
        <f>208.048776922*Deflactores!$G$5</f>
        <v>532.85855886739864</v>
      </c>
      <c r="K17" s="57">
        <f>192.846158052*Deflactores!$H$5</f>
        <v>467.31050151432805</v>
      </c>
      <c r="L17" s="57">
        <f>169.030876788*Deflactores!$I$5</f>
        <v>380.40678005207076</v>
      </c>
      <c r="M17" s="57">
        <f>207.19752*Deflactores!$J$5</f>
        <v>457.15017226907179</v>
      </c>
      <c r="N17" s="57">
        <f>145.269*Deflactores!$K$5</f>
        <v>310.66240951781674</v>
      </c>
      <c r="O17" s="57">
        <f>272.9286*Deflactores!$L$5</f>
        <v>562.69662148451846</v>
      </c>
      <c r="P17" s="57">
        <f>372.836020731*Deflactores!$M$5</f>
        <v>750.36670326285639</v>
      </c>
      <c r="Q17" s="57">
        <f>549.345123692*Deflactores!$N$5</f>
        <v>1084.5668721782447</v>
      </c>
      <c r="R17" s="57">
        <f>450.301311412*Deflactores!$O$5</f>
        <v>857.63612977120624</v>
      </c>
      <c r="S17" s="57">
        <f>406.16963459*Deflactores!$P$5</f>
        <v>724.53282516765887</v>
      </c>
      <c r="T17" s="57">
        <f>376.69049176*Deflactores!$Q$5</f>
        <v>635.41124431056051</v>
      </c>
      <c r="U17" s="57">
        <f>441.265262397*Deflactores!$R$5</f>
        <v>715.09043536294325</v>
      </c>
      <c r="V17" s="57">
        <f>390.246565032*Deflactores!$S$5</f>
        <v>612.92141395917542</v>
      </c>
    </row>
    <row r="18" spans="3:22" x14ac:dyDescent="0.2">
      <c r="C18" s="87" t="s">
        <v>127</v>
      </c>
      <c r="D18" s="56">
        <f>194.10744778*Deflactores!$A$5</f>
        <v>704.71856645541504</v>
      </c>
      <c r="E18" s="56">
        <f>198.518820268*Deflactores!$B$5</f>
        <v>669.52686504542646</v>
      </c>
      <c r="F18" s="56">
        <f>194.468797251*Deflactores!$C$5</f>
        <v>613.00722388688314</v>
      </c>
      <c r="G18" s="56">
        <f>213.374907985*Deflactores!$D$5</f>
        <v>631.60364884684918</v>
      </c>
      <c r="H18" s="56">
        <f>230.193360479*Deflactores!$E$5</f>
        <v>645.88327292728013</v>
      </c>
      <c r="I18" s="56">
        <f>243.807433626*Deflactores!$F$5</f>
        <v>652.40661762872094</v>
      </c>
      <c r="J18" s="56">
        <f>259.254682913*Deflactores!$G$5</f>
        <v>664.00811752158597</v>
      </c>
      <c r="K18" s="56">
        <f>276.467705615*Deflactores!$H$5</f>
        <v>669.94470342844033</v>
      </c>
      <c r="L18" s="56">
        <f>302.109*Deflactores!$I$5</f>
        <v>679.90129435872302</v>
      </c>
      <c r="M18" s="56">
        <f>328.419350642*Deflactores!$J$5</f>
        <v>724.60791385189839</v>
      </c>
      <c r="N18" s="56">
        <f>339.682733535*Deflactores!$K$5</f>
        <v>726.42240582355214</v>
      </c>
      <c r="O18" s="56">
        <f>353.797018673*Deflactores!$L$5</f>
        <v>729.42295933292519</v>
      </c>
      <c r="P18" s="56">
        <f>382.936160401*Deflactores!$M$5</f>
        <v>770.69416114048545</v>
      </c>
      <c r="Q18" s="56">
        <f>405.385*Deflactores!$N$5</f>
        <v>800.34776412156668</v>
      </c>
      <c r="R18" s="56">
        <f>411.6535*Deflactores!$O$5</f>
        <v>784.02817313528021</v>
      </c>
      <c r="S18" s="56">
        <f>420.938028437*Deflactores!$P$5</f>
        <v>750.87695630379528</v>
      </c>
      <c r="T18" s="56">
        <f>448.293177029*Deflactores!$Q$5</f>
        <v>756.19250196901044</v>
      </c>
      <c r="U18" s="56">
        <f>486.381577794*Deflactores!$R$5</f>
        <v>788.20347726422642</v>
      </c>
      <c r="V18" s="56">
        <f>515.535488892*Deflactores!$S$5</f>
        <v>809.70024879503819</v>
      </c>
    </row>
    <row r="19" spans="3:22" x14ac:dyDescent="0.2">
      <c r="C19" s="88" t="s">
        <v>128</v>
      </c>
      <c r="D19" s="57">
        <f>39.907327219*Deflactores!$A$5</f>
        <v>144.88591113060096</v>
      </c>
      <c r="E19" s="57">
        <f>42.814156713*Deflactores!$B$5</f>
        <v>144.39551920024758</v>
      </c>
      <c r="F19" s="57">
        <f>49.465568195*Deflactores!$C$5</f>
        <v>155.92604605903338</v>
      </c>
      <c r="G19" s="57">
        <f>53.926091843*Deflactores!$D$5</f>
        <v>159.62475015330051</v>
      </c>
      <c r="H19" s="57">
        <f>59.641121198*Deflactores!$E$5</f>
        <v>167.3428046762931</v>
      </c>
      <c r="I19" s="57">
        <f>71.563549296*Deflactores!$F$5</f>
        <v>191.49757842629887</v>
      </c>
      <c r="J19" s="57">
        <f>73.690468468*Deflactores!$G$5</f>
        <v>188.73745575944187</v>
      </c>
      <c r="K19" s="57">
        <f>84.186701502*Deflactores!$H$5</f>
        <v>204.00369961805754</v>
      </c>
      <c r="L19" s="57">
        <f>105.96497785*Deflactores!$I$5</f>
        <v>238.47593284843688</v>
      </c>
      <c r="M19" s="57">
        <f>104.662230912*Deflactores!$J$5</f>
        <v>230.92147479123386</v>
      </c>
      <c r="N19" s="57">
        <f>115.408069204*Deflactores!$K$5</f>
        <v>246.80385255432049</v>
      </c>
      <c r="O19" s="57">
        <f>121.526855763*Deflactores!$L$5</f>
        <v>250.55179690760323</v>
      </c>
      <c r="P19" s="57">
        <f>153.143769183*Deflactores!$M$5</f>
        <v>308.21588799759661</v>
      </c>
      <c r="Q19" s="57">
        <f>213.904187454*Deflactores!$N$5</f>
        <v>422.3090103606433</v>
      </c>
      <c r="R19" s="57">
        <f>198.124438357*Deflactores!$O$5</f>
        <v>377.34439633937797</v>
      </c>
      <c r="S19" s="57">
        <f>218.294458603*Deflactores!$P$5</f>
        <v>389.39764901364225</v>
      </c>
      <c r="T19" s="57">
        <f>205.981609702*Deflactores!$Q$5</f>
        <v>347.45509586482814</v>
      </c>
      <c r="U19" s="57">
        <f>213.104884948*Deflactores!$R$5</f>
        <v>345.34616236873143</v>
      </c>
      <c r="V19" s="57">
        <f>257.852744855*Deflactores!$S$5</f>
        <v>404.98362607450923</v>
      </c>
    </row>
    <row r="20" spans="3:22" x14ac:dyDescent="0.2">
      <c r="C20" s="87" t="s">
        <v>129</v>
      </c>
      <c r="D20" s="56">
        <f>5510.544482964*Deflactores!$A$5</f>
        <v>20006.357575854508</v>
      </c>
      <c r="E20" s="56">
        <f>6197.875402664*Deflactores!$B$5</f>
        <v>20903.026134679709</v>
      </c>
      <c r="F20" s="56">
        <f>6953.92735701*Deflactores!$C$5</f>
        <v>21920.265690386124</v>
      </c>
      <c r="G20" s="56">
        <f>8021.8827487978*Deflactores!$D$5</f>
        <v>23745.296307841698</v>
      </c>
      <c r="H20" s="56">
        <f>9298.91988716411*Deflactores!$E$5</f>
        <v>26091.18177393324</v>
      </c>
      <c r="I20" s="56">
        <f>10157.060573865*Deflactores!$F$5</f>
        <v>27179.374457508889</v>
      </c>
      <c r="J20" s="56">
        <f>11090.89353162*Deflactores!$G$5</f>
        <v>28406.211424287641</v>
      </c>
      <c r="K20" s="56">
        <f>12533.9760557938*Deflactores!$H$5</f>
        <v>30372.700684149488</v>
      </c>
      <c r="L20" s="56">
        <f>14010.480768*Deflactores!$I$5</f>
        <v>31530.818375987463</v>
      </c>
      <c r="M20" s="56">
        <f>15926.4378829999*Deflactores!$J$5</f>
        <v>35139.290382655527</v>
      </c>
      <c r="N20" s="56">
        <f>17218.875126911*Deflactores!$K$5</f>
        <v>36823.115985603079</v>
      </c>
      <c r="O20" s="56">
        <f>18609.220561601*Deflactores!$L$5</f>
        <v>38366.611408526318</v>
      </c>
      <c r="P20" s="56">
        <f>20034.690008723*Deflactores!$M$5</f>
        <v>40321.652031538244</v>
      </c>
      <c r="Q20" s="56">
        <f>21482.654541711*Deflactores!$N$5</f>
        <v>42413.001294706068</v>
      </c>
      <c r="R20" s="56">
        <f>22731.1872424103*Deflactores!$O$5</f>
        <v>43293.428106072053</v>
      </c>
      <c r="S20" s="56">
        <f>23720.0366432213*Deflactores!$P$5</f>
        <v>42312.235328821509</v>
      </c>
      <c r="T20" s="56">
        <f>25696.6810217855*Deflactores!$Q$5</f>
        <v>43345.82480809548</v>
      </c>
      <c r="U20" s="56">
        <f>26855.9983896214*Deflactores!$R$5</f>
        <v>43521.367343126331</v>
      </c>
      <c r="V20" s="56">
        <f>28602.870050772*Deflactores!$S$5</f>
        <v>44923.679349675171</v>
      </c>
    </row>
    <row r="21" spans="3:22" x14ac:dyDescent="0.2">
      <c r="C21" s="88" t="s">
        <v>130</v>
      </c>
      <c r="D21" s="57">
        <f>5.923347078*Deflactores!$A$5</f>
        <v>21.505061805547747</v>
      </c>
      <c r="E21" s="57">
        <f>5.954537301*Deflactores!$B$5</f>
        <v>20.082341243779897</v>
      </c>
      <c r="F21" s="57">
        <f>5.289202718*Deflactores!$C$5</f>
        <v>16.672697731303856</v>
      </c>
      <c r="G21" s="57">
        <f>5.563113582*Deflactores!$D$5</f>
        <v>16.467179156734179</v>
      </c>
      <c r="H21" s="57">
        <f>6.757895187*Deflactores!$E$5</f>
        <v>18.961500246560174</v>
      </c>
      <c r="I21" s="57">
        <f>6.780885363*Deflactores!$F$5</f>
        <v>18.145035278084155</v>
      </c>
      <c r="J21" s="57">
        <f>5.960290708*Deflactores!$G$5</f>
        <v>15.265612055418835</v>
      </c>
      <c r="K21" s="57">
        <f>6.338986194*Deflactores!$H$5</f>
        <v>15.360818423003165</v>
      </c>
      <c r="L21" s="57">
        <f>6.690682211*Deflactores!$I$5</f>
        <v>15.057490824178636</v>
      </c>
      <c r="M21" s="57">
        <f>7.22001589*Deflactores!$J$5</f>
        <v>15.92987941119631</v>
      </c>
      <c r="N21" s="57">
        <f>10.763630097*Deflactores!$K$5</f>
        <v>23.018367725340653</v>
      </c>
      <c r="O21" s="57">
        <f>9.144921184*Deflactores!$L$5</f>
        <v>18.854074853199709</v>
      </c>
      <c r="P21" s="57">
        <f>20.479986817*Deflactores!$M$5</f>
        <v>41.217852718760376</v>
      </c>
      <c r="Q21" s="57">
        <f>24.652914916*Deflactores!$N$5</f>
        <v>48.672016310667196</v>
      </c>
      <c r="R21" s="57">
        <f>25.257295687*Deflactores!$O$5</f>
        <v>48.104610785080659</v>
      </c>
      <c r="S21" s="57">
        <f>28.6916633*Deflactores!$P$5</f>
        <v>51.180713916470701</v>
      </c>
      <c r="T21" s="57">
        <f>63.544100396*Deflactores!$Q$5</f>
        <v>107.18782869343733</v>
      </c>
      <c r="U21" s="57">
        <f>56.405723673*Deflactores!$R$5</f>
        <v>91.408041682643145</v>
      </c>
      <c r="V21" s="57">
        <f>38.074689811*Deflactores!$S$5</f>
        <v>59.800123322293757</v>
      </c>
    </row>
    <row r="22" spans="3:22" x14ac:dyDescent="0.2">
      <c r="C22" s="87" t="s">
        <v>131</v>
      </c>
      <c r="D22" s="56">
        <f>4969.312547057*Deflactores!$A$5</f>
        <v>18041.383030289599</v>
      </c>
      <c r="E22" s="56">
        <f>7461.1087733525*Deflactores!$B$5</f>
        <v>25163.421584118976</v>
      </c>
      <c r="F22" s="56">
        <f>8406.121610193*Deflactores!$C$5</f>
        <v>26497.892437052389</v>
      </c>
      <c r="G22" s="56">
        <f>9833.333853676*Deflactores!$D$5</f>
        <v>29107.309762718774</v>
      </c>
      <c r="H22" s="56">
        <f>11085.442595314*Deflactores!$E$5</f>
        <v>31103.859513628628</v>
      </c>
      <c r="I22" s="56">
        <f>11942.237262346*Deflactores!$F$5</f>
        <v>31956.345642842465</v>
      </c>
      <c r="J22" s="56">
        <f>12829.694502589*Deflactores!$G$5</f>
        <v>32859.662164328009</v>
      </c>
      <c r="K22" s="56">
        <f>13687.060361613*Deflactores!$H$5</f>
        <v>33166.888604115062</v>
      </c>
      <c r="L22" s="56">
        <f>15390.279790921*Deflactores!$I$5</f>
        <v>34636.078866866221</v>
      </c>
      <c r="M22" s="56">
        <f>17837.278249677*Deflactores!$J$5</f>
        <v>39355.272324935206</v>
      </c>
      <c r="N22" s="56">
        <f>19814.811063631*Deflactores!$K$5</f>
        <v>42374.608135031558</v>
      </c>
      <c r="O22" s="56">
        <f>20817.357216028*Deflactores!$L$5</f>
        <v>42919.124539148026</v>
      </c>
      <c r="P22" s="56">
        <f>22150.36265358*Deflactores!$M$5</f>
        <v>44579.637364050293</v>
      </c>
      <c r="Q22" s="56">
        <f>23694.570333369*Deflactores!$N$5</f>
        <v>46779.965682334288</v>
      </c>
      <c r="R22" s="56">
        <f>25015.108437232*Deflactores!$O$5</f>
        <v>47643.34511627847</v>
      </c>
      <c r="S22" s="56">
        <f>26588.391744854*Deflactores!$P$5</f>
        <v>47428.859636465342</v>
      </c>
      <c r="T22" s="56">
        <f>29000.868104154*Deflactores!$Q$5</f>
        <v>48919.412863459263</v>
      </c>
      <c r="U22" s="56">
        <f>32306.446969791*Deflactores!$R$5</f>
        <v>52354.067263679412</v>
      </c>
      <c r="V22" s="56">
        <f>34803.608247751*Deflactores!$S$5</f>
        <v>54662.561286973949</v>
      </c>
    </row>
    <row r="23" spans="3:22" x14ac:dyDescent="0.2">
      <c r="C23" s="88" t="s">
        <v>132</v>
      </c>
      <c r="D23" s="57">
        <f>7.672202772*Deflactores!$A$5</f>
        <v>27.854385809899817</v>
      </c>
      <c r="E23" s="57">
        <f>7.746850265*Deflactores!$B$5</f>
        <v>26.127116637605006</v>
      </c>
      <c r="F23" s="57">
        <f>7.252446*Deflactores!$C$5</f>
        <v>22.861260272573979</v>
      </c>
      <c r="G23" s="57">
        <f>7.789121*Deflactores!$D$5</f>
        <v>23.056306345334022</v>
      </c>
      <c r="H23" s="57">
        <f>7.3371408*Deflactores!$E$5</f>
        <v>20.586764552944629</v>
      </c>
      <c r="I23" s="57">
        <f>8.735347233*Deflactores!$F$5</f>
        <v>23.37499828178408</v>
      </c>
      <c r="J23" s="57">
        <f>9.285931*Deflactores!$G$5</f>
        <v>23.783306413078314</v>
      </c>
      <c r="K23" s="57">
        <f>9.811049*Deflactores!$H$5</f>
        <v>23.774423482864393</v>
      </c>
      <c r="L23" s="57">
        <f>10.617459135*Deflactores!$I$5</f>
        <v>23.894767149232059</v>
      </c>
      <c r="M23" s="57">
        <f>12.18410932*Deflactores!$J$5</f>
        <v>26.882405130057556</v>
      </c>
      <c r="N23" s="57">
        <f>13.9738678*Deflactores!$K$5</f>
        <v>29.883563878263313</v>
      </c>
      <c r="O23" s="57">
        <f>14.3252*Deflactores!$L$5</f>
        <v>29.534250503941411</v>
      </c>
      <c r="P23" s="57">
        <f>16.841026908*Deflactores!$M$5</f>
        <v>33.894111989878063</v>
      </c>
      <c r="Q23" s="57">
        <f>18.369671*Deflactores!$N$5</f>
        <v>36.26706738655546</v>
      </c>
      <c r="R23" s="57">
        <f>20.645985*Deflactores!$O$5</f>
        <v>39.321987793443746</v>
      </c>
      <c r="S23" s="57">
        <f>20.43087342*Deflactores!$P$5</f>
        <v>36.444965795086738</v>
      </c>
      <c r="T23" s="57">
        <f>21.830620029*Deflactores!$Q$5</f>
        <v>36.824453338035951</v>
      </c>
      <c r="U23" s="57">
        <f>23.8898015*Deflactores!$R$5</f>
        <v>38.714510321004227</v>
      </c>
      <c r="V23" s="57">
        <f>25.521609595*Deflactores!$S$5</f>
        <v>40.084250423059494</v>
      </c>
    </row>
    <row r="24" spans="3:22" x14ac:dyDescent="0.2">
      <c r="C24" s="87" t="s">
        <v>133</v>
      </c>
      <c r="D24" s="56">
        <f>618.32578742*Deflactores!$A$5</f>
        <v>2244.8683319297934</v>
      </c>
      <c r="E24" s="56">
        <f>633.68234715926*Deflactores!$B$5</f>
        <v>2137.1643996040621</v>
      </c>
      <c r="F24" s="56">
        <f>675.431874403*Deflactores!$C$5</f>
        <v>2129.1056668494302</v>
      </c>
      <c r="G24" s="56">
        <f>706.925544521*Deflactores!$D$5</f>
        <v>2092.5457336993791</v>
      </c>
      <c r="H24" s="56">
        <f>750.967402665*Deflactores!$E$5</f>
        <v>2107.0863333576367</v>
      </c>
      <c r="I24" s="56">
        <f>827.83500259784*Deflactores!$F$5</f>
        <v>2215.2115133126304</v>
      </c>
      <c r="J24" s="56">
        <f>910.818427626839*Deflactores!$G$5</f>
        <v>2332.8058060012836</v>
      </c>
      <c r="K24" s="56">
        <f>1030.23611795732*Deflactores!$H$5</f>
        <v>2496.4985656130712</v>
      </c>
      <c r="L24" s="56">
        <f>1191.789836764*Deflactores!$I$5</f>
        <v>2682.1427121317633</v>
      </c>
      <c r="M24" s="56">
        <f>1378.233764643*Deflactores!$J$5</f>
        <v>3040.8655611978315</v>
      </c>
      <c r="N24" s="56">
        <f>1508.498868617*Deflactores!$K$5</f>
        <v>3225.9731482935636</v>
      </c>
      <c r="O24" s="56">
        <f>1596.275298757*Deflactores!$L$5</f>
        <v>3291.0391859620217</v>
      </c>
      <c r="P24" s="56">
        <f>1908.581144413*Deflactores!$M$5</f>
        <v>3841.1946850921722</v>
      </c>
      <c r="Q24" s="56">
        <f>2132.026411004*Deflactores!$N$5</f>
        <v>4209.2395404249783</v>
      </c>
      <c r="R24" s="56">
        <f>2542.165565243*Deflactores!$O$5</f>
        <v>4841.7647947239266</v>
      </c>
      <c r="S24" s="56">
        <f>2853.361122613*Deflactores!$P$5</f>
        <v>5089.8777735494914</v>
      </c>
      <c r="T24" s="56">
        <f>3063.832208959*Deflactores!$Q$5</f>
        <v>5168.1512510641442</v>
      </c>
      <c r="U24" s="56">
        <f>3268.330361503*Deflactores!$R$5</f>
        <v>5296.4780604334182</v>
      </c>
      <c r="V24" s="56">
        <f>3601.358133438*Deflactores!$S$5</f>
        <v>5656.29455095702</v>
      </c>
    </row>
    <row r="25" spans="3:22" x14ac:dyDescent="0.2">
      <c r="C25" s="88" t="s">
        <v>134</v>
      </c>
      <c r="D25" s="57">
        <f>6361.97876887899*Deflactores!$A$5</f>
        <v>23097.540094935703</v>
      </c>
      <c r="E25" s="57">
        <f>5335.141461615*Deflactores!$B$5</f>
        <v>17993.359685226544</v>
      </c>
      <c r="F25" s="57">
        <f>5222.34703074399*Deflactores!$C$5</f>
        <v>16461.954312178575</v>
      </c>
      <c r="G25" s="57">
        <f>3939.20444557*Deflactores!$D$5</f>
        <v>11660.302164257506</v>
      </c>
      <c r="H25" s="57">
        <f>4826.168245256*Deflactores!$E$5</f>
        <v>13541.404215383627</v>
      </c>
      <c r="I25" s="57">
        <f>5500.643192605*Deflactores!$F$5</f>
        <v>14719.223145488115</v>
      </c>
      <c r="J25" s="57">
        <f>5514.334187092*Deflactores!$G$5</f>
        <v>14123.419572654822</v>
      </c>
      <c r="K25" s="57">
        <f>6676.61375060918*Deflactores!$H$5</f>
        <v>16178.967482325101</v>
      </c>
      <c r="L25" s="57">
        <f>7150.074943548*Deflactores!$I$5</f>
        <v>16091.361756452668</v>
      </c>
      <c r="M25" s="57">
        <f>7541.975338759*Deflactores!$J$5</f>
        <v>16640.234522897612</v>
      </c>
      <c r="N25" s="57">
        <f>8506.892849585*Deflactores!$K$5</f>
        <v>18192.262837645761</v>
      </c>
      <c r="O25" s="57">
        <f>6973.360240521*Deflactores!$L$5</f>
        <v>14376.969829236055</v>
      </c>
      <c r="P25" s="57">
        <f>7558.129009619*Deflactores!$M$5</f>
        <v>15211.428167974789</v>
      </c>
      <c r="Q25" s="57">
        <f>11558.067679764*Deflactores!$N$5</f>
        <v>22818.983497329358</v>
      </c>
      <c r="R25" s="57">
        <f>14352.031101597*Deflactores!$O$5</f>
        <v>27334.631493150959</v>
      </c>
      <c r="S25" s="57">
        <f>14870.4862115278*Deflactores!$P$5</f>
        <v>26526.245363789229</v>
      </c>
      <c r="T25" s="57">
        <f>16438.0262664571*Deflactores!$Q$5</f>
        <v>27728.086990403579</v>
      </c>
      <c r="U25" s="57">
        <f>19466.424603165*Deflactores!$R$5</f>
        <v>31546.22679524072</v>
      </c>
      <c r="V25" s="57">
        <f>11209.40004445*Deflactores!$S$5</f>
        <v>17605.488274611624</v>
      </c>
    </row>
    <row r="26" spans="3:22" x14ac:dyDescent="0.2">
      <c r="C26" s="87" t="s">
        <v>135</v>
      </c>
      <c r="D26" s="56"/>
      <c r="E26" s="56"/>
      <c r="F26" s="56"/>
      <c r="G26" s="56"/>
      <c r="H26" s="56"/>
      <c r="I26" s="56"/>
      <c r="J26" s="56"/>
      <c r="K26" s="56"/>
      <c r="L26" s="56"/>
      <c r="M26" s="56"/>
      <c r="N26" s="56"/>
      <c r="O26" s="56"/>
      <c r="P26" s="56"/>
      <c r="Q26" s="56"/>
      <c r="R26" s="56"/>
      <c r="S26" s="56"/>
      <c r="T26" s="56"/>
      <c r="U26" s="56"/>
      <c r="V26" s="56"/>
    </row>
    <row r="27" spans="3:22" x14ac:dyDescent="0.2">
      <c r="C27" s="88" t="s">
        <v>136</v>
      </c>
      <c r="D27" s="57">
        <f>22.80573771*Deflactores!$A$5</f>
        <v>82.797579226145231</v>
      </c>
      <c r="E27" s="57">
        <f>18.649474847*Deflactores!$B$5</f>
        <v>62.89743416870467</v>
      </c>
      <c r="F27" s="57">
        <f>20.481876663*Deflactores!$C$5</f>
        <v>64.563254006110768</v>
      </c>
      <c r="G27" s="57">
        <f>18.617895865*Deflactores!$D$5</f>
        <v>55.110186447093014</v>
      </c>
      <c r="H27" s="57">
        <f>16.469342181*Deflactores!$E$5</f>
        <v>46.210162659291825</v>
      </c>
      <c r="I27" s="57">
        <f>17.9578920512*Deflactores!$F$5</f>
        <v>48.053693189835904</v>
      </c>
      <c r="J27" s="57">
        <f>149.485817887*Deflactores!$G$5</f>
        <v>382.86597339740558</v>
      </c>
      <c r="K27" s="57">
        <f>57.393933512*Deflactores!$H$5</f>
        <v>139.07867351000391</v>
      </c>
      <c r="L27" s="57">
        <f>100.369*Deflactores!$I$5</f>
        <v>225.88209226964665</v>
      </c>
      <c r="M27" s="57">
        <f>254.187534637*Deflactores!$J$5</f>
        <v>560.82657383136257</v>
      </c>
      <c r="N27" s="57">
        <f>367.379268967*Deflactores!$K$5</f>
        <v>785.65233397477982</v>
      </c>
      <c r="O27" s="57">
        <f>572.335924916*Deflactores!$L$5</f>
        <v>1179.9844036295581</v>
      </c>
      <c r="P27" s="57">
        <f>1124.694198676*Deflactores!$M$5</f>
        <v>2263.5502771022898</v>
      </c>
      <c r="Q27" s="57">
        <f>866.594*Deflactores!$N$5</f>
        <v>1710.9083224617709</v>
      </c>
      <c r="R27" s="57">
        <f>863.762*Deflactores!$O$5</f>
        <v>1645.1062431964644</v>
      </c>
      <c r="S27" s="57">
        <f>816.232606457*Deflactores!$P$5</f>
        <v>1456.0106565997146</v>
      </c>
      <c r="T27" s="57">
        <f>873.900029501*Deflactores!$Q$5</f>
        <v>1474.1171261154477</v>
      </c>
      <c r="U27" s="57">
        <f>834.31091384*Deflactores!$R$5</f>
        <v>1352.0387971739801</v>
      </c>
      <c r="V27" s="57">
        <f>823.913825744*Deflactores!$S$5</f>
        <v>1294.0393902355474</v>
      </c>
    </row>
    <row r="28" spans="3:22" x14ac:dyDescent="0.2">
      <c r="C28" s="87" t="s">
        <v>137</v>
      </c>
      <c r="D28" s="56">
        <f>37.441230251*Deflactores!$A$5</f>
        <v>135.93260027156202</v>
      </c>
      <c r="E28" s="56">
        <f>35.110400412*Deflactores!$B$5</f>
        <v>118.41374176312918</v>
      </c>
      <c r="F28" s="56">
        <f>36.853473007*Deflactores!$C$5</f>
        <v>116.1700257211576</v>
      </c>
      <c r="G28" s="56">
        <f>37.562566805*Deflactores!$D$5</f>
        <v>111.1876484359602</v>
      </c>
      <c r="H28" s="56">
        <f>39.760947091*Deflactores!$E$5</f>
        <v>111.56242989973772</v>
      </c>
      <c r="I28" s="56">
        <f>41.289024871*Deflactores!$F$5</f>
        <v>110.4856921737624</v>
      </c>
      <c r="J28" s="56">
        <f>42.458872902*Deflactores!$G$5</f>
        <v>108.74648801312586</v>
      </c>
      <c r="K28" s="56">
        <f>44.038862792*Deflactores!$H$5</f>
        <v>106.71627200320452</v>
      </c>
      <c r="L28" s="56">
        <f>46.289*Deflactores!$I$5</f>
        <v>104.17415904382501</v>
      </c>
      <c r="M28" s="56">
        <f>52.800896*Deflactores!$J$5</f>
        <v>116.49723752659466</v>
      </c>
      <c r="N28" s="56">
        <f>52.212741*Deflactores!$K$5</f>
        <v>111.6586190211931</v>
      </c>
      <c r="O28" s="56">
        <f>53.389813827*Deflactores!$L$5</f>
        <v>110.07372573684226</v>
      </c>
      <c r="P28" s="56">
        <f>107.449204549*Deflactores!$M$5</f>
        <v>216.25138372512848</v>
      </c>
      <c r="Q28" s="56">
        <f>150.036588071*Deflactores!$N$5</f>
        <v>296.21581410030808</v>
      </c>
      <c r="R28" s="56">
        <f>128.552*Deflactores!$O$5</f>
        <v>244.83792731723773</v>
      </c>
      <c r="S28" s="56">
        <f>124.890300444*Deflactores!$P$5</f>
        <v>222.78160283466167</v>
      </c>
      <c r="T28" s="56">
        <f>133.6877955*Deflactores!$Q$5</f>
        <v>225.50802408337049</v>
      </c>
      <c r="U28" s="56">
        <f>144.80719185*Deflactores!$R$5</f>
        <v>234.66664314613348</v>
      </c>
      <c r="V28" s="56">
        <f>150.830727036*Deflactores!$S$5</f>
        <v>236.89480130546423</v>
      </c>
    </row>
    <row r="29" spans="3:22" x14ac:dyDescent="0.2">
      <c r="C29" s="88" t="s">
        <v>138</v>
      </c>
      <c r="D29" s="57">
        <f>142.781385021*Deflactores!$A$5</f>
        <v>518.37626077367509</v>
      </c>
      <c r="E29" s="57">
        <f>155.959276*Deflactores!$B$5</f>
        <v>525.99005471657085</v>
      </c>
      <c r="F29" s="57">
        <f>168.930272999*Deflactores!$C$5</f>
        <v>532.50433563340084</v>
      </c>
      <c r="G29" s="57">
        <f>185.921260278*Deflactores!$D$5</f>
        <v>550.33906047680478</v>
      </c>
      <c r="H29" s="57">
        <f>193.76040943*Deflactores!$E$5</f>
        <v>543.6586317953122</v>
      </c>
      <c r="I29" s="57">
        <f>230.00198296728*Deflactores!$F$5</f>
        <v>615.46448163580408</v>
      </c>
      <c r="J29" s="57">
        <f>245.736133*Deflactores!$G$5</f>
        <v>629.38414553198436</v>
      </c>
      <c r="K29" s="57">
        <f>239.609713421*Deflactores!$H$5</f>
        <v>580.629328981909</v>
      </c>
      <c r="L29" s="57">
        <f>269.187564*Deflactores!$I$5</f>
        <v>605.81105888560626</v>
      </c>
      <c r="M29" s="57">
        <f>268.490575452*Deflactores!$J$5</f>
        <v>592.38408268836429</v>
      </c>
      <c r="N29" s="57">
        <f>281.909150286*Deflactores!$K$5</f>
        <v>602.8717475371144</v>
      </c>
      <c r="O29" s="57">
        <f>285.181654793*Deflactores!$L$5</f>
        <v>587.95873228890389</v>
      </c>
      <c r="P29" s="57">
        <f>125.18747*Deflactores!$M$5</f>
        <v>251.95127061366375</v>
      </c>
      <c r="Q29" s="57">
        <f>166.47671518*Deflactores!$N$5</f>
        <v>328.67340126698298</v>
      </c>
      <c r="R29" s="57">
        <f>91.421445*Deflactores!$O$5</f>
        <v>174.11971113749183</v>
      </c>
      <c r="S29" s="57">
        <f>65.081073188*Deflactores!$P$5</f>
        <v>116.09280902902275</v>
      </c>
      <c r="T29" s="57">
        <f>83.6825*Deflactores!$Q$5</f>
        <v>141.1578009404505</v>
      </c>
      <c r="U29" s="57">
        <f>84.964*Deflactores!$R$5</f>
        <v>137.68802787724306</v>
      </c>
      <c r="V29" s="57">
        <f>88.922007596*Deflactores!$S$5</f>
        <v>139.6609413419429</v>
      </c>
    </row>
    <row r="30" spans="3:22" x14ac:dyDescent="0.2">
      <c r="C30" s="87" t="s">
        <v>139</v>
      </c>
      <c r="D30" s="56">
        <f>369.35002613*Deflactores!$A$5</f>
        <v>1340.9471089930153</v>
      </c>
      <c r="E30" s="56">
        <f>436.204439857*Deflactores!$B$5</f>
        <v>1471.1481296437576</v>
      </c>
      <c r="F30" s="56">
        <f>470.353104091*Deflactores!$C$5</f>
        <v>1482.653539597183</v>
      </c>
      <c r="G30" s="56">
        <f>527.738888081*Deflactores!$D$5</f>
        <v>1562.1415399685641</v>
      </c>
      <c r="H30" s="56">
        <f>608.4298056552*Deflactores!$E$5</f>
        <v>1707.1501689074114</v>
      </c>
      <c r="I30" s="56">
        <f>727.38217577268*Deflactores!$F$5</f>
        <v>1946.408843904369</v>
      </c>
      <c r="J30" s="56">
        <f>887.28551747063*Deflactores!$G$5</f>
        <v>2272.5328605059358</v>
      </c>
      <c r="K30" s="56">
        <f>797.96521835616*Deflactores!$H$5</f>
        <v>1933.652866864257</v>
      </c>
      <c r="L30" s="56">
        <f>840.102948383*Deflactores!$I$5</f>
        <v>1890.6655611060287</v>
      </c>
      <c r="M30" s="56">
        <f>1015.403214734*Deflactores!$J$5</f>
        <v>2240.3345104623713</v>
      </c>
      <c r="N30" s="56">
        <f>2031.57707364917*Deflactores!$K$5</f>
        <v>4344.5926441360934</v>
      </c>
      <c r="O30" s="56">
        <f>1936.84369207999*Deflactores!$L$5</f>
        <v>3993.1887016494838</v>
      </c>
      <c r="P30" s="56">
        <f>1598.20724615689*Deflactores!$M$5</f>
        <v>3216.5387348525605</v>
      </c>
      <c r="Q30" s="56">
        <f>1922.238567204*Deflactores!$N$5</f>
        <v>3795.0573883344605</v>
      </c>
      <c r="R30" s="56">
        <f>2218.8907886704*Deflactores!$O$5</f>
        <v>4226.0612175724355</v>
      </c>
      <c r="S30" s="56">
        <f>2252.415608605*Deflactores!$P$5</f>
        <v>4017.9001711973169</v>
      </c>
      <c r="T30" s="56">
        <f>2281.441010326*Deflactores!$Q$5</f>
        <v>3848.3935828037856</v>
      </c>
      <c r="U30" s="56">
        <f>2575.88600462*Deflactores!$R$5</f>
        <v>4174.3404737620504</v>
      </c>
      <c r="V30" s="56">
        <f>2892.945998648*Deflactores!$S$5</f>
        <v>4543.6621635695219</v>
      </c>
    </row>
    <row r="31" spans="3:22" x14ac:dyDescent="0.2">
      <c r="C31" s="88" t="s">
        <v>140</v>
      </c>
      <c r="D31" s="57">
        <f>99.202090828*Deflactores!$A$5</f>
        <v>360.15905642591844</v>
      </c>
      <c r="E31" s="57">
        <f>99.384307407*Deflactores!$B$5</f>
        <v>335.18466250751527</v>
      </c>
      <c r="F31" s="57">
        <f>108.167592583*Deflactores!$C$5</f>
        <v>340.96737667508393</v>
      </c>
      <c r="G31" s="57">
        <f>78.718469011*Deflactores!$D$5</f>
        <v>233.01180409872936</v>
      </c>
      <c r="H31" s="57">
        <f>102.503757511*Deflactores!$E$5</f>
        <v>287.60804503998156</v>
      </c>
      <c r="I31" s="57">
        <f>107.655566925*Deflactores!$F$5</f>
        <v>288.07654976665839</v>
      </c>
      <c r="J31" s="57">
        <f>95.470541096*Deflactores!$G$5</f>
        <v>244.52099981235631</v>
      </c>
      <c r="K31" s="57">
        <f>78.157086*Deflactores!$H$5</f>
        <v>189.3925573861319</v>
      </c>
      <c r="L31" s="57">
        <f>59.8212*Deflactores!$I$5</f>
        <v>134.62859865178476</v>
      </c>
      <c r="M31" s="57">
        <f>56.1496*Deflactores!$J$5</f>
        <v>123.88564936896675</v>
      </c>
      <c r="N31" s="57">
        <f>65.9916*Deflactores!$K$5</f>
        <v>141.1251503344551</v>
      </c>
      <c r="O31" s="57">
        <f>54.0455*Deflactores!$L$5</f>
        <v>111.42555326353317</v>
      </c>
      <c r="P31" s="57">
        <f>72.967205637*Deflactores!$M$5</f>
        <v>146.85319683647762</v>
      </c>
      <c r="Q31" s="57">
        <f>97.2781*Deflactores!$N$5</f>
        <v>192.05523103468104</v>
      </c>
      <c r="R31" s="57">
        <f>123.41191544663*Deflactores!$O$5</f>
        <v>235.04821071786583</v>
      </c>
      <c r="S31" s="57">
        <f>113.96275591*Deflactores!$P$5</f>
        <v>203.28884897245715</v>
      </c>
      <c r="T31" s="57">
        <f>133.266948587*Deflactores!$Q$5</f>
        <v>224.7981286479849</v>
      </c>
      <c r="U31" s="57">
        <f>173.26894931*Deflactores!$R$5</f>
        <v>280.79021612513412</v>
      </c>
      <c r="V31" s="57">
        <f>187.092933987*Deflactores!$S$5</f>
        <v>293.84823830974551</v>
      </c>
    </row>
    <row r="32" spans="3:22" x14ac:dyDescent="0.2">
      <c r="C32" s="87" t="s">
        <v>141</v>
      </c>
      <c r="D32" s="56">
        <f>364.17003704*Deflactores!$A$5</f>
        <v>1322.1408523165746</v>
      </c>
      <c r="E32" s="56">
        <f>357.268739369*Deflactores!$B$5</f>
        <v>1204.9286749011364</v>
      </c>
      <c r="F32" s="56">
        <f>383.132300597*Deflactores!$C$5</f>
        <v>1207.7149202873165</v>
      </c>
      <c r="G32" s="56">
        <f>393.697666921*Deflactores!$D$5</f>
        <v>1165.3707800885174</v>
      </c>
      <c r="H32" s="56">
        <f>448.758970934*Deflactores!$E$5</f>
        <v>1259.1410642739716</v>
      </c>
      <c r="I32" s="56">
        <f>464.606626845*Deflactores!$F$5</f>
        <v>1243.2452671349204</v>
      </c>
      <c r="J32" s="56">
        <f>512.479085551*Deflactores!$G$5</f>
        <v>1312.5713643525469</v>
      </c>
      <c r="K32" s="56">
        <f>579.381221961*Deflactores!$H$5</f>
        <v>1403.9736758954384</v>
      </c>
      <c r="L32" s="56">
        <f>663.046012058*Deflactores!$I$5</f>
        <v>1492.1960015015231</v>
      </c>
      <c r="M32" s="56">
        <f>754.138252741*Deflactores!$J$5</f>
        <v>1663.8926573795138</v>
      </c>
      <c r="N32" s="56">
        <f>858.982173055*Deflactores!$K$5</f>
        <v>1836.9608905831012</v>
      </c>
      <c r="O32" s="56">
        <f>886.587547802*Deflactores!$L$5</f>
        <v>1827.8766600437968</v>
      </c>
      <c r="P32" s="56">
        <f>1075.21067836*Deflactores!$M$5</f>
        <v>2163.9601518441209</v>
      </c>
      <c r="Q32" s="56">
        <f>1180.627646431*Deflactores!$N$5</f>
        <v>2330.901974866259</v>
      </c>
      <c r="R32" s="56">
        <f>1297.008165225*Deflactores!$O$5</f>
        <v>2470.2594349930182</v>
      </c>
      <c r="S32" s="56">
        <f>1360.65636612468*Deflactores!$P$5</f>
        <v>2427.1637194784685</v>
      </c>
      <c r="T32" s="56">
        <f>1449.97042483*Deflactores!$Q$5</f>
        <v>2445.8475379881525</v>
      </c>
      <c r="U32" s="56">
        <f>1525.774946473*Deflactores!$R$5</f>
        <v>2472.5877237932941</v>
      </c>
      <c r="V32" s="56">
        <f>1640.250255797*Deflactores!$S$5</f>
        <v>2576.1777197130709</v>
      </c>
    </row>
    <row r="33" spans="3:22" x14ac:dyDescent="0.2">
      <c r="C33" s="88" t="s">
        <v>142</v>
      </c>
      <c r="D33" s="57">
        <f>22.505288024*Deflactores!$A$5</f>
        <v>81.706778875970755</v>
      </c>
      <c r="E33" s="57">
        <f>22.99386148*Deflactores!$B$5</f>
        <v>77.549362681129978</v>
      </c>
      <c r="F33" s="57">
        <f>24.607751302*Deflactores!$C$5</f>
        <v>77.568892927681674</v>
      </c>
      <c r="G33" s="57">
        <f>24.602328639*Deflactores!$D$5</f>
        <v>72.824497900259686</v>
      </c>
      <c r="H33" s="57">
        <f>26.084960967*Deflactores!$E$5</f>
        <v>73.189947479320537</v>
      </c>
      <c r="I33" s="57">
        <f>24.780888432*Deflactores!$F$5</f>
        <v>66.311413738747135</v>
      </c>
      <c r="J33" s="57">
        <f>29.50153705*Deflactores!$G$5</f>
        <v>75.559908351347048</v>
      </c>
      <c r="K33" s="57">
        <f>35.28947777*Deflactores!$H$5</f>
        <v>85.514504003915263</v>
      </c>
      <c r="L33" s="57">
        <f>32.866445*Deflactores!$I$5</f>
        <v>73.966477319344278</v>
      </c>
      <c r="M33" s="57">
        <f>38.218*Deflactores!$J$5</f>
        <v>84.32227028479582</v>
      </c>
      <c r="N33" s="57">
        <f>141.708209182*Deflactores!$K$5</f>
        <v>303.04754430012542</v>
      </c>
      <c r="O33" s="57">
        <f>33.589316663*Deflactores!$L$5</f>
        <v>69.251060549329523</v>
      </c>
      <c r="P33" s="57">
        <f>51.836679243*Deflactores!$M$5</f>
        <v>104.32607352530393</v>
      </c>
      <c r="Q33" s="57">
        <f>92.845065183*Deflactores!$N$5</f>
        <v>183.30313240237101</v>
      </c>
      <c r="R33" s="57">
        <f>88.962588457*Deflactores!$O$5</f>
        <v>169.43661527310582</v>
      </c>
      <c r="S33" s="57">
        <f>80.254027642*Deflactores!$P$5</f>
        <v>143.15860277747419</v>
      </c>
      <c r="T33" s="57">
        <f>76.286193582*Deflactores!$Q$5</f>
        <v>128.68152036749174</v>
      </c>
      <c r="U33" s="57">
        <f>77.979810485*Deflactores!$R$5</f>
        <v>126.36983098630962</v>
      </c>
      <c r="V33" s="57">
        <f>80.13284642*Deflactores!$S$5</f>
        <v>125.85668121971155</v>
      </c>
    </row>
    <row r="34" spans="3:22" x14ac:dyDescent="0.2">
      <c r="C34" s="87" t="s">
        <v>143</v>
      </c>
      <c r="D34" s="56">
        <f>47.685443339*Deflactores!$A$5</f>
        <v>173.12482161291649</v>
      </c>
      <c r="E34" s="56">
        <f>51.497351627*Deflactores!$B$5</f>
        <v>173.68056261074346</v>
      </c>
      <c r="F34" s="56">
        <f>50.053656011*Deflactores!$C$5</f>
        <v>157.77982458074945</v>
      </c>
      <c r="G34" s="56">
        <f>47.347336371*Deflactores!$D$5</f>
        <v>140.15120473867995</v>
      </c>
      <c r="H34" s="56">
        <f>75.454549054*Deflactores!$E$5</f>
        <v>211.71258371153363</v>
      </c>
      <c r="I34" s="56">
        <f>91.3059031658*Deflactores!$F$5</f>
        <v>244.32632987439237</v>
      </c>
      <c r="J34" s="56">
        <f>168.998034364*Deflactores!$G$5</f>
        <v>432.84104033154574</v>
      </c>
      <c r="K34" s="56">
        <f>225.011115945*Deflactores!$H$5</f>
        <v>545.25357674070631</v>
      </c>
      <c r="L34" s="56">
        <f>238.34049656*Deflactores!$I$5</f>
        <v>536.38922411859551</v>
      </c>
      <c r="M34" s="56">
        <f>266.924622674*Deflactores!$J$5</f>
        <v>588.9290433508861</v>
      </c>
      <c r="N34" s="56">
        <f>257.543389531*Deflactores!$K$5</f>
        <v>550.76478771855056</v>
      </c>
      <c r="O34" s="56">
        <f>249.617230872*Deflactores!$L$5</f>
        <v>514.63559508236017</v>
      </c>
      <c r="P34" s="56">
        <f>490.917800242*Deflactores!$M$5</f>
        <v>988.01711974718125</v>
      </c>
      <c r="Q34" s="56">
        <f>507.164294802*Deflactores!$N$5</f>
        <v>1001.2896614010676</v>
      </c>
      <c r="R34" s="56">
        <f>564.832994555*Deflactores!$O$5</f>
        <v>1075.7712028380331</v>
      </c>
      <c r="S34" s="56">
        <f>544.6774584718*Deflactores!$P$5</f>
        <v>971.60561544703307</v>
      </c>
      <c r="T34" s="56">
        <f>719.005515257*Deflactores!$Q$5</f>
        <v>1212.8370614851808</v>
      </c>
      <c r="U34" s="56">
        <f>1775.987384293*Deflactores!$R$5</f>
        <v>2878.068363991415</v>
      </c>
      <c r="V34" s="56">
        <f>752.990063475*Deflactores!$S$5</f>
        <v>1182.6465003336075</v>
      </c>
    </row>
    <row r="35" spans="3:22" x14ac:dyDescent="0.2">
      <c r="C35" s="88" t="s">
        <v>144</v>
      </c>
      <c r="D35" s="57">
        <f>683.481112568*Deflactores!$A$5</f>
        <v>2481.4185924189019</v>
      </c>
      <c r="E35" s="57">
        <f>760.070378193*Deflactores!$B$5</f>
        <v>2563.4221321608393</v>
      </c>
      <c r="F35" s="57">
        <f>789.963169484*Deflactores!$C$5</f>
        <v>2490.1327942767439</v>
      </c>
      <c r="G35" s="57">
        <f>779.795028311999*Deflactores!$D$5</f>
        <v>2308.2441599417784</v>
      </c>
      <c r="H35" s="57">
        <f>970.428904733*Deflactores!$E$5</f>
        <v>2722.8578436317048</v>
      </c>
      <c r="I35" s="57">
        <f>1005.48043377299*Deflactores!$F$5</f>
        <v>2690.5746028071085</v>
      </c>
      <c r="J35" s="57">
        <f>1138.140955315*Deflactores!$G$5</f>
        <v>2915.0286688034098</v>
      </c>
      <c r="K35" s="57">
        <f>1226.455430559*Deflactores!$H$5</f>
        <v>2971.9829947815415</v>
      </c>
      <c r="L35" s="57">
        <f>1366.125711945*Deflactores!$I$5</f>
        <v>3074.4884786886109</v>
      </c>
      <c r="M35" s="57">
        <f>1599.524877745*Deflactores!$J$5</f>
        <v>3529.1111274391351</v>
      </c>
      <c r="N35" s="57">
        <f>1709.532783034*Deflactores!$K$5</f>
        <v>3655.8906134622075</v>
      </c>
      <c r="O35" s="57">
        <f>1907.763642385*Deflactores!$L$5</f>
        <v>3933.2343922954155</v>
      </c>
      <c r="P35" s="57">
        <f>2247.591541903*Deflactores!$M$5</f>
        <v>4523.4842177334876</v>
      </c>
      <c r="Q35" s="57">
        <f>2500.445921539*Deflactores!$N$5</f>
        <v>4936.6066889762305</v>
      </c>
      <c r="R35" s="57">
        <f>2757.547421931*Deflactores!$O$5</f>
        <v>5251.9773730830984</v>
      </c>
      <c r="S35" s="57">
        <f>2987.891266268*Deflactores!$P$5</f>
        <v>5329.8551050675369</v>
      </c>
      <c r="T35" s="57">
        <f>3332.867664156*Deflactores!$Q$5</f>
        <v>5621.9672010013664</v>
      </c>
      <c r="U35" s="57">
        <f>3578.445731815*Deflactores!$R$5</f>
        <v>5799.034128328999</v>
      </c>
      <c r="V35" s="57">
        <f>3971.255960177*Deflactores!$S$5</f>
        <v>6237.2562282666031</v>
      </c>
    </row>
    <row r="36" spans="3:22" x14ac:dyDescent="0.2">
      <c r="C36" s="87" t="s">
        <v>145</v>
      </c>
      <c r="D36" s="56">
        <f>177.396037687*Deflactores!$A$5</f>
        <v>644.04680399148674</v>
      </c>
      <c r="E36" s="56">
        <f>181.520900897*Deflactores!$B$5</f>
        <v>612.19948594153686</v>
      </c>
      <c r="F36" s="56">
        <f>226.367109303*Deflactores!$C$5</f>
        <v>713.55752292758689</v>
      </c>
      <c r="G36" s="56">
        <f>318.315558605*Deflactores!$D$5</f>
        <v>942.23482132104573</v>
      </c>
      <c r="H36" s="56">
        <f>135.806088325*Deflactores!$E$5</f>
        <v>381.04870022436768</v>
      </c>
      <c r="I36" s="56">
        <f>140.870351064*Deflactores!$F$5</f>
        <v>376.95630479756568</v>
      </c>
      <c r="J36" s="56">
        <f>452.997152749*Deflactores!$G$5</f>
        <v>1160.2250854633216</v>
      </c>
      <c r="K36" s="56">
        <f>355.103755369*Deflactores!$H$5</f>
        <v>860.49789991855971</v>
      </c>
      <c r="L36" s="56">
        <f>260.371648098*Deflactores!$I$5</f>
        <v>585.97069453787924</v>
      </c>
      <c r="M36" s="56">
        <f>304.653617357*Deflactores!$J$5</f>
        <v>672.17239693384568</v>
      </c>
      <c r="N36" s="56">
        <f>662.722881918*Deflactores!$K$5</f>
        <v>1417.2541102316213</v>
      </c>
      <c r="O36" s="56">
        <f>565.949406384*Deflactores!$L$5</f>
        <v>1166.8173247634932</v>
      </c>
      <c r="P36" s="56">
        <f>398.119444406*Deflactores!$M$5</f>
        <v>801.25191342310507</v>
      </c>
      <c r="Q36" s="56">
        <f>555.627975547*Deflactores!$N$5</f>
        <v>1096.9710470600392</v>
      </c>
      <c r="R36" s="56">
        <f>1087.253*Deflactores!$O$5</f>
        <v>2070.7633563806762</v>
      </c>
      <c r="S36" s="56">
        <f>834.159595818*Deflactores!$P$5</f>
        <v>1487.9891482011044</v>
      </c>
      <c r="T36" s="56">
        <f>687.36124523431*Deflactores!$Q$5</f>
        <v>1159.4586900363265</v>
      </c>
      <c r="U36" s="56">
        <f>710.878205396*Deflactores!$R$5</f>
        <v>1152.0104769300992</v>
      </c>
      <c r="V36" s="56">
        <f>1761.113463059*Deflactores!$S$5</f>
        <v>2766.0055222578326</v>
      </c>
    </row>
    <row r="37" spans="3:22" x14ac:dyDescent="0.2">
      <c r="C37" s="88" t="s">
        <v>146</v>
      </c>
      <c r="D37" s="57">
        <f>154.647582934*Deflactores!$A$5</f>
        <v>561.45719392778778</v>
      </c>
      <c r="E37" s="57">
        <f>162.722035704*Deflactores!$B$5</f>
        <v>548.79821616726895</v>
      </c>
      <c r="F37" s="57">
        <f>181.496882144*Deflactores!$C$5</f>
        <v>572.11697423940404</v>
      </c>
      <c r="G37" s="57">
        <f>184.734801701*Deflactores!$D$5</f>
        <v>546.82706568081164</v>
      </c>
      <c r="H37" s="57">
        <f>192.250093345*Deflactores!$E$5</f>
        <v>539.42094268862093</v>
      </c>
      <c r="I37" s="57">
        <f>253.745148707*Deflactores!$F$5</f>
        <v>678.99904340725027</v>
      </c>
      <c r="J37" s="57">
        <f>242.696010406*Deflactores!$G$5</f>
        <v>621.59772463499257</v>
      </c>
      <c r="K37" s="57">
        <f>244.468309894*Deflactores!$H$5</f>
        <v>592.40282334336348</v>
      </c>
      <c r="L37" s="57">
        <f>227.734210031*Deflactores!$I$5</f>
        <v>512.51960110370169</v>
      </c>
      <c r="M37" s="57">
        <f>218.250048499*Deflactores!$J$5</f>
        <v>481.53591446968636</v>
      </c>
      <c r="N37" s="57">
        <f>258.105311646*Deflactores!$K$5</f>
        <v>551.96647616004361</v>
      </c>
      <c r="O37" s="57">
        <f>257.451771092*Deflactores!$L$5</f>
        <v>530.78805881345534</v>
      </c>
      <c r="P37" s="57">
        <f>392.289653966*Deflactores!$M$5</f>
        <v>789.51892521933848</v>
      </c>
      <c r="Q37" s="57">
        <f>400.0033*Deflactores!$N$5</f>
        <v>789.72272480789445</v>
      </c>
      <c r="R37" s="57">
        <f>440.2592*Deflactores!$O$5</f>
        <v>838.51009716181193</v>
      </c>
      <c r="S37" s="57">
        <f>570.776655769*Deflactores!$P$5</f>
        <v>1018.161841077825</v>
      </c>
      <c r="T37" s="57">
        <f>649.28099391431*Deflactores!$Q$5</f>
        <v>1095.2239392151766</v>
      </c>
      <c r="U37" s="57">
        <f>608.444357987*Deflactores!$R$5</f>
        <v>986.01176644538043</v>
      </c>
      <c r="V37" s="57">
        <f>597.030274404*Deflactores!$S$5</f>
        <v>937.69599210726676</v>
      </c>
    </row>
    <row r="38" spans="3:22" x14ac:dyDescent="0.2">
      <c r="C38" s="90" t="s">
        <v>147</v>
      </c>
      <c r="D38" s="58">
        <f>4132.182282225*Deflactores!$A$5</f>
        <v>15002.132105526091</v>
      </c>
      <c r="E38" s="58">
        <f>5077.0721681915*Deflactores!$B$5</f>
        <v>17122.992206933726</v>
      </c>
      <c r="F38" s="58">
        <f>6269.87030751317*Deflactores!$C$5</f>
        <v>19763.97162768837</v>
      </c>
      <c r="G38" s="58">
        <f>7189.70893023898*Deflactores!$D$5</f>
        <v>21282.007511421853</v>
      </c>
      <c r="H38" s="58">
        <f>9360.993086819*Deflactores!$E$5</f>
        <v>26265.34857557662</v>
      </c>
      <c r="I38" s="58">
        <f>12387.488195343*Deflactores!$F$5</f>
        <v>33147.796825738747</v>
      </c>
      <c r="J38" s="58">
        <f>13664.781259167*Deflactores!$G$5</f>
        <v>34998.502546966898</v>
      </c>
      <c r="K38" s="58">
        <f>14945.523110397*Deflactores!$H$5</f>
        <v>36216.432677027187</v>
      </c>
      <c r="L38" s="58">
        <f>16982.664560603*Deflactores!$I$5</f>
        <v>38219.767092056158</v>
      </c>
      <c r="M38" s="58">
        <f>19958.385769324*Deflactores!$J$5</f>
        <v>44035.177123061403</v>
      </c>
      <c r="N38" s="58">
        <f>22516.868852978*Deflactores!$K$5</f>
        <v>48153.045265423621</v>
      </c>
      <c r="O38" s="58">
        <f>20597.318133764*Deflactores!$L$5</f>
        <v>42465.470183450212</v>
      </c>
      <c r="P38" s="58">
        <f>23294.372092786*Deflactores!$M$5</f>
        <v>46882.061335091304</v>
      </c>
      <c r="Q38" s="58">
        <f>23325.787036341*Deflactores!$N$5</f>
        <v>46051.8803135571</v>
      </c>
      <c r="R38" s="58">
        <f>28057.263104963*Deflactores!$O$5</f>
        <v>53437.380552722228</v>
      </c>
      <c r="S38" s="58">
        <f>27065.79010634*Deflactores!$P$5</f>
        <v>48280.451567819378</v>
      </c>
      <c r="T38" s="58">
        <f>28398.202375586*Deflactores!$Q$5</f>
        <v>47902.820757023233</v>
      </c>
      <c r="U38" s="58">
        <f>34673.742161663*Deflactores!$R$5</f>
        <v>56190.376834463925</v>
      </c>
      <c r="V38" s="58">
        <f>44871.073328509*Deflactores!$S$5</f>
        <v>70474.526042581303</v>
      </c>
    </row>
    <row r="39" spans="3:22" ht="22.5" customHeight="1" x14ac:dyDescent="0.2">
      <c r="C39" s="89" t="s">
        <v>148</v>
      </c>
      <c r="D39" s="59">
        <f>0*Deflactores!$A$5</f>
        <v>0</v>
      </c>
      <c r="E39" s="59">
        <f>0*Deflactores!$B$5</f>
        <v>0</v>
      </c>
      <c r="F39" s="59">
        <f>0*Deflactores!$C$5</f>
        <v>0</v>
      </c>
      <c r="G39" s="59">
        <f>0*Deflactores!$D$5</f>
        <v>0</v>
      </c>
      <c r="H39" s="59">
        <f>0*Deflactores!$E$5</f>
        <v>0</v>
      </c>
      <c r="I39" s="59">
        <f>0*Deflactores!$F$5</f>
        <v>0</v>
      </c>
      <c r="J39" s="59">
        <f>0*Deflactores!$G$5</f>
        <v>0</v>
      </c>
      <c r="K39" s="59">
        <f>0*Deflactores!$H$5</f>
        <v>0</v>
      </c>
      <c r="L39" s="59">
        <f>0*Deflactores!$I$5</f>
        <v>0</v>
      </c>
      <c r="M39" s="59">
        <f>0*Deflactores!$J$5</f>
        <v>0</v>
      </c>
      <c r="N39" s="59">
        <f>0*Deflactores!$K$5</f>
        <v>0</v>
      </c>
      <c r="O39" s="59">
        <f>0*Deflactores!$L$5</f>
        <v>0</v>
      </c>
      <c r="P39" s="59">
        <f>0*Deflactores!$M$5</f>
        <v>0</v>
      </c>
      <c r="Q39" s="59">
        <f>0*Deflactores!$N$5</f>
        <v>0</v>
      </c>
      <c r="R39" s="59">
        <f>0*Deflactores!$O$5</f>
        <v>0</v>
      </c>
      <c r="S39" s="59">
        <f>0*Deflactores!$P$5</f>
        <v>0</v>
      </c>
      <c r="T39" s="59">
        <f>0*Deflactores!$Q$5</f>
        <v>0</v>
      </c>
      <c r="U39" s="59">
        <f>0.25044*Deflactores!$R$5</f>
        <v>0.40584941506493044</v>
      </c>
      <c r="V39" s="59">
        <f>139.020442846*Deflactores!$S$5</f>
        <v>218.34556414715402</v>
      </c>
    </row>
    <row r="40" spans="3:22" x14ac:dyDescent="0.2">
      <c r="C40" s="87" t="s">
        <v>149</v>
      </c>
      <c r="D40" s="56">
        <f>39.048965517*Deflactores!$A$5</f>
        <v>141.76957821781514</v>
      </c>
      <c r="E40" s="56">
        <f>19.159935484*Deflactores!$B$5</f>
        <v>64.619019606086951</v>
      </c>
      <c r="F40" s="56">
        <f>17.687412517*Deflactores!$C$5</f>
        <v>55.754505597079905</v>
      </c>
      <c r="G40" s="56">
        <f>19.663020958*Deflactores!$D$5</f>
        <v>58.203824909430892</v>
      </c>
      <c r="H40" s="56">
        <f>20.94*Deflactores!$E$5</f>
        <v>58.754065308200239</v>
      </c>
      <c r="I40" s="56">
        <f>42.0393*Deflactores!$F$5</f>
        <v>112.49336048773476</v>
      </c>
      <c r="J40" s="56">
        <f>44.397586389*Deflactores!$G$5</f>
        <v>113.71195856298115</v>
      </c>
      <c r="K40" s="56">
        <f>36.292296*Deflactores!$H$5</f>
        <v>87.944562734266782</v>
      </c>
      <c r="L40" s="56">
        <f>37.922*Deflactores!$I$5</f>
        <v>85.344087348180608</v>
      </c>
      <c r="M40" s="56">
        <f>123.7144*Deflactores!$J$5</f>
        <v>272.95722107178148</v>
      </c>
      <c r="N40" s="56">
        <f>122.422863*Deflactores!$K$5</f>
        <v>261.80521377341057</v>
      </c>
      <c r="O40" s="56">
        <f>110.0365*Deflactores!$L$5</f>
        <v>226.86214193009167</v>
      </c>
      <c r="P40" s="56">
        <f>170.1886*Deflactores!$M$5</f>
        <v>342.52017405544319</v>
      </c>
      <c r="Q40" s="56">
        <f>64.8344*Deflactores!$N$5</f>
        <v>128.00194155719453</v>
      </c>
      <c r="R40" s="56">
        <f>112.526400085*Deflactores!$O$5</f>
        <v>214.31584545772643</v>
      </c>
      <c r="S40" s="56">
        <f>67.68129*Deflactores!$P$5</f>
        <v>120.73112334995545</v>
      </c>
      <c r="T40" s="56">
        <f>64.25810018*Deflactores!$Q$5</f>
        <v>108.39222195823459</v>
      </c>
      <c r="U40" s="56">
        <f>64.647120832*Deflactores!$R$5</f>
        <v>104.76360076385194</v>
      </c>
      <c r="V40" s="56">
        <f>65.465511236*Deflactores!$S$5</f>
        <v>102.82015860674946</v>
      </c>
    </row>
    <row r="41" spans="3:22" x14ac:dyDescent="0.2">
      <c r="C41" s="88" t="s">
        <v>150</v>
      </c>
      <c r="D41" s="57">
        <f>156.560922604*Deflactores!$A$5</f>
        <v>568.4036867327053</v>
      </c>
      <c r="E41" s="57">
        <f>172.329615875*Deflactores!$B$5</f>
        <v>581.2008519671308</v>
      </c>
      <c r="F41" s="57">
        <f>311.479552377299*Deflactores!$C$5</f>
        <v>981.85013945395406</v>
      </c>
      <c r="G41" s="57">
        <f>120.926044198*Deflactores!$D$5</f>
        <v>357.94898039952005</v>
      </c>
      <c r="H41" s="57">
        <f>172.4767*Deflactores!$E$5</f>
        <v>483.94017650156917</v>
      </c>
      <c r="I41" s="57">
        <f>149.39652*Deflactores!$F$5</f>
        <v>399.77156089594922</v>
      </c>
      <c r="J41" s="57">
        <f>158.152560213*Deflactores!$G$5</f>
        <v>405.06340178045656</v>
      </c>
      <c r="K41" s="57">
        <f>146.528785*Deflactores!$H$5</f>
        <v>355.07287620514256</v>
      </c>
      <c r="L41" s="57">
        <f>112.2108*Deflactores!$I$5</f>
        <v>252.53225875769277</v>
      </c>
      <c r="M41" s="57">
        <f>211.3932*Deflactores!$J$5</f>
        <v>466.40730929844312</v>
      </c>
      <c r="N41" s="57">
        <f>213.979268773*Deflactores!$K$5</f>
        <v>457.60152010326152</v>
      </c>
      <c r="O41" s="57">
        <f>191.1799*Deflactores!$L$5</f>
        <v>394.15540850518448</v>
      </c>
      <c r="P41" s="57">
        <f>322.117103948*Deflactores!$M$5</f>
        <v>648.2902292545109</v>
      </c>
      <c r="Q41" s="57">
        <f>247.5276*Deflactores!$N$5</f>
        <v>488.69139513888655</v>
      </c>
      <c r="R41" s="57">
        <f>236.910655261*Deflactores!$O$5</f>
        <v>451.21595769394395</v>
      </c>
      <c r="S41" s="57">
        <f>222.713270535*Deflactores!$P$5</f>
        <v>397.2800065813326</v>
      </c>
      <c r="T41" s="57">
        <f>203.938670994*Deflactores!$Q$5</f>
        <v>344.0090141216034</v>
      </c>
      <c r="U41" s="57">
        <f>210.397585828*Deflactores!$R$5</f>
        <v>340.95886096217578</v>
      </c>
      <c r="V41" s="57">
        <f>212.346367936*Deflactores!$S$5</f>
        <v>333.51129195398835</v>
      </c>
    </row>
    <row r="42" spans="3:22" x14ac:dyDescent="0.2">
      <c r="C42" s="87" t="s">
        <v>151</v>
      </c>
      <c r="D42" s="56">
        <f>21.143380699*Deflactores!$A$5</f>
        <v>76.76229380496558</v>
      </c>
      <c r="E42" s="56">
        <f>21.704019614*Deflactores!$B$5</f>
        <v>73.199227113220161</v>
      </c>
      <c r="F42" s="56">
        <f>20.235695*Deflactores!$C$5</f>
        <v>63.787236773831047</v>
      </c>
      <c r="G42" s="56">
        <f>18.380434267*Deflactores!$D$5</f>
        <v>54.407284624314727</v>
      </c>
      <c r="H42" s="56">
        <f>10.385748058*Deflactores!$E$5</f>
        <v>29.140636087595311</v>
      </c>
      <c r="I42" s="56">
        <f>11.393046283*Deflactores!$F$5</f>
        <v>30.486760306831126</v>
      </c>
      <c r="J42" s="56">
        <f>17.279664155*Deflactores!$G$5</f>
        <v>44.25701066629194</v>
      </c>
      <c r="K42" s="56">
        <f>15.058452865*Deflactores!$H$5</f>
        <v>36.490087391191558</v>
      </c>
      <c r="L42" s="56">
        <f>10.368929992*Deflactores!$I$5</f>
        <v>23.335448208016921</v>
      </c>
      <c r="M42" s="56">
        <f>7.587874974*Deflactores!$J$5</f>
        <v>16.741505166279399</v>
      </c>
      <c r="N42" s="56">
        <f>12.147811019*Deflactores!$K$5</f>
        <v>25.97848296284565</v>
      </c>
      <c r="O42" s="56">
        <f>328.752697737*Deflactores!$L$5</f>
        <v>677.78910792247859</v>
      </c>
      <c r="P42" s="56">
        <f>1363.636620691*Deflactores!$M$5</f>
        <v>2744.4438268336285</v>
      </c>
      <c r="Q42" s="56">
        <f>1466.663509854*Deflactores!$N$5</f>
        <v>2895.6198695816033</v>
      </c>
      <c r="R42" s="56">
        <f>1522.792129923*Deflactores!$O$5</f>
        <v>2900.2836892879859</v>
      </c>
      <c r="S42" s="56">
        <f>1603.414310913*Deflactores!$P$5</f>
        <v>2860.1997827157434</v>
      </c>
      <c r="T42" s="56">
        <f>1750.229531092*Deflactores!$Q$5</f>
        <v>2952.332348459744</v>
      </c>
      <c r="U42" s="56">
        <f>1946.609139626*Deflactores!$R$5</f>
        <v>3154.5686818290192</v>
      </c>
      <c r="V42" s="56">
        <f>1965.945401832*Deflactores!$S$5</f>
        <v>3087.714648708316</v>
      </c>
    </row>
    <row r="43" spans="3:22" ht="21.75" customHeight="1" x14ac:dyDescent="0.2">
      <c r="C43" s="79" t="s">
        <v>179</v>
      </c>
      <c r="D43" s="44">
        <f t="shared" ref="D43:V43" si="0">+SUM(D14:D42)</f>
        <v>89399.099330566023</v>
      </c>
      <c r="E43" s="44">
        <f t="shared" si="0"/>
        <v>94107.808711746198</v>
      </c>
      <c r="F43" s="44">
        <f t="shared" si="0"/>
        <v>97881.437924106503</v>
      </c>
      <c r="G43" s="44">
        <f t="shared" si="0"/>
        <v>98395.114786574908</v>
      </c>
      <c r="H43" s="44">
        <f t="shared" si="0"/>
        <v>109814.23484579167</v>
      </c>
      <c r="I43" s="44">
        <f t="shared" si="0"/>
        <v>120394.75660439586</v>
      </c>
      <c r="J43" s="44">
        <f t="shared" si="0"/>
        <v>126201.6130481213</v>
      </c>
      <c r="K43" s="44">
        <f t="shared" si="0"/>
        <v>131082.27474914593</v>
      </c>
      <c r="L43" s="44">
        <f t="shared" si="0"/>
        <v>138135.87194533859</v>
      </c>
      <c r="M43" s="44">
        <f t="shared" si="0"/>
        <v>154664.7458928588</v>
      </c>
      <c r="N43" s="44">
        <f t="shared" si="0"/>
        <v>169070.8492928998</v>
      </c>
      <c r="O43" s="44">
        <f t="shared" si="0"/>
        <v>161217.14606136677</v>
      </c>
      <c r="P43" s="44">
        <f t="shared" si="0"/>
        <v>173312.20762761531</v>
      </c>
      <c r="Q43" s="44">
        <f t="shared" si="0"/>
        <v>188133.54172551187</v>
      </c>
      <c r="R43" s="44">
        <f t="shared" si="0"/>
        <v>201917.65266116289</v>
      </c>
      <c r="S43" s="44">
        <f t="shared" si="0"/>
        <v>193779.53507697282</v>
      </c>
      <c r="T43" s="44">
        <f t="shared" si="0"/>
        <v>197283.58566288432</v>
      </c>
      <c r="U43" s="44">
        <f t="shared" si="0"/>
        <v>215519.00832880154</v>
      </c>
      <c r="V43" s="44">
        <f t="shared" si="0"/>
        <v>220882.83692885423</v>
      </c>
    </row>
    <row r="44" spans="3:22" x14ac:dyDescent="0.2">
      <c r="C44" s="1" t="s">
        <v>52</v>
      </c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</row>
    <row r="45" spans="3:22" x14ac:dyDescent="0.2"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</row>
    <row r="46" spans="3:22" x14ac:dyDescent="0.2"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</row>
    <row r="48" spans="3:22" ht="17.25" customHeight="1" x14ac:dyDescent="0.2">
      <c r="D48" s="160" t="s">
        <v>188</v>
      </c>
      <c r="E48" s="158"/>
      <c r="F48" s="158"/>
      <c r="G48" s="158"/>
      <c r="H48" s="158"/>
      <c r="I48" s="158"/>
      <c r="J48" s="158"/>
      <c r="K48" s="158"/>
      <c r="L48" s="158"/>
      <c r="M48" s="158"/>
      <c r="N48" s="158"/>
      <c r="O48" s="158"/>
      <c r="P48" s="158"/>
      <c r="Q48" s="158"/>
      <c r="R48" s="158"/>
      <c r="S48" s="158"/>
      <c r="T48" s="158"/>
      <c r="U48" s="158"/>
      <c r="V48" s="158"/>
    </row>
    <row r="49" spans="3:22" ht="11.25" hidden="1" customHeight="1" x14ac:dyDescent="0.2">
      <c r="H49" s="27"/>
      <c r="I49" s="27"/>
      <c r="J49" s="27"/>
      <c r="L49" s="27"/>
      <c r="M49" s="27"/>
      <c r="N49" s="27"/>
      <c r="O49" s="27"/>
      <c r="P49" s="27"/>
      <c r="Q49" s="98"/>
      <c r="R49" s="28"/>
      <c r="S49" s="28"/>
      <c r="T49" s="28"/>
      <c r="U49" s="28"/>
      <c r="V49" s="28"/>
    </row>
    <row r="50" spans="3:22" ht="15.75" customHeight="1" x14ac:dyDescent="0.2"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</row>
    <row r="51" spans="3:22" ht="12" thickBot="1" x14ac:dyDescent="0.25">
      <c r="C51" s="177" t="s">
        <v>120</v>
      </c>
      <c r="D51" s="153">
        <v>2000</v>
      </c>
      <c r="E51" s="153">
        <v>2001</v>
      </c>
      <c r="F51" s="153">
        <v>2002</v>
      </c>
      <c r="G51" s="153">
        <v>2003</v>
      </c>
      <c r="H51" s="153">
        <v>2004</v>
      </c>
      <c r="I51" s="153">
        <v>2005</v>
      </c>
      <c r="J51" s="153">
        <v>2006</v>
      </c>
      <c r="K51" s="153">
        <v>2007</v>
      </c>
      <c r="L51" s="153">
        <v>2008</v>
      </c>
      <c r="M51" s="153">
        <v>2009</v>
      </c>
      <c r="N51" s="153">
        <v>2010</v>
      </c>
      <c r="O51" s="153">
        <v>2011</v>
      </c>
      <c r="P51" s="153">
        <v>2012</v>
      </c>
      <c r="Q51" s="153">
        <v>2013</v>
      </c>
      <c r="R51" s="153">
        <v>2014</v>
      </c>
      <c r="S51" s="153">
        <v>2015</v>
      </c>
      <c r="T51" s="153">
        <v>2016</v>
      </c>
      <c r="U51" s="153">
        <v>2017</v>
      </c>
      <c r="V51" s="153">
        <v>2018</v>
      </c>
    </row>
    <row r="52" spans="3:22" ht="12" customHeight="1" thickBot="1" x14ac:dyDescent="0.25">
      <c r="C52" s="156"/>
      <c r="D52" s="154"/>
      <c r="E52" s="154"/>
      <c r="F52" s="154"/>
      <c r="G52" s="154"/>
      <c r="H52" s="154"/>
      <c r="I52" s="154"/>
      <c r="J52" s="154"/>
      <c r="K52" s="154"/>
      <c r="L52" s="154"/>
      <c r="M52" s="154"/>
      <c r="N52" s="154"/>
      <c r="O52" s="154"/>
      <c r="P52" s="154"/>
      <c r="Q52" s="154"/>
      <c r="R52" s="154"/>
      <c r="S52" s="154"/>
      <c r="T52" s="154"/>
      <c r="U52" s="154"/>
      <c r="V52" s="154"/>
    </row>
    <row r="53" spans="3:22" x14ac:dyDescent="0.2">
      <c r="C53" s="87" t="s">
        <v>123</v>
      </c>
      <c r="D53" s="56">
        <f>209.855627164599*Deflactores!$A$5</f>
        <v>761.89326287806739</v>
      </c>
      <c r="E53" s="56">
        <f>214.53267512811*Deflactores!$B$5</f>
        <v>723.53537681931073</v>
      </c>
      <c r="F53" s="56">
        <f>226.14663297*Deflactores!$C$5</f>
        <v>712.86253439093923</v>
      </c>
      <c r="G53" s="56">
        <f>266.40771312178*Deflactores!$D$5</f>
        <v>788.58421206906678</v>
      </c>
      <c r="H53" s="56">
        <f>243.13123342652*Deflactores!$E$5</f>
        <v>682.18473577865484</v>
      </c>
      <c r="I53" s="56">
        <f>253.69510570928*Deflactores!$F$5</f>
        <v>678.86513287633272</v>
      </c>
      <c r="J53" s="56">
        <f>375.21318216716*Deflactores!$G$5</f>
        <v>961.00327276906739</v>
      </c>
      <c r="K53" s="56">
        <f>405.641154846799*Deflactores!$H$5</f>
        <v>982.96161780518764</v>
      </c>
      <c r="L53" s="56">
        <f>731.18980479014*Deflactores!$I$5</f>
        <v>1645.5547325591699</v>
      </c>
      <c r="M53" s="56">
        <f>323.70516586605*Deflactores!$J$5</f>
        <v>714.20677400025454</v>
      </c>
      <c r="N53" s="56">
        <f>382.30682952066*Deflactores!$K$5</f>
        <v>817.57540035386376</v>
      </c>
      <c r="O53" s="56">
        <f>271.2942997017*Deflactores!$L$5</f>
        <v>559.32718619505249</v>
      </c>
      <c r="P53" s="56">
        <f>387.95949644469*Deflactores!$M$5</f>
        <v>780.80408587118825</v>
      </c>
      <c r="Q53" s="56">
        <f>1350.35859323568*Deflactores!$N$5</f>
        <v>2666.0001747931487</v>
      </c>
      <c r="R53" s="56">
        <f>356.25028850842*Deflactores!$O$5</f>
        <v>678.50816980342211</v>
      </c>
      <c r="S53" s="56">
        <f>495.71906852961*Deflactores!$P$5</f>
        <v>884.27274376084381</v>
      </c>
      <c r="T53" s="56">
        <f>501.01826501385*Deflactores!$Q$5</f>
        <v>845.13054127631119</v>
      </c>
      <c r="U53" s="56">
        <f>565.334515913589*Deflactores!$R$5</f>
        <v>916.15030585986949</v>
      </c>
      <c r="V53" s="56">
        <f>658.24694923526*Deflactores!$S$5</f>
        <v>1033.8429265264799</v>
      </c>
    </row>
    <row r="54" spans="3:22" x14ac:dyDescent="0.2">
      <c r="C54" s="88" t="s">
        <v>124</v>
      </c>
      <c r="D54" s="57">
        <f>84.55461619313*Deflactores!$A$5</f>
        <v>306.98053368022289</v>
      </c>
      <c r="E54" s="57">
        <f>88.83866770213*Deflactores!$B$5</f>
        <v>299.61831629425245</v>
      </c>
      <c r="F54" s="57">
        <f>93.49123480001*Deflactores!$C$5</f>
        <v>294.70435932475118</v>
      </c>
      <c r="G54" s="57">
        <f>97.6466716803299*Deflactores!$D$5</f>
        <v>289.04051893197425</v>
      </c>
      <c r="H54" s="57">
        <f>105.4946304171*Deflactores!$E$5</f>
        <v>295.99992383909932</v>
      </c>
      <c r="I54" s="57">
        <f>112.34323478171*Deflactores!$F$5</f>
        <v>300.62032452151021</v>
      </c>
      <c r="J54" s="57">
        <f>116.68332081128*Deflactores!$G$5</f>
        <v>298.8515822646313</v>
      </c>
      <c r="K54" s="57">
        <f>122.99995749883*Deflactores!$H$5</f>
        <v>298.05712701582735</v>
      </c>
      <c r="L54" s="57">
        <f>1046.74458464368*Deflactores!$I$5</f>
        <v>2355.7159765588644</v>
      </c>
      <c r="M54" s="57">
        <f>1256.77425763095*Deflactores!$J$5</f>
        <v>2772.8834224431048</v>
      </c>
      <c r="N54" s="57">
        <f>1355.90465427957*Deflactores!$K$5</f>
        <v>2899.6455332859282</v>
      </c>
      <c r="O54" s="57">
        <f>1095.475283777*Deflactores!$L$5</f>
        <v>2258.5402962573799</v>
      </c>
      <c r="P54" s="57">
        <f>200.29210114124*Deflactores!$M$5</f>
        <v>403.10623240821042</v>
      </c>
      <c r="Q54" s="57">
        <f>222.8355032218*Deflactores!$N$5</f>
        <v>439.94202244896036</v>
      </c>
      <c r="R54" s="57">
        <f>244.19159524653*Deflactores!$O$5</f>
        <v>465.08311071356536</v>
      </c>
      <c r="S54" s="57">
        <f>241.083660863449*Deflactores!$P$5</f>
        <v>430.04944494060157</v>
      </c>
      <c r="T54" s="57">
        <f>252.39670181905*Deflactores!$Q$5</f>
        <v>425.74927127415765</v>
      </c>
      <c r="U54" s="57">
        <f>273.04216213599*Deflactores!$R$5</f>
        <v>442.47724720873441</v>
      </c>
      <c r="V54" s="57">
        <f>287.212521724659*Deflactores!$S$5</f>
        <v>451.09610358216304</v>
      </c>
    </row>
    <row r="55" spans="3:22" x14ac:dyDescent="0.2">
      <c r="C55" s="87" t="s">
        <v>125</v>
      </c>
      <c r="D55" s="56">
        <f>6.343881576*Deflactores!$A$5</f>
        <v>23.031837166127925</v>
      </c>
      <c r="E55" s="56">
        <f>3.554264065*Deflactores!$B$5</f>
        <v>11.987152017982512</v>
      </c>
      <c r="F55" s="56">
        <f>4.020507885*Deflactores!$C$5</f>
        <v>12.673500386893046</v>
      </c>
      <c r="G55" s="56">
        <f>4.41260433551*Deflactores!$D$5</f>
        <v>13.061596724491459</v>
      </c>
      <c r="H55" s="56">
        <f>4.455573171*Deflactores!$E$5</f>
        <v>12.501577701738244</v>
      </c>
      <c r="I55" s="56">
        <f>4.629562808*Deflactores!$F$5</f>
        <v>12.38829090543738</v>
      </c>
      <c r="J55" s="56">
        <f>4.7170987258*Deflactores!$G$5</f>
        <v>12.08152466095674</v>
      </c>
      <c r="K55" s="56">
        <f>5.046391632*Deflactores!$H$5</f>
        <v>12.228565132999657</v>
      </c>
      <c r="L55" s="56">
        <f>5.143308912*Deflactores!$I$5</f>
        <v>11.575101657201724</v>
      </c>
      <c r="M55" s="56">
        <f>6.751055242*Deflactores!$J$5</f>
        <v>14.895188257457523</v>
      </c>
      <c r="N55" s="56">
        <f>24.999428344*Deflactores!$K$5</f>
        <v>53.462078254238982</v>
      </c>
      <c r="O55" s="56">
        <f>9.36117917102999*Deflactores!$L$5</f>
        <v>19.299933728637527</v>
      </c>
      <c r="P55" s="56">
        <f>12.4844571455*Deflactores!$M$5</f>
        <v>25.126115582738102</v>
      </c>
      <c r="Q55" s="56">
        <f>16.25690079538*Deflactores!$N$5</f>
        <v>32.095845191924973</v>
      </c>
      <c r="R55" s="56">
        <f>20.90564120256*Deflactores!$O$5</f>
        <v>39.816524529160461</v>
      </c>
      <c r="S55" s="56">
        <f>19.90025796843*Deflactores!$P$5</f>
        <v>35.498444244819446</v>
      </c>
      <c r="T55" s="56">
        <f>20.51019136983*Deflactores!$Q$5</f>
        <v>34.597120193983315</v>
      </c>
      <c r="U55" s="56">
        <f>22.19437046851*Deflactores!$R$5</f>
        <v>35.966987192058582</v>
      </c>
      <c r="V55" s="56">
        <f>22.31333647409*Deflactores!$S$5</f>
        <v>35.045335352854764</v>
      </c>
    </row>
    <row r="56" spans="3:22" x14ac:dyDescent="0.2">
      <c r="C56" s="88" t="s">
        <v>126</v>
      </c>
      <c r="D56" s="57">
        <f>110.5267786134*Deflactores!$A$5</f>
        <v>401.2740050430757</v>
      </c>
      <c r="E56" s="57">
        <f>110.27672327759*Deflactores!$B$5</f>
        <v>371.9205500206586</v>
      </c>
      <c r="F56" s="57">
        <f>112.004335351679*Deflactores!$C$5</f>
        <v>353.06161012869211</v>
      </c>
      <c r="G56" s="57">
        <f>111.838533888739*Deflactores!$D$5</f>
        <v>331.04935698800762</v>
      </c>
      <c r="H56" s="57">
        <f>113.09326170913*Deflactores!$E$5</f>
        <v>317.32038607333357</v>
      </c>
      <c r="I56" s="57">
        <f>125.145544914359*Deflactores!$F$5</f>
        <v>334.87814729277102</v>
      </c>
      <c r="J56" s="57">
        <f>203.59603270943*Deflactores!$G$5</f>
        <v>521.45410410819215</v>
      </c>
      <c r="K56" s="57">
        <f>173.449050891329*Deflactores!$H$5</f>
        <v>420.30685899044568</v>
      </c>
      <c r="L56" s="57">
        <f>158.694002608039*Deflactores!$I$5</f>
        <v>357.14347397850543</v>
      </c>
      <c r="M56" s="57">
        <f>198.515161058489*Deflactores!$J$5</f>
        <v>437.99385280244081</v>
      </c>
      <c r="N56" s="57">
        <f>134.24644607223*Deflactores!$K$5</f>
        <v>287.09032488695186</v>
      </c>
      <c r="O56" s="57">
        <f>250.74432609383*Deflactores!$L$5</f>
        <v>516.95932617325752</v>
      </c>
      <c r="P56" s="57">
        <f>353.7471157706*Deflactores!$M$5</f>
        <v>711.94853042657917</v>
      </c>
      <c r="Q56" s="57">
        <f>525.292127667796*Deflactores!$N$5</f>
        <v>1037.0792700508925</v>
      </c>
      <c r="R56" s="57">
        <f>404.174008918528*Deflactores!$O$5</f>
        <v>769.78286311462409</v>
      </c>
      <c r="S56" s="57">
        <f>387.70738494301*Deflactores!$P$5</f>
        <v>691.59952647538489</v>
      </c>
      <c r="T56" s="57">
        <f>373.38334460748*Deflactores!$Q$5</f>
        <v>629.83266313246247</v>
      </c>
      <c r="U56" s="57">
        <f>438.02729413896*Deflactores!$R$5</f>
        <v>709.8431604726527</v>
      </c>
      <c r="V56" s="57">
        <f>386.88016523141*Deflactores!$S$5</f>
        <v>607.63414506147149</v>
      </c>
    </row>
    <row r="57" spans="3:22" x14ac:dyDescent="0.2">
      <c r="C57" s="87" t="s">
        <v>127</v>
      </c>
      <c r="D57" s="56">
        <f>168.793936681919*Deflactores!$A$5</f>
        <v>612.8163676628609</v>
      </c>
      <c r="E57" s="56">
        <f>182.409355607469*Deflactores!$B$5</f>
        <v>615.1958985548705</v>
      </c>
      <c r="F57" s="56">
        <f>189.84707649563*Deflactores!$C$5</f>
        <v>598.43857200093032</v>
      </c>
      <c r="G57" s="56">
        <f>208.64289693158*Deflactores!$D$5</f>
        <v>617.59658739830343</v>
      </c>
      <c r="H57" s="56">
        <f>224.132323363319*Deflactores!$E$5</f>
        <v>628.87703746738759</v>
      </c>
      <c r="I57" s="56">
        <f>241.43622919109*Deflactores!$F$5</f>
        <v>646.06148925392768</v>
      </c>
      <c r="J57" s="56">
        <f>255.46897103514*Deflactores!$G$5</f>
        <v>654.31207890329608</v>
      </c>
      <c r="K57" s="56">
        <f>272.50974342038*Deflactores!$H$5</f>
        <v>660.35365263009419</v>
      </c>
      <c r="L57" s="56">
        <f>294.3915835077*Deflactores!$I$5</f>
        <v>662.53312107616568</v>
      </c>
      <c r="M57" s="56">
        <f>324.93275173017*Deflactores!$J$5</f>
        <v>716.91525762137871</v>
      </c>
      <c r="N57" s="56">
        <f>335.60000125867*Deflactores!$K$5</f>
        <v>717.69135207925126</v>
      </c>
      <c r="O57" s="56">
        <f>350.26007424642*Deflactores!$L$5</f>
        <v>722.1308445482706</v>
      </c>
      <c r="P57" s="56">
        <f>372.72689156218*Deflactores!$M$5</f>
        <v>750.14707079688185</v>
      </c>
      <c r="Q57" s="56">
        <f>390.257046923153*Deflactores!$N$5</f>
        <v>770.48078971257155</v>
      </c>
      <c r="R57" s="56">
        <f>401.61577456809*Deflactores!$O$5</f>
        <v>764.91049398809946</v>
      </c>
      <c r="S57" s="56">
        <f>414.30592437919*Deflactores!$P$5</f>
        <v>739.04648774929228</v>
      </c>
      <c r="T57" s="56">
        <f>442.15758726191*Deflactores!$Q$5</f>
        <v>745.84283078333658</v>
      </c>
      <c r="U57" s="56">
        <f>483.44802999331*Deflactores!$R$5</f>
        <v>783.44952957625708</v>
      </c>
      <c r="V57" s="56">
        <f>508.810457183708*Deflactores!$S$5</f>
        <v>799.13791125536341</v>
      </c>
    </row>
    <row r="58" spans="3:22" x14ac:dyDescent="0.2">
      <c r="C58" s="88" t="s">
        <v>128</v>
      </c>
      <c r="D58" s="57">
        <f>38.0122767476599*Deflactores!$A$5</f>
        <v>138.00581834283179</v>
      </c>
      <c r="E58" s="57">
        <f>42.0482249567499*Deflactores!$B$5</f>
        <v>141.8123289167844</v>
      </c>
      <c r="F58" s="57">
        <f>48.60725009686*Deflactores!$C$5</f>
        <v>153.22044391621986</v>
      </c>
      <c r="G58" s="57">
        <f>53.5417968332199*Deflactores!$D$5</f>
        <v>158.48721185180625</v>
      </c>
      <c r="H58" s="57">
        <f>59.08710891086*Deflactores!$E$5</f>
        <v>165.78834077466135</v>
      </c>
      <c r="I58" s="57">
        <f>67.72162660071*Deflactores!$F$5</f>
        <v>181.21694114815037</v>
      </c>
      <c r="J58" s="57">
        <f>72.89371219788*Deflactores!$G$5</f>
        <v>186.69678816145893</v>
      </c>
      <c r="K58" s="57">
        <f>82.1514645752999*Deflactores!$H$5</f>
        <v>199.07185343287065</v>
      </c>
      <c r="L58" s="57">
        <f>103.88790044876*Deflactores!$I$5</f>
        <v>233.80143585037882</v>
      </c>
      <c r="M58" s="57">
        <f>96.94775728449*Deflactores!$J$5</f>
        <v>213.90064873220859</v>
      </c>
      <c r="N58" s="57">
        <f>106.24486223317*Deflactores!$K$5</f>
        <v>227.20804094641719</v>
      </c>
      <c r="O58" s="57">
        <f>118.89677798564*Deflactores!$L$5</f>
        <v>245.12936818609151</v>
      </c>
      <c r="P58" s="57">
        <f>149.68429783127*Deflactores!$M$5</f>
        <v>301.2533844601424</v>
      </c>
      <c r="Q58" s="57">
        <f>203.0424681267*Deflactores!$N$5</f>
        <v>400.8648208170722</v>
      </c>
      <c r="R58" s="57">
        <f>196.61316702544*Deflactores!$O$5</f>
        <v>374.46605496442379</v>
      </c>
      <c r="S58" s="57">
        <f>215.40027856284*Deflactores!$P$5</f>
        <v>384.23495770817897</v>
      </c>
      <c r="T58" s="57">
        <f>205.31573143962*Deflactores!$Q$5</f>
        <v>346.33187522477067</v>
      </c>
      <c r="U58" s="57">
        <f>212.6029333768*Deflactores!$R$5</f>
        <v>344.53272700871526</v>
      </c>
      <c r="V58" s="57">
        <f>256.42646078503*Deflactores!$S$5</f>
        <v>402.74350373338928</v>
      </c>
    </row>
    <row r="59" spans="3:22" x14ac:dyDescent="0.2">
      <c r="C59" s="87" t="s">
        <v>129</v>
      </c>
      <c r="D59" s="56">
        <f>5442.3917174645*Deflactores!$A$5</f>
        <v>19758.924930935005</v>
      </c>
      <c r="E59" s="56">
        <f>6103.43048746941*Deflactores!$B$5</f>
        <v>20584.500123370806</v>
      </c>
      <c r="F59" s="56">
        <f>6882.50558807558*Deflactores!$C$5</f>
        <v>21695.129005640396</v>
      </c>
      <c r="G59" s="56">
        <f>7901.71206401511*Deflactores!$D$5</f>
        <v>23389.583240593383</v>
      </c>
      <c r="H59" s="56">
        <f>9237.33938236969*Deflactores!$E$5</f>
        <v>25918.397389959824</v>
      </c>
      <c r="I59" s="56">
        <f>10086.4959605128*Deflactores!$F$5</f>
        <v>26990.549941222784</v>
      </c>
      <c r="J59" s="56">
        <f>11027.7414385041*Deflactores!$G$5</f>
        <v>28244.465059684808</v>
      </c>
      <c r="K59" s="56">
        <f>12326.2952718474*Deflactores!$H$5</f>
        <v>29869.442479364763</v>
      </c>
      <c r="L59" s="56">
        <f>13958.8218549411*Deflactores!$I$5</f>
        <v>31414.559138911074</v>
      </c>
      <c r="M59" s="56">
        <f>15737.1529111011*Deflactores!$J$5</f>
        <v>34721.661554320694</v>
      </c>
      <c r="N59" s="56">
        <f>16923.365340984*Deflactores!$K$5</f>
        <v>36191.158843114485</v>
      </c>
      <c r="O59" s="56">
        <f>18367.2302292945*Deflactores!$L$5</f>
        <v>37867.700182583765</v>
      </c>
      <c r="P59" s="56">
        <f>19964.1227699545*Deflactores!$M$5</f>
        <v>40179.628988246288</v>
      </c>
      <c r="Q59" s="56">
        <f>21435.852690456*Deflactores!$N$5</f>
        <v>42320.600843261906</v>
      </c>
      <c r="R59" s="56">
        <f>22630.3621748089*Deflactores!$O$5</f>
        <v>43101.398417127915</v>
      </c>
      <c r="S59" s="56">
        <f>23550.8302683597*Deflactores!$P$5</f>
        <v>42010.401901665871</v>
      </c>
      <c r="T59" s="56">
        <f>25663.8309276023*Deflactores!$Q$5</f>
        <v>43290.412421328976</v>
      </c>
      <c r="U59" s="56">
        <f>26826.7079523134*Deflactores!$R$5</f>
        <v>43473.900856748573</v>
      </c>
      <c r="V59" s="56">
        <f>28551.9647020425*Deflactores!$S$5</f>
        <v>44843.727388230458</v>
      </c>
    </row>
    <row r="60" spans="3:22" x14ac:dyDescent="0.2">
      <c r="C60" s="88" t="s">
        <v>130</v>
      </c>
      <c r="D60" s="57">
        <f>5.825565739*Deflactores!$A$5</f>
        <v>21.150060872640363</v>
      </c>
      <c r="E60" s="57">
        <f>5.92283469127999*Deflactores!$B$5</f>
        <v>19.975420656245966</v>
      </c>
      <c r="F60" s="57">
        <f>5.25498143001*Deflactores!$C$5</f>
        <v>16.564824915483907</v>
      </c>
      <c r="G60" s="57">
        <f>5.49609116491*Deflactores!$D$5</f>
        <v>16.268788429406694</v>
      </c>
      <c r="H60" s="57">
        <f>6.67300282725999*Deflactores!$E$5</f>
        <v>18.723306777203355</v>
      </c>
      <c r="I60" s="57">
        <f>6.755120598*Deflactores!$F$5</f>
        <v>18.076091099731357</v>
      </c>
      <c r="J60" s="57">
        <f>5.885489672*Deflactores!$G$5</f>
        <v>15.074030192576684</v>
      </c>
      <c r="K60" s="57">
        <f>6.296037477*Deflactores!$H$5</f>
        <v>15.25674382445578</v>
      </c>
      <c r="L60" s="57">
        <f>6.535881852*Deflactores!$I$5</f>
        <v>14.709110059450358</v>
      </c>
      <c r="M60" s="57">
        <f>7.06839252639999*Deflactores!$J$5</f>
        <v>15.595345258520348</v>
      </c>
      <c r="N60" s="57">
        <f>10.44029063*Deflactores!$K$5</f>
        <v>22.326895918482847</v>
      </c>
      <c r="O60" s="57">
        <f>8.580148977*Deflactores!$L$5</f>
        <v>17.68968455922812</v>
      </c>
      <c r="P60" s="57">
        <f>17.11223970503*Deflactores!$M$5</f>
        <v>34.439952630466088</v>
      </c>
      <c r="Q60" s="57">
        <f>23.64664046071*Deflactores!$N$5</f>
        <v>46.685338188921207</v>
      </c>
      <c r="R60" s="57">
        <f>24.53470061724*Deflactores!$O$5</f>
        <v>46.72836864828237</v>
      </c>
      <c r="S60" s="57">
        <f>28.37179023925*Deflactores!$P$5</f>
        <v>50.610118498538569</v>
      </c>
      <c r="T60" s="57">
        <f>60.06693656153*Deflactores!$Q$5</f>
        <v>101.32245898790212</v>
      </c>
      <c r="U60" s="57">
        <f>55.9380997432399*Deflactores!$R$5</f>
        <v>90.650235827494214</v>
      </c>
      <c r="V60" s="57">
        <f>37.3611797368399*Deflactores!$S$5</f>
        <v>58.679484109255554</v>
      </c>
    </row>
    <row r="61" spans="3:22" x14ac:dyDescent="0.2">
      <c r="C61" s="87" t="s">
        <v>131</v>
      </c>
      <c r="D61" s="56">
        <f>4725.46738270048*Deflactores!$A$5</f>
        <v>17156.088742884527</v>
      </c>
      <c r="E61" s="56">
        <f>7245.91329601905*Deflactores!$B$5</f>
        <v>24437.650832930183</v>
      </c>
      <c r="F61" s="56">
        <f>8387.64648378646*Deflactores!$C$5</f>
        <v>26439.654888872283</v>
      </c>
      <c r="G61" s="56">
        <f>9799.78120890956*Deflactores!$D$5</f>
        <v>29007.991745136147</v>
      </c>
      <c r="H61" s="56">
        <f>11082.6386325344*Deflactores!$E$5</f>
        <v>31095.992072736819</v>
      </c>
      <c r="I61" s="56">
        <f>11924.1788747691*Deflactores!$F$5</f>
        <v>31908.023032724901</v>
      </c>
      <c r="J61" s="56">
        <f>12793.0013878508*Deflactores!$G$5</f>
        <v>32765.68304784859</v>
      </c>
      <c r="K61" s="56">
        <f>13664.1774151917*Deflactores!$H$5</f>
        <v>33111.437973019893</v>
      </c>
      <c r="L61" s="56">
        <f>15374.5004580388*Deflactores!$I$5</f>
        <v>34600.567217591532</v>
      </c>
      <c r="M61" s="56">
        <f>17782.2519271745*Deflactores!$J$5</f>
        <v>39233.865018460921</v>
      </c>
      <c r="N61" s="56">
        <f>19388.4658594943*Deflactores!$K$5</f>
        <v>41462.855259996468</v>
      </c>
      <c r="O61" s="56">
        <f>20811.9325871654*Deflactores!$L$5</f>
        <v>42907.940587250749</v>
      </c>
      <c r="P61" s="56">
        <f>22129.8397692739*Deflactores!$M$5</f>
        <v>44538.333176198437</v>
      </c>
      <c r="Q61" s="56">
        <f>23663.6367202298*Deflactores!$N$5</f>
        <v>46718.893743036679</v>
      </c>
      <c r="R61" s="56">
        <f>25009.0212763422*Deflactores!$O$5</f>
        <v>47631.751614384251</v>
      </c>
      <c r="S61" s="56">
        <f>26576.3104954513*Deflactores!$P$5</f>
        <v>47407.308882751</v>
      </c>
      <c r="T61" s="56">
        <f>28761.5986772131*Deflactores!$Q$5</f>
        <v>48515.807018279462</v>
      </c>
      <c r="U61" s="56">
        <f>32297.9901167389*Deflactores!$R$5</f>
        <v>52340.362548520156</v>
      </c>
      <c r="V61" s="56">
        <f>34795.0550312323*Deflactores!$S$5</f>
        <v>54649.127601626562</v>
      </c>
    </row>
    <row r="62" spans="3:22" x14ac:dyDescent="0.2">
      <c r="C62" s="88" t="s">
        <v>132</v>
      </c>
      <c r="D62" s="57">
        <f>7.42959174125*Deflactores!$A$5</f>
        <v>26.973572117525737</v>
      </c>
      <c r="E62" s="57">
        <f>7.34176456840999*Deflactores!$B$5</f>
        <v>24.760919940755251</v>
      </c>
      <c r="F62" s="57">
        <f>7.08431658021*Deflactores!$C$5</f>
        <v>22.331280397467562</v>
      </c>
      <c r="G62" s="57">
        <f>7.32479480762*Deflactores!$D$5</f>
        <v>21.681870521872586</v>
      </c>
      <c r="H62" s="57">
        <f>6.91585595388999*Deflactores!$E$5</f>
        <v>19.404711192786909</v>
      </c>
      <c r="I62" s="57">
        <f>7.94544161003*Deflactores!$F$5</f>
        <v>21.261282354162713</v>
      </c>
      <c r="J62" s="57">
        <f>8.94665002377*Deflactores!$G$5</f>
        <v>22.914333402423114</v>
      </c>
      <c r="K62" s="57">
        <f>8.95782815352*Deflactores!$H$5</f>
        <v>21.706873547212908</v>
      </c>
      <c r="L62" s="57">
        <f>9.81709756018999*Deflactores!$I$5</f>
        <v>22.093540205750365</v>
      </c>
      <c r="M62" s="57">
        <f>10.47391257504*Deflactores!$J$5</f>
        <v>23.109113168973902</v>
      </c>
      <c r="N62" s="57">
        <f>10.6536330200299*Deflactores!$K$5</f>
        <v>22.783135452994539</v>
      </c>
      <c r="O62" s="57">
        <f>12.3732526716937*Deflactores!$L$5</f>
        <v>25.509922650599229</v>
      </c>
      <c r="P62" s="57">
        <f>14.96698615725*Deflactores!$M$5</f>
        <v>30.122433016469252</v>
      </c>
      <c r="Q62" s="57">
        <f>16.38909288708*Deflactores!$N$5</f>
        <v>32.356830785932267</v>
      </c>
      <c r="R62" s="57">
        <f>19.42043502229*Deflactores!$O$5</f>
        <v>36.987826392872748</v>
      </c>
      <c r="S62" s="57">
        <f>19.19753927268*Deflactores!$P$5</f>
        <v>34.244921778907333</v>
      </c>
      <c r="T62" s="57">
        <f>21.2619150283699*Deflactores!$Q$5</f>
        <v>35.865147064050561</v>
      </c>
      <c r="U62" s="57">
        <f>23.7543113049599*Deflactores!$R$5</f>
        <v>38.49494229511356</v>
      </c>
      <c r="V62" s="57">
        <f>24.90890425751*Deflactores!$S$5</f>
        <v>39.121935170486005</v>
      </c>
    </row>
    <row r="63" spans="3:22" x14ac:dyDescent="0.2">
      <c r="C63" s="87" t="s">
        <v>133</v>
      </c>
      <c r="D63" s="56">
        <f>602.44297592214*Deflactores!$A$5</f>
        <v>2187.204845659347</v>
      </c>
      <c r="E63" s="56">
        <f>630.47127733478*Deflactores!$B$5</f>
        <v>2126.3347084436787</v>
      </c>
      <c r="F63" s="56">
        <f>673.59451715664*Deflactores!$C$5</f>
        <v>2123.3139240053279</v>
      </c>
      <c r="G63" s="56">
        <f>696.300076159719*Deflactores!$D$5</f>
        <v>2061.0936541129472</v>
      </c>
      <c r="H63" s="56">
        <f>748.535493552169*Deflactores!$E$5</f>
        <v>2100.2628115410712</v>
      </c>
      <c r="I63" s="56">
        <f>825.66686414812*Deflactores!$F$5</f>
        <v>2209.4097711282534</v>
      </c>
      <c r="J63" s="56">
        <f>908.10837315604*Deflactores!$G$5</f>
        <v>2325.8647619772491</v>
      </c>
      <c r="K63" s="56">
        <f>1022.09773443868*Deflactores!$H$5</f>
        <v>2476.777394488749</v>
      </c>
      <c r="L63" s="56">
        <f>1184.2146525455*Deflactores!$I$5</f>
        <v>2665.0946349306078</v>
      </c>
      <c r="M63" s="56">
        <f>1370.81237617628*Deflactores!$J$5</f>
        <v>3024.4913834758354</v>
      </c>
      <c r="N63" s="56">
        <f>1448.11306714645*Deflactores!$K$5</f>
        <v>3096.8361776700613</v>
      </c>
      <c r="O63" s="56">
        <f>1567.36461941759*Deflactores!$L$5</f>
        <v>3231.4340673005536</v>
      </c>
      <c r="P63" s="56">
        <f>1840.37466416572*Deflactores!$M$5</f>
        <v>3703.9228849480533</v>
      </c>
      <c r="Q63" s="56">
        <f>2100.08202454281*Deflactores!$N$5</f>
        <v>4146.1720409357304</v>
      </c>
      <c r="R63" s="56">
        <f>2381.52512234021*Deflactores!$O$5</f>
        <v>4535.8117711720406</v>
      </c>
      <c r="S63" s="56">
        <f>2647.48497640319*Deflactores!$P$5</f>
        <v>4722.632137379288</v>
      </c>
      <c r="T63" s="56">
        <f>2985.15682896139*Deflactores!$Q$5</f>
        <v>5035.4395893831843</v>
      </c>
      <c r="U63" s="56">
        <f>3249.1802786357*Deflactores!$R$5</f>
        <v>5265.4444798147515</v>
      </c>
      <c r="V63" s="56">
        <f>3489.62458696244*Deflactores!$S$5</f>
        <v>5480.8057973613086</v>
      </c>
    </row>
    <row r="64" spans="3:22" x14ac:dyDescent="0.2">
      <c r="C64" s="88" t="s">
        <v>134</v>
      </c>
      <c r="D64" s="57">
        <f>5945.37723645752*Deflactores!$A$5</f>
        <v>21585.043598438893</v>
      </c>
      <c r="E64" s="57">
        <f>4977.17205391405*Deflactores!$B$5</f>
        <v>16786.067928220175</v>
      </c>
      <c r="F64" s="57">
        <f>5096.73893520681*Deflactores!$C$5</f>
        <v>16066.01074163454</v>
      </c>
      <c r="G64" s="57">
        <f>3865.9204283896*Deflactores!$D$5</f>
        <v>11443.376692137092</v>
      </c>
      <c r="H64" s="57">
        <f>4702.63144110229*Deflactores!$E$5</f>
        <v>13194.781032040102</v>
      </c>
      <c r="I64" s="57">
        <f>5161.83364108415*Deflactores!$F$5</f>
        <v>13812.599462031856</v>
      </c>
      <c r="J64" s="57">
        <f>5265.74316608466*Deflactores!$G$5</f>
        <v>13486.723432638537</v>
      </c>
      <c r="K64" s="57">
        <f>5585.0949639379*Deflactores!$H$5</f>
        <v>13533.966945295335</v>
      </c>
      <c r="L64" s="57">
        <f>6283.39406187497*Deflactores!$I$5</f>
        <v>14140.882117496356</v>
      </c>
      <c r="M64" s="57">
        <f>5555.17084319726*Deflactores!$J$5</f>
        <v>12256.649152710672</v>
      </c>
      <c r="N64" s="57">
        <f>6530.92265800271*Deflactores!$K$5</f>
        <v>13966.587291917931</v>
      </c>
      <c r="O64" s="57">
        <f>6834.27426905191*Deflactores!$L$5</f>
        <v>14090.216421049632</v>
      </c>
      <c r="P64" s="57">
        <f>7240.66434484265*Deflactores!$M$5</f>
        <v>14572.501399462397</v>
      </c>
      <c r="Q64" s="57">
        <f>10166.7867822127*Deflactores!$N$5</f>
        <v>20072.190804900605</v>
      </c>
      <c r="R64" s="57">
        <f>11059.5730040039*Deflactores!$O$5</f>
        <v>21063.872450945855</v>
      </c>
      <c r="S64" s="57">
        <f>14174.6810894506*Deflactores!$P$5</f>
        <v>25285.055457080402</v>
      </c>
      <c r="T64" s="57">
        <f>16231.0244185668*Deflactores!$Q$5</f>
        <v>27378.910930429221</v>
      </c>
      <c r="U64" s="57">
        <f>18997.3853411081*Deflactores!$R$5</f>
        <v>30786.127329706942</v>
      </c>
      <c r="V64" s="57">
        <f>10108.723266192*Deflactores!$S$5</f>
        <v>15876.764878451548</v>
      </c>
    </row>
    <row r="65" spans="3:22" x14ac:dyDescent="0.2">
      <c r="C65" s="87" t="s">
        <v>135</v>
      </c>
      <c r="D65" s="56"/>
      <c r="E65" s="56"/>
      <c r="F65" s="56"/>
      <c r="G65" s="56"/>
      <c r="H65" s="56"/>
      <c r="I65" s="56"/>
      <c r="J65" s="56"/>
      <c r="K65" s="56"/>
      <c r="L65" s="56"/>
      <c r="M65" s="56"/>
      <c r="N65" s="56"/>
      <c r="O65" s="56"/>
      <c r="P65" s="56"/>
      <c r="Q65" s="56"/>
      <c r="R65" s="56"/>
      <c r="S65" s="56"/>
      <c r="T65" s="56"/>
      <c r="U65" s="56"/>
      <c r="V65" s="56"/>
    </row>
    <row r="66" spans="3:22" x14ac:dyDescent="0.2">
      <c r="C66" s="88" t="s">
        <v>136</v>
      </c>
      <c r="D66" s="57">
        <f>20.5496269209599*Deflactores!$A$5</f>
        <v>74.606635605996559</v>
      </c>
      <c r="E66" s="57">
        <f>17.39559402504*Deflactores!$B$5</f>
        <v>58.668581233078072</v>
      </c>
      <c r="F66" s="57">
        <f>19.00533027538*Deflactores!$C$5</f>
        <v>59.908864125522932</v>
      </c>
      <c r="G66" s="57">
        <f>16.9182627124*Deflactores!$D$5</f>
        <v>50.079161426293943</v>
      </c>
      <c r="H66" s="57">
        <f>14.91351371177*Deflactores!$E$5</f>
        <v>41.844773571923312</v>
      </c>
      <c r="I66" s="57">
        <f>17.49429007237*Deflactores!$F$5</f>
        <v>46.813136269826515</v>
      </c>
      <c r="J66" s="57">
        <f>147.54875733184*Deflactores!$G$5</f>
        <v>377.90473636860816</v>
      </c>
      <c r="K66" s="57">
        <f>56.06448848829*Deflactores!$H$5</f>
        <v>135.85712309364496</v>
      </c>
      <c r="L66" s="57">
        <f>97.06395307189*Deflactores!$I$5</f>
        <v>218.44402956930236</v>
      </c>
      <c r="M66" s="57">
        <f>250.70839410866*Deflactores!$J$5</f>
        <v>553.15037340252081</v>
      </c>
      <c r="N66" s="57">
        <f>363.35117229125*Deflactores!$K$5</f>
        <v>777.03812021231715</v>
      </c>
      <c r="O66" s="57">
        <f>563.71141078301*Deflactores!$L$5</f>
        <v>1162.2032514726243</v>
      </c>
      <c r="P66" s="57">
        <f>1068.43881030878*Deflactores!$M$5</f>
        <v>2150.3311460024584</v>
      </c>
      <c r="Q66" s="57">
        <f>838.19840620391*Deflactores!$N$5</f>
        <v>1654.847170703307</v>
      </c>
      <c r="R66" s="57">
        <f>842.227900165624*Deflactores!$O$5</f>
        <v>1604.0927671704899</v>
      </c>
      <c r="S66" s="57">
        <f>793.658521440189*Deflactores!$P$5</f>
        <v>1415.7425907475865</v>
      </c>
      <c r="T66" s="57">
        <f>844.72428572634*Deflactores!$Q$5</f>
        <v>1424.9027284572392</v>
      </c>
      <c r="U66" s="57">
        <f>815.105779560309*Deflactores!$R$5</f>
        <v>1320.9160032366856</v>
      </c>
      <c r="V66" s="57">
        <f>798.812343011924*Deflactores!$S$5</f>
        <v>1254.6149912344845</v>
      </c>
    </row>
    <row r="67" spans="3:22" x14ac:dyDescent="0.2">
      <c r="C67" s="87" t="s">
        <v>137</v>
      </c>
      <c r="D67" s="56">
        <f>36.95461729495*Deflactores!$A$5</f>
        <v>134.16592316190852</v>
      </c>
      <c r="E67" s="56">
        <f>34.1107639652*Deflactores!$B$5</f>
        <v>115.04235634230298</v>
      </c>
      <c r="F67" s="56">
        <f>36.57995157486*Deflactores!$C$5</f>
        <v>115.30782769165421</v>
      </c>
      <c r="G67" s="56">
        <f>36.8505741283799*Deflactores!$D$5</f>
        <v>109.08010366065275</v>
      </c>
      <c r="H67" s="56">
        <f>38.6856466566699*Deflactores!$E$5</f>
        <v>108.54532044679759</v>
      </c>
      <c r="I67" s="56">
        <f>40.58555739226*Deflactores!$F$5</f>
        <v>108.60327689383868</v>
      </c>
      <c r="J67" s="56">
        <f>42.03147689831*Deflactores!$G$5</f>
        <v>107.65183308671249</v>
      </c>
      <c r="K67" s="56">
        <f>42.87140152622*Deflactores!$H$5</f>
        <v>103.88724540956558</v>
      </c>
      <c r="L67" s="56">
        <f>46.00685643*Deflactores!$I$5</f>
        <v>103.53919027944531</v>
      </c>
      <c r="M67" s="56">
        <f>49.58672667462*Deflactores!$J$5</f>
        <v>109.4056562142342</v>
      </c>
      <c r="N67" s="56">
        <f>48.77548515*Deflactores!$K$5</f>
        <v>104.30793728943883</v>
      </c>
      <c r="O67" s="56">
        <f>50.41638360672*Deflactores!$L$5</f>
        <v>103.94340762737508</v>
      </c>
      <c r="P67" s="56">
        <f>90.648786428332*Deflactores!$M$5</f>
        <v>182.43900064603019</v>
      </c>
      <c r="Q67" s="56">
        <f>111.595265760869*Deflactores!$N$5</f>
        <v>220.32147572866171</v>
      </c>
      <c r="R67" s="56">
        <f>116.90134082322*Deflactores!$O$5</f>
        <v>222.64828231192962</v>
      </c>
      <c r="S67" s="56">
        <f>118.50521248841*Deflactores!$P$5</f>
        <v>211.39176612252672</v>
      </c>
      <c r="T67" s="56">
        <f>132.066598616739*Deflactores!$Q$5</f>
        <v>222.7733473357514</v>
      </c>
      <c r="U67" s="56">
        <f>138.59850205165*Deflactores!$R$5</f>
        <v>224.60517883140758</v>
      </c>
      <c r="V67" s="56">
        <f>141.28905929192*Deflactores!$S$5</f>
        <v>221.90865406096353</v>
      </c>
    </row>
    <row r="68" spans="3:22" x14ac:dyDescent="0.2">
      <c r="C68" s="88" t="s">
        <v>138</v>
      </c>
      <c r="D68" s="57">
        <f>137.660968119219*Deflactores!$A$5</f>
        <v>499.78628444897998</v>
      </c>
      <c r="E68" s="57">
        <f>151.42552517897*Deflactores!$B$5</f>
        <v>510.69947435747201</v>
      </c>
      <c r="F68" s="57">
        <f>165.14037662442*Deflactores!$C$5</f>
        <v>520.5577720291551</v>
      </c>
      <c r="G68" s="57">
        <f>182.967827958759*Deflactores!$D$5</f>
        <v>541.59670812117554</v>
      </c>
      <c r="H68" s="57">
        <f>191.91146700714*Deflactores!$E$5</f>
        <v>538.47081499188243</v>
      </c>
      <c r="I68" s="57">
        <f>222.00826227328*Deflactores!$F$5</f>
        <v>594.07400882421098</v>
      </c>
      <c r="J68" s="57">
        <f>236.00417173566*Deflactores!$G$5</f>
        <v>604.45845776303509</v>
      </c>
      <c r="K68" s="57">
        <f>224.50955914967*Deflactores!$H$5</f>
        <v>544.0381895121966</v>
      </c>
      <c r="L68" s="57">
        <f>249.93987598258*Deflactores!$I$5</f>
        <v>562.49381909315798</v>
      </c>
      <c r="M68" s="57">
        <f>240.08111533208*Deflactores!$J$5</f>
        <v>529.70288077102111</v>
      </c>
      <c r="N68" s="57">
        <f>239.07274868955*Deflactores!$K$5</f>
        <v>511.26473065790407</v>
      </c>
      <c r="O68" s="57">
        <f>255.05853423416*Deflactores!$L$5</f>
        <v>525.85392477869743</v>
      </c>
      <c r="P68" s="57">
        <f>96.5863167138899*Deflactores!$M$5</f>
        <v>194.38882517522165</v>
      </c>
      <c r="Q68" s="57">
        <f>124.00226893869*Deflactores!$N$5</f>
        <v>244.81650453539658</v>
      </c>
      <c r="R68" s="57">
        <f>77.97725893245*Deflactores!$O$5</f>
        <v>148.51414567568472</v>
      </c>
      <c r="S68" s="57">
        <f>61.63878869845*Deflactores!$P$5</f>
        <v>109.95239897901483</v>
      </c>
      <c r="T68" s="57">
        <f>81.27033184115*Deflactores!$Q$5</f>
        <v>137.0888934293001</v>
      </c>
      <c r="U68" s="57">
        <f>83.47428335875*Deflactores!$R$5</f>
        <v>135.273874277723</v>
      </c>
      <c r="V68" s="57">
        <f>86.33079663365*Deflactores!$S$5</f>
        <v>135.59118434925844</v>
      </c>
    </row>
    <row r="69" spans="3:22" x14ac:dyDescent="0.2">
      <c r="C69" s="87" t="s">
        <v>139</v>
      </c>
      <c r="D69" s="56">
        <f>358.03713930518*Deflactores!$A$5</f>
        <v>1299.8750044610174</v>
      </c>
      <c r="E69" s="56">
        <f>430.39837078927*Deflactores!$B$5</f>
        <v>1451.5665140775025</v>
      </c>
      <c r="F69" s="56">
        <f>464.2011171859*Deflactores!$C$5</f>
        <v>1463.2611616558709</v>
      </c>
      <c r="G69" s="56">
        <f>513.915809522769*Deflactores!$D$5</f>
        <v>1521.2243255775959</v>
      </c>
      <c r="H69" s="56">
        <f>596.592510042159*Deflactores!$E$5</f>
        <v>1673.9367381757456</v>
      </c>
      <c r="I69" s="56">
        <f>720.71082601846*Deflactores!$F$5</f>
        <v>1928.5569159978334</v>
      </c>
      <c r="J69" s="56">
        <f>821.032177381439*Deflactores!$G$5</f>
        <v>2102.8435220614533</v>
      </c>
      <c r="K69" s="56">
        <f>723.547307211319*Deflactores!$H$5</f>
        <v>1753.3211883385841</v>
      </c>
      <c r="L69" s="56">
        <f>810.07241610797*Deflactores!$I$5</f>
        <v>1823.0813522142898</v>
      </c>
      <c r="M69" s="56">
        <f>956.68073944911*Deflactores!$J$5</f>
        <v>2110.7721986521055</v>
      </c>
      <c r="N69" s="56">
        <f>1904.19819167447*Deflactores!$K$5</f>
        <v>4072.1888250422339</v>
      </c>
      <c r="O69" s="56">
        <f>1906.54205702307*Deflactores!$L$5</f>
        <v>3930.7158509772357</v>
      </c>
      <c r="P69" s="56">
        <f>1488.66452946125*Deflactores!$M$5</f>
        <v>2996.0739658310354</v>
      </c>
      <c r="Q69" s="56">
        <f>1816.42701544855*Deflactores!$N$5</f>
        <v>3586.1546443609345</v>
      </c>
      <c r="R69" s="56">
        <f>2131.85558204937*Deflactores!$O$5</f>
        <v>4060.2954605813306</v>
      </c>
      <c r="S69" s="56">
        <f>2145.00613584817*Deflactores!$P$5</f>
        <v>3826.3011886076147</v>
      </c>
      <c r="T69" s="56">
        <f>2238.04380392373*Deflactores!$Q$5</f>
        <v>3775.1900549132079</v>
      </c>
      <c r="U69" s="56">
        <f>2518.11747178689*Deflactores!$R$5</f>
        <v>4080.7239378273866</v>
      </c>
      <c r="V69" s="56">
        <f>2833.20509311015*Deflactores!$S$5</f>
        <v>4449.833073003515</v>
      </c>
    </row>
    <row r="70" spans="3:22" x14ac:dyDescent="0.2">
      <c r="C70" s="88" t="s">
        <v>140</v>
      </c>
      <c r="D70" s="57">
        <f>90.29009986542*Deflactores!$A$5</f>
        <v>327.80354628325148</v>
      </c>
      <c r="E70" s="57">
        <f>80.74080651058*Deflactores!$B$5</f>
        <v>272.30737615350324</v>
      </c>
      <c r="F70" s="57">
        <f>100.3005197708*Deflactores!$C$5</f>
        <v>316.16868129107212</v>
      </c>
      <c r="G70" s="57">
        <f>71.62787803875*Deflactores!$D$5</f>
        <v>212.02319220970415</v>
      </c>
      <c r="H70" s="57">
        <f>89.7738229090399*Deflactores!$E$5</f>
        <v>251.89002168885062</v>
      </c>
      <c r="I70" s="57">
        <f>83.42951726372*Deflactores!$F$5</f>
        <v>223.24983434227843</v>
      </c>
      <c r="J70" s="57">
        <f>69.14613415183*Deflactores!$G$5</f>
        <v>177.09841865212996</v>
      </c>
      <c r="K70" s="57">
        <f>65.1674829866499*Deflactores!$H$5</f>
        <v>157.91576801185838</v>
      </c>
      <c r="L70" s="57">
        <f>57.04493693316*Deflactores!$I$5</f>
        <v>128.38057276501928</v>
      </c>
      <c r="M70" s="57">
        <f>46.6886451237499*Deflactores!$J$5</f>
        <v>103.01147504724877</v>
      </c>
      <c r="N70" s="57">
        <f>58.40533077309*Deflactores!$K$5</f>
        <v>124.90167060180238</v>
      </c>
      <c r="O70" s="57">
        <f>49.02916568716*Deflactores!$L$5</f>
        <v>101.08338183088767</v>
      </c>
      <c r="P70" s="57">
        <f>61.7284367433899*Deflactores!$M$5</f>
        <v>124.23414316538431</v>
      </c>
      <c r="Q70" s="57">
        <f>87.71171345583*Deflactores!$N$5</f>
        <v>173.16840473042927</v>
      </c>
      <c r="R70" s="57">
        <f>106.29500945379*Deflactores!$O$5</f>
        <v>202.44764607965755</v>
      </c>
      <c r="S70" s="57">
        <f>108.5733099429*Deflactores!$P$5</f>
        <v>193.67505665493672</v>
      </c>
      <c r="T70" s="57">
        <f>126.113265064319*Deflactores!$Q$5</f>
        <v>212.73111063722294</v>
      </c>
      <c r="U70" s="57">
        <f>161.21530407981*Deflactores!$R$5</f>
        <v>261.25673558659076</v>
      </c>
      <c r="V70" s="57">
        <f>183.52631207306*Deflactores!$S$5</f>
        <v>288.24650047927764</v>
      </c>
    </row>
    <row r="71" spans="3:22" x14ac:dyDescent="0.2">
      <c r="C71" s="87" t="s">
        <v>141</v>
      </c>
      <c r="D71" s="56">
        <f>346.99875563036*Deflactores!$A$5</f>
        <v>1259.7994998460649</v>
      </c>
      <c r="E71" s="56">
        <f>347.36592906569*Deflactores!$B$5</f>
        <v>1171.5303425487482</v>
      </c>
      <c r="F71" s="56">
        <f>373.83483629471*Deflactores!$C$5</f>
        <v>1178.4073251270606</v>
      </c>
      <c r="G71" s="56">
        <f>384.40671827853*Deflactores!$D$5</f>
        <v>1137.8689659377867</v>
      </c>
      <c r="H71" s="56">
        <f>429.23723772635*Deflactores!$E$5</f>
        <v>1204.3664134711287</v>
      </c>
      <c r="I71" s="56">
        <f>447.838959590809*Deflactores!$F$5</f>
        <v>1198.3765077368309</v>
      </c>
      <c r="J71" s="56">
        <f>498.23749004978*Deflactores!$G$5</f>
        <v>1276.0955139917553</v>
      </c>
      <c r="K71" s="56">
        <f>553.55542682225*Deflactores!$H$5</f>
        <v>1341.3918469380717</v>
      </c>
      <c r="L71" s="56">
        <f>626.34906924059*Deflactores!$I$5</f>
        <v>1409.6089255767242</v>
      </c>
      <c r="M71" s="56">
        <f>700.62880323559*Deflactores!$J$5</f>
        <v>1545.8321030860968</v>
      </c>
      <c r="N71" s="56">
        <f>787.363765110279*Deflactores!$K$5</f>
        <v>1683.8026312301974</v>
      </c>
      <c r="O71" s="56">
        <f>832.60945847951*Deflactores!$L$5</f>
        <v>1716.5900873066241</v>
      </c>
      <c r="P71" s="56">
        <f>952.077946487513*Deflactores!$M$5</f>
        <v>1916.1442302554453</v>
      </c>
      <c r="Q71" s="56">
        <f>1067.35107867292*Deflactores!$N$5</f>
        <v>2107.261120536315</v>
      </c>
      <c r="R71" s="56">
        <f>1225.20219922993*Deflactores!$O$5</f>
        <v>2333.4990276617827</v>
      </c>
      <c r="S71" s="56">
        <f>1303.39817234552*Deflactores!$P$5</f>
        <v>2325.0255058606808</v>
      </c>
      <c r="T71" s="56">
        <f>1406.86226722318*Deflactores!$Q$5</f>
        <v>2373.1315850664178</v>
      </c>
      <c r="U71" s="56">
        <f>1483.57609230137*Deflactores!$R$5</f>
        <v>2404.2025605527324</v>
      </c>
      <c r="V71" s="56">
        <f>1585.40247830384*Deflactores!$S$5</f>
        <v>2490.0337780466807</v>
      </c>
    </row>
    <row r="72" spans="3:22" x14ac:dyDescent="0.2">
      <c r="C72" s="88" t="s">
        <v>142</v>
      </c>
      <c r="D72" s="57">
        <f>18.7252148861399*Deflactores!$A$5</f>
        <v>67.982999838761302</v>
      </c>
      <c r="E72" s="57">
        <f>20.7344189281699*Deflactores!$B$5</f>
        <v>69.929140646590255</v>
      </c>
      <c r="F72" s="57">
        <f>24.1726967548399*Deflactores!$C$5</f>
        <v>76.197507985912523</v>
      </c>
      <c r="G72" s="57">
        <f>23.78010331202*Deflactores!$D$5</f>
        <v>70.390657287982222</v>
      </c>
      <c r="H72" s="57">
        <f>23.03001462626*Deflactores!$E$5</f>
        <v>64.618289560653622</v>
      </c>
      <c r="I72" s="57">
        <f>21.02234753951*Deflactores!$F$5</f>
        <v>56.253898615356171</v>
      </c>
      <c r="J72" s="57">
        <f>22.1565150814899*Deflactores!$G$5</f>
        <v>56.747695759215219</v>
      </c>
      <c r="K72" s="57">
        <f>24.42821503111*Deflactores!$H$5</f>
        <v>59.195171594809331</v>
      </c>
      <c r="L72" s="57">
        <f>26.8133116162499*Deflactores!$I$5</f>
        <v>60.343800661125925</v>
      </c>
      <c r="M72" s="57">
        <f>28.49154445022*Deflactores!$J$5</f>
        <v>62.862308649398848</v>
      </c>
      <c r="N72" s="57">
        <f>132.12304330408*Deflactores!$K$5</f>
        <v>282.54936005391608</v>
      </c>
      <c r="O72" s="57">
        <f>29.35691344949*Deflactores!$L$5</f>
        <v>60.525119079647368</v>
      </c>
      <c r="P72" s="57">
        <f>44.47048334379*Deflactores!$M$5</f>
        <v>89.500928353865291</v>
      </c>
      <c r="Q72" s="57">
        <f>69.97851491061*Deflactores!$N$5</f>
        <v>138.15791888021124</v>
      </c>
      <c r="R72" s="57">
        <f>76.8727647453599*Deflactores!$O$5</f>
        <v>146.41054505102639</v>
      </c>
      <c r="S72" s="57">
        <f>71.55365627625*Deflactores!$P$5</f>
        <v>127.63872115954426</v>
      </c>
      <c r="T72" s="57">
        <f>71.47473205727*Deflactores!$Q$5</f>
        <v>120.56542287828583</v>
      </c>
      <c r="U72" s="57">
        <f>73.55462119081*Deflactores!$R$5</f>
        <v>119.19861038816792</v>
      </c>
      <c r="V72" s="57">
        <f>75.666843965952*Deflactores!$S$5</f>
        <v>118.84237594669577</v>
      </c>
    </row>
    <row r="73" spans="3:22" x14ac:dyDescent="0.2">
      <c r="C73" s="87" t="s">
        <v>143</v>
      </c>
      <c r="D73" s="56">
        <f>43.45165162676*Deflactores!$A$5</f>
        <v>157.75379046370361</v>
      </c>
      <c r="E73" s="56">
        <f>49.9590945392499*Deflactores!$B$5</f>
        <v>168.49261899811839</v>
      </c>
      <c r="F73" s="56">
        <f>46.2942514339199*Deflactores!$C$5</f>
        <v>145.92937764098124</v>
      </c>
      <c r="G73" s="56">
        <f>45.00022994608*Deflactores!$D$5</f>
        <v>133.20361658873887</v>
      </c>
      <c r="H73" s="56">
        <f>73.46413730178*Deflactores!$E$5</f>
        <v>206.12782812031381</v>
      </c>
      <c r="I73" s="56">
        <f>90.8155230182699*Deflactores!$F$5</f>
        <v>243.01411699948406</v>
      </c>
      <c r="J73" s="56">
        <f>166.74805622262*Deflactores!$G$5</f>
        <v>427.07835271743687</v>
      </c>
      <c r="K73" s="56">
        <f>223.81714580047*Deflactores!$H$5</f>
        <v>542.36031304974392</v>
      </c>
      <c r="L73" s="56">
        <f>234.25407556249*Deflactores!$I$5</f>
        <v>527.19266616930668</v>
      </c>
      <c r="M73" s="56">
        <f>245.20151040389*Deflactores!$J$5</f>
        <v>541.00026255997136</v>
      </c>
      <c r="N73" s="56">
        <f>234.789931365139*Deflactores!$K$5</f>
        <v>502.10578862948665</v>
      </c>
      <c r="O73" s="56">
        <f>240.76536305463*Deflactores!$L$5</f>
        <v>496.38570806186601</v>
      </c>
      <c r="P73" s="56">
        <f>469.190350559769*Deflactores!$M$5</f>
        <v>944.28863354458804</v>
      </c>
      <c r="Q73" s="56">
        <f>472.45616030026*Deflactores!$N$5</f>
        <v>932.76572034429887</v>
      </c>
      <c r="R73" s="56">
        <f>531.12084229342*Deflactores!$O$5</f>
        <v>1011.563617696391</v>
      </c>
      <c r="S73" s="56">
        <f>526.19455462436*Deflactores!$P$5</f>
        <v>938.63547341412186</v>
      </c>
      <c r="T73" s="56">
        <f>709.6009988415*Deflactores!$Q$5</f>
        <v>1196.9732804542562</v>
      </c>
      <c r="U73" s="56">
        <f>1747.79257188346*Deflactores!$R$5</f>
        <v>2832.377387612732</v>
      </c>
      <c r="V73" s="56">
        <f>732.30377987225*Deflactores!$S$5</f>
        <v>1150.156614883063</v>
      </c>
    </row>
    <row r="74" spans="3:22" x14ac:dyDescent="0.2">
      <c r="C74" s="88" t="s">
        <v>144</v>
      </c>
      <c r="D74" s="57">
        <f>678.643421644129*Deflactores!$A$5</f>
        <v>2463.8550694741839</v>
      </c>
      <c r="E74" s="57">
        <f>738.77305001638*Deflactores!$B$5</f>
        <v>2491.5945172843944</v>
      </c>
      <c r="F74" s="57">
        <f>781.126332891959*Deflactores!$C$5</f>
        <v>2462.2771961355297</v>
      </c>
      <c r="G74" s="57">
        <f>775.31151387229*Deflactores!$D$5</f>
        <v>2294.9726646824729</v>
      </c>
      <c r="H74" s="57">
        <f>961.56621641673*Deflactores!$E$5</f>
        <v>2697.9906531761007</v>
      </c>
      <c r="I74" s="57">
        <f>1004.38974572582*Deflactores!$F$5</f>
        <v>2687.6560203456988</v>
      </c>
      <c r="J74" s="57">
        <f>1125.37533443539*Deflactores!$G$5</f>
        <v>2882.333113243827</v>
      </c>
      <c r="K74" s="57">
        <f>1220.42196722433*Deflactores!$H$5</f>
        <v>2957.3625283679316</v>
      </c>
      <c r="L74" s="57">
        <f>1355.79252654312*Deflactores!$I$5</f>
        <v>3051.2334742710436</v>
      </c>
      <c r="M74" s="57">
        <f>1585.63666387871*Deflactores!$J$5</f>
        <v>3498.4688718682955</v>
      </c>
      <c r="N74" s="57">
        <f>1689.0095350929*Deflactores!$K$5</f>
        <v>3612.0009903732234</v>
      </c>
      <c r="O74" s="57">
        <f>1860.45699984173*Deflactores!$L$5</f>
        <v>3835.7023347064573</v>
      </c>
      <c r="P74" s="57">
        <f>2219.91812791399*Deflactores!$M$5</f>
        <v>4467.7889327600869</v>
      </c>
      <c r="Q74" s="57">
        <f>2494.22593724524*Deflactores!$N$5</f>
        <v>4924.3266329248663</v>
      </c>
      <c r="R74" s="57">
        <f>2752.4210538091*Deflactores!$O$5</f>
        <v>5242.2137805630982</v>
      </c>
      <c r="S74" s="57">
        <f>2970.78230995659*Deflactores!$P$5</f>
        <v>5299.3358357861471</v>
      </c>
      <c r="T74" s="57">
        <f>3306.30360744719*Deflactores!$Q$5</f>
        <v>5577.1582644964456</v>
      </c>
      <c r="U74" s="57">
        <f>3524.69792549179*Deflactores!$R$5</f>
        <v>5711.9333626474081</v>
      </c>
      <c r="V74" s="57">
        <f>3949.16069910725*Deflactores!$S$5</f>
        <v>6202.553402232611</v>
      </c>
    </row>
    <row r="75" spans="3:22" x14ac:dyDescent="0.2">
      <c r="C75" s="87" t="s">
        <v>145</v>
      </c>
      <c r="D75" s="56">
        <f>174.099840372309*Deflactores!$A$5</f>
        <v>632.07976474116401</v>
      </c>
      <c r="E75" s="56">
        <f>176.0110872857*Deflactores!$B$5</f>
        <v>593.61702494777205</v>
      </c>
      <c r="F75" s="56">
        <f>182.08937455976*Deflactores!$C$5</f>
        <v>573.9846370012109</v>
      </c>
      <c r="G75" s="56">
        <f>290.657719803569*Deflactores!$D$5</f>
        <v>860.36581398945361</v>
      </c>
      <c r="H75" s="56">
        <f>132.20019158814*Deflactores!$E$5</f>
        <v>370.93116954757215</v>
      </c>
      <c r="I75" s="56">
        <f>136.99070090735*Deflactores!$F$5</f>
        <v>366.57471224872864</v>
      </c>
      <c r="J75" s="56">
        <f>397.70461640053*Deflactores!$G$5</f>
        <v>1018.6087699498927</v>
      </c>
      <c r="K75" s="56">
        <f>336.51374672036*Deflactores!$H$5</f>
        <v>815.45004232831855</v>
      </c>
      <c r="L75" s="56">
        <f>249.82051878438*Deflactores!$I$5</f>
        <v>562.22520374721591</v>
      </c>
      <c r="M75" s="56">
        <f>298.036944418899*Deflactores!$J$5</f>
        <v>657.57370302331549</v>
      </c>
      <c r="N75" s="56">
        <f>655.92966998835*Deflactores!$K$5</f>
        <v>1402.7266089310672</v>
      </c>
      <c r="O75" s="56">
        <f>522.475915782461*Deflactores!$L$5</f>
        <v>1077.188072696744</v>
      </c>
      <c r="P75" s="56">
        <f>365.230496251859*Deflactores!$M$5</f>
        <v>735.05988736344636</v>
      </c>
      <c r="Q75" s="56">
        <f>491.208416182133*Deflactores!$N$5</f>
        <v>969.78812143780897</v>
      </c>
      <c r="R75" s="56">
        <f>1026.12857485347*Deflactores!$O$5</f>
        <v>1954.3468279615613</v>
      </c>
      <c r="S75" s="56">
        <f>769.21666422358*Deflactores!$P$5</f>
        <v>1372.1427586740485</v>
      </c>
      <c r="T75" s="56">
        <f>649.54763947129*Deflactores!$Q$5</f>
        <v>1095.6737238231156</v>
      </c>
      <c r="U75" s="56">
        <f>681.86634176984*Deflactores!$R$5</f>
        <v>1104.9954318789071</v>
      </c>
      <c r="V75" s="56">
        <f>1720.82749552492*Deflactores!$S$5</f>
        <v>2702.7323652431724</v>
      </c>
    </row>
    <row r="76" spans="3:22" x14ac:dyDescent="0.2">
      <c r="C76" s="88" t="s">
        <v>146</v>
      </c>
      <c r="D76" s="57">
        <f>143.2508931459*Deflactores!$A$5</f>
        <v>520.08083778245475</v>
      </c>
      <c r="E76" s="57">
        <f>153.719172539669*Deflactores!$B$5</f>
        <v>518.43505592528197</v>
      </c>
      <c r="F76" s="57">
        <f>171.52468133569*Deflactores!$C$5</f>
        <v>540.68246536210279</v>
      </c>
      <c r="G76" s="57">
        <f>182.30649268251*Deflactores!$D$5</f>
        <v>539.63911255600544</v>
      </c>
      <c r="H76" s="57">
        <f>179.413436670079*Deflactores!$E$5</f>
        <v>503.40347541941105</v>
      </c>
      <c r="I76" s="57">
        <f>228.01449133109*Deflactores!$F$5</f>
        <v>610.14613396835296</v>
      </c>
      <c r="J76" s="57">
        <f>231.07523222648*Deflactores!$G$5</f>
        <v>591.83436238279205</v>
      </c>
      <c r="K76" s="57">
        <f>210.97840308749*Deflactores!$H$5</f>
        <v>511.24909280755315</v>
      </c>
      <c r="L76" s="57">
        <f>209.737739273309*Deflactores!$I$5</f>
        <v>472.01824642031573</v>
      </c>
      <c r="M76" s="57">
        <f>207.437652928019*Deflactores!$J$5</f>
        <v>457.67998946674561</v>
      </c>
      <c r="N76" s="57">
        <f>220.29936780246*Deflactores!$K$5</f>
        <v>471.11725431278501</v>
      </c>
      <c r="O76" s="57">
        <f>252.056339634269*Deflactores!$L$5</f>
        <v>519.6643031765725</v>
      </c>
      <c r="P76" s="57">
        <f>378.703053995373*Deflactores!$M$5</f>
        <v>762.17464606808596</v>
      </c>
      <c r="Q76" s="57">
        <f>395.182433200329*Deflactores!$N$5</f>
        <v>780.20493316724526</v>
      </c>
      <c r="R76" s="57">
        <f>431.446562370586*Deflactores!$O$5</f>
        <v>821.72569916424186</v>
      </c>
      <c r="S76" s="57">
        <f>563.469361824554*Deflactores!$P$5</f>
        <v>1005.1269564507547</v>
      </c>
      <c r="T76" s="57">
        <f>633.31333062606*Deflactores!$Q$5</f>
        <v>1068.2892726370158</v>
      </c>
      <c r="U76" s="57">
        <f>584.23431827391*Deflactores!$R$5</f>
        <v>946.77829552916785</v>
      </c>
      <c r="V76" s="57">
        <f>565.40032700844*Deflactores!$S$5</f>
        <v>888.01798384715221</v>
      </c>
    </row>
    <row r="77" spans="3:22" x14ac:dyDescent="0.2">
      <c r="C77" s="90" t="s">
        <v>147</v>
      </c>
      <c r="D77" s="58">
        <f>4021.59541096314*Deflactores!$A$5</f>
        <v>14600.63993056959</v>
      </c>
      <c r="E77" s="58">
        <f>5045.70569468893*Deflactores!$B$5</f>
        <v>17017.205276287274</v>
      </c>
      <c r="F77" s="58">
        <f>6220.21004158859*Deflactores!$C$5</f>
        <v>19607.431852761809</v>
      </c>
      <c r="G77" s="58">
        <f>7160.05421461743*Deflactores!$D$5</f>
        <v>21194.227618420548</v>
      </c>
      <c r="H77" s="58">
        <f>9343.11965213604*Deflactores!$E$5</f>
        <v>26215.198769051094</v>
      </c>
      <c r="I77" s="58">
        <f>12330.2838440005*Deflactores!$F$5</f>
        <v>32994.723160928945</v>
      </c>
      <c r="J77" s="58">
        <f>13566.7616687994*Deflactores!$G$5</f>
        <v>34747.452872766531</v>
      </c>
      <c r="K77" s="58">
        <f>14575.3597655672*Deflactores!$H$5</f>
        <v>35319.441935484952</v>
      </c>
      <c r="L77" s="58">
        <f>16945.3828605669*Deflactores!$I$5</f>
        <v>38135.864010352416</v>
      </c>
      <c r="M77" s="58">
        <f>19095.0717411685*Deflactores!$J$5</f>
        <v>42130.404533632762</v>
      </c>
      <c r="N77" s="58">
        <f>19583.1890462182*Deflactores!$K$5</f>
        <v>41879.277031858561</v>
      </c>
      <c r="O77" s="58">
        <f>20418.2263383744*Deflactores!$L$5</f>
        <v>42096.236808123016</v>
      </c>
      <c r="P77" s="58">
        <f>22999.2495755259*Deflactores!$M$5</f>
        <v>46288.100188577315</v>
      </c>
      <c r="Q77" s="58">
        <f>23061.2369548134*Deflactores!$N$5</f>
        <v>45529.581594441217</v>
      </c>
      <c r="R77" s="58">
        <f>27374.1207979643*Deflactores!$O$5</f>
        <v>52136.279469049645</v>
      </c>
      <c r="S77" s="58">
        <f>26762.5473954488*Deflactores!$P$5</f>
        <v>47739.521672222232</v>
      </c>
      <c r="T77" s="58">
        <f>28348.7786574901*Deflactores!$Q$5</f>
        <v>47819.451553656727</v>
      </c>
      <c r="U77" s="58">
        <f>34637.7508339284*Deflactores!$R$5</f>
        <v>56132.05125025814</v>
      </c>
      <c r="V77" s="58">
        <f>42892.7525365806*Deflactores!$S$5</f>
        <v>67367.374601147952</v>
      </c>
    </row>
    <row r="78" spans="3:22" ht="22.5" customHeight="1" x14ac:dyDescent="0.2">
      <c r="C78" s="89" t="s">
        <v>148</v>
      </c>
      <c r="D78" s="59">
        <f>0*Deflactores!$A$5</f>
        <v>0</v>
      </c>
      <c r="E78" s="59">
        <f>0*Deflactores!$B$5</f>
        <v>0</v>
      </c>
      <c r="F78" s="59">
        <f>0*Deflactores!$C$5</f>
        <v>0</v>
      </c>
      <c r="G78" s="59">
        <f>0*Deflactores!$D$5</f>
        <v>0</v>
      </c>
      <c r="H78" s="59">
        <f>0*Deflactores!$E$5</f>
        <v>0</v>
      </c>
      <c r="I78" s="59">
        <f>0*Deflactores!$F$5</f>
        <v>0</v>
      </c>
      <c r="J78" s="59">
        <f>0*Deflactores!$G$5</f>
        <v>0</v>
      </c>
      <c r="K78" s="59">
        <f>0*Deflactores!$H$5</f>
        <v>0</v>
      </c>
      <c r="L78" s="59">
        <f>0*Deflactores!$I$5</f>
        <v>0</v>
      </c>
      <c r="M78" s="59">
        <f>0*Deflactores!$J$5</f>
        <v>0</v>
      </c>
      <c r="N78" s="59">
        <f>0*Deflactores!$K$5</f>
        <v>0</v>
      </c>
      <c r="O78" s="59">
        <f>0*Deflactores!$L$5</f>
        <v>0</v>
      </c>
      <c r="P78" s="59">
        <f>0*Deflactores!$M$5</f>
        <v>0</v>
      </c>
      <c r="Q78" s="59">
        <f>0*Deflactores!$N$5</f>
        <v>0</v>
      </c>
      <c r="R78" s="59">
        <f>0*Deflactores!$O$5</f>
        <v>0</v>
      </c>
      <c r="S78" s="59">
        <f>0*Deflactores!$P$5</f>
        <v>0</v>
      </c>
      <c r="T78" s="59">
        <f>0*Deflactores!$Q$5</f>
        <v>0</v>
      </c>
      <c r="U78" s="59">
        <f>0.150079299*Deflactores!$R$5</f>
        <v>0.24321033266452963</v>
      </c>
      <c r="V78" s="59">
        <f>113.937033405*Deflactores!$S$5</f>
        <v>178.94955106441492</v>
      </c>
    </row>
    <row r="79" spans="3:22" x14ac:dyDescent="0.2">
      <c r="C79" s="87" t="s">
        <v>149</v>
      </c>
      <c r="D79" s="56">
        <f>30.57698756911*Deflactores!$A$5</f>
        <v>111.01156134230763</v>
      </c>
      <c r="E79" s="56">
        <f>16.194439005*Deflactores!$B$5</f>
        <v>54.617551945702282</v>
      </c>
      <c r="F79" s="56">
        <f>16.43364652739*Deflactores!$C$5</f>
        <v>51.802367158630936</v>
      </c>
      <c r="G79" s="56">
        <f>18.20194139143*Deflactores!$D$5</f>
        <v>53.87893406722344</v>
      </c>
      <c r="H79" s="56">
        <f>19.16086313623*Deflactores!$E$5</f>
        <v>53.762110986988716</v>
      </c>
      <c r="I79" s="56">
        <f>39.92965573349*Deflactores!$F$5</f>
        <v>106.84814344146159</v>
      </c>
      <c r="J79" s="56">
        <f>32.60458548045*Deflactores!$G$5</f>
        <v>83.507496119984793</v>
      </c>
      <c r="K79" s="56">
        <f>34.93440224604*Deflactores!$H$5</f>
        <v>84.65407451518017</v>
      </c>
      <c r="L79" s="56">
        <f>35.32320522352*Deflactores!$I$5</f>
        <v>79.495456780069631</v>
      </c>
      <c r="M79" s="56">
        <f>38.5413351375*Deflactores!$J$5</f>
        <v>85.035660646846324</v>
      </c>
      <c r="N79" s="56">
        <f>97.05842364757*Deflactores!$K$5</f>
        <v>207.56254778621135</v>
      </c>
      <c r="O79" s="56">
        <f>99.5603032349599*Deflactores!$L$5</f>
        <v>205.26337754374629</v>
      </c>
      <c r="P79" s="56">
        <f>132.19334659811*Deflactores!$M$5</f>
        <v>266.05124012863473</v>
      </c>
      <c r="Q79" s="56">
        <f>42.22112758724*Deflactores!$N$5</f>
        <v>83.356772113272399</v>
      </c>
      <c r="R79" s="56">
        <f>56.15010820062*Deflactores!$O$5</f>
        <v>106.94252995269179</v>
      </c>
      <c r="S79" s="56">
        <f>55.88069132066*Deflactores!$P$5</f>
        <v>99.680999530525895</v>
      </c>
      <c r="T79" s="56">
        <f>60.13990098685*Deflactores!$Q$5</f>
        <v>101.44553726382667</v>
      </c>
      <c r="U79" s="56">
        <f>61.48191918054*Deflactores!$R$5</f>
        <v>99.634247470418003</v>
      </c>
      <c r="V79" s="56">
        <f>59.3823111006699*Deflactores!$S$5</f>
        <v>93.265881996941417</v>
      </c>
    </row>
    <row r="80" spans="3:22" x14ac:dyDescent="0.2">
      <c r="C80" s="88" t="s">
        <v>150</v>
      </c>
      <c r="D80" s="57">
        <f>137.461309455799*Deflactores!$A$5</f>
        <v>499.06141186590833</v>
      </c>
      <c r="E80" s="57">
        <f>151.87090017649*Deflactores!$B$5</f>
        <v>512.20155121575999</v>
      </c>
      <c r="F80" s="57">
        <f>298.590533235449*Deflactores!$C$5</f>
        <v>941.22119561072918</v>
      </c>
      <c r="G80" s="57">
        <f>110.71507590773*Deflactores!$D$5</f>
        <v>327.72384806649342</v>
      </c>
      <c r="H80" s="57">
        <f>156.314487858409*Deflactores!$E$5</f>
        <v>438.59176830233213</v>
      </c>
      <c r="I80" s="57">
        <f>121.84708783595*Deflactores!$F$5</f>
        <v>326.051774799062</v>
      </c>
      <c r="J80" s="57">
        <f>109.42254510559*Deflactores!$G$5</f>
        <v>280.25514283329585</v>
      </c>
      <c r="K80" s="57">
        <f>120.89080523364*Deflactores!$H$5</f>
        <v>292.94616700100431</v>
      </c>
      <c r="L80" s="57">
        <f>109.425763866629*Deflactores!$I$5</f>
        <v>246.26448893979671</v>
      </c>
      <c r="M80" s="57">
        <f>192.33068976554*Deflactores!$J$5</f>
        <v>424.34874683319578</v>
      </c>
      <c r="N80" s="57">
        <f>164.59952949477*Deflactores!$K$5</f>
        <v>352.00136600612785</v>
      </c>
      <c r="O80" s="57">
        <f>159.04164265128*Deflactores!$L$5</f>
        <v>327.89599549194679</v>
      </c>
      <c r="P80" s="57">
        <f>281.226673704549*Deflactores!$M$5</f>
        <v>565.99448627179174</v>
      </c>
      <c r="Q80" s="57">
        <f>221.99523684025*Deflactores!$N$5</f>
        <v>438.28309249412712</v>
      </c>
      <c r="R80" s="57">
        <f>215.723656602069*Deflactores!$O$5</f>
        <v>410.86356459445307</v>
      </c>
      <c r="S80" s="57">
        <f>196.85769027667*Deflactores!$P$5</f>
        <v>351.15834948151803</v>
      </c>
      <c r="T80" s="57">
        <f>190.124939296199*Deflactores!$Q$5</f>
        <v>320.70765494563489</v>
      </c>
      <c r="U80" s="57">
        <f>194.80869001353*Deflactores!$R$5</f>
        <v>315.69634599727084</v>
      </c>
      <c r="V80" s="57">
        <f>201.23375440577*Deflactores!$S$5</f>
        <v>316.05781661802496</v>
      </c>
    </row>
    <row r="81" spans="3:22" x14ac:dyDescent="0.2">
      <c r="C81" s="87" t="s">
        <v>151</v>
      </c>
      <c r="D81" s="56">
        <f>17.10347442701*Deflactores!$A$5</f>
        <v>62.09517521074347</v>
      </c>
      <c r="E81" s="56">
        <f>18.4030412093499*Deflactores!$B$5</f>
        <v>62.066309237401583</v>
      </c>
      <c r="F81" s="56">
        <f>18.32475742285*Deflactores!$C$5</f>
        <v>57.763552996541549</v>
      </c>
      <c r="G81" s="56">
        <f>16.93250389372*Deflactores!$D$5</f>
        <v>50.121316252138008</v>
      </c>
      <c r="H81" s="56">
        <f>9.51233351882999*Deflactores!$E$5</f>
        <v>26.689983992297964</v>
      </c>
      <c r="I81" s="56">
        <f>9.57005390914999*Deflactores!$F$5</f>
        <v>25.608597771348837</v>
      </c>
      <c r="J81" s="56">
        <f>14.5514936801199*Deflactores!$G$5</f>
        <v>37.269567581566584</v>
      </c>
      <c r="K81" s="56">
        <f>12.5245089875899*Deflactores!$H$5</f>
        <v>30.349759805083377</v>
      </c>
      <c r="L81" s="56">
        <f>8.57064459184*Deflactores!$I$5</f>
        <v>19.28837721312707</v>
      </c>
      <c r="M81" s="56">
        <f>6.98087088462*Deflactores!$J$5</f>
        <v>15.402241916274773</v>
      </c>
      <c r="N81" s="56">
        <f>11.42518650773*Deflactores!$K$5</f>
        <v>24.433127299574249</v>
      </c>
      <c r="O81" s="56">
        <f>323.29695072997*Deflactores!$L$5</f>
        <v>666.54099977796727</v>
      </c>
      <c r="P81" s="56">
        <f>1354.35392205057*Deflactores!$M$5</f>
        <v>2725.7615440366358</v>
      </c>
      <c r="Q81" s="56">
        <f>1461.6487467777*Deflactores!$N$5</f>
        <v>2885.7192703593428</v>
      </c>
      <c r="R81" s="56">
        <f>1517.89312989286*Deflactores!$O$5</f>
        <v>2890.9531381234256</v>
      </c>
      <c r="S81" s="56">
        <f>1592.54365751788*Deflactores!$P$5</f>
        <v>2840.8085123079122</v>
      </c>
      <c r="T81" s="56">
        <f>1749.10394856217*Deflactores!$Q$5</f>
        <v>2950.4336867958623</v>
      </c>
      <c r="U81" s="56">
        <f>1945.66599381234*Deflactores!$R$5</f>
        <v>3153.0402711246797</v>
      </c>
      <c r="V81" s="56">
        <f>1962.91010346537*Deflactores!$S$5</f>
        <v>3082.9474078576236</v>
      </c>
    </row>
    <row r="82" spans="3:22" x14ac:dyDescent="0.2">
      <c r="C82" s="79" t="s">
        <v>179</v>
      </c>
      <c r="D82" s="44">
        <f t="shared" ref="D82:V82" si="1">+SUM(D53:D81)</f>
        <v>85689.985010777178</v>
      </c>
      <c r="E82" s="44">
        <f t="shared" si="1"/>
        <v>91211.333247386632</v>
      </c>
      <c r="F82" s="44">
        <f t="shared" si="1"/>
        <v>96598.867470187717</v>
      </c>
      <c r="G82" s="44">
        <f t="shared" si="1"/>
        <v>97234.211513738774</v>
      </c>
      <c r="H82" s="44">
        <f t="shared" si="1"/>
        <v>108846.60145638579</v>
      </c>
      <c r="I82" s="44">
        <f t="shared" si="1"/>
        <v>118630.50014574311</v>
      </c>
      <c r="J82" s="44">
        <f t="shared" si="1"/>
        <v>124266.26387189001</v>
      </c>
      <c r="K82" s="44">
        <f t="shared" si="1"/>
        <v>126250.98853080635</v>
      </c>
      <c r="L82" s="44">
        <f t="shared" si="1"/>
        <v>135523.7032149274</v>
      </c>
      <c r="M82" s="44">
        <f t="shared" si="1"/>
        <v>146970.8177170225</v>
      </c>
      <c r="N82" s="44">
        <f t="shared" si="1"/>
        <v>155772.49832416195</v>
      </c>
      <c r="O82" s="44">
        <f t="shared" si="1"/>
        <v>159287.67044313462</v>
      </c>
      <c r="P82" s="44">
        <f t="shared" si="1"/>
        <v>170439.6660522279</v>
      </c>
      <c r="Q82" s="44">
        <f t="shared" si="1"/>
        <v>183352.11590088176</v>
      </c>
      <c r="R82" s="44">
        <f t="shared" si="1"/>
        <v>192801.91416742187</v>
      </c>
      <c r="S82" s="44">
        <f t="shared" si="1"/>
        <v>190531.09281003231</v>
      </c>
      <c r="T82" s="44">
        <f t="shared" si="1"/>
        <v>195781.75798414811</v>
      </c>
      <c r="U82" s="44">
        <f t="shared" si="1"/>
        <v>214070.32705378343</v>
      </c>
      <c r="V82" s="44">
        <f t="shared" si="1"/>
        <v>215218.85319247321</v>
      </c>
    </row>
    <row r="83" spans="3:22" x14ac:dyDescent="0.2">
      <c r="C83" s="1" t="s">
        <v>52</v>
      </c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</row>
    <row r="84" spans="3:22" x14ac:dyDescent="0.2"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</row>
    <row r="85" spans="3:22" x14ac:dyDescent="0.2"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</row>
    <row r="86" spans="3:22" x14ac:dyDescent="0.2"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</row>
    <row r="87" spans="3:22" ht="15.75" customHeight="1" x14ac:dyDescent="0.2">
      <c r="D87" s="160" t="s">
        <v>189</v>
      </c>
      <c r="E87" s="158"/>
      <c r="F87" s="158"/>
      <c r="G87" s="158"/>
      <c r="H87" s="158"/>
      <c r="I87" s="158"/>
      <c r="J87" s="158"/>
      <c r="K87" s="158"/>
      <c r="L87" s="158"/>
      <c r="M87" s="158"/>
      <c r="N87" s="158"/>
      <c r="O87" s="158"/>
      <c r="P87" s="158"/>
      <c r="Q87" s="158"/>
      <c r="R87" s="158"/>
      <c r="S87" s="158"/>
      <c r="T87" s="158"/>
      <c r="U87" s="158"/>
      <c r="V87" s="158"/>
    </row>
    <row r="88" spans="3:22" ht="11.25" hidden="1" customHeight="1" x14ac:dyDescent="0.2">
      <c r="H88" s="27"/>
      <c r="I88" s="27"/>
      <c r="J88" s="27"/>
      <c r="L88" s="175"/>
      <c r="M88" s="158"/>
      <c r="N88" s="158"/>
      <c r="O88" s="158"/>
      <c r="P88" s="158"/>
      <c r="Q88" s="158"/>
      <c r="R88" s="28"/>
      <c r="S88" s="28"/>
      <c r="T88" s="28"/>
      <c r="U88" s="28"/>
      <c r="V88" s="28"/>
    </row>
    <row r="89" spans="3:22" x14ac:dyDescent="0.2"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</row>
    <row r="90" spans="3:22" ht="12" thickBot="1" x14ac:dyDescent="0.25">
      <c r="C90" s="177" t="s">
        <v>120</v>
      </c>
      <c r="D90" s="153">
        <v>2000</v>
      </c>
      <c r="E90" s="153">
        <v>2001</v>
      </c>
      <c r="F90" s="153">
        <v>2002</v>
      </c>
      <c r="G90" s="153">
        <v>2003</v>
      </c>
      <c r="H90" s="153">
        <v>2004</v>
      </c>
      <c r="I90" s="153">
        <v>2005</v>
      </c>
      <c r="J90" s="153">
        <v>2006</v>
      </c>
      <c r="K90" s="153">
        <v>2007</v>
      </c>
      <c r="L90" s="153">
        <v>2008</v>
      </c>
      <c r="M90" s="153">
        <v>2009</v>
      </c>
      <c r="N90" s="153">
        <v>2010</v>
      </c>
      <c r="O90" s="153">
        <v>2011</v>
      </c>
      <c r="P90" s="153">
        <v>2012</v>
      </c>
      <c r="Q90" s="153">
        <v>2013</v>
      </c>
      <c r="R90" s="153">
        <v>2014</v>
      </c>
      <c r="S90" s="153">
        <v>2015</v>
      </c>
      <c r="T90" s="153">
        <v>2016</v>
      </c>
      <c r="U90" s="153">
        <v>2017</v>
      </c>
      <c r="V90" s="153">
        <v>2018</v>
      </c>
    </row>
    <row r="91" spans="3:22" ht="12" customHeight="1" thickBot="1" x14ac:dyDescent="0.25">
      <c r="C91" s="156"/>
      <c r="D91" s="154"/>
      <c r="E91" s="154"/>
      <c r="F91" s="154"/>
      <c r="G91" s="154"/>
      <c r="H91" s="154"/>
      <c r="I91" s="154"/>
      <c r="J91" s="154"/>
      <c r="K91" s="154"/>
      <c r="L91" s="154"/>
      <c r="M91" s="154"/>
      <c r="N91" s="154"/>
      <c r="O91" s="154"/>
      <c r="P91" s="154"/>
      <c r="Q91" s="154"/>
      <c r="R91" s="154"/>
      <c r="S91" s="154"/>
      <c r="T91" s="154"/>
      <c r="U91" s="154"/>
      <c r="V91" s="154"/>
    </row>
    <row r="92" spans="3:22" x14ac:dyDescent="0.2">
      <c r="C92" s="87" t="s">
        <v>123</v>
      </c>
      <c r="D92" s="60">
        <f t="shared" ref="D92:V92" si="2">+IFERROR(IF(D53&gt;0,+((D53/D14)*100)," "),"")</f>
        <v>92.795917253954869</v>
      </c>
      <c r="E92" s="60">
        <f t="shared" si="2"/>
        <v>93.549873726674505</v>
      </c>
      <c r="F92" s="60">
        <f t="shared" si="2"/>
        <v>96.991927655835866</v>
      </c>
      <c r="G92" s="60">
        <f t="shared" si="2"/>
        <v>96.466889147323187</v>
      </c>
      <c r="H92" s="60">
        <f t="shared" si="2"/>
        <v>91.722156146228969</v>
      </c>
      <c r="I92" s="60">
        <f t="shared" si="2"/>
        <v>89.237009234142263</v>
      </c>
      <c r="J92" s="60">
        <f t="shared" si="2"/>
        <v>95.486216231312838</v>
      </c>
      <c r="K92" s="60">
        <f t="shared" si="2"/>
        <v>94.19234180424489</v>
      </c>
      <c r="L92" s="60">
        <f t="shared" si="2"/>
        <v>99.288176515729418</v>
      </c>
      <c r="M92" s="60">
        <f t="shared" si="2"/>
        <v>95.970451494500239</v>
      </c>
      <c r="N92" s="60">
        <f t="shared" si="2"/>
        <v>93.735139953076867</v>
      </c>
      <c r="O92" s="60">
        <f t="shared" si="2"/>
        <v>96.638801134220671</v>
      </c>
      <c r="P92" s="60">
        <f t="shared" si="2"/>
        <v>89.434614139568879</v>
      </c>
      <c r="Q92" s="60">
        <f t="shared" si="2"/>
        <v>96.468779483412888</v>
      </c>
      <c r="R92" s="60">
        <f t="shared" si="2"/>
        <v>88.363960820395732</v>
      </c>
      <c r="S92" s="60">
        <f t="shared" si="2"/>
        <v>95.499980633096555</v>
      </c>
      <c r="T92" s="60">
        <f t="shared" si="2"/>
        <v>96.834012063238092</v>
      </c>
      <c r="U92" s="60">
        <f t="shared" si="2"/>
        <v>96.682063292331179</v>
      </c>
      <c r="V92" s="60">
        <f t="shared" si="2"/>
        <v>97.469359759403773</v>
      </c>
    </row>
    <row r="93" spans="3:22" x14ac:dyDescent="0.2">
      <c r="C93" s="88" t="s">
        <v>124</v>
      </c>
      <c r="D93" s="62">
        <f t="shared" ref="D93:V93" si="3">+IFERROR(IF(D54&gt;0,+((D54/D15)*100)," "),"")</f>
        <v>90.166779729171651</v>
      </c>
      <c r="E93" s="62">
        <f t="shared" si="3"/>
        <v>91.349588744241444</v>
      </c>
      <c r="F93" s="62">
        <f t="shared" si="3"/>
        <v>90.927323846488974</v>
      </c>
      <c r="G93" s="62">
        <f t="shared" si="3"/>
        <v>88.372613169237297</v>
      </c>
      <c r="H93" s="62">
        <f t="shared" si="3"/>
        <v>94.769146337464889</v>
      </c>
      <c r="I93" s="62">
        <f t="shared" si="3"/>
        <v>94.527453785649314</v>
      </c>
      <c r="J93" s="62">
        <f t="shared" si="3"/>
        <v>93.951997788120252</v>
      </c>
      <c r="K93" s="62">
        <f t="shared" si="3"/>
        <v>91.734434401251747</v>
      </c>
      <c r="L93" s="62">
        <f t="shared" si="3"/>
        <v>99.363108259456993</v>
      </c>
      <c r="M93" s="62">
        <f t="shared" si="3"/>
        <v>99.485765229592232</v>
      </c>
      <c r="N93" s="62">
        <f t="shared" si="3"/>
        <v>96.997727650535253</v>
      </c>
      <c r="O93" s="62">
        <f t="shared" si="3"/>
        <v>98.952768847901524</v>
      </c>
      <c r="P93" s="62">
        <f t="shared" si="3"/>
        <v>86.922621408002072</v>
      </c>
      <c r="Q93" s="62">
        <f t="shared" si="3"/>
        <v>88.716107469590327</v>
      </c>
      <c r="R93" s="62">
        <f t="shared" si="3"/>
        <v>96.548706161252852</v>
      </c>
      <c r="S93" s="62">
        <f t="shared" si="3"/>
        <v>94.87716529511016</v>
      </c>
      <c r="T93" s="62">
        <f t="shared" si="3"/>
        <v>95.924934609913166</v>
      </c>
      <c r="U93" s="62">
        <f t="shared" si="3"/>
        <v>97.922907602756709</v>
      </c>
      <c r="V93" s="62">
        <f t="shared" si="3"/>
        <v>98.330809451678604</v>
      </c>
    </row>
    <row r="94" spans="3:22" x14ac:dyDescent="0.2">
      <c r="C94" s="87" t="s">
        <v>125</v>
      </c>
      <c r="D94" s="60">
        <f t="shared" ref="D94:V94" si="4">+IFERROR(IF(D55&gt;0,+((D55/D16)*100)," "),"")</f>
        <v>96.707028242645293</v>
      </c>
      <c r="E94" s="60">
        <f t="shared" si="4"/>
        <v>95.217952059984057</v>
      </c>
      <c r="F94" s="60">
        <f t="shared" si="4"/>
        <v>97.410251150866728</v>
      </c>
      <c r="G94" s="60">
        <f t="shared" si="4"/>
        <v>97.159012527136497</v>
      </c>
      <c r="H94" s="60">
        <f t="shared" si="4"/>
        <v>92.964720642537159</v>
      </c>
      <c r="I94" s="60">
        <f t="shared" si="4"/>
        <v>96.377774519670069</v>
      </c>
      <c r="J94" s="60">
        <f t="shared" si="4"/>
        <v>93.432215022393507</v>
      </c>
      <c r="K94" s="60">
        <f t="shared" si="4"/>
        <v>91.886386883445027</v>
      </c>
      <c r="L94" s="60">
        <f t="shared" si="4"/>
        <v>97.306755006560152</v>
      </c>
      <c r="M94" s="60">
        <f t="shared" si="4"/>
        <v>26.12919294854575</v>
      </c>
      <c r="N94" s="60">
        <f t="shared" si="4"/>
        <v>95.011290031895399</v>
      </c>
      <c r="O94" s="60">
        <f t="shared" si="4"/>
        <v>89.324973546356134</v>
      </c>
      <c r="P94" s="60">
        <f t="shared" si="4"/>
        <v>73.70469666475168</v>
      </c>
      <c r="Q94" s="60">
        <f t="shared" si="4"/>
        <v>92.222037641139124</v>
      </c>
      <c r="R94" s="60">
        <f t="shared" si="4"/>
        <v>91.751771790915058</v>
      </c>
      <c r="S94" s="60">
        <f t="shared" si="4"/>
        <v>93.408780766827107</v>
      </c>
      <c r="T94" s="60">
        <f t="shared" si="4"/>
        <v>93.770023491383128</v>
      </c>
      <c r="U94" s="60">
        <f t="shared" si="4"/>
        <v>94.718913429029783</v>
      </c>
      <c r="V94" s="60">
        <f t="shared" si="4"/>
        <v>94.148932995088629</v>
      </c>
    </row>
    <row r="95" spans="3:22" x14ac:dyDescent="0.2">
      <c r="C95" s="88" t="s">
        <v>126</v>
      </c>
      <c r="D95" s="62">
        <f t="shared" ref="D95:V95" si="5">+IFERROR(IF(D56&gt;0,+((D56/D17)*100)," "),"")</f>
        <v>92.567244971432274</v>
      </c>
      <c r="E95" s="62">
        <f t="shared" si="5"/>
        <v>92.868885815140771</v>
      </c>
      <c r="F95" s="62">
        <f t="shared" si="5"/>
        <v>95.275693598240238</v>
      </c>
      <c r="G95" s="62">
        <f t="shared" si="5"/>
        <v>91.724106046450913</v>
      </c>
      <c r="H95" s="62">
        <f t="shared" si="5"/>
        <v>96.847993741028461</v>
      </c>
      <c r="I95" s="62">
        <f t="shared" si="5"/>
        <v>96.200406368105547</v>
      </c>
      <c r="J95" s="62">
        <f t="shared" si="5"/>
        <v>97.85975948599814</v>
      </c>
      <c r="K95" s="62">
        <f t="shared" si="5"/>
        <v>89.941667826516579</v>
      </c>
      <c r="L95" s="62">
        <f t="shared" si="5"/>
        <v>93.884623699298672</v>
      </c>
      <c r="M95" s="62">
        <f t="shared" si="5"/>
        <v>95.809622170424163</v>
      </c>
      <c r="N95" s="62">
        <f t="shared" si="5"/>
        <v>92.412315134151115</v>
      </c>
      <c r="O95" s="62">
        <f t="shared" si="5"/>
        <v>91.871766496376722</v>
      </c>
      <c r="P95" s="62">
        <f t="shared" si="5"/>
        <v>94.880080276853761</v>
      </c>
      <c r="Q95" s="62">
        <f t="shared" si="5"/>
        <v>95.621514602232125</v>
      </c>
      <c r="R95" s="62">
        <f t="shared" si="5"/>
        <v>89.756347289144756</v>
      </c>
      <c r="S95" s="62">
        <f t="shared" si="5"/>
        <v>95.454547047657485</v>
      </c>
      <c r="T95" s="62">
        <f t="shared" si="5"/>
        <v>99.122051863568927</v>
      </c>
      <c r="U95" s="62">
        <f t="shared" si="5"/>
        <v>99.266208212164472</v>
      </c>
      <c r="V95" s="62">
        <f t="shared" si="5"/>
        <v>99.13736593676002</v>
      </c>
    </row>
    <row r="96" spans="3:22" x14ac:dyDescent="0.2">
      <c r="C96" s="87" t="s">
        <v>127</v>
      </c>
      <c r="D96" s="60">
        <f t="shared" ref="D96:V96" si="6">+IFERROR(IF(D57&gt;0,+((D57/D18)*100)," "),"")</f>
        <v>86.959021208309764</v>
      </c>
      <c r="E96" s="60">
        <f t="shared" si="6"/>
        <v>91.885170061567337</v>
      </c>
      <c r="F96" s="60">
        <f t="shared" si="6"/>
        <v>97.623412691031987</v>
      </c>
      <c r="G96" s="60">
        <f t="shared" si="6"/>
        <v>97.782302006310573</v>
      </c>
      <c r="H96" s="60">
        <f t="shared" si="6"/>
        <v>97.366980045354538</v>
      </c>
      <c r="I96" s="60">
        <f t="shared" si="6"/>
        <v>99.027427343110702</v>
      </c>
      <c r="J96" s="60">
        <f t="shared" si="6"/>
        <v>98.5397710717031</v>
      </c>
      <c r="K96" s="60">
        <f t="shared" si="6"/>
        <v>98.568381726243388</v>
      </c>
      <c r="L96" s="60">
        <f t="shared" si="6"/>
        <v>97.44548606883609</v>
      </c>
      <c r="M96" s="60">
        <f t="shared" si="6"/>
        <v>98.938369829605264</v>
      </c>
      <c r="N96" s="60">
        <f t="shared" si="6"/>
        <v>98.798074828872828</v>
      </c>
      <c r="O96" s="60">
        <f t="shared" si="6"/>
        <v>99.00028992899766</v>
      </c>
      <c r="P96" s="60">
        <f t="shared" si="6"/>
        <v>97.333950173802052</v>
      </c>
      <c r="Q96" s="60">
        <f t="shared" si="6"/>
        <v>96.268250409648346</v>
      </c>
      <c r="R96" s="60">
        <f t="shared" si="6"/>
        <v>97.561608140849032</v>
      </c>
      <c r="S96" s="60">
        <f t="shared" si="6"/>
        <v>98.424446448225197</v>
      </c>
      <c r="T96" s="60">
        <f t="shared" si="6"/>
        <v>98.631344378749475</v>
      </c>
      <c r="U96" s="60">
        <f t="shared" si="6"/>
        <v>99.39686288818848</v>
      </c>
      <c r="V96" s="60">
        <f t="shared" si="6"/>
        <v>98.695524972927558</v>
      </c>
    </row>
    <row r="97" spans="3:22" x14ac:dyDescent="0.2">
      <c r="C97" s="88" t="s">
        <v>128</v>
      </c>
      <c r="D97" s="62">
        <f t="shared" ref="D97:V97" si="7">+IFERROR(IF(D58&gt;0,+((D58/D19)*100)," "),"")</f>
        <v>95.251372107832196</v>
      </c>
      <c r="E97" s="62">
        <f t="shared" si="7"/>
        <v>98.211031548783154</v>
      </c>
      <c r="F97" s="62">
        <f t="shared" si="7"/>
        <v>98.264817064758262</v>
      </c>
      <c r="G97" s="62">
        <f t="shared" si="7"/>
        <v>99.287367215671878</v>
      </c>
      <c r="H97" s="62">
        <f t="shared" si="7"/>
        <v>99.071090086819865</v>
      </c>
      <c r="I97" s="62">
        <f t="shared" si="7"/>
        <v>94.631453116726917</v>
      </c>
      <c r="J97" s="62">
        <f t="shared" si="7"/>
        <v>98.918779746303301</v>
      </c>
      <c r="K97" s="62">
        <f t="shared" si="7"/>
        <v>97.582472183386642</v>
      </c>
      <c r="L97" s="62">
        <f t="shared" si="7"/>
        <v>98.039845387237065</v>
      </c>
      <c r="M97" s="62">
        <f t="shared" si="7"/>
        <v>92.629171420971971</v>
      </c>
      <c r="N97" s="62">
        <f t="shared" si="7"/>
        <v>92.060167859984944</v>
      </c>
      <c r="O97" s="62">
        <f t="shared" si="7"/>
        <v>97.835805295177607</v>
      </c>
      <c r="P97" s="62">
        <f t="shared" si="7"/>
        <v>97.741030294483551</v>
      </c>
      <c r="Q97" s="62">
        <f t="shared" si="7"/>
        <v>94.922156757854111</v>
      </c>
      <c r="R97" s="62">
        <f t="shared" si="7"/>
        <v>99.237211045698032</v>
      </c>
      <c r="S97" s="62">
        <f t="shared" si="7"/>
        <v>98.674185291426241</v>
      </c>
      <c r="T97" s="62">
        <f t="shared" si="7"/>
        <v>99.676729265615833</v>
      </c>
      <c r="U97" s="62">
        <f t="shared" si="7"/>
        <v>99.764457970392144</v>
      </c>
      <c r="V97" s="62">
        <f t="shared" si="7"/>
        <v>99.446861009460221</v>
      </c>
    </row>
    <row r="98" spans="3:22" x14ac:dyDescent="0.2">
      <c r="C98" s="87" t="s">
        <v>129</v>
      </c>
      <c r="D98" s="60">
        <f t="shared" ref="D98:V98" si="8">+IFERROR(IF(D59&gt;0,+((D59/D20)*100)," "),"")</f>
        <v>98.763229918382905</v>
      </c>
      <c r="E98" s="60">
        <f t="shared" si="8"/>
        <v>98.476172735676556</v>
      </c>
      <c r="F98" s="60">
        <f t="shared" si="8"/>
        <v>98.972929033225782</v>
      </c>
      <c r="G98" s="60">
        <f t="shared" si="8"/>
        <v>98.501964083173633</v>
      </c>
      <c r="H98" s="60">
        <f t="shared" si="8"/>
        <v>99.337767121970543</v>
      </c>
      <c r="I98" s="60">
        <f t="shared" si="8"/>
        <v>99.305265407850698</v>
      </c>
      <c r="J98" s="60">
        <f t="shared" si="8"/>
        <v>99.430595082931276</v>
      </c>
      <c r="K98" s="60">
        <f t="shared" si="8"/>
        <v>98.343057438262775</v>
      </c>
      <c r="L98" s="60">
        <f t="shared" si="8"/>
        <v>99.631283794508391</v>
      </c>
      <c r="M98" s="60">
        <f t="shared" si="8"/>
        <v>98.811504661058919</v>
      </c>
      <c r="N98" s="60">
        <f t="shared" si="8"/>
        <v>98.283803188367671</v>
      </c>
      <c r="O98" s="60">
        <f t="shared" si="8"/>
        <v>98.699621343594401</v>
      </c>
      <c r="P98" s="60">
        <f t="shared" si="8"/>
        <v>99.647774741022829</v>
      </c>
      <c r="Q98" s="60">
        <f t="shared" si="8"/>
        <v>99.782141209950879</v>
      </c>
      <c r="R98" s="60">
        <f t="shared" si="8"/>
        <v>99.556446099685957</v>
      </c>
      <c r="S98" s="60">
        <f t="shared" si="8"/>
        <v>99.28665213546391</v>
      </c>
      <c r="T98" s="60">
        <f t="shared" si="8"/>
        <v>99.872162112471429</v>
      </c>
      <c r="U98" s="60">
        <f t="shared" si="8"/>
        <v>99.890935213492881</v>
      </c>
      <c r="V98" s="60">
        <f t="shared" si="8"/>
        <v>99.822027130007797</v>
      </c>
    </row>
    <row r="99" spans="3:22" x14ac:dyDescent="0.2">
      <c r="C99" s="88" t="s">
        <v>130</v>
      </c>
      <c r="D99" s="62">
        <f t="shared" ref="D99:V99" si="9">+IFERROR(IF(D60&gt;0,+((D60/D21)*100)," "),"")</f>
        <v>98.349221517625196</v>
      </c>
      <c r="E99" s="62">
        <f t="shared" si="9"/>
        <v>99.467589031398191</v>
      </c>
      <c r="F99" s="62">
        <f t="shared" si="9"/>
        <v>99.352997232011148</v>
      </c>
      <c r="G99" s="62">
        <f t="shared" si="9"/>
        <v>98.795235507920282</v>
      </c>
      <c r="H99" s="62">
        <f t="shared" si="9"/>
        <v>98.743804729269613</v>
      </c>
      <c r="I99" s="62">
        <f t="shared" si="9"/>
        <v>99.620038333923389</v>
      </c>
      <c r="J99" s="62">
        <f t="shared" si="9"/>
        <v>98.745010274421688</v>
      </c>
      <c r="K99" s="62">
        <f t="shared" si="9"/>
        <v>99.322467099854975</v>
      </c>
      <c r="L99" s="62">
        <f t="shared" si="9"/>
        <v>97.686329224462398</v>
      </c>
      <c r="M99" s="62">
        <f t="shared" si="9"/>
        <v>97.899958034579754</v>
      </c>
      <c r="N99" s="62">
        <f t="shared" si="9"/>
        <v>96.995999824537634</v>
      </c>
      <c r="O99" s="62">
        <f t="shared" si="9"/>
        <v>93.824198200984753</v>
      </c>
      <c r="P99" s="62">
        <f t="shared" si="9"/>
        <v>83.555911719755088</v>
      </c>
      <c r="Q99" s="62">
        <f t="shared" si="9"/>
        <v>95.918233366242163</v>
      </c>
      <c r="R99" s="62">
        <f t="shared" si="9"/>
        <v>97.139063980899891</v>
      </c>
      <c r="S99" s="62">
        <f t="shared" si="9"/>
        <v>98.885135875862602</v>
      </c>
      <c r="T99" s="62">
        <f t="shared" si="9"/>
        <v>94.527951748784417</v>
      </c>
      <c r="U99" s="62">
        <f t="shared" si="9"/>
        <v>99.170963690722175</v>
      </c>
      <c r="V99" s="62">
        <f t="shared" si="9"/>
        <v>98.126025247475667</v>
      </c>
    </row>
    <row r="100" spans="3:22" x14ac:dyDescent="0.2">
      <c r="C100" s="87" t="s">
        <v>131</v>
      </c>
      <c r="D100" s="60">
        <f t="shared" ref="D100:V100" si="10">+IFERROR(IF(D61&gt;0,+((D61/D22)*100)," "),"")</f>
        <v>95.092979923330972</v>
      </c>
      <c r="E100" s="60">
        <f t="shared" si="10"/>
        <v>97.115770807389566</v>
      </c>
      <c r="F100" s="60">
        <f t="shared" si="10"/>
        <v>99.780218187848519</v>
      </c>
      <c r="G100" s="60">
        <f t="shared" si="10"/>
        <v>99.65878668144785</v>
      </c>
      <c r="H100" s="60">
        <f t="shared" si="10"/>
        <v>99.974705901406352</v>
      </c>
      <c r="I100" s="60">
        <f t="shared" si="10"/>
        <v>99.848785556841705</v>
      </c>
      <c r="J100" s="60">
        <f t="shared" si="10"/>
        <v>99.713998531057811</v>
      </c>
      <c r="K100" s="60">
        <f t="shared" si="10"/>
        <v>99.832813286295746</v>
      </c>
      <c r="L100" s="60">
        <f t="shared" si="10"/>
        <v>99.897472085650378</v>
      </c>
      <c r="M100" s="60">
        <f t="shared" si="10"/>
        <v>99.691509423510297</v>
      </c>
      <c r="N100" s="60">
        <f t="shared" si="10"/>
        <v>97.848350898892832</v>
      </c>
      <c r="O100" s="60">
        <f t="shared" si="10"/>
        <v>99.973941798633206</v>
      </c>
      <c r="P100" s="60">
        <f t="shared" si="10"/>
        <v>99.907347411746414</v>
      </c>
      <c r="Q100" s="60">
        <f t="shared" si="10"/>
        <v>99.869448516246621</v>
      </c>
      <c r="R100" s="60">
        <f t="shared" si="10"/>
        <v>99.975666062351578</v>
      </c>
      <c r="S100" s="60">
        <f t="shared" si="10"/>
        <v>99.954561939967519</v>
      </c>
      <c r="T100" s="60">
        <f t="shared" si="10"/>
        <v>99.174957707881077</v>
      </c>
      <c r="U100" s="60">
        <f t="shared" si="10"/>
        <v>99.973823017244797</v>
      </c>
      <c r="V100" s="60">
        <f t="shared" si="10"/>
        <v>99.975424339747164</v>
      </c>
    </row>
    <row r="101" spans="3:22" x14ac:dyDescent="0.2">
      <c r="C101" s="88" t="s">
        <v>132</v>
      </c>
      <c r="D101" s="62">
        <f t="shared" ref="D101:V101" si="11">+IFERROR(IF(D62&gt;0,+((D62/D23)*100)," "),"")</f>
        <v>96.837791727358692</v>
      </c>
      <c r="E101" s="62">
        <f t="shared" si="11"/>
        <v>94.77096261405525</v>
      </c>
      <c r="F101" s="62">
        <f t="shared" si="11"/>
        <v>97.68175564781869</v>
      </c>
      <c r="G101" s="62">
        <f t="shared" si="11"/>
        <v>94.038785732305357</v>
      </c>
      <c r="H101" s="62">
        <f t="shared" si="11"/>
        <v>94.25818779285234</v>
      </c>
      <c r="I101" s="62">
        <f t="shared" si="11"/>
        <v>90.957364350830488</v>
      </c>
      <c r="J101" s="62">
        <f t="shared" si="11"/>
        <v>96.346290143336191</v>
      </c>
      <c r="K101" s="62">
        <f t="shared" si="11"/>
        <v>91.303469726020111</v>
      </c>
      <c r="L101" s="62">
        <f t="shared" si="11"/>
        <v>92.461835128033115</v>
      </c>
      <c r="M101" s="62">
        <f t="shared" si="11"/>
        <v>85.963711420803307</v>
      </c>
      <c r="N101" s="62">
        <f t="shared" si="11"/>
        <v>76.239686624414034</v>
      </c>
      <c r="O101" s="62">
        <f t="shared" si="11"/>
        <v>86.37403088050219</v>
      </c>
      <c r="P101" s="62">
        <f t="shared" si="11"/>
        <v>88.872170557130502</v>
      </c>
      <c r="Q101" s="62">
        <f t="shared" si="11"/>
        <v>89.218216739319942</v>
      </c>
      <c r="R101" s="62">
        <f t="shared" si="11"/>
        <v>94.063979133424738</v>
      </c>
      <c r="S101" s="62">
        <f t="shared" si="11"/>
        <v>93.963380214021214</v>
      </c>
      <c r="T101" s="62">
        <f t="shared" si="11"/>
        <v>97.39492052962936</v>
      </c>
      <c r="U101" s="62">
        <f t="shared" si="11"/>
        <v>99.432853408011354</v>
      </c>
      <c r="V101" s="62">
        <f t="shared" si="11"/>
        <v>97.59926843481675</v>
      </c>
    </row>
    <row r="102" spans="3:22" x14ac:dyDescent="0.2">
      <c r="C102" s="87" t="s">
        <v>133</v>
      </c>
      <c r="D102" s="60">
        <f t="shared" ref="D102:V102" si="12">+IFERROR(IF(D63&gt;0,+((D63/D24)*100)," "),"")</f>
        <v>97.431319893007881</v>
      </c>
      <c r="E102" s="60">
        <f t="shared" si="12"/>
        <v>99.493268222024028</v>
      </c>
      <c r="F102" s="60">
        <f t="shared" si="12"/>
        <v>99.727972973146379</v>
      </c>
      <c r="G102" s="60">
        <f t="shared" si="12"/>
        <v>98.496946610059112</v>
      </c>
      <c r="H102" s="60">
        <f t="shared" si="12"/>
        <v>99.676163159119724</v>
      </c>
      <c r="I102" s="60">
        <f t="shared" si="12"/>
        <v>99.738095339902728</v>
      </c>
      <c r="J102" s="60">
        <f t="shared" si="12"/>
        <v>99.702459415773987</v>
      </c>
      <c r="K102" s="60">
        <f t="shared" si="12"/>
        <v>99.210046767261844</v>
      </c>
      <c r="L102" s="60">
        <f t="shared" si="12"/>
        <v>99.364385902210046</v>
      </c>
      <c r="M102" s="60">
        <f t="shared" si="12"/>
        <v>99.461529048474404</v>
      </c>
      <c r="N102" s="60">
        <f t="shared" si="12"/>
        <v>95.996960771610532</v>
      </c>
      <c r="O102" s="60">
        <f t="shared" si="12"/>
        <v>98.188866333901018</v>
      </c>
      <c r="P102" s="60">
        <f t="shared" si="12"/>
        <v>96.426325364947616</v>
      </c>
      <c r="Q102" s="60">
        <f t="shared" si="12"/>
        <v>98.501688989577431</v>
      </c>
      <c r="R102" s="60">
        <f t="shared" si="12"/>
        <v>93.680960630609661</v>
      </c>
      <c r="S102" s="60">
        <f t="shared" si="12"/>
        <v>92.784784772658696</v>
      </c>
      <c r="T102" s="60">
        <f t="shared" si="12"/>
        <v>97.432125043677203</v>
      </c>
      <c r="U102" s="60">
        <f t="shared" si="12"/>
        <v>99.414071383576598</v>
      </c>
      <c r="V102" s="60">
        <f t="shared" si="12"/>
        <v>96.8974608373954</v>
      </c>
    </row>
    <row r="103" spans="3:22" x14ac:dyDescent="0.2">
      <c r="C103" s="88" t="s">
        <v>134</v>
      </c>
      <c r="D103" s="62">
        <f t="shared" ref="D103:V103" si="13">+IFERROR(IF(D64&gt;0,+((D64/D25)*100)," "),"")</f>
        <v>93.451698794416487</v>
      </c>
      <c r="E103" s="62">
        <f t="shared" si="13"/>
        <v>93.290348338906298</v>
      </c>
      <c r="F103" s="62">
        <f t="shared" si="13"/>
        <v>97.594796079277685</v>
      </c>
      <c r="G103" s="62">
        <f t="shared" si="13"/>
        <v>98.13962392170798</v>
      </c>
      <c r="H103" s="62">
        <f t="shared" si="13"/>
        <v>97.440271497473319</v>
      </c>
      <c r="I103" s="62">
        <f t="shared" si="13"/>
        <v>93.840546647774914</v>
      </c>
      <c r="J103" s="62">
        <f t="shared" si="13"/>
        <v>95.491912303950599</v>
      </c>
      <c r="K103" s="62">
        <f t="shared" si="13"/>
        <v>83.651611019557777</v>
      </c>
      <c r="L103" s="62">
        <f t="shared" si="13"/>
        <v>87.878716118142293</v>
      </c>
      <c r="M103" s="62">
        <f t="shared" si="13"/>
        <v>73.656709199891651</v>
      </c>
      <c r="N103" s="62">
        <f t="shared" si="13"/>
        <v>76.772127890635346</v>
      </c>
      <c r="O103" s="62">
        <f t="shared" si="13"/>
        <v>98.005466996228236</v>
      </c>
      <c r="P103" s="62">
        <f t="shared" si="13"/>
        <v>95.799692432183662</v>
      </c>
      <c r="Q103" s="62">
        <f t="shared" si="13"/>
        <v>87.962686012064353</v>
      </c>
      <c r="R103" s="62">
        <f t="shared" si="13"/>
        <v>77.059288164260337</v>
      </c>
      <c r="S103" s="62">
        <f t="shared" si="13"/>
        <v>95.320898643261557</v>
      </c>
      <c r="T103" s="62">
        <f t="shared" si="13"/>
        <v>98.740713486310099</v>
      </c>
      <c r="U103" s="62">
        <f t="shared" si="13"/>
        <v>97.590521774704115</v>
      </c>
      <c r="V103" s="62">
        <f t="shared" si="13"/>
        <v>90.180769944034893</v>
      </c>
    </row>
    <row r="104" spans="3:22" x14ac:dyDescent="0.2">
      <c r="C104" s="87" t="s">
        <v>135</v>
      </c>
      <c r="D104" s="60" t="str">
        <f t="shared" ref="D104:V104" si="14">+IFERROR(IF(D65&gt;0,+((D65/D26)*100)," "),"")</f>
        <v xml:space="preserve"> </v>
      </c>
      <c r="E104" s="60" t="str">
        <f t="shared" si="14"/>
        <v xml:space="preserve"> </v>
      </c>
      <c r="F104" s="60" t="str">
        <f t="shared" si="14"/>
        <v xml:space="preserve"> </v>
      </c>
      <c r="G104" s="60" t="str">
        <f t="shared" si="14"/>
        <v xml:space="preserve"> </v>
      </c>
      <c r="H104" s="60" t="str">
        <f t="shared" si="14"/>
        <v xml:space="preserve"> </v>
      </c>
      <c r="I104" s="60" t="str">
        <f t="shared" si="14"/>
        <v xml:space="preserve"> </v>
      </c>
      <c r="J104" s="60" t="str">
        <f t="shared" si="14"/>
        <v xml:space="preserve"> </v>
      </c>
      <c r="K104" s="60" t="str">
        <f t="shared" si="14"/>
        <v xml:space="preserve"> </v>
      </c>
      <c r="L104" s="60" t="str">
        <f t="shared" si="14"/>
        <v xml:space="preserve"> </v>
      </c>
      <c r="M104" s="60" t="str">
        <f t="shared" si="14"/>
        <v xml:space="preserve"> </v>
      </c>
      <c r="N104" s="60" t="str">
        <f t="shared" si="14"/>
        <v xml:space="preserve"> </v>
      </c>
      <c r="O104" s="60" t="str">
        <f t="shared" si="14"/>
        <v xml:space="preserve"> </v>
      </c>
      <c r="P104" s="60" t="str">
        <f t="shared" si="14"/>
        <v xml:space="preserve"> </v>
      </c>
      <c r="Q104" s="60" t="str">
        <f t="shared" si="14"/>
        <v xml:space="preserve"> </v>
      </c>
      <c r="R104" s="60" t="str">
        <f t="shared" si="14"/>
        <v xml:space="preserve"> </v>
      </c>
      <c r="S104" s="60" t="str">
        <f t="shared" si="14"/>
        <v xml:space="preserve"> </v>
      </c>
      <c r="T104" s="60" t="str">
        <f t="shared" si="14"/>
        <v xml:space="preserve"> </v>
      </c>
      <c r="U104" s="60" t="str">
        <f t="shared" si="14"/>
        <v xml:space="preserve"> </v>
      </c>
      <c r="V104" s="60" t="str">
        <f t="shared" si="14"/>
        <v xml:space="preserve"> </v>
      </c>
    </row>
    <row r="105" spans="3:22" x14ac:dyDescent="0.2">
      <c r="C105" s="88" t="s">
        <v>136</v>
      </c>
      <c r="D105" s="62">
        <f t="shared" ref="D105:V105" si="15">+IFERROR(IF(D66&gt;0,+((D66/D27)*100)," "),"")</f>
        <v>90.107266786415664</v>
      </c>
      <c r="E105" s="62">
        <f t="shared" si="15"/>
        <v>93.276589114455945</v>
      </c>
      <c r="F105" s="62">
        <f t="shared" si="15"/>
        <v>92.790961434274507</v>
      </c>
      <c r="G105" s="62">
        <f t="shared" si="15"/>
        <v>90.870970785720417</v>
      </c>
      <c r="H105" s="62">
        <f t="shared" si="15"/>
        <v>90.553183896896044</v>
      </c>
      <c r="I105" s="62">
        <f t="shared" si="15"/>
        <v>97.418394221837275</v>
      </c>
      <c r="J105" s="62">
        <f t="shared" si="15"/>
        <v>98.704184395188406</v>
      </c>
      <c r="K105" s="62">
        <f t="shared" si="15"/>
        <v>97.683648876527982</v>
      </c>
      <c r="L105" s="62">
        <f t="shared" si="15"/>
        <v>96.707103858651578</v>
      </c>
      <c r="M105" s="62">
        <f t="shared" si="15"/>
        <v>98.63127020240843</v>
      </c>
      <c r="N105" s="62">
        <f t="shared" si="15"/>
        <v>98.903559069330129</v>
      </c>
      <c r="O105" s="62">
        <f t="shared" si="15"/>
        <v>98.493102781507957</v>
      </c>
      <c r="P105" s="62">
        <f t="shared" si="15"/>
        <v>94.998161417259524</v>
      </c>
      <c r="Q105" s="62">
        <f t="shared" si="15"/>
        <v>96.723310593416286</v>
      </c>
      <c r="R105" s="62">
        <f t="shared" si="15"/>
        <v>97.506940588451911</v>
      </c>
      <c r="S105" s="62">
        <f t="shared" si="15"/>
        <v>97.234356378533121</v>
      </c>
      <c r="T105" s="62">
        <f t="shared" si="15"/>
        <v>96.661432338969092</v>
      </c>
      <c r="U105" s="62">
        <f t="shared" si="15"/>
        <v>97.698084255988277</v>
      </c>
      <c r="V105" s="62">
        <f t="shared" si="15"/>
        <v>96.953384935686799</v>
      </c>
    </row>
    <row r="106" spans="3:22" x14ac:dyDescent="0.2">
      <c r="C106" s="87" t="s">
        <v>137</v>
      </c>
      <c r="D106" s="60">
        <f t="shared" ref="D106:V106" si="16">+IFERROR(IF(D67&gt;0,+((D67/D28)*100)," "),"")</f>
        <v>98.700328614236696</v>
      </c>
      <c r="E106" s="60">
        <f t="shared" si="16"/>
        <v>97.152876540655058</v>
      </c>
      <c r="F106" s="60">
        <f t="shared" si="16"/>
        <v>99.257813688039533</v>
      </c>
      <c r="G106" s="60">
        <f t="shared" si="16"/>
        <v>98.10451538012218</v>
      </c>
      <c r="H106" s="60">
        <f t="shared" si="16"/>
        <v>97.295586466114401</v>
      </c>
      <c r="I106" s="60">
        <f t="shared" si="16"/>
        <v>98.296236152493648</v>
      </c>
      <c r="J106" s="60">
        <f t="shared" si="16"/>
        <v>98.993388249668129</v>
      </c>
      <c r="K106" s="60">
        <f t="shared" si="16"/>
        <v>97.349020406603032</v>
      </c>
      <c r="L106" s="60">
        <f t="shared" si="16"/>
        <v>99.390473827475205</v>
      </c>
      <c r="M106" s="60">
        <f t="shared" si="16"/>
        <v>93.912661396162676</v>
      </c>
      <c r="N106" s="60">
        <f t="shared" si="16"/>
        <v>93.41682550241903</v>
      </c>
      <c r="O106" s="60">
        <f t="shared" si="16"/>
        <v>94.430716260006335</v>
      </c>
      <c r="P106" s="60">
        <f t="shared" si="16"/>
        <v>84.364315965683573</v>
      </c>
      <c r="Q106" s="60">
        <f t="shared" si="16"/>
        <v>74.378701352539494</v>
      </c>
      <c r="R106" s="60">
        <f t="shared" si="16"/>
        <v>90.937006676846735</v>
      </c>
      <c r="S106" s="60">
        <f t="shared" si="16"/>
        <v>94.887442873553624</v>
      </c>
      <c r="T106" s="60">
        <f t="shared" si="16"/>
        <v>98.787326189950534</v>
      </c>
      <c r="U106" s="60">
        <f t="shared" si="16"/>
        <v>95.712443754325861</v>
      </c>
      <c r="V106" s="60">
        <f t="shared" si="16"/>
        <v>93.673923124561611</v>
      </c>
    </row>
    <row r="107" spans="3:22" x14ac:dyDescent="0.2">
      <c r="C107" s="88" t="s">
        <v>138</v>
      </c>
      <c r="D107" s="62">
        <f t="shared" ref="D107:V107" si="17">+IFERROR(IF(D68&gt;0,+((D68/D29)*100)," "),"")</f>
        <v>96.413806392879636</v>
      </c>
      <c r="E107" s="62">
        <f t="shared" si="17"/>
        <v>97.09299059516664</v>
      </c>
      <c r="F107" s="62">
        <f t="shared" si="17"/>
        <v>97.756532143529768</v>
      </c>
      <c r="G107" s="62">
        <f t="shared" si="17"/>
        <v>98.411460682428213</v>
      </c>
      <c r="H107" s="62">
        <f t="shared" si="17"/>
        <v>99.045758404258549</v>
      </c>
      <c r="I107" s="62">
        <f t="shared" si="17"/>
        <v>96.524499227844842</v>
      </c>
      <c r="J107" s="62">
        <f t="shared" si="17"/>
        <v>96.039670216369856</v>
      </c>
      <c r="K107" s="62">
        <f t="shared" si="17"/>
        <v>93.698020812370558</v>
      </c>
      <c r="L107" s="62">
        <f t="shared" si="17"/>
        <v>92.849711282568748</v>
      </c>
      <c r="M107" s="62">
        <f t="shared" si="17"/>
        <v>89.418824078985608</v>
      </c>
      <c r="N107" s="62">
        <f t="shared" si="17"/>
        <v>84.804891379725717</v>
      </c>
      <c r="O107" s="62">
        <f t="shared" si="17"/>
        <v>89.437216576674601</v>
      </c>
      <c r="P107" s="62">
        <f t="shared" si="17"/>
        <v>77.153341875101304</v>
      </c>
      <c r="Q107" s="62">
        <f t="shared" si="17"/>
        <v>74.486254011328086</v>
      </c>
      <c r="R107" s="62">
        <f t="shared" si="17"/>
        <v>85.294275246305716</v>
      </c>
      <c r="S107" s="62">
        <f t="shared" si="17"/>
        <v>94.71077485215055</v>
      </c>
      <c r="T107" s="62">
        <f t="shared" si="17"/>
        <v>97.117475985002827</v>
      </c>
      <c r="U107" s="62">
        <f t="shared" si="17"/>
        <v>98.246649591297498</v>
      </c>
      <c r="V107" s="62">
        <f t="shared" si="17"/>
        <v>97.085973391286146</v>
      </c>
    </row>
    <row r="108" spans="3:22" x14ac:dyDescent="0.2">
      <c r="C108" s="87" t="s">
        <v>139</v>
      </c>
      <c r="D108" s="60">
        <f t="shared" ref="D108:V108" si="18">+IFERROR(IF(D69&gt;0,+((D69/D30)*100)," "),"")</f>
        <v>96.937082435500315</v>
      </c>
      <c r="E108" s="60">
        <f t="shared" si="18"/>
        <v>98.66895690707932</v>
      </c>
      <c r="F108" s="60">
        <f t="shared" si="18"/>
        <v>98.692049260100191</v>
      </c>
      <c r="G108" s="60">
        <f t="shared" si="18"/>
        <v>97.380697373184788</v>
      </c>
      <c r="H108" s="60">
        <f t="shared" si="18"/>
        <v>98.054451720968245</v>
      </c>
      <c r="I108" s="60">
        <f t="shared" si="18"/>
        <v>99.082827435641647</v>
      </c>
      <c r="J108" s="60">
        <f t="shared" si="18"/>
        <v>92.533030373576011</v>
      </c>
      <c r="K108" s="60">
        <f t="shared" si="18"/>
        <v>90.674040743511981</v>
      </c>
      <c r="L108" s="60">
        <f t="shared" si="18"/>
        <v>96.425374731414564</v>
      </c>
      <c r="M108" s="60">
        <f t="shared" si="18"/>
        <v>94.216831852332348</v>
      </c>
      <c r="N108" s="60">
        <f t="shared" si="18"/>
        <v>93.730049249576396</v>
      </c>
      <c r="O108" s="60">
        <f t="shared" si="18"/>
        <v>98.435514689139481</v>
      </c>
      <c r="P108" s="60">
        <f t="shared" si="18"/>
        <v>93.145900385632046</v>
      </c>
      <c r="Q108" s="60">
        <f t="shared" si="18"/>
        <v>94.495399605400763</v>
      </c>
      <c r="R108" s="60">
        <f t="shared" si="18"/>
        <v>96.077535358412874</v>
      </c>
      <c r="S108" s="60">
        <f t="shared" si="18"/>
        <v>95.23136527972504</v>
      </c>
      <c r="T108" s="60">
        <f t="shared" si="18"/>
        <v>98.09781597657576</v>
      </c>
      <c r="U108" s="60">
        <f t="shared" si="18"/>
        <v>97.757333487215675</v>
      </c>
      <c r="V108" s="60">
        <f t="shared" si="18"/>
        <v>97.93494570704847</v>
      </c>
    </row>
    <row r="109" spans="3:22" x14ac:dyDescent="0.2">
      <c r="C109" s="88" t="s">
        <v>140</v>
      </c>
      <c r="D109" s="62">
        <f t="shared" ref="D109:V109" si="19">+IFERROR(IF(D70&gt;0,+((D70/D31)*100)," "),"")</f>
        <v>91.016327490484144</v>
      </c>
      <c r="E109" s="62">
        <f t="shared" si="19"/>
        <v>81.241001338298929</v>
      </c>
      <c r="F109" s="62">
        <f t="shared" si="19"/>
        <v>92.726959503916689</v>
      </c>
      <c r="G109" s="62">
        <f t="shared" si="19"/>
        <v>90.99246839866872</v>
      </c>
      <c r="H109" s="62">
        <f t="shared" si="19"/>
        <v>87.581006871290541</v>
      </c>
      <c r="I109" s="62">
        <f t="shared" si="19"/>
        <v>77.496705137266645</v>
      </c>
      <c r="J109" s="62">
        <f t="shared" si="19"/>
        <v>72.426670424231062</v>
      </c>
      <c r="K109" s="62">
        <f t="shared" si="19"/>
        <v>83.380133935200575</v>
      </c>
      <c r="L109" s="62">
        <f t="shared" si="19"/>
        <v>95.359064902008001</v>
      </c>
      <c r="M109" s="62">
        <f t="shared" si="19"/>
        <v>83.150450090027178</v>
      </c>
      <c r="N109" s="62">
        <f t="shared" si="19"/>
        <v>88.504189583356052</v>
      </c>
      <c r="O109" s="62">
        <f t="shared" si="19"/>
        <v>90.718312694229866</v>
      </c>
      <c r="P109" s="62">
        <f t="shared" si="19"/>
        <v>84.597506790213188</v>
      </c>
      <c r="Q109" s="62">
        <f t="shared" si="19"/>
        <v>90.165940181633886</v>
      </c>
      <c r="R109" s="62">
        <f t="shared" si="19"/>
        <v>86.130264706699023</v>
      </c>
      <c r="S109" s="62">
        <f t="shared" si="19"/>
        <v>95.270870799793371</v>
      </c>
      <c r="T109" s="62">
        <f t="shared" si="19"/>
        <v>94.632064740335139</v>
      </c>
      <c r="U109" s="62">
        <f t="shared" si="19"/>
        <v>93.043389898657196</v>
      </c>
      <c r="V109" s="62">
        <f t="shared" si="19"/>
        <v>98.093662952451297</v>
      </c>
    </row>
    <row r="110" spans="3:22" x14ac:dyDescent="0.2">
      <c r="C110" s="87" t="s">
        <v>141</v>
      </c>
      <c r="D110" s="60">
        <f t="shared" ref="D110:V110" si="20">+IFERROR(IF(D71&gt;0,+((D71/D32)*100)," "),"")</f>
        <v>95.284817622776046</v>
      </c>
      <c r="E110" s="60">
        <f t="shared" si="20"/>
        <v>97.228190095556613</v>
      </c>
      <c r="F110" s="60">
        <f t="shared" si="20"/>
        <v>97.573301888720266</v>
      </c>
      <c r="G110" s="60">
        <f t="shared" si="20"/>
        <v>97.64008034004064</v>
      </c>
      <c r="H110" s="60">
        <f t="shared" si="20"/>
        <v>95.649840009433234</v>
      </c>
      <c r="I110" s="60">
        <f t="shared" si="20"/>
        <v>96.390996967035292</v>
      </c>
      <c r="J110" s="60">
        <f t="shared" si="20"/>
        <v>97.221038691577419</v>
      </c>
      <c r="K110" s="60">
        <f t="shared" si="20"/>
        <v>95.542521200231718</v>
      </c>
      <c r="L110" s="60">
        <f t="shared" si="20"/>
        <v>94.465400266339302</v>
      </c>
      <c r="M110" s="60">
        <f t="shared" si="20"/>
        <v>92.904557047607142</v>
      </c>
      <c r="N110" s="60">
        <f t="shared" si="20"/>
        <v>91.662410444444077</v>
      </c>
      <c r="O110" s="60">
        <f t="shared" si="20"/>
        <v>93.911702295355852</v>
      </c>
      <c r="P110" s="60">
        <f t="shared" si="20"/>
        <v>88.548036738223317</v>
      </c>
      <c r="Q110" s="60">
        <f t="shared" si="20"/>
        <v>90.405394274773144</v>
      </c>
      <c r="R110" s="60">
        <f t="shared" si="20"/>
        <v>94.463722903192888</v>
      </c>
      <c r="S110" s="60">
        <f t="shared" si="20"/>
        <v>95.791869629637745</v>
      </c>
      <c r="T110" s="60">
        <f t="shared" si="20"/>
        <v>97.026962973270699</v>
      </c>
      <c r="U110" s="60">
        <f t="shared" si="20"/>
        <v>97.234267460664682</v>
      </c>
      <c r="V110" s="60">
        <f t="shared" si="20"/>
        <v>96.656133580877921</v>
      </c>
    </row>
    <row r="111" spans="3:22" x14ac:dyDescent="0.2">
      <c r="C111" s="88" t="s">
        <v>142</v>
      </c>
      <c r="D111" s="62">
        <f t="shared" ref="D111:V111" si="21">+IFERROR(IF(D72&gt;0,+((D72/D33)*100)," "),"")</f>
        <v>83.203622482729529</v>
      </c>
      <c r="E111" s="62">
        <f t="shared" si="21"/>
        <v>90.173714172387463</v>
      </c>
      <c r="F111" s="62">
        <f t="shared" si="21"/>
        <v>98.232042652654954</v>
      </c>
      <c r="G111" s="62">
        <f t="shared" si="21"/>
        <v>96.657936982125364</v>
      </c>
      <c r="H111" s="62">
        <f t="shared" si="21"/>
        <v>88.288476472689368</v>
      </c>
      <c r="I111" s="62">
        <f t="shared" si="21"/>
        <v>84.832904991265252</v>
      </c>
      <c r="J111" s="62">
        <f t="shared" si="21"/>
        <v>75.10291766811487</v>
      </c>
      <c r="K111" s="62">
        <f t="shared" si="21"/>
        <v>69.222376115400365</v>
      </c>
      <c r="L111" s="62">
        <f t="shared" si="21"/>
        <v>81.582634252806784</v>
      </c>
      <c r="M111" s="62">
        <f t="shared" si="21"/>
        <v>74.550066592234018</v>
      </c>
      <c r="N111" s="62">
        <f t="shared" si="21"/>
        <v>93.235984045490625</v>
      </c>
      <c r="O111" s="62">
        <f t="shared" si="21"/>
        <v>87.399555471837985</v>
      </c>
      <c r="P111" s="62">
        <f t="shared" si="21"/>
        <v>85.789606883035958</v>
      </c>
      <c r="Q111" s="62">
        <f t="shared" si="21"/>
        <v>75.371280932035063</v>
      </c>
      <c r="R111" s="62">
        <f t="shared" si="21"/>
        <v>86.410215888127283</v>
      </c>
      <c r="S111" s="62">
        <f t="shared" si="21"/>
        <v>89.158959841167189</v>
      </c>
      <c r="T111" s="62">
        <f t="shared" si="21"/>
        <v>93.692880324985467</v>
      </c>
      <c r="U111" s="62">
        <f t="shared" si="21"/>
        <v>94.325211530180326</v>
      </c>
      <c r="V111" s="62">
        <f t="shared" si="21"/>
        <v>94.426751758398339</v>
      </c>
    </row>
    <row r="112" spans="3:22" x14ac:dyDescent="0.2">
      <c r="C112" s="87" t="s">
        <v>143</v>
      </c>
      <c r="D112" s="60">
        <f t="shared" ref="D112:V112" si="22">+IFERROR(IF(D73&gt;0,+((D73/D34)*100)," "),"")</f>
        <v>91.121416902551147</v>
      </c>
      <c r="E112" s="60">
        <f t="shared" si="22"/>
        <v>97.012939424745866</v>
      </c>
      <c r="F112" s="60">
        <f t="shared" si="22"/>
        <v>92.489250782692238</v>
      </c>
      <c r="G112" s="60">
        <f t="shared" si="22"/>
        <v>95.042790989278132</v>
      </c>
      <c r="H112" s="60">
        <f t="shared" si="22"/>
        <v>97.36210503253352</v>
      </c>
      <c r="I112" s="60">
        <f t="shared" si="22"/>
        <v>99.462926130154329</v>
      </c>
      <c r="J112" s="60">
        <f t="shared" si="22"/>
        <v>98.668636502283888</v>
      </c>
      <c r="K112" s="60">
        <f t="shared" si="22"/>
        <v>99.469372817642551</v>
      </c>
      <c r="L112" s="60">
        <f t="shared" si="22"/>
        <v>98.285469294354158</v>
      </c>
      <c r="M112" s="60">
        <f t="shared" si="22"/>
        <v>91.86170535618183</v>
      </c>
      <c r="N112" s="60">
        <f t="shared" si="22"/>
        <v>91.165194258219458</v>
      </c>
      <c r="O112" s="60">
        <f t="shared" si="22"/>
        <v>96.453823405360538</v>
      </c>
      <c r="P112" s="60">
        <f t="shared" si="22"/>
        <v>95.574116548326344</v>
      </c>
      <c r="Q112" s="60">
        <f t="shared" si="22"/>
        <v>93.156431780101897</v>
      </c>
      <c r="R112" s="60">
        <f t="shared" si="22"/>
        <v>94.031483184133052</v>
      </c>
      <c r="S112" s="60">
        <f t="shared" si="22"/>
        <v>96.606633235879187</v>
      </c>
      <c r="T112" s="60">
        <f t="shared" si="22"/>
        <v>98.692010531777569</v>
      </c>
      <c r="U112" s="60">
        <f t="shared" si="22"/>
        <v>98.41244297910572</v>
      </c>
      <c r="V112" s="60">
        <f t="shared" si="22"/>
        <v>97.252781330568382</v>
      </c>
    </row>
    <row r="113" spans="3:22" x14ac:dyDescent="0.2">
      <c r="C113" s="88" t="s">
        <v>144</v>
      </c>
      <c r="D113" s="62">
        <f t="shared" ref="D113:V113" si="23">+IFERROR(IF(D74&gt;0,+((D74/D35)*100)," "),"")</f>
        <v>99.29219830147251</v>
      </c>
      <c r="E113" s="62">
        <f t="shared" si="23"/>
        <v>97.197979451948569</v>
      </c>
      <c r="F113" s="62">
        <f t="shared" si="23"/>
        <v>98.881360937648111</v>
      </c>
      <c r="G113" s="62">
        <f t="shared" si="23"/>
        <v>99.425039365868457</v>
      </c>
      <c r="H113" s="62">
        <f t="shared" si="23"/>
        <v>99.086724614956893</v>
      </c>
      <c r="I113" s="62">
        <f t="shared" si="23"/>
        <v>99.891525681601067</v>
      </c>
      <c r="J113" s="62">
        <f t="shared" si="23"/>
        <v>98.878379622489135</v>
      </c>
      <c r="K113" s="62">
        <f t="shared" si="23"/>
        <v>99.508056861722238</v>
      </c>
      <c r="L113" s="62">
        <f t="shared" si="23"/>
        <v>99.243613870119745</v>
      </c>
      <c r="M113" s="62">
        <f t="shared" si="23"/>
        <v>99.13172879900003</v>
      </c>
      <c r="N113" s="62">
        <f t="shared" si="23"/>
        <v>98.799482048851033</v>
      </c>
      <c r="O113" s="62">
        <f t="shared" si="23"/>
        <v>97.520309041840775</v>
      </c>
      <c r="P113" s="62">
        <f t="shared" si="23"/>
        <v>98.768752530293852</v>
      </c>
      <c r="Q113" s="62">
        <f t="shared" si="23"/>
        <v>99.751244998334869</v>
      </c>
      <c r="R113" s="62">
        <f t="shared" si="23"/>
        <v>99.814096828176773</v>
      </c>
      <c r="S113" s="62">
        <f t="shared" si="23"/>
        <v>99.42739026334182</v>
      </c>
      <c r="T113" s="62">
        <f t="shared" si="23"/>
        <v>99.202966952618652</v>
      </c>
      <c r="U113" s="62">
        <f t="shared" si="23"/>
        <v>98.498012535292858</v>
      </c>
      <c r="V113" s="62">
        <f t="shared" si="23"/>
        <v>99.443620323360733</v>
      </c>
    </row>
    <row r="114" spans="3:22" x14ac:dyDescent="0.2">
      <c r="C114" s="87" t="s">
        <v>145</v>
      </c>
      <c r="D114" s="60">
        <f t="shared" ref="D114:V114" si="24">+IFERROR(IF(D75&gt;0,+((D75/D36)*100)," "),"")</f>
        <v>98.141899132771584</v>
      </c>
      <c r="E114" s="60">
        <f t="shared" si="24"/>
        <v>96.964639562676908</v>
      </c>
      <c r="F114" s="60">
        <f t="shared" si="24"/>
        <v>80.439855030364512</v>
      </c>
      <c r="G114" s="60">
        <f t="shared" si="24"/>
        <v>91.311188519141226</v>
      </c>
      <c r="H114" s="60">
        <f t="shared" si="24"/>
        <v>97.344819528097545</v>
      </c>
      <c r="I114" s="60">
        <f t="shared" si="24"/>
        <v>97.245942721554385</v>
      </c>
      <c r="J114" s="60">
        <f t="shared" si="24"/>
        <v>87.794065368197394</v>
      </c>
      <c r="K114" s="60">
        <f t="shared" si="24"/>
        <v>94.764907898728794</v>
      </c>
      <c r="L114" s="60">
        <f t="shared" si="24"/>
        <v>95.947665811275755</v>
      </c>
      <c r="M114" s="60">
        <f t="shared" si="24"/>
        <v>97.828132488462344</v>
      </c>
      <c r="N114" s="60">
        <f t="shared" si="24"/>
        <v>98.974954371578434</v>
      </c>
      <c r="O114" s="60">
        <f t="shared" si="24"/>
        <v>92.318484636409011</v>
      </c>
      <c r="P114" s="60">
        <f t="shared" si="24"/>
        <v>91.738924431784085</v>
      </c>
      <c r="Q114" s="60">
        <f t="shared" si="24"/>
        <v>88.405990662826568</v>
      </c>
      <c r="R114" s="60">
        <f t="shared" si="24"/>
        <v>94.378086319694674</v>
      </c>
      <c r="S114" s="60">
        <f t="shared" si="24"/>
        <v>92.214567581550739</v>
      </c>
      <c r="T114" s="60">
        <f t="shared" si="24"/>
        <v>94.498728867070497</v>
      </c>
      <c r="U114" s="60">
        <f t="shared" si="24"/>
        <v>95.91887001093265</v>
      </c>
      <c r="V114" s="60">
        <f t="shared" si="24"/>
        <v>97.712471775435517</v>
      </c>
    </row>
    <row r="115" spans="3:22" x14ac:dyDescent="0.2">
      <c r="C115" s="88" t="s">
        <v>146</v>
      </c>
      <c r="D115" s="62">
        <f t="shared" ref="D115:V115" si="25">+IFERROR(IF(D76&gt;0,+((D76/D37)*100)," "),"")</f>
        <v>92.630541278512027</v>
      </c>
      <c r="E115" s="62">
        <f t="shared" si="25"/>
        <v>94.467336199807804</v>
      </c>
      <c r="F115" s="62">
        <f t="shared" si="25"/>
        <v>94.505580101151239</v>
      </c>
      <c r="G115" s="62">
        <f t="shared" si="25"/>
        <v>98.68551621235919</v>
      </c>
      <c r="H115" s="62">
        <f t="shared" si="25"/>
        <v>93.322938651642076</v>
      </c>
      <c r="I115" s="62">
        <f t="shared" si="25"/>
        <v>89.859645590457674</v>
      </c>
      <c r="J115" s="62">
        <f t="shared" si="25"/>
        <v>95.211796782287479</v>
      </c>
      <c r="K115" s="62">
        <f t="shared" si="25"/>
        <v>86.300921039200944</v>
      </c>
      <c r="L115" s="62">
        <f t="shared" si="25"/>
        <v>92.097598882819881</v>
      </c>
      <c r="M115" s="62">
        <f t="shared" si="25"/>
        <v>95.045867964134473</v>
      </c>
      <c r="N115" s="62">
        <f t="shared" si="25"/>
        <v>85.352512273985241</v>
      </c>
      <c r="O115" s="62">
        <f t="shared" si="25"/>
        <v>97.904294293705604</v>
      </c>
      <c r="P115" s="62">
        <f t="shared" si="25"/>
        <v>96.536589779192951</v>
      </c>
      <c r="Q115" s="62">
        <f t="shared" si="25"/>
        <v>98.794793243037986</v>
      </c>
      <c r="R115" s="62">
        <f t="shared" si="25"/>
        <v>97.9983069906514</v>
      </c>
      <c r="S115" s="62">
        <f t="shared" si="25"/>
        <v>98.719762998260521</v>
      </c>
      <c r="T115" s="62">
        <f t="shared" si="25"/>
        <v>97.540716047764448</v>
      </c>
      <c r="U115" s="62">
        <f t="shared" si="25"/>
        <v>96.020993638072781</v>
      </c>
      <c r="V115" s="62">
        <f t="shared" si="25"/>
        <v>94.702120017760322</v>
      </c>
    </row>
    <row r="116" spans="3:22" x14ac:dyDescent="0.2">
      <c r="C116" s="90" t="s">
        <v>147</v>
      </c>
      <c r="D116" s="61">
        <f t="shared" ref="D116:V116" si="26">+IFERROR(IF(D77&gt;0,+((D77/D38)*100)," "),"")</f>
        <v>97.32376590119074</v>
      </c>
      <c r="E116" s="61">
        <f t="shared" si="26"/>
        <v>99.382193664705312</v>
      </c>
      <c r="F116" s="61">
        <f t="shared" si="26"/>
        <v>99.20795385727402</v>
      </c>
      <c r="G116" s="61">
        <f t="shared" si="26"/>
        <v>99.587539413496614</v>
      </c>
      <c r="H116" s="61">
        <f t="shared" si="26"/>
        <v>99.80906475929217</v>
      </c>
      <c r="I116" s="61">
        <f t="shared" si="26"/>
        <v>99.538208630834418</v>
      </c>
      <c r="J116" s="61">
        <f t="shared" si="26"/>
        <v>99.282684526678054</v>
      </c>
      <c r="K116" s="61">
        <f t="shared" si="26"/>
        <v>97.523249322920719</v>
      </c>
      <c r="L116" s="61">
        <f t="shared" si="26"/>
        <v>99.780472022496497</v>
      </c>
      <c r="M116" s="61">
        <f t="shared" si="26"/>
        <v>95.674429594990542</v>
      </c>
      <c r="N116" s="61">
        <f t="shared" si="26"/>
        <v>86.971191128238047</v>
      </c>
      <c r="O116" s="61">
        <f t="shared" si="26"/>
        <v>99.130509155480652</v>
      </c>
      <c r="P116" s="61">
        <f t="shared" si="26"/>
        <v>98.733073739508527</v>
      </c>
      <c r="Q116" s="61">
        <f t="shared" si="26"/>
        <v>98.865847136838568</v>
      </c>
      <c r="R116" s="61">
        <f t="shared" si="26"/>
        <v>97.565185512061376</v>
      </c>
      <c r="S116" s="61">
        <f t="shared" si="26"/>
        <v>98.879608872677366</v>
      </c>
      <c r="T116" s="61">
        <f t="shared" si="26"/>
        <v>99.825961807574174</v>
      </c>
      <c r="U116" s="61">
        <f t="shared" si="26"/>
        <v>99.896200047959084</v>
      </c>
      <c r="V116" s="61">
        <f t="shared" si="26"/>
        <v>95.591099910972105</v>
      </c>
    </row>
    <row r="117" spans="3:22" ht="22.5" customHeight="1" x14ac:dyDescent="0.2">
      <c r="C117" s="89" t="s">
        <v>148</v>
      </c>
      <c r="D117" s="63" t="str">
        <f t="shared" ref="D117:V117" si="27">+IFERROR(IF(D78&gt;0,+((D78/D39)*100)," "),"")</f>
        <v xml:space="preserve"> </v>
      </c>
      <c r="E117" s="63" t="str">
        <f t="shared" si="27"/>
        <v xml:space="preserve"> </v>
      </c>
      <c r="F117" s="63" t="str">
        <f t="shared" si="27"/>
        <v xml:space="preserve"> </v>
      </c>
      <c r="G117" s="63" t="str">
        <f t="shared" si="27"/>
        <v xml:space="preserve"> </v>
      </c>
      <c r="H117" s="63" t="str">
        <f t="shared" si="27"/>
        <v xml:space="preserve"> </v>
      </c>
      <c r="I117" s="63" t="str">
        <f t="shared" si="27"/>
        <v xml:space="preserve"> </v>
      </c>
      <c r="J117" s="63" t="str">
        <f t="shared" si="27"/>
        <v xml:space="preserve"> </v>
      </c>
      <c r="K117" s="63" t="str">
        <f t="shared" si="27"/>
        <v xml:space="preserve"> </v>
      </c>
      <c r="L117" s="63" t="str">
        <f t="shared" si="27"/>
        <v xml:space="preserve"> </v>
      </c>
      <c r="M117" s="63" t="str">
        <f t="shared" si="27"/>
        <v xml:space="preserve"> </v>
      </c>
      <c r="N117" s="63" t="str">
        <f t="shared" si="27"/>
        <v xml:space="preserve"> </v>
      </c>
      <c r="O117" s="63" t="str">
        <f t="shared" si="27"/>
        <v xml:space="preserve"> </v>
      </c>
      <c r="P117" s="63" t="str">
        <f t="shared" si="27"/>
        <v xml:space="preserve"> </v>
      </c>
      <c r="Q117" s="63" t="str">
        <f t="shared" si="27"/>
        <v xml:space="preserve"> </v>
      </c>
      <c r="R117" s="63" t="str">
        <f t="shared" si="27"/>
        <v xml:space="preserve"> </v>
      </c>
      <c r="S117" s="63" t="str">
        <f t="shared" si="27"/>
        <v xml:space="preserve"> </v>
      </c>
      <c r="T117" s="63" t="str">
        <f t="shared" si="27"/>
        <v xml:space="preserve"> </v>
      </c>
      <c r="U117" s="63">
        <f t="shared" si="27"/>
        <v>59.926249401054143</v>
      </c>
      <c r="V117" s="63">
        <f t="shared" si="27"/>
        <v>81.957035290999485</v>
      </c>
    </row>
    <row r="118" spans="3:22" x14ac:dyDescent="0.2">
      <c r="C118" s="87" t="s">
        <v>149</v>
      </c>
      <c r="D118" s="60">
        <f t="shared" ref="D118:V118" si="28">+IFERROR(IF(D79&gt;0,+((D79/D40)*100)," "),"")</f>
        <v>78.30421923929913</v>
      </c>
      <c r="E118" s="60">
        <f t="shared" si="28"/>
        <v>84.522408849046428</v>
      </c>
      <c r="F118" s="60">
        <f t="shared" si="28"/>
        <v>92.91153531696645</v>
      </c>
      <c r="G118" s="60">
        <f t="shared" si="28"/>
        <v>92.569404418116378</v>
      </c>
      <c r="H118" s="60">
        <f t="shared" si="28"/>
        <v>91.503644394603612</v>
      </c>
      <c r="I118" s="60">
        <f t="shared" si="28"/>
        <v>94.981733124695239</v>
      </c>
      <c r="J118" s="60">
        <f t="shared" si="28"/>
        <v>73.437743202473158</v>
      </c>
      <c r="K118" s="60">
        <f t="shared" si="28"/>
        <v>96.25845178282465</v>
      </c>
      <c r="L118" s="60">
        <f t="shared" si="28"/>
        <v>93.14699969284321</v>
      </c>
      <c r="M118" s="60">
        <f t="shared" si="28"/>
        <v>31.153475373521587</v>
      </c>
      <c r="N118" s="60">
        <f t="shared" si="28"/>
        <v>79.281288861517623</v>
      </c>
      <c r="O118" s="60">
        <f t="shared" si="28"/>
        <v>90.479343885855968</v>
      </c>
      <c r="P118" s="60">
        <f t="shared" si="28"/>
        <v>77.674618980419368</v>
      </c>
      <c r="Q118" s="60">
        <f t="shared" si="28"/>
        <v>65.121490423663985</v>
      </c>
      <c r="R118" s="60">
        <f t="shared" si="28"/>
        <v>49.899497502990783</v>
      </c>
      <c r="S118" s="60">
        <f t="shared" si="28"/>
        <v>82.564459573184848</v>
      </c>
      <c r="T118" s="60">
        <f t="shared" si="28"/>
        <v>93.591159431084819</v>
      </c>
      <c r="U118" s="60">
        <f t="shared" si="28"/>
        <v>95.103878392843683</v>
      </c>
      <c r="V118" s="60">
        <f t="shared" si="28"/>
        <v>90.707778767051167</v>
      </c>
    </row>
    <row r="119" spans="3:22" x14ac:dyDescent="0.2">
      <c r="C119" s="88" t="s">
        <v>150</v>
      </c>
      <c r="D119" s="62">
        <f t="shared" ref="D119:V119" si="29">+IFERROR(IF(D80&gt;0,+((D80/D41)*100)," "),"")</f>
        <v>87.8005233805942</v>
      </c>
      <c r="E119" s="62">
        <f t="shared" si="29"/>
        <v>88.12814872555056</v>
      </c>
      <c r="F119" s="62">
        <f t="shared" si="29"/>
        <v>95.862001520331788</v>
      </c>
      <c r="G119" s="62">
        <f t="shared" si="29"/>
        <v>91.556022229958231</v>
      </c>
      <c r="H119" s="62">
        <f t="shared" si="29"/>
        <v>90.629335938366751</v>
      </c>
      <c r="I119" s="62">
        <f t="shared" si="29"/>
        <v>81.559522160188209</v>
      </c>
      <c r="J119" s="62">
        <f t="shared" si="29"/>
        <v>69.187969488587242</v>
      </c>
      <c r="K119" s="62">
        <f t="shared" si="29"/>
        <v>82.503110384515907</v>
      </c>
      <c r="L119" s="62">
        <f t="shared" si="29"/>
        <v>97.518032013521861</v>
      </c>
      <c r="M119" s="62">
        <f t="shared" si="29"/>
        <v>90.982439248537787</v>
      </c>
      <c r="N119" s="62">
        <f t="shared" si="29"/>
        <v>76.923119907183846</v>
      </c>
      <c r="O119" s="62">
        <f t="shared" si="29"/>
        <v>83.189520787112031</v>
      </c>
      <c r="P119" s="62">
        <f t="shared" si="29"/>
        <v>87.305725233996881</v>
      </c>
      <c r="Q119" s="62">
        <f t="shared" si="29"/>
        <v>89.685043946715425</v>
      </c>
      <c r="R119" s="62">
        <f t="shared" si="29"/>
        <v>91.056966755847412</v>
      </c>
      <c r="S119" s="62">
        <f t="shared" si="29"/>
        <v>88.390642283587368</v>
      </c>
      <c r="T119" s="62">
        <f t="shared" si="29"/>
        <v>93.22652656778007</v>
      </c>
      <c r="U119" s="62">
        <f t="shared" si="29"/>
        <v>92.590743970221254</v>
      </c>
      <c r="V119" s="62">
        <f t="shared" si="29"/>
        <v>94.766751304369251</v>
      </c>
    </row>
    <row r="120" spans="3:22" x14ac:dyDescent="0.2">
      <c r="C120" s="87" t="s">
        <v>151</v>
      </c>
      <c r="D120" s="60">
        <f t="shared" ref="D120:V120" si="30">+IFERROR(IF(D81&gt;0,+((D81/D42)*100)," "),"")</f>
        <v>80.892808347431995</v>
      </c>
      <c r="E120" s="60">
        <f t="shared" si="30"/>
        <v>84.790935212199912</v>
      </c>
      <c r="F120" s="60">
        <f t="shared" si="30"/>
        <v>90.556600219809596</v>
      </c>
      <c r="G120" s="60">
        <f t="shared" si="30"/>
        <v>92.122436541776409</v>
      </c>
      <c r="H120" s="60">
        <f t="shared" si="30"/>
        <v>91.590258744075427</v>
      </c>
      <c r="I120" s="60">
        <f t="shared" si="30"/>
        <v>83.999078661076211</v>
      </c>
      <c r="J120" s="60">
        <f t="shared" si="30"/>
        <v>84.211669564823779</v>
      </c>
      <c r="K120" s="60">
        <f t="shared" si="30"/>
        <v>83.172614742516586</v>
      </c>
      <c r="L120" s="60">
        <f t="shared" si="30"/>
        <v>82.656981949464011</v>
      </c>
      <c r="M120" s="60">
        <f t="shared" si="30"/>
        <v>92.000341446585338</v>
      </c>
      <c r="N120" s="60">
        <f t="shared" si="30"/>
        <v>94.051401440640063</v>
      </c>
      <c r="O120" s="60">
        <f t="shared" si="30"/>
        <v>98.340470802343162</v>
      </c>
      <c r="P120" s="60">
        <f t="shared" si="30"/>
        <v>99.319268894690865</v>
      </c>
      <c r="Q120" s="60">
        <f t="shared" si="30"/>
        <v>99.658083599775438</v>
      </c>
      <c r="R120" s="60">
        <f t="shared" si="30"/>
        <v>99.678288327482505</v>
      </c>
      <c r="S120" s="60">
        <f t="shared" si="30"/>
        <v>99.322030911091844</v>
      </c>
      <c r="T120" s="60">
        <f t="shared" si="30"/>
        <v>99.935689433309491</v>
      </c>
      <c r="U120" s="60">
        <f t="shared" si="30"/>
        <v>99.951549296956401</v>
      </c>
      <c r="V120" s="60">
        <f t="shared" si="30"/>
        <v>99.845606171778641</v>
      </c>
    </row>
    <row r="121" spans="3:22" x14ac:dyDescent="0.2">
      <c r="C121" s="91" t="s">
        <v>179</v>
      </c>
      <c r="D121" s="64">
        <f t="shared" ref="D121:V121" si="31">+IFERROR(IF(D82&gt;0,+((D82/D43)*100)," "),"")</f>
        <v>95.851060751659418</v>
      </c>
      <c r="E121" s="64">
        <f t="shared" si="31"/>
        <v>96.922173086367863</v>
      </c>
      <c r="F121" s="64">
        <f t="shared" si="31"/>
        <v>98.689669378464544</v>
      </c>
      <c r="G121" s="64">
        <f t="shared" si="31"/>
        <v>98.82016167636553</v>
      </c>
      <c r="H121" s="64">
        <f t="shared" si="31"/>
        <v>99.118845210946745</v>
      </c>
      <c r="I121" s="64">
        <f t="shared" si="31"/>
        <v>98.534606897832006</v>
      </c>
      <c r="J121" s="64">
        <f t="shared" si="31"/>
        <v>98.466462409245651</v>
      </c>
      <c r="K121" s="64">
        <f t="shared" si="31"/>
        <v>96.314310056347978</v>
      </c>
      <c r="L121" s="64">
        <f t="shared" si="31"/>
        <v>98.108985961702373</v>
      </c>
      <c r="M121" s="64">
        <f t="shared" si="31"/>
        <v>95.025415694171102</v>
      </c>
      <c r="N121" s="64">
        <f t="shared" si="31"/>
        <v>92.134450720301473</v>
      </c>
      <c r="O121" s="64">
        <f t="shared" si="31"/>
        <v>98.803182127105941</v>
      </c>
      <c r="P121" s="64">
        <f t="shared" si="31"/>
        <v>98.342562468790746</v>
      </c>
      <c r="Q121" s="64">
        <f t="shared" si="31"/>
        <v>97.458493695076314</v>
      </c>
      <c r="R121" s="64">
        <f t="shared" si="31"/>
        <v>95.485417756396913</v>
      </c>
      <c r="S121" s="64">
        <f t="shared" si="31"/>
        <v>98.323640179211807</v>
      </c>
      <c r="T121" s="64">
        <f t="shared" si="31"/>
        <v>99.238746764618057</v>
      </c>
      <c r="U121" s="64">
        <f t="shared" si="31"/>
        <v>99.327817399378546</v>
      </c>
      <c r="V121" s="64">
        <f t="shared" si="31"/>
        <v>97.435751996337601</v>
      </c>
    </row>
    <row r="122" spans="3:22" x14ac:dyDescent="0.2">
      <c r="C122" s="1" t="s">
        <v>52</v>
      </c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</row>
    <row r="123" spans="3:22" x14ac:dyDescent="0.2"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</row>
    <row r="127" spans="3:22" ht="18" customHeight="1" x14ac:dyDescent="0.2">
      <c r="D127" s="160" t="s">
        <v>190</v>
      </c>
      <c r="E127" s="158"/>
      <c r="F127" s="158"/>
      <c r="G127" s="158"/>
      <c r="H127" s="158"/>
      <c r="I127" s="158"/>
      <c r="J127" s="158"/>
      <c r="K127" s="158"/>
      <c r="L127" s="158"/>
      <c r="M127" s="158"/>
      <c r="N127" s="158"/>
      <c r="O127" s="158"/>
      <c r="P127" s="158"/>
      <c r="Q127" s="158"/>
      <c r="R127" s="158"/>
      <c r="S127" s="158"/>
      <c r="T127" s="158"/>
      <c r="U127" s="158"/>
      <c r="V127" s="158"/>
    </row>
    <row r="128" spans="3:22" ht="15.75" customHeight="1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</row>
    <row r="129" spans="3:22" x14ac:dyDescent="0.2">
      <c r="C129" s="177" t="s">
        <v>120</v>
      </c>
      <c r="D129" s="153">
        <v>2000</v>
      </c>
      <c r="E129" s="153">
        <v>2001</v>
      </c>
      <c r="F129" s="153">
        <v>2002</v>
      </c>
      <c r="G129" s="153">
        <v>2003</v>
      </c>
      <c r="H129" s="153">
        <v>2004</v>
      </c>
      <c r="I129" s="153">
        <v>2005</v>
      </c>
      <c r="J129" s="153">
        <v>2006</v>
      </c>
      <c r="K129" s="153">
        <v>2007</v>
      </c>
      <c r="L129" s="153">
        <v>2008</v>
      </c>
      <c r="M129" s="153">
        <v>2009</v>
      </c>
      <c r="N129" s="153">
        <v>2010</v>
      </c>
      <c r="O129" s="153">
        <v>2011</v>
      </c>
      <c r="P129" s="153">
        <v>2012</v>
      </c>
      <c r="Q129" s="153">
        <v>2013</v>
      </c>
      <c r="R129" s="153">
        <v>2014</v>
      </c>
      <c r="S129" s="153">
        <v>2015</v>
      </c>
      <c r="T129" s="153">
        <v>2016</v>
      </c>
      <c r="U129" s="153">
        <v>2017</v>
      </c>
      <c r="V129" s="153">
        <v>2018</v>
      </c>
    </row>
    <row r="130" spans="3:22" ht="12" customHeight="1" thickBot="1" x14ac:dyDescent="0.25">
      <c r="C130" s="156"/>
      <c r="D130" s="154"/>
      <c r="E130" s="154"/>
      <c r="F130" s="154"/>
      <c r="G130" s="154"/>
      <c r="H130" s="154"/>
      <c r="I130" s="154"/>
      <c r="J130" s="154"/>
      <c r="K130" s="154"/>
      <c r="L130" s="154"/>
      <c r="M130" s="154"/>
      <c r="N130" s="154"/>
      <c r="O130" s="154"/>
      <c r="P130" s="154"/>
      <c r="Q130" s="154"/>
      <c r="R130" s="154"/>
      <c r="S130" s="154"/>
      <c r="T130" s="154"/>
      <c r="U130" s="154"/>
      <c r="V130" s="154"/>
    </row>
    <row r="131" spans="3:22" x14ac:dyDescent="0.2">
      <c r="C131" s="87" t="s">
        <v>123</v>
      </c>
      <c r="D131" s="56">
        <f>209.123951396599*Deflactores!$A$5</f>
        <v>759.2368707394229</v>
      </c>
      <c r="E131" s="56">
        <f>212.1567790645*Deflactores!$B$5</f>
        <v>715.52240232653935</v>
      </c>
      <c r="F131" s="56">
        <f>223.77588497569*Deflactores!$C$5</f>
        <v>705.3894298771512</v>
      </c>
      <c r="G131" s="56">
        <f>248.4912624635*Deflactores!$D$5</f>
        <v>735.55034919822879</v>
      </c>
      <c r="H131" s="56">
        <f>226.82283930165*Deflactores!$E$5</f>
        <v>636.42616588923352</v>
      </c>
      <c r="I131" s="56">
        <f>241.84855706928*Deflactores!$F$5</f>
        <v>647.16484132307176</v>
      </c>
      <c r="J131" s="56">
        <f>321.65085032016*Deflactores!$G$5</f>
        <v>823.81839055142166</v>
      </c>
      <c r="K131" s="56">
        <f>404.15313726072*Deflactores!$H$5</f>
        <v>979.35580967586407</v>
      </c>
      <c r="L131" s="56">
        <f>730.46559175614*Deflactores!$I$5</f>
        <v>1643.9248791645075</v>
      </c>
      <c r="M131" s="56">
        <f>322.40939615505*Deflactores!$J$5</f>
        <v>711.34785297357098</v>
      </c>
      <c r="N131" s="56">
        <f>381.57019801066*Deflactores!$K$5</f>
        <v>816.0000902751591</v>
      </c>
      <c r="O131" s="56">
        <f>270.63623737288*Deflactores!$L$5</f>
        <v>557.97045975028539</v>
      </c>
      <c r="P131" s="56">
        <f>383.17145925669*Deflactores!$M$5</f>
        <v>771.16772167865315</v>
      </c>
      <c r="Q131" s="56">
        <f>1347.01294166356*Deflactores!$N$5</f>
        <v>2659.3948865972957</v>
      </c>
      <c r="R131" s="56">
        <f>355.29128316179*Deflactores!$O$5</f>
        <v>676.6816647210037</v>
      </c>
      <c r="S131" s="56">
        <f>495.358370556429*Deflactores!$P$5</f>
        <v>883.6293241172142</v>
      </c>
      <c r="T131" s="56">
        <f>486.090994485379*Deflactores!$Q$5</f>
        <v>819.95083605906541</v>
      </c>
      <c r="U131" s="56">
        <f>564.12814269154*Deflactores!$R$5</f>
        <v>914.19532316334107</v>
      </c>
      <c r="V131" s="56">
        <f>533.533876349256*Deflactores!$S$5</f>
        <v>837.96852346487901</v>
      </c>
    </row>
    <row r="132" spans="3:22" x14ac:dyDescent="0.2">
      <c r="C132" s="88" t="s">
        <v>124</v>
      </c>
      <c r="D132" s="57">
        <f>83.98998956845*Deflactores!$A$5</f>
        <v>304.93062333377378</v>
      </c>
      <c r="E132" s="57">
        <f>87.54642611221*Deflactores!$B$5</f>
        <v>295.26008738974633</v>
      </c>
      <c r="F132" s="57">
        <f>91.71599906838*Deflactores!$C$5</f>
        <v>289.10843677586678</v>
      </c>
      <c r="G132" s="57">
        <f>95.6120785984899*Deflactores!$D$5</f>
        <v>283.01799066684652</v>
      </c>
      <c r="H132" s="57">
        <f>101.76931173269*Deflactores!$E$5</f>
        <v>285.54731556413833</v>
      </c>
      <c r="I132" s="57">
        <f>108.84738859964*Deflactores!$F$5</f>
        <v>291.26575665836145</v>
      </c>
      <c r="J132" s="57">
        <f>112.41079347924*Deflactores!$G$5</f>
        <v>287.90870247194715</v>
      </c>
      <c r="K132" s="57">
        <f>122.22620291332*Deflactores!$H$5</f>
        <v>296.18214206898597</v>
      </c>
      <c r="L132" s="57">
        <f>1045.64662823755*Deflactores!$I$5</f>
        <v>2353.2450075321976</v>
      </c>
      <c r="M132" s="57">
        <f>1254.96676436468*Deflactores!$J$5</f>
        <v>2768.8954603379093</v>
      </c>
      <c r="N132" s="57">
        <f>1351.68793149371*Deflactores!$K$5</f>
        <v>2890.6279365452338</v>
      </c>
      <c r="O132" s="57">
        <f>1091.70411365079*Deflactores!$L$5</f>
        <v>2250.765278582202</v>
      </c>
      <c r="P132" s="57">
        <f>194.37157604221*Deflactores!$M$5</f>
        <v>391.19063237730717</v>
      </c>
      <c r="Q132" s="57">
        <f>217.859523489999*Deflactores!$N$5</f>
        <v>430.11799281623797</v>
      </c>
      <c r="R132" s="57">
        <f>241.66211769365*Deflactores!$O$5</f>
        <v>460.26551128887638</v>
      </c>
      <c r="S132" s="57">
        <f>239.34692403782*Deflactores!$P$5</f>
        <v>426.95142201696308</v>
      </c>
      <c r="T132" s="57">
        <f>250.44543828819*Deflactores!$Q$5</f>
        <v>422.45782958597317</v>
      </c>
      <c r="U132" s="57">
        <f>268.2441466776*Deflactores!$R$5</f>
        <v>434.7018448478492</v>
      </c>
      <c r="V132" s="57">
        <f>278.83264885436*Deflactores!$S$5</f>
        <v>437.93467183953993</v>
      </c>
    </row>
    <row r="133" spans="3:22" x14ac:dyDescent="0.2">
      <c r="C133" s="87" t="s">
        <v>125</v>
      </c>
      <c r="D133" s="56">
        <f>6.33798051839999*Deflactores!$A$5</f>
        <v>23.010413027590165</v>
      </c>
      <c r="E133" s="56">
        <f>3.554264065*Deflactores!$B$5</f>
        <v>11.987152017982512</v>
      </c>
      <c r="F133" s="56">
        <f>3.972081537*Deflactores!$C$5</f>
        <v>12.520850185060695</v>
      </c>
      <c r="G133" s="56">
        <f>4.39576342712*Deflactores!$D$5</f>
        <v>13.011746536906294</v>
      </c>
      <c r="H133" s="56">
        <f>4.455573171*Deflactores!$E$5</f>
        <v>12.501577701738244</v>
      </c>
      <c r="I133" s="56">
        <f>4.629562808*Deflactores!$F$5</f>
        <v>12.38829090543738</v>
      </c>
      <c r="J133" s="56">
        <f>4.7170987258*Deflactores!$G$5</f>
        <v>12.08152466095674</v>
      </c>
      <c r="K133" s="56">
        <f>5.046358132*Deflactores!$H$5</f>
        <v>12.228483954810997</v>
      </c>
      <c r="L133" s="56">
        <f>5.143308912*Deflactores!$I$5</f>
        <v>11.575101657201724</v>
      </c>
      <c r="M133" s="56">
        <f>6.749731251*Deflactores!$J$5</f>
        <v>14.892267070400203</v>
      </c>
      <c r="N133" s="56">
        <f>24.86316433908*Deflactores!$K$5</f>
        <v>53.170673315132952</v>
      </c>
      <c r="O133" s="56">
        <f>9.245342365*Deflactores!$L$5</f>
        <v>19.061113101570111</v>
      </c>
      <c r="P133" s="56">
        <f>12.26222954297*Deflactores!$M$5</f>
        <v>24.678862140977021</v>
      </c>
      <c r="Q133" s="56">
        <f>16.18188487038*Deflactores!$N$5</f>
        <v>31.947741962039149</v>
      </c>
      <c r="R133" s="56">
        <f>20.8623101315599*Deflactores!$O$5</f>
        <v>39.73399691689383</v>
      </c>
      <c r="S133" s="56">
        <f>19.85339796843*Deflactores!$P$5</f>
        <v>35.414854519502761</v>
      </c>
      <c r="T133" s="56">
        <f>20.49881051983*Deflactores!$Q$5</f>
        <v>34.577922682450634</v>
      </c>
      <c r="U133" s="56">
        <f>22.18707046851*Deflactores!$R$5</f>
        <v>35.95515720990727</v>
      </c>
      <c r="V133" s="56">
        <f>21.95025763725*Deflactores!$S$5</f>
        <v>34.475083583857447</v>
      </c>
    </row>
    <row r="134" spans="3:22" x14ac:dyDescent="0.2">
      <c r="C134" s="88" t="s">
        <v>126</v>
      </c>
      <c r="D134" s="57">
        <f>109.45553182295*Deflactores!$A$5</f>
        <v>397.38478022908754</v>
      </c>
      <c r="E134" s="57">
        <f>108.984840964259*Deflactores!$B$5</f>
        <v>367.56353281652429</v>
      </c>
      <c r="F134" s="57">
        <f>109.233672117199*Deflactores!$C$5</f>
        <v>344.32788728110398</v>
      </c>
      <c r="G134" s="57">
        <f>107.0331820118*Deflactores!$D$5</f>
        <v>316.82520191687297</v>
      </c>
      <c r="H134" s="57">
        <f>110.899221325379*Deflactores!$E$5</f>
        <v>311.16428330371872</v>
      </c>
      <c r="I134" s="57">
        <f>122.27929363444*Deflactores!$F$5</f>
        <v>327.20831838314695</v>
      </c>
      <c r="J134" s="57">
        <f>199.26363327984*Deflactores!$G$5</f>
        <v>510.3578787391059</v>
      </c>
      <c r="K134" s="57">
        <f>172.075571137309*Deflactores!$H$5</f>
        <v>416.97860231603585</v>
      </c>
      <c r="L134" s="57">
        <f>153.148143308539*Deflactores!$I$5</f>
        <v>344.66242602541098</v>
      </c>
      <c r="M134" s="57">
        <f>194.953607456489*Deflactores!$J$5</f>
        <v>430.13582031875166</v>
      </c>
      <c r="N134" s="57">
        <f>133.35181996773*Deflactores!$K$5</f>
        <v>285.17713830728582</v>
      </c>
      <c r="O134" s="57">
        <f>249.90716109256*Deflactores!$L$5</f>
        <v>515.23334392793868</v>
      </c>
      <c r="P134" s="57">
        <f>353.0624452702*Deflactores!$M$5</f>
        <v>710.57056821895992</v>
      </c>
      <c r="Q134" s="57">
        <f>524.209840837349*Deflactores!$N$5</f>
        <v>1034.9425214171581</v>
      </c>
      <c r="R134" s="57">
        <f>403.343934846528*Deflactores!$O$5</f>
        <v>768.20191831945749</v>
      </c>
      <c r="S134" s="57">
        <f>386.580542414009*Deflactores!$P$5</f>
        <v>689.58944415625649</v>
      </c>
      <c r="T134" s="57">
        <f>364.99142630279*Deflactores!$Q$5</f>
        <v>615.67695873116043</v>
      </c>
      <c r="U134" s="57">
        <f>437.448084205*Deflactores!$R$5</f>
        <v>708.90452442051458</v>
      </c>
      <c r="V134" s="57">
        <f>374.6358585124*Deflactores!$S$5</f>
        <v>588.40323194235134</v>
      </c>
    </row>
    <row r="135" spans="3:22" x14ac:dyDescent="0.2">
      <c r="C135" s="87" t="s">
        <v>127</v>
      </c>
      <c r="D135" s="56">
        <f>168.145621939619*Deflactores!$A$5</f>
        <v>610.46262265703615</v>
      </c>
      <c r="E135" s="56">
        <f>180.690713609919*Deflactores!$B$5</f>
        <v>609.39958671299246</v>
      </c>
      <c r="F135" s="56">
        <f>184.05198404973*Deflactores!$C$5</f>
        <v>580.17120169450584</v>
      </c>
      <c r="G135" s="56">
        <f>202.91752296671*Deflactores!$D$5</f>
        <v>600.64910692192586</v>
      </c>
      <c r="H135" s="56">
        <f>215.22518708014*Deflactores!$E$5</f>
        <v>603.88513360440106</v>
      </c>
      <c r="I135" s="56">
        <f>232.36405837457*Deflactores!$F$5</f>
        <v>621.78518155924451</v>
      </c>
      <c r="J135" s="56">
        <f>245.32097440796*Deflactores!$G$5</f>
        <v>628.32083330141654</v>
      </c>
      <c r="K135" s="56">
        <f>268.95410375599*Deflactores!$H$5</f>
        <v>651.73752166044164</v>
      </c>
      <c r="L135" s="56">
        <f>290.24802463175*Deflactores!$I$5</f>
        <v>653.20797338771558</v>
      </c>
      <c r="M135" s="56">
        <f>320.39755102817*Deflactores!$J$5</f>
        <v>706.90901921565785</v>
      </c>
      <c r="N135" s="56">
        <f>330.42091024407*Deflactores!$K$5</f>
        <v>706.61570005639908</v>
      </c>
      <c r="O135" s="56">
        <f>346.845641381639*Deflactores!$L$5</f>
        <v>715.09131172797254</v>
      </c>
      <c r="P135" s="56">
        <f>367.903559809254*Deflactores!$M$5</f>
        <v>740.4396730537934</v>
      </c>
      <c r="Q135" s="56">
        <f>387.015021271943*Deflactores!$N$5</f>
        <v>764.08008919042436</v>
      </c>
      <c r="R135" s="56">
        <f>400.185791997995*Deflactores!$O$5</f>
        <v>762.18697378956631</v>
      </c>
      <c r="S135" s="56">
        <f>412.976977419946*Deflactores!$P$5</f>
        <v>736.67588784994007</v>
      </c>
      <c r="T135" s="56">
        <f>435.709711989344*Deflactores!$Q$5</f>
        <v>734.96638834658177</v>
      </c>
      <c r="U135" s="56">
        <f>480.81214223413*Deflactores!$R$5</f>
        <v>779.17795352913993</v>
      </c>
      <c r="V135" s="56">
        <f>494.89480554938*Deflactores!$S$5</f>
        <v>777.28198313162397</v>
      </c>
    </row>
    <row r="136" spans="3:22" x14ac:dyDescent="0.2">
      <c r="C136" s="88" t="s">
        <v>128</v>
      </c>
      <c r="D136" s="57">
        <f>37.6256673036599*Deflactores!$A$5</f>
        <v>136.60220989673758</v>
      </c>
      <c r="E136" s="57">
        <f>39.73659514783*Deflactores!$B$5</f>
        <v>134.01609953650546</v>
      </c>
      <c r="F136" s="57">
        <f>40.22347897121*Deflactores!$C$5</f>
        <v>126.79300498469593</v>
      </c>
      <c r="G136" s="57">
        <f>48.25713944829*Deflactores!$D$5</f>
        <v>142.84428120570698</v>
      </c>
      <c r="H136" s="57">
        <f>52.9881181253*Deflactores!$E$5</f>
        <v>148.67561379620366</v>
      </c>
      <c r="I136" s="57">
        <f>60.98646054071*Deflactores!$F$5</f>
        <v>163.19424658538799</v>
      </c>
      <c r="J136" s="57">
        <f>68.30361819388*Deflactores!$G$5</f>
        <v>174.94055045497956</v>
      </c>
      <c r="K136" s="57">
        <f>80.0232157242799*Deflactores!$H$5</f>
        <v>193.91461800768124</v>
      </c>
      <c r="L136" s="57">
        <f>97.84085142345*Deflactores!$I$5</f>
        <v>220.19245214132374</v>
      </c>
      <c r="M136" s="57">
        <f>94.83676868499*Deflactores!$J$5</f>
        <v>209.24306980983795</v>
      </c>
      <c r="N136" s="57">
        <f>103.57579400892*Deflactores!$K$5</f>
        <v>221.5001530576526</v>
      </c>
      <c r="O136" s="57">
        <f>116.76361228468*Deflactores!$L$5</f>
        <v>240.73142259520492</v>
      </c>
      <c r="P136" s="57">
        <f>148.11082162256*Deflactores!$M$5</f>
        <v>298.08661920747892</v>
      </c>
      <c r="Q136" s="57">
        <f>201.85607242483*Deflactores!$N$5</f>
        <v>398.5225310250101</v>
      </c>
      <c r="R136" s="57">
        <f>196.13244196744*Deflactores!$O$5</f>
        <v>373.55047429037609</v>
      </c>
      <c r="S136" s="57">
        <f>215.209611464589*Deflactores!$P$5</f>
        <v>383.89484225001144</v>
      </c>
      <c r="T136" s="57">
        <f>205.03037301484*Deflactores!$Q$5</f>
        <v>345.85052526842645</v>
      </c>
      <c r="U136" s="57">
        <f>209.86016867683*Deflactores!$R$5</f>
        <v>340.08795201612799</v>
      </c>
      <c r="V136" s="57">
        <f>249.663200067859*Deflactores!$S$5</f>
        <v>392.12112369680125</v>
      </c>
    </row>
    <row r="137" spans="3:22" x14ac:dyDescent="0.2">
      <c r="C137" s="87" t="s">
        <v>129</v>
      </c>
      <c r="D137" s="56">
        <f>5357.98266918497*Deflactores!$A$5</f>
        <v>19452.472890172328</v>
      </c>
      <c r="E137" s="56">
        <f>5904.94991651172*Deflactores!$B$5</f>
        <v>19915.102258390903</v>
      </c>
      <c r="F137" s="56">
        <f>6649.39755630949*Deflactores!$C$5</f>
        <v>20960.322653985793</v>
      </c>
      <c r="G137" s="56">
        <f>7483.6866122123*Deflactores!$D$5</f>
        <v>22152.200630037936</v>
      </c>
      <c r="H137" s="56">
        <f>8605.21376938476*Deflactores!$E$5</f>
        <v>24144.760830824074</v>
      </c>
      <c r="I137" s="56">
        <f>9387.66443911196*Deflactores!$F$5</f>
        <v>25120.540063390927</v>
      </c>
      <c r="J137" s="56">
        <f>10408.6395597441*Deflactores!$G$5</f>
        <v>26658.809331308032</v>
      </c>
      <c r="K137" s="56">
        <f>12237.3550090704*Deflactores!$H$5</f>
        <v>29653.919809776864</v>
      </c>
      <c r="L137" s="56">
        <f>13852.6512063431*Deflactores!$I$5</f>
        <v>31175.620340647252</v>
      </c>
      <c r="M137" s="56">
        <f>15562.6487022332*Deflactores!$J$5</f>
        <v>34336.644257078726</v>
      </c>
      <c r="N137" s="56">
        <f>16778.5150491276*Deflactores!$K$5</f>
        <v>35881.391854373127</v>
      </c>
      <c r="O137" s="56">
        <f>18199.7732965329*Deflactores!$L$5</f>
        <v>37522.454391893043</v>
      </c>
      <c r="P137" s="56">
        <f>19856.0594256753*Deflactores!$M$5</f>
        <v>39962.141591960491</v>
      </c>
      <c r="Q137" s="56">
        <f>21306.0154466242*Deflactores!$N$5</f>
        <v>42064.264403086549</v>
      </c>
      <c r="R137" s="56">
        <f>22450.8352755719*Deflactores!$O$5</f>
        <v>42759.474573804764</v>
      </c>
      <c r="S137" s="56">
        <f>23346.8170723634*Deflactores!$P$5</f>
        <v>41646.479430169711</v>
      </c>
      <c r="T137" s="56">
        <f>25502.0952646908*Deflactores!$Q$5</f>
        <v>43017.592530548551</v>
      </c>
      <c r="U137" s="56">
        <f>26671.4728423152*Deflactores!$R$5</f>
        <v>43222.335297771133</v>
      </c>
      <c r="V137" s="56">
        <f>27586.2027816763*Deflactores!$S$5</f>
        <v>43326.901322816557</v>
      </c>
    </row>
    <row r="138" spans="3:22" x14ac:dyDescent="0.2">
      <c r="C138" s="88" t="s">
        <v>130</v>
      </c>
      <c r="D138" s="57">
        <f>5.825565739*Deflactores!$A$5</f>
        <v>21.150060872640363</v>
      </c>
      <c r="E138" s="57">
        <f>5.92146785128*Deflactores!$B$5</f>
        <v>19.970810835882453</v>
      </c>
      <c r="F138" s="57">
        <f>5.23768950202*Deflactores!$C$5</f>
        <v>16.510317061665486</v>
      </c>
      <c r="G138" s="57">
        <f>5.39975773091*Deflactores!$D$5</f>
        <v>15.983635179688013</v>
      </c>
      <c r="H138" s="57">
        <f>6.57712387525999*Deflactores!$E$5</f>
        <v>18.45428680549897</v>
      </c>
      <c r="I138" s="57">
        <f>6.661455917*Deflactores!$F$5</f>
        <v>17.825452893940543</v>
      </c>
      <c r="J138" s="57">
        <f>5.884315873*Deflactores!$G$5</f>
        <v>15.071023835832877</v>
      </c>
      <c r="K138" s="57">
        <f>6.268998094*Deflactores!$H$5</f>
        <v>15.191221193577334</v>
      </c>
      <c r="L138" s="57">
        <f>6.492147653*Deflactores!$I$5</f>
        <v>14.610685522254041</v>
      </c>
      <c r="M138" s="57">
        <f>7.0365279504*Deflactores!$J$5</f>
        <v>15.525040862948064</v>
      </c>
      <c r="N138" s="57">
        <f>10.40879671*Deflactores!$K$5</f>
        <v>22.259545161801373</v>
      </c>
      <c r="O138" s="57">
        <f>8.480915807*Deflactores!$L$5</f>
        <v>17.485095631947509</v>
      </c>
      <c r="P138" s="57">
        <f>17.00020386953*Deflactores!$M$5</f>
        <v>34.214470231081485</v>
      </c>
      <c r="Q138" s="57">
        <f>23.58124672871*Deflactores!$N$5</f>
        <v>46.556231963496572</v>
      </c>
      <c r="R138" s="57">
        <f>24.2334173202399*Deflactores!$O$5</f>
        <v>46.154549664736351</v>
      </c>
      <c r="S138" s="57">
        <f>28.36021246125*Deflactores!$P$5</f>
        <v>50.589465846323513</v>
      </c>
      <c r="T138" s="57">
        <f>59.84470980392*Deflactores!$Q$5</f>
        <v>100.94760115724034</v>
      </c>
      <c r="U138" s="57">
        <f>54.8438541566299*Deflactores!$R$5</f>
        <v>88.876961066022204</v>
      </c>
      <c r="V138" s="57">
        <f>36.46642153386*Deflactores!$S$5</f>
        <v>57.274176511283379</v>
      </c>
    </row>
    <row r="139" spans="3:22" x14ac:dyDescent="0.2">
      <c r="C139" s="87" t="s">
        <v>131</v>
      </c>
      <c r="D139" s="56">
        <f>4716.69819890403*Deflactores!$A$5</f>
        <v>17124.251702602476</v>
      </c>
      <c r="E139" s="56">
        <f>7203.94907014429*Deflactores!$B$5</f>
        <v>24296.121800287048</v>
      </c>
      <c r="F139" s="56">
        <f>8372.67918320835*Deflactores!$C$5</f>
        <v>26392.47475763187</v>
      </c>
      <c r="G139" s="56">
        <f>9424.3604154737*Deflactores!$D$5</f>
        <v>27896.721703001029</v>
      </c>
      <c r="H139" s="56">
        <f>11030.8977371429*Deflactores!$E$5</f>
        <v>30950.815953016812</v>
      </c>
      <c r="I139" s="56">
        <f>11867.6283180875*Deflactores!$F$5</f>
        <v>31756.698863231941</v>
      </c>
      <c r="J139" s="56">
        <f>12704.280803066*Deflactores!$G$5</f>
        <v>32538.450166936123</v>
      </c>
      <c r="K139" s="56">
        <f>13636.2497292077*Deflactores!$H$5</f>
        <v>33043.762780134799</v>
      </c>
      <c r="L139" s="56">
        <f>15367.9965360672*Deflactores!$I$5</f>
        <v>34585.930033770797</v>
      </c>
      <c r="M139" s="56">
        <f>17619.5815148248*Deflactores!$J$5</f>
        <v>38874.957213827227</v>
      </c>
      <c r="N139" s="56">
        <f>19176.9432464531*Deflactores!$K$5</f>
        <v>41010.507376863214</v>
      </c>
      <c r="O139" s="56">
        <f>20808.8967656846*Deflactores!$L$5</f>
        <v>42901.681637141905</v>
      </c>
      <c r="P139" s="56">
        <f>21738.3591264923*Deflactores!$M$5</f>
        <v>43750.442460222803</v>
      </c>
      <c r="Q139" s="56">
        <f>23662.864085999*Deflactores!$N$5</f>
        <v>46717.368338596199</v>
      </c>
      <c r="R139" s="56">
        <f>25004.5077280037*Deflactores!$O$5</f>
        <v>47623.155187879456</v>
      </c>
      <c r="S139" s="56">
        <f>26574.1575997013*Deflactores!$P$5</f>
        <v>47403.468507924321</v>
      </c>
      <c r="T139" s="56">
        <f>28753.8898003696*Deflactores!$Q$5</f>
        <v>48502.803485844968</v>
      </c>
      <c r="U139" s="56">
        <f>32292.8361141942*Deflactores!$R$5</f>
        <v>52332.010252888424</v>
      </c>
      <c r="V139" s="56">
        <f>34686.2828344877*Deflactores!$S$5</f>
        <v>54478.289945124234</v>
      </c>
    </row>
    <row r="140" spans="3:22" x14ac:dyDescent="0.2">
      <c r="C140" s="88" t="s">
        <v>132</v>
      </c>
      <c r="D140" s="57">
        <f>7.40450548425*Deflactores!$A$5</f>
        <v>26.882494978173472</v>
      </c>
      <c r="E140" s="57">
        <f>7.29339134641*Deflactores!$B$5</f>
        <v>24.597775853791219</v>
      </c>
      <c r="F140" s="57">
        <f>6.98010958237*Deflactores!$C$5</f>
        <v>22.00279766214712</v>
      </c>
      <c r="G140" s="57">
        <f>6.95238889795*Deflactores!$D$5</f>
        <v>20.57952473238436</v>
      </c>
      <c r="H140" s="57">
        <f>6.57097810473*Deflactores!$E$5</f>
        <v>18.437042822543468</v>
      </c>
      <c r="I140" s="57">
        <f>7.39067910984*Deflactores!$F$5</f>
        <v>19.776788132828134</v>
      </c>
      <c r="J140" s="57">
        <f>8.64039633757*Deflactores!$G$5</f>
        <v>22.129950526971065</v>
      </c>
      <c r="K140" s="57">
        <f>8.94236129652*Deflactores!$H$5</f>
        <v>21.669393802868861</v>
      </c>
      <c r="L140" s="57">
        <f>9.76827463818999*Deflactores!$I$5</f>
        <v>21.983663413393383</v>
      </c>
      <c r="M140" s="57">
        <f>10.28407766404*Deflactores!$J$5</f>
        <v>22.69027098270481</v>
      </c>
      <c r="N140" s="57">
        <f>10.46637012519*Deflactores!$K$5</f>
        <v>22.382667754282185</v>
      </c>
      <c r="O140" s="57">
        <f>11.6901647065*Deflactores!$L$5</f>
        <v>24.101600876365126</v>
      </c>
      <c r="P140" s="57">
        <f>14.92716554125*Deflactores!$M$5</f>
        <v>30.042290372817945</v>
      </c>
      <c r="Q140" s="57">
        <f>16.38045358248*Deflactores!$N$5</f>
        <v>32.339774288725472</v>
      </c>
      <c r="R140" s="57">
        <f>19.41377792049*Deflactores!$O$5</f>
        <v>36.97514739132744</v>
      </c>
      <c r="S140" s="57">
        <f>19.17349443068*Deflactores!$P$5</f>
        <v>34.202030149840688</v>
      </c>
      <c r="T140" s="57">
        <f>21.2416658047*Deflactores!$Q$5</f>
        <v>35.83099015090869</v>
      </c>
      <c r="U140" s="57">
        <f>23.3593119534199*Deflactores!$R$5</f>
        <v>37.854827873401632</v>
      </c>
      <c r="V140" s="57">
        <f>24.6799922412099*Deflactores!$S$5</f>
        <v>38.762405864465343</v>
      </c>
    </row>
    <row r="141" spans="3:22" x14ac:dyDescent="0.2">
      <c r="C141" s="87" t="s">
        <v>133</v>
      </c>
      <c r="D141" s="56">
        <f>602.38380628314*Deflactores!$A$5</f>
        <v>2186.9900267863427</v>
      </c>
      <c r="E141" s="56">
        <f>628.63256274128*Deflactores!$B$5</f>
        <v>2120.1334383785165</v>
      </c>
      <c r="F141" s="56">
        <f>668.71908119364*Deflactores!$C$5</f>
        <v>2107.9455075438459</v>
      </c>
      <c r="G141" s="56">
        <f>690.331566020019*Deflactores!$D$5</f>
        <v>2043.426474696148</v>
      </c>
      <c r="H141" s="56">
        <f>723.20125851685*Deflactores!$E$5</f>
        <v>2029.179272868749</v>
      </c>
      <c r="I141" s="56">
        <f>812.543323096589*Deflactores!$F$5</f>
        <v>2174.2923635028778</v>
      </c>
      <c r="J141" s="56">
        <f>889.14251590497*Deflactores!$G$5</f>
        <v>2277.2890408795047</v>
      </c>
      <c r="K141" s="56">
        <f>1015.43554164168*Deflactores!$H$5</f>
        <v>2460.6333722868044</v>
      </c>
      <c r="L141" s="56">
        <f>1169.6152795965*Deflactores!$I$5</f>
        <v>2632.2385049746949</v>
      </c>
      <c r="M141" s="56">
        <f>1354.37821311077*Deflactores!$J$5</f>
        <v>2988.2318738229405</v>
      </c>
      <c r="N141" s="56">
        <f>1420.45193313629*Deflactores!$K$5</f>
        <v>3037.6819565933583</v>
      </c>
      <c r="O141" s="56">
        <f>1511.15177450545*Deflactores!$L$5</f>
        <v>3115.5401012006496</v>
      </c>
      <c r="P141" s="56">
        <f>1776.73594354892*Deflactores!$M$5</f>
        <v>3575.8441201992268</v>
      </c>
      <c r="Q141" s="56">
        <f>2039.28268662796*Deflactores!$N$5</f>
        <v>4026.1364842174953</v>
      </c>
      <c r="R141" s="56">
        <f>2326.28240864612*Deflactores!$O$5</f>
        <v>4430.5974491837351</v>
      </c>
      <c r="S141" s="56">
        <f>2610.60715341061*Deflactores!$P$5</f>
        <v>4656.8488020351324</v>
      </c>
      <c r="T141" s="56">
        <f>2957.71768339998*Deflactores!$Q$5</f>
        <v>4989.1545304146593</v>
      </c>
      <c r="U141" s="56">
        <f>3243.81462884346*Deflactores!$R$5</f>
        <v>5256.7492001883993</v>
      </c>
      <c r="V141" s="56">
        <f>3350.9640313935*Deflactores!$S$5</f>
        <v>5263.0254723180615</v>
      </c>
    </row>
    <row r="142" spans="3:22" x14ac:dyDescent="0.2">
      <c r="C142" s="88" t="s">
        <v>134</v>
      </c>
      <c r="D142" s="57">
        <f>5628.68073553719*Deflactores!$A$5</f>
        <v>20435.258226045695</v>
      </c>
      <c r="E142" s="57">
        <f>4822.7510001137*Deflactores!$B$5</f>
        <v>16265.26569945222</v>
      </c>
      <c r="F142" s="57">
        <f>4246.40835409433*Deflactores!$C$5</f>
        <v>13385.586960121174</v>
      </c>
      <c r="G142" s="57">
        <f>3386.90428668707*Deflactores!$D$5</f>
        <v>10025.457660265143</v>
      </c>
      <c r="H142" s="57">
        <f>4147.6563509017*Deflactores!$E$5</f>
        <v>11637.615669381563</v>
      </c>
      <c r="I142" s="57">
        <f>5031.93792523869*Deflactores!$F$5</f>
        <v>13465.0102874163</v>
      </c>
      <c r="J142" s="57">
        <f>5087.46222791138*Deflactores!$G$5</f>
        <v>13030.106839193444</v>
      </c>
      <c r="K142" s="57">
        <f>5560.77295751838*Deflactores!$H$5</f>
        <v>13475.029141542587</v>
      </c>
      <c r="L142" s="57">
        <f>5592.67178911086*Deflactores!$I$5</f>
        <v>12586.400234153863</v>
      </c>
      <c r="M142" s="57">
        <f>5368.9599508503*Deflactores!$J$5</f>
        <v>11845.802818667724</v>
      </c>
      <c r="N142" s="57">
        <f>6507.05200347772*Deflactores!$K$5</f>
        <v>13915.539132630674</v>
      </c>
      <c r="O142" s="57">
        <f>6764.9578412375*Deflactores!$L$5</f>
        <v>13947.306811193634</v>
      </c>
      <c r="P142" s="57">
        <f>7217.1744711019*Deflactores!$M$5</f>
        <v>14525.22587312149</v>
      </c>
      <c r="Q142" s="57">
        <f>10152.7257328329*Deflactores!$N$5</f>
        <v>20044.430208350841</v>
      </c>
      <c r="R142" s="57">
        <f>10870.8573188111*Deflactores!$O$5</f>
        <v>20704.447803994761</v>
      </c>
      <c r="S142" s="57">
        <f>14173.8633934258*Deflactores!$P$5</f>
        <v>25283.596835951386</v>
      </c>
      <c r="T142" s="57">
        <f>15003.3763319017*Deflactores!$Q$5</f>
        <v>25308.082450849895</v>
      </c>
      <c r="U142" s="57">
        <f>18164.6651016901*Deflactores!$R$5</f>
        <v>29436.666292809787</v>
      </c>
      <c r="V142" s="57">
        <f>9796.33428538821*Deflactores!$S$5</f>
        <v>15386.126617987104</v>
      </c>
    </row>
    <row r="143" spans="3:22" x14ac:dyDescent="0.2">
      <c r="C143" s="87" t="s">
        <v>135</v>
      </c>
      <c r="D143" s="56"/>
      <c r="E143" s="56"/>
      <c r="F143" s="56"/>
      <c r="G143" s="56"/>
      <c r="H143" s="56"/>
      <c r="I143" s="56"/>
      <c r="J143" s="56"/>
      <c r="K143" s="56"/>
      <c r="L143" s="56"/>
      <c r="M143" s="56"/>
      <c r="N143" s="56"/>
      <c r="O143" s="56"/>
      <c r="P143" s="56"/>
      <c r="Q143" s="56"/>
      <c r="R143" s="56">
        <f>0*Deflactores!$O$5</f>
        <v>0</v>
      </c>
      <c r="S143" s="56"/>
      <c r="T143" s="56"/>
      <c r="U143" s="56"/>
      <c r="V143" s="56"/>
    </row>
    <row r="144" spans="3:22" x14ac:dyDescent="0.2">
      <c r="C144" s="88" t="s">
        <v>136</v>
      </c>
      <c r="D144" s="57">
        <f>20.5192558428399*Deflactores!$A$5</f>
        <v>74.496371611084371</v>
      </c>
      <c r="E144" s="57">
        <f>17.13099901486*Deflactores!$B$5</f>
        <v>57.776205047115837</v>
      </c>
      <c r="F144" s="57">
        <f>18.53898012962*Deflactores!$C$5</f>
        <v>58.438828766366562</v>
      </c>
      <c r="G144" s="57">
        <f>16.06206947707*Deflactores!$D$5</f>
        <v>47.544773589133484</v>
      </c>
      <c r="H144" s="57">
        <f>14.63221953391*Deflactores!$E$5</f>
        <v>41.055510128905027</v>
      </c>
      <c r="I144" s="57">
        <f>16.54134954242*Deflactores!$F$5</f>
        <v>44.263153692594301</v>
      </c>
      <c r="J144" s="57">
        <f>146.31713270362*Deflactores!$G$5</f>
        <v>374.75027550530325</v>
      </c>
      <c r="K144" s="57">
        <f>54.55625279286*Deflactores!$H$5</f>
        <v>132.20232184506028</v>
      </c>
      <c r="L144" s="57">
        <f>95.50756917919*Deflactores!$I$5</f>
        <v>214.94136191237789</v>
      </c>
      <c r="M144" s="57">
        <f>248.81277587868*Deflactores!$J$5</f>
        <v>548.96797681596047</v>
      </c>
      <c r="N144" s="57">
        <f>360.47690020218*Deflactores!$K$5</f>
        <v>770.89139728588202</v>
      </c>
      <c r="O144" s="57">
        <f>556.46580018305*Deflactores!$L$5</f>
        <v>1147.2649833497894</v>
      </c>
      <c r="P144" s="57">
        <f>1062.16632476489*Deflactores!$M$5</f>
        <v>2137.7071932802819</v>
      </c>
      <c r="Q144" s="57">
        <f>834.60990452375*Deflactores!$N$5</f>
        <v>1647.7624258403678</v>
      </c>
      <c r="R144" s="57">
        <f>839.446804496437*Deflactores!$O$5</f>
        <v>1598.7959402108575</v>
      </c>
      <c r="S144" s="57">
        <f>792.954548786739*Deflactores!$P$5</f>
        <v>1414.4868314489875</v>
      </c>
      <c r="T144" s="57">
        <f>735.86732740476*Deflactores!$Q$5</f>
        <v>1241.2800014385614</v>
      </c>
      <c r="U144" s="57">
        <f>813.5683259665*Deflactores!$R$5</f>
        <v>1318.4244897335038</v>
      </c>
      <c r="V144" s="57">
        <f>771.33078705844*Deflactores!$S$5</f>
        <v>1211.4524482626421</v>
      </c>
    </row>
    <row r="145" spans="3:22" x14ac:dyDescent="0.2">
      <c r="C145" s="87" t="s">
        <v>137</v>
      </c>
      <c r="D145" s="56">
        <f>36.95450129495*Deflactores!$A$5</f>
        <v>134.16550201704962</v>
      </c>
      <c r="E145" s="56">
        <f>34.0665509522*Deflactores!$B$5</f>
        <v>114.89324302424002</v>
      </c>
      <c r="F145" s="56">
        <f>36.52572419586*Deflactores!$C$5</f>
        <v>115.13689139992333</v>
      </c>
      <c r="G145" s="56">
        <f>36.48382858127*Deflactores!$D$5</f>
        <v>107.99451291364124</v>
      </c>
      <c r="H145" s="56">
        <f>38.33013361667*Deflactores!$E$5</f>
        <v>107.54781154660316</v>
      </c>
      <c r="I145" s="56">
        <f>39.68252993726*Deflactores!$F$5</f>
        <v>106.18685718595495</v>
      </c>
      <c r="J145" s="56">
        <f>41.83464362431*Deflactores!$G$5</f>
        <v>107.1476998912546</v>
      </c>
      <c r="K145" s="56">
        <f>42.87140152622*Deflactores!$H$5</f>
        <v>103.88724540956558</v>
      </c>
      <c r="L145" s="56">
        <f>45.994257132*Deflactores!$I$5</f>
        <v>103.51083535119686</v>
      </c>
      <c r="M145" s="56">
        <f>49.48321797862*Deflactores!$J$5</f>
        <v>109.17727984077301</v>
      </c>
      <c r="N145" s="56">
        <f>48.740636024*Deflactores!$K$5</f>
        <v>104.2334113172579</v>
      </c>
      <c r="O145" s="56">
        <f>50.38469835372*Deflactores!$L$5</f>
        <v>103.87808217297426</v>
      </c>
      <c r="P145" s="56">
        <f>87.59633913413*Deflactores!$M$5</f>
        <v>176.29567037299702</v>
      </c>
      <c r="Q145" s="56">
        <f>110.52570479954*Deflactores!$N$5</f>
        <v>218.20985165773808</v>
      </c>
      <c r="R145" s="56">
        <f>115.73473379206*Deflactores!$O$5</f>
        <v>220.42638263317761</v>
      </c>
      <c r="S145" s="56">
        <f>117.82892106149*Deflactores!$P$5</f>
        <v>210.18538510224781</v>
      </c>
      <c r="T145" s="56">
        <f>131.5258325197*Deflactores!$Q$5</f>
        <v>221.86116912547837</v>
      </c>
      <c r="U145" s="56">
        <f>137.66169731541*Deflactores!$R$5</f>
        <v>223.08704413154712</v>
      </c>
      <c r="V145" s="56">
        <f>139.8469898441*Deflactores!$S$5</f>
        <v>219.64373919896417</v>
      </c>
    </row>
    <row r="146" spans="3:22" x14ac:dyDescent="0.2">
      <c r="C146" s="88" t="s">
        <v>138</v>
      </c>
      <c r="D146" s="57">
        <f>135.843693973539*Deflactores!$A$5</f>
        <v>493.18856321032041</v>
      </c>
      <c r="E146" s="57">
        <f>146.56974781095*Deflactores!$B$5</f>
        <v>494.32282354834462</v>
      </c>
      <c r="F146" s="57">
        <f>160.106924677139*Deflactores!$C$5</f>
        <v>504.69125540341457</v>
      </c>
      <c r="G146" s="57">
        <f>170.93427034018*Deflactores!$D$5</f>
        <v>505.97659246522596</v>
      </c>
      <c r="H146" s="57">
        <f>182.28205063031*Deflactores!$E$5</f>
        <v>511.45231648738758</v>
      </c>
      <c r="I146" s="57">
        <f>210.4206509236*Deflactores!$F$5</f>
        <v>563.06661001520797</v>
      </c>
      <c r="J146" s="57">
        <f>213.248229616399*Deflactores!$G$5</f>
        <v>546.17549785942833</v>
      </c>
      <c r="K146" s="57">
        <f>219.565958508789*Deflactores!$H$5</f>
        <v>532.05871054246927</v>
      </c>
      <c r="L146" s="57">
        <f>243.305071569079*Deflactores!$I$5</f>
        <v>547.56208217517042</v>
      </c>
      <c r="M146" s="57">
        <f>234.29279884835*Deflactores!$J$5</f>
        <v>516.93183081981965</v>
      </c>
      <c r="N146" s="57">
        <f>236.182933816399*Deflactores!$K$5</f>
        <v>505.08476898987084</v>
      </c>
      <c r="O146" s="57">
        <f>250.5968351096*Deflactores!$L$5</f>
        <v>516.65524415867321</v>
      </c>
      <c r="P146" s="57">
        <f>94.78099790299*Deflactores!$M$5</f>
        <v>190.75545541170635</v>
      </c>
      <c r="Q146" s="57">
        <f>122.81760017969*Deflactores!$N$5</f>
        <v>242.47762423027842</v>
      </c>
      <c r="R146" s="57">
        <f>77.7278226534499*Deflactores!$O$5</f>
        <v>148.03907363053483</v>
      </c>
      <c r="S146" s="57">
        <f>61.57294763745*Deflactores!$P$5</f>
        <v>109.83495048982257</v>
      </c>
      <c r="T146" s="57">
        <f>81.17168908215*Deflactores!$Q$5</f>
        <v>136.92250027733718</v>
      </c>
      <c r="U146" s="57">
        <f>83.01780791045*Deflactores!$R$5</f>
        <v>134.53413504403804</v>
      </c>
      <c r="V146" s="57">
        <f>85.16751586172*Deflactores!$S$5</f>
        <v>133.76413509514293</v>
      </c>
    </row>
    <row r="147" spans="3:22" x14ac:dyDescent="0.2">
      <c r="C147" s="87" t="s">
        <v>139</v>
      </c>
      <c r="D147" s="56">
        <f>357.15423714742*Deflactores!$A$5</f>
        <v>1296.6695759725535</v>
      </c>
      <c r="E147" s="56">
        <f>408.1078169794*Deflactores!$B$5</f>
        <v>1376.3891349640203</v>
      </c>
      <c r="F147" s="56">
        <f>433.484697570739*Deflactores!$C$5</f>
        <v>1366.4364402496319</v>
      </c>
      <c r="G147" s="56">
        <f>475.012174271469*Deflactores!$D$5</f>
        <v>1406.0670270453086</v>
      </c>
      <c r="H147" s="56">
        <f>571.988267481629*Deflactores!$E$5</f>
        <v>1604.9014337698154</v>
      </c>
      <c r="I147" s="56">
        <f>683.643066779299*Deflactores!$F$5</f>
        <v>1829.3669484540471</v>
      </c>
      <c r="J147" s="56">
        <f>727.291773735169*Deflactores!$G$5</f>
        <v>1862.7537838106646</v>
      </c>
      <c r="K147" s="56">
        <f>718.937225208759*Deflactores!$H$5</f>
        <v>1742.1499015761194</v>
      </c>
      <c r="L147" s="56">
        <f>781.62582064006*Deflactores!$I$5</f>
        <v>1759.0618192684626</v>
      </c>
      <c r="M147" s="56">
        <f>926.82141808394*Deflactores!$J$5</f>
        <v>2044.8920959079944</v>
      </c>
      <c r="N147" s="56">
        <f>1854.26126836731*Deflactores!$K$5</f>
        <v>3965.3971150524308</v>
      </c>
      <c r="O147" s="56">
        <f>1862.05236303314*Deflactores!$L$5</f>
        <v>3838.9914934016147</v>
      </c>
      <c r="P147" s="56">
        <f>1459.74634075309*Deflactores!$M$5</f>
        <v>2937.8734575144554</v>
      </c>
      <c r="Q147" s="56">
        <f>1793.1591568127*Deflactores!$N$5</f>
        <v>3540.2171315395449</v>
      </c>
      <c r="R147" s="56">
        <f>2093.88606839417*Deflactores!$O$5</f>
        <v>3987.9793781821245</v>
      </c>
      <c r="S147" s="56">
        <f>2130.22696140234*Deflactores!$P$5</f>
        <v>3799.9378268420514</v>
      </c>
      <c r="T147" s="56">
        <f>2095.31694480268*Deflactores!$Q$5</f>
        <v>3534.4347050053429</v>
      </c>
      <c r="U147" s="56">
        <f>2433.27914305352*Deflactores!$R$5</f>
        <v>3943.2395659557828</v>
      </c>
      <c r="V147" s="56">
        <f>2548.82923468897*Deflactores!$S$5</f>
        <v>4003.1922339609687</v>
      </c>
    </row>
    <row r="148" spans="3:22" x14ac:dyDescent="0.2">
      <c r="C148" s="88" t="s">
        <v>140</v>
      </c>
      <c r="D148" s="57">
        <f>89.84306754242*Deflactores!$A$5</f>
        <v>326.1805690022311</v>
      </c>
      <c r="E148" s="57">
        <f>73.98508963517*Deflactores!$B$5</f>
        <v>249.52296742781408</v>
      </c>
      <c r="F148" s="57">
        <f>93.12142055711*Deflactores!$C$5</f>
        <v>293.53862576955589</v>
      </c>
      <c r="G148" s="57">
        <f>61.00758012491*Deflactores!$D$5</f>
        <v>180.5864174850328</v>
      </c>
      <c r="H148" s="57">
        <f>74.42424273513*Deflactores!$E$5</f>
        <v>208.82172006557661</v>
      </c>
      <c r="I148" s="57">
        <f>74.79077980175*Deflactores!$F$5</f>
        <v>200.13335506055182</v>
      </c>
      <c r="J148" s="57">
        <f>63.99003563311*Deflactores!$G$5</f>
        <v>163.8925192149344</v>
      </c>
      <c r="K148" s="57">
        <f>62.2352737227299*Deflactores!$H$5</f>
        <v>150.81035198745445</v>
      </c>
      <c r="L148" s="57">
        <f>55.04025402265*Deflactores!$I$5</f>
        <v>123.86900076407073</v>
      </c>
      <c r="M148" s="57">
        <f>44.0479430547199*Deflactores!$J$5</f>
        <v>97.185163005635729</v>
      </c>
      <c r="N148" s="57">
        <f>55.71742713493*Deflactores!$K$5</f>
        <v>119.15350257708621</v>
      </c>
      <c r="O148" s="57">
        <f>46.70227448405*Deflactores!$L$5</f>
        <v>96.286032566090796</v>
      </c>
      <c r="P148" s="57">
        <f>60.6660576858899*Deflactores!$M$5</f>
        <v>122.09600782795421</v>
      </c>
      <c r="Q148" s="57">
        <f>87.07516050608*Deflactores!$N$5</f>
        <v>171.91166427363538</v>
      </c>
      <c r="R148" s="57">
        <f>105.12846615591*Deflactores!$O$5</f>
        <v>200.225867786214</v>
      </c>
      <c r="S148" s="57">
        <f>108.03943382123*Deflactores!$P$5</f>
        <v>192.72271866169021</v>
      </c>
      <c r="T148" s="57">
        <f>124.722866414629*Deflactores!$Q$5</f>
        <v>210.38575030715617</v>
      </c>
      <c r="U148" s="57">
        <f>156.5371292804*Deflactores!$R$5</f>
        <v>253.67554046635416</v>
      </c>
      <c r="V148" s="57">
        <f>170.20243567078*Deflactores!$S$5</f>
        <v>267.32001477598106</v>
      </c>
    </row>
    <row r="149" spans="3:22" x14ac:dyDescent="0.2">
      <c r="C149" s="87" t="s">
        <v>141</v>
      </c>
      <c r="D149" s="56">
        <f>342.87869512914*Deflactores!$A$5</f>
        <v>1244.8413765832208</v>
      </c>
      <c r="E149" s="56">
        <f>339.55561723391*Deflactores!$B$5</f>
        <v>1145.189194698386</v>
      </c>
      <c r="F149" s="56">
        <f>359.708985684769*Deflactores!$C$5</f>
        <v>1133.8796240775996</v>
      </c>
      <c r="G149" s="56">
        <f>366.9553559272*Deflactores!$D$5</f>
        <v>1086.2117947992599</v>
      </c>
      <c r="H149" s="56">
        <f>379.97259226571*Deflactores!$E$5</f>
        <v>1066.1382283336038</v>
      </c>
      <c r="I149" s="56">
        <f>428.699274625399*Deflactores!$F$5</f>
        <v>1147.1604437101812</v>
      </c>
      <c r="J149" s="56">
        <f>479.34269639544*Deflactores!$G$5</f>
        <v>1227.7018023549733</v>
      </c>
      <c r="K149" s="56">
        <f>547.50883628747*Deflactores!$H$5</f>
        <v>1326.7395703057423</v>
      </c>
      <c r="L149" s="56">
        <f>619.66015301055*Deflactores!$I$5</f>
        <v>1394.5554091218644</v>
      </c>
      <c r="M149" s="56">
        <f>688.66732781244*Deflactores!$J$5</f>
        <v>1519.4409061727106</v>
      </c>
      <c r="N149" s="56">
        <f>779.6155489472*Deflactores!$K$5</f>
        <v>1667.2328227873293</v>
      </c>
      <c r="O149" s="56">
        <f>822.97388076907*Deflactores!$L$5</f>
        <v>1696.7244263838916</v>
      </c>
      <c r="P149" s="56">
        <f>945.186427993419*Deflactores!$M$5</f>
        <v>1902.2744169183393</v>
      </c>
      <c r="Q149" s="56">
        <f>1060.87734263828*Deflactores!$N$5</f>
        <v>2094.4800848274517</v>
      </c>
      <c r="R149" s="56">
        <f>1200.0849063281*Deflactores!$O$5</f>
        <v>2285.6610637724302</v>
      </c>
      <c r="S149" s="56">
        <f>1289.9565144915*Deflactores!$P$5</f>
        <v>2301.0480306618251</v>
      </c>
      <c r="T149" s="56">
        <f>1396.17802958862*Deflactores!$Q$5</f>
        <v>2355.1091372521232</v>
      </c>
      <c r="U149" s="56">
        <f>1455.26470131944*Deflactores!$R$5</f>
        <v>2358.322663293146</v>
      </c>
      <c r="V149" s="56">
        <f>1537.98250848142*Deflactores!$S$5</f>
        <v>2415.5559541327771</v>
      </c>
    </row>
    <row r="150" spans="3:22" x14ac:dyDescent="0.2">
      <c r="C150" s="88" t="s">
        <v>142</v>
      </c>
      <c r="D150" s="57">
        <f>18.7075659856099*Deflactores!$A$5</f>
        <v>67.918924461833413</v>
      </c>
      <c r="E150" s="57">
        <f>20.5800457263499*Deflactores!$B$5</f>
        <v>69.408499803963664</v>
      </c>
      <c r="F150" s="57">
        <f>23.8652859109499*Deflactores!$C$5</f>
        <v>75.22848328544859</v>
      </c>
      <c r="G150" s="57">
        <f>23.18826309828*Deflactores!$D$5</f>
        <v>68.638771641902594</v>
      </c>
      <c r="H150" s="57">
        <f>21.8423083148199*Deflactores!$E$5</f>
        <v>61.285788405481057</v>
      </c>
      <c r="I150" s="57">
        <f>20.48935163444*Deflactores!$F$5</f>
        <v>54.827649831776846</v>
      </c>
      <c r="J150" s="57">
        <f>21.5077587431199*Deflactores!$G$5</f>
        <v>55.086088454263198</v>
      </c>
      <c r="K150" s="57">
        <f>24.34945571111*Deflactores!$H$5</f>
        <v>59.004319686221123</v>
      </c>
      <c r="L150" s="57">
        <f>26.8133116162499*Deflactores!$I$5</f>
        <v>60.343800661125925</v>
      </c>
      <c r="M150" s="57">
        <f>28.42454445022*Deflactores!$J$5</f>
        <v>62.714483223968912</v>
      </c>
      <c r="N150" s="57">
        <f>132.12176924808*Deflactores!$K$5</f>
        <v>282.54663544435164</v>
      </c>
      <c r="O150" s="57">
        <f>29.35235286849*Deflactores!$L$5</f>
        <v>60.515716534363705</v>
      </c>
      <c r="P150" s="57">
        <f>44.47048334379*Deflactores!$M$5</f>
        <v>89.500928353865291</v>
      </c>
      <c r="Q150" s="57">
        <f>69.97671619161*Deflactores!$N$5</f>
        <v>138.15436768633396</v>
      </c>
      <c r="R150" s="57">
        <f>76.7029103584299*Deflactores!$O$5</f>
        <v>146.08704330821664</v>
      </c>
      <c r="S150" s="57">
        <f>71.45566917725*Deflactores!$P$5</f>
        <v>127.46392997964695</v>
      </c>
      <c r="T150" s="57">
        <f>71.40455339734*Deflactores!$Q$5</f>
        <v>120.44704370332491</v>
      </c>
      <c r="U150" s="57">
        <f>73.4584643971*Deflactores!$R$5</f>
        <v>119.04278392880951</v>
      </c>
      <c r="V150" s="57">
        <f>74.411084774838*Deflactores!$S$5</f>
        <v>116.87008004974993</v>
      </c>
    </row>
    <row r="151" spans="3:22" x14ac:dyDescent="0.2">
      <c r="C151" s="87" t="s">
        <v>143</v>
      </c>
      <c r="D151" s="56">
        <f>43.09638433476*Deflactores!$A$5</f>
        <v>156.46397155366108</v>
      </c>
      <c r="E151" s="56">
        <f>49.8516351752499*Deflactores!$B$5</f>
        <v>168.13020030652248</v>
      </c>
      <c r="F151" s="56">
        <f>44.61879786302*Deflactores!$C$5</f>
        <v>140.64798979487304</v>
      </c>
      <c r="G151" s="56">
        <f>43.01179650741*Deflactores!$D$5</f>
        <v>127.3177238789862</v>
      </c>
      <c r="H151" s="56">
        <f>72.66717688817*Deflactores!$E$5</f>
        <v>203.89169324976498</v>
      </c>
      <c r="I151" s="56">
        <f>83.9373622477999*Deflactores!$F$5</f>
        <v>224.60878153849691</v>
      </c>
      <c r="J151" s="56">
        <f>153.67729701814*Deflactores!$G$5</f>
        <v>393.60127096745282</v>
      </c>
      <c r="K151" s="56">
        <f>220.12080702452*Deflactores!$H$5</f>
        <v>533.40323584061287</v>
      </c>
      <c r="L151" s="56">
        <f>230.23721046073*Deflactores!$I$5</f>
        <v>518.15264491224048</v>
      </c>
      <c r="M151" s="56">
        <f>242.234704079849*Deflactores!$J$5</f>
        <v>534.45445051490287</v>
      </c>
      <c r="N151" s="56">
        <f>233.572714686639*Deflactores!$K$5</f>
        <v>499.50273177463055</v>
      </c>
      <c r="O151" s="56">
        <f>231.88984514513*Deflactores!$L$5</f>
        <v>478.08706167009547</v>
      </c>
      <c r="P151" s="56">
        <f>461.90105019663*Deflactores!$M$5</f>
        <v>929.6182476954491</v>
      </c>
      <c r="Q151" s="56">
        <f>464.91617155111*Deflactores!$N$5</f>
        <v>917.87959200485864</v>
      </c>
      <c r="R151" s="56">
        <f>529.709738571369*Deflactores!$O$5</f>
        <v>1008.8760538270105</v>
      </c>
      <c r="S151" s="56">
        <f>525.026806258089*Deflactores!$P$5</f>
        <v>936.55242251408765</v>
      </c>
      <c r="T151" s="56">
        <f>641.46877520373*Deflactores!$Q$5</f>
        <v>1082.046087051925</v>
      </c>
      <c r="U151" s="56">
        <f>1085.66618486037*Deflactores!$R$5</f>
        <v>1759.3714505724158</v>
      </c>
      <c r="V151" s="56">
        <f>535.55672130543*Deflactores!$S$5</f>
        <v>841.14560457680784</v>
      </c>
    </row>
    <row r="152" spans="3:22" x14ac:dyDescent="0.2">
      <c r="C152" s="88" t="s">
        <v>144</v>
      </c>
      <c r="D152" s="57">
        <f>678.44721150574*Deflactores!$A$5</f>
        <v>2463.1427169651433</v>
      </c>
      <c r="E152" s="57">
        <f>736.81475745617*Deflactores!$B$5</f>
        <v>2484.9899571882324</v>
      </c>
      <c r="F152" s="57">
        <f>747.57260765507*Deflactores!$C$5</f>
        <v>2356.5086808298033</v>
      </c>
      <c r="G152" s="57">
        <f>766.533401883579*Deflactores!$D$5</f>
        <v>2268.9888804858515</v>
      </c>
      <c r="H152" s="57">
        <f>839.57765320767*Deflactores!$E$5</f>
        <v>2355.7115696212477</v>
      </c>
      <c r="I152" s="57">
        <f>992.574045490239*Deflactores!$F$5</f>
        <v>2656.0382763295938</v>
      </c>
      <c r="J152" s="57">
        <f>1105.08848766432*Deflactores!$G$5</f>
        <v>2830.3740481903037</v>
      </c>
      <c r="K152" s="57">
        <f>1212.86646386487*Deflactores!$H$5</f>
        <v>2939.0538096474352</v>
      </c>
      <c r="L152" s="57">
        <f>1347.25005625124*Deflactores!$I$5</f>
        <v>3032.0085037853246</v>
      </c>
      <c r="M152" s="57">
        <f>1554.2829444968*Deflactores!$J$5</f>
        <v>3429.2916046079717</v>
      </c>
      <c r="N152" s="57">
        <f>1657.85055297099*Deflactores!$K$5</f>
        <v>3545.366509072222</v>
      </c>
      <c r="O152" s="57">
        <f>1830.8304714417*Deflactores!$L$5</f>
        <v>3774.6213507531006</v>
      </c>
      <c r="P152" s="57">
        <f>2201.67452918483*Deflactores!$M$5</f>
        <v>4431.072016279727</v>
      </c>
      <c r="Q152" s="57">
        <f>2483.41697163107*Deflactores!$N$5</f>
        <v>4902.9865945372403</v>
      </c>
      <c r="R152" s="57">
        <f>2744.17665261521*Deflactores!$O$5</f>
        <v>5226.5116359034755</v>
      </c>
      <c r="S152" s="57">
        <f>2965.76541632754*Deflactores!$P$5</f>
        <v>5290.3866091451891</v>
      </c>
      <c r="T152" s="57">
        <f>3287.70824833605*Deflactores!$Q$5</f>
        <v>5545.7911327804177</v>
      </c>
      <c r="U152" s="57">
        <f>3516.74807606508*Deflactores!$R$5</f>
        <v>5699.0502699318495</v>
      </c>
      <c r="V152" s="57">
        <f>3912.23873500985*Deflactores!$S$5</f>
        <v>6144.5637503855223</v>
      </c>
    </row>
    <row r="153" spans="3:22" x14ac:dyDescent="0.2">
      <c r="C153" s="87" t="s">
        <v>145</v>
      </c>
      <c r="D153" s="56">
        <f>172.33679243631*Deflactores!$A$5</f>
        <v>625.67891496306811</v>
      </c>
      <c r="E153" s="56">
        <f>127.9117655087*Deflactores!$B$5</f>
        <v>431.39669703784909</v>
      </c>
      <c r="F153" s="56">
        <f>170.28563016976*Deflactores!$C$5</f>
        <v>536.77671119373508</v>
      </c>
      <c r="G153" s="56">
        <f>229.32198779427*Deflactores!$D$5</f>
        <v>678.80804551702806</v>
      </c>
      <c r="H153" s="56">
        <f>122.52460243852*Deflactores!$E$5</f>
        <v>343.78311812483639</v>
      </c>
      <c r="I153" s="56">
        <f>134.24937728584*Deflactores!$F$5</f>
        <v>359.23917844183688</v>
      </c>
      <c r="J153" s="56">
        <f>389.51280517986*Deflactores!$G$5</f>
        <v>997.62774431667515</v>
      </c>
      <c r="K153" s="56">
        <f>324.16419726236*Deflactores!$H$5</f>
        <v>785.52424961878557</v>
      </c>
      <c r="L153" s="56">
        <f>245.76967192458*Deflactores!$I$5</f>
        <v>553.10870598241252</v>
      </c>
      <c r="M153" s="56">
        <f>292.46106556478*Deflactores!$J$5</f>
        <v>645.2713647583015</v>
      </c>
      <c r="N153" s="56">
        <f>643.20272798335*Deflactores!$K$5</f>
        <v>1375.5096358048886</v>
      </c>
      <c r="O153" s="56">
        <f>505.17477563346*Deflactores!$L$5</f>
        <v>1041.5183293658033</v>
      </c>
      <c r="P153" s="56">
        <f>361.58089706786*Deflactores!$M$5</f>
        <v>727.71473411736565</v>
      </c>
      <c r="Q153" s="56">
        <f>485.45918603813*Deflactores!$N$5</f>
        <v>958.43747084350196</v>
      </c>
      <c r="R153" s="56">
        <f>1018.00236763471*Deflactores!$O$5</f>
        <v>1938.8697935133105</v>
      </c>
      <c r="S153" s="56">
        <f>761.15564736025*Deflactores!$P$5</f>
        <v>1357.7633693147031</v>
      </c>
      <c r="T153" s="56">
        <f>644.47179766029*Deflactores!$Q$5</f>
        <v>1087.1116628430736</v>
      </c>
      <c r="U153" s="56">
        <f>670.77644255569*Deflactores!$R$5</f>
        <v>1087.0237456099733</v>
      </c>
      <c r="V153" s="56">
        <f>1711.74245680992*Deflactores!$S$5</f>
        <v>2688.4633997376973</v>
      </c>
    </row>
    <row r="154" spans="3:22" x14ac:dyDescent="0.2">
      <c r="C154" s="88" t="s">
        <v>146</v>
      </c>
      <c r="D154" s="57">
        <f>143.244116595899*Deflactores!$A$5</f>
        <v>520.05623511698855</v>
      </c>
      <c r="E154" s="57">
        <f>152.442711379869*Deflactores!$B$5</f>
        <v>514.13004828157648</v>
      </c>
      <c r="F154" s="57">
        <f>168.0850580005*Deflactores!$C$5</f>
        <v>529.84003726192839</v>
      </c>
      <c r="G154" s="57">
        <f>180.51509950736*Deflactores!$D$5</f>
        <v>534.33647188176258</v>
      </c>
      <c r="H154" s="57">
        <f>174.499467376549*Deflactores!$E$5</f>
        <v>489.61571645118988</v>
      </c>
      <c r="I154" s="57">
        <f>218.39631606889*Deflactores!$F$5</f>
        <v>584.40876781323436</v>
      </c>
      <c r="J154" s="57">
        <f>218.56810366853*Deflactores!$G$5</f>
        <v>559.80086236631689</v>
      </c>
      <c r="K154" s="57">
        <f>207.31314084016*Deflactores!$H$5</f>
        <v>502.36732115971216</v>
      </c>
      <c r="L154" s="57">
        <f>207.13983345828*Deflactores!$I$5</f>
        <v>466.17161647463303</v>
      </c>
      <c r="M154" s="57">
        <f>204.999128181949*Deflactores!$J$5</f>
        <v>452.29975128750345</v>
      </c>
      <c r="N154" s="57">
        <f>214.94890694772*Deflactores!$K$5</f>
        <v>459.67512239775635</v>
      </c>
      <c r="O154" s="57">
        <f>248.157233550698*Deflactores!$L$5</f>
        <v>511.62552006613583</v>
      </c>
      <c r="P154" s="57">
        <f>377.685732820093*Deflactores!$M$5</f>
        <v>760.12719385314801</v>
      </c>
      <c r="Q154" s="57">
        <f>395.161533200329*Deflactores!$N$5</f>
        <v>780.16367049529106</v>
      </c>
      <c r="R154" s="57">
        <f>431.404334890579*Deflactores!$O$5</f>
        <v>821.64527343239217</v>
      </c>
      <c r="S154" s="57">
        <f>563.304528378219*Deflactores!$P$5</f>
        <v>1004.8329235335087</v>
      </c>
      <c r="T154" s="57">
        <f>633.049913250977*Deflactores!$Q$5</f>
        <v>1067.844933409624</v>
      </c>
      <c r="U154" s="57">
        <f>584.221263649887*Deflactores!$R$5</f>
        <v>946.75713991695068</v>
      </c>
      <c r="V154" s="57">
        <f>551.772033070485*Deflactores!$S$5</f>
        <v>866.61337983835676</v>
      </c>
    </row>
    <row r="155" spans="3:22" x14ac:dyDescent="0.2">
      <c r="C155" s="90" t="s">
        <v>147</v>
      </c>
      <c r="D155" s="58">
        <f>4003.74337188955*Deflactores!$A$5</f>
        <v>14535.827047147905</v>
      </c>
      <c r="E155" s="58">
        <f>4984.49275588058*Deflactores!$B$5</f>
        <v>16810.757812186672</v>
      </c>
      <c r="F155" s="58">
        <f>6188.91614305418*Deflactores!$C$5</f>
        <v>19508.786794344458</v>
      </c>
      <c r="G155" s="58">
        <f>6948.74558816539*Deflactores!$D$5</f>
        <v>20568.740297721586</v>
      </c>
      <c r="H155" s="58">
        <f>8666.11686473286*Deflactores!$E$5</f>
        <v>24315.644519532467</v>
      </c>
      <c r="I155" s="58">
        <f>11585.0705110253*Deflactores!$F$5</f>
        <v>31000.599754815012</v>
      </c>
      <c r="J155" s="58">
        <f>13078.2440243672*Deflactores!$G$5</f>
        <v>33496.252015714483</v>
      </c>
      <c r="K155" s="58">
        <f>14558.484444016*Deflactores!$H$5</f>
        <v>35278.549158273483</v>
      </c>
      <c r="L155" s="58">
        <f>16933.3174490689*Deflactores!$I$5</f>
        <v>38108.710602494786</v>
      </c>
      <c r="M155" s="58">
        <f>18905.9408202779*Deflactores!$J$5</f>
        <v>41713.115595683383</v>
      </c>
      <c r="N155" s="58">
        <f>19523.049708463*Deflactores!$K$5</f>
        <v>41750.667131784656</v>
      </c>
      <c r="O155" s="58">
        <f>20361.0038566964*Deflactores!$L$5</f>
        <v>41978.26127491334</v>
      </c>
      <c r="P155" s="58">
        <f>22849.4305593956*Deflactores!$M$5</f>
        <v>45986.575671178587</v>
      </c>
      <c r="Q155" s="58">
        <f>23055.379447928*Deflactores!$N$5</f>
        <v>45518.017174102388</v>
      </c>
      <c r="R155" s="58">
        <f>26510.0568684843*Deflactores!$O$5</f>
        <v>50490.598176160609</v>
      </c>
      <c r="S155" s="58">
        <f>23541.3161100392*Deflactores!$P$5</f>
        <v>41993.430371989598</v>
      </c>
      <c r="T155" s="58">
        <f>25335.7109895286*Deflactores!$Q$5</f>
        <v>42736.93124063767</v>
      </c>
      <c r="U155" s="58">
        <f>32167.7068561196*Deflactores!$R$5</f>
        <v>52129.232596774847</v>
      </c>
      <c r="V155" s="58">
        <f>40695.8779612428*Deflactores!$S$5</f>
        <v>63916.962498490255</v>
      </c>
    </row>
    <row r="156" spans="3:22" ht="22.5" customHeight="1" x14ac:dyDescent="0.2">
      <c r="C156" s="89" t="s">
        <v>148</v>
      </c>
      <c r="D156" s="59">
        <f>0*Deflactores!$A$5</f>
        <v>0</v>
      </c>
      <c r="E156" s="59">
        <f>0*Deflactores!$B$5</f>
        <v>0</v>
      </c>
      <c r="F156" s="59">
        <f>0*Deflactores!$C$5</f>
        <v>0</v>
      </c>
      <c r="G156" s="59">
        <f>0*Deflactores!$D$5</f>
        <v>0</v>
      </c>
      <c r="H156" s="59">
        <f>0*Deflactores!$E$5</f>
        <v>0</v>
      </c>
      <c r="I156" s="59">
        <f>0*Deflactores!$F$5</f>
        <v>0</v>
      </c>
      <c r="J156" s="59">
        <f>0*Deflactores!$G$5</f>
        <v>0</v>
      </c>
      <c r="K156" s="59">
        <f>0*Deflactores!$H$5</f>
        <v>0</v>
      </c>
      <c r="L156" s="59">
        <f>0*Deflactores!$I$5</f>
        <v>0</v>
      </c>
      <c r="M156" s="59">
        <f>0*Deflactores!$J$5</f>
        <v>0</v>
      </c>
      <c r="N156" s="59">
        <f>0*Deflactores!$K$5</f>
        <v>0</v>
      </c>
      <c r="O156" s="59">
        <f>0*Deflactores!$L$5</f>
        <v>0</v>
      </c>
      <c r="P156" s="59">
        <f>0*Deflactores!$M$5</f>
        <v>0</v>
      </c>
      <c r="Q156" s="59">
        <f>0*Deflactores!$N$5</f>
        <v>0</v>
      </c>
      <c r="R156" s="59">
        <f>0*Deflactores!$O$5</f>
        <v>0</v>
      </c>
      <c r="S156" s="59">
        <f>0*Deflactores!$P$5</f>
        <v>0</v>
      </c>
      <c r="T156" s="59">
        <f>0*Deflactores!$Q$5</f>
        <v>0</v>
      </c>
      <c r="U156" s="59">
        <f>0.150079299*Deflactores!$R$5</f>
        <v>0.24321033266452963</v>
      </c>
      <c r="V156" s="59">
        <f>108.237900364679*Deflactores!$S$5</f>
        <v>169.99849039043164</v>
      </c>
    </row>
    <row r="157" spans="3:22" x14ac:dyDescent="0.2">
      <c r="C157" s="87" t="s">
        <v>149</v>
      </c>
      <c r="D157" s="56">
        <f>29.58173367111*Deflactores!$A$5</f>
        <v>107.39823321770803</v>
      </c>
      <c r="E157" s="56">
        <f>15.95268081052*Deflactores!$B$5</f>
        <v>53.802195468010538</v>
      </c>
      <c r="F157" s="56">
        <f>15.5502917533899*Deflactores!$C$5</f>
        <v>49.017844060984011</v>
      </c>
      <c r="G157" s="56">
        <f>17.67754119907*Deflactores!$D$5</f>
        <v>52.326675284415437</v>
      </c>
      <c r="H157" s="56">
        <f>18.85498554836*Deflactores!$E$5</f>
        <v>52.903870692144935</v>
      </c>
      <c r="I157" s="56">
        <f>36.33098803154*Deflactores!$F$5</f>
        <v>97.218434500755407</v>
      </c>
      <c r="J157" s="56">
        <f>30.09750793445*Deflactores!$G$5</f>
        <v>77.086320528881828</v>
      </c>
      <c r="K157" s="56">
        <f>34.50073907504*Deflactores!$H$5</f>
        <v>83.603209120839992</v>
      </c>
      <c r="L157" s="56">
        <f>34.91400874352*Deflactores!$I$5</f>
        <v>78.574553343233802</v>
      </c>
      <c r="M157" s="56">
        <f>38.5316858905*Deflactores!$J$5</f>
        <v>85.014371034266432</v>
      </c>
      <c r="N157" s="56">
        <f>97.05424863557*Deflactores!$K$5</f>
        <v>207.55361938932225</v>
      </c>
      <c r="O157" s="56">
        <f>99.5189529449599*Deflactores!$L$5</f>
        <v>205.17812569223491</v>
      </c>
      <c r="P157" s="56">
        <f>132.15607279111*Deflactores!$M$5</f>
        <v>265.9762231717919</v>
      </c>
      <c r="Q157" s="56">
        <f>37.98587322724*Deflactores!$N$5</f>
        <v>74.99514956307415</v>
      </c>
      <c r="R157" s="56">
        <f>56.1026444906199*Deflactores!$O$5</f>
        <v>106.85213138729249</v>
      </c>
      <c r="S157" s="56">
        <f>55.86803522066*Deflactores!$P$5</f>
        <v>99.65842334779903</v>
      </c>
      <c r="T157" s="56">
        <f>60.12162499685*Deflactores!$Q$5</f>
        <v>101.41470885217058</v>
      </c>
      <c r="U157" s="56">
        <f>61.46997312654*Deflactores!$R$5</f>
        <v>99.614888346363401</v>
      </c>
      <c r="V157" s="56">
        <f>59.37168260067*Deflactores!$S$5</f>
        <v>93.249188870513336</v>
      </c>
    </row>
    <row r="158" spans="3:22" x14ac:dyDescent="0.2">
      <c r="C158" s="88" t="s">
        <v>150</v>
      </c>
      <c r="D158" s="57">
        <f>136.14077199456*Deflactores!$A$5</f>
        <v>494.26712253142705</v>
      </c>
      <c r="E158" s="57">
        <f>150.61683387752*Deflactores!$B$5</f>
        <v>507.97207273822823</v>
      </c>
      <c r="F158" s="57">
        <f>107.99162605367*Deflactores!$C$5</f>
        <v>340.41269255523321</v>
      </c>
      <c r="G158" s="57">
        <f>104.17339324806*Deflactores!$D$5</f>
        <v>308.36004059510981</v>
      </c>
      <c r="H158" s="57">
        <f>151.389463789909*Deflactores!$E$5</f>
        <v>424.7729915227186</v>
      </c>
      <c r="I158" s="57">
        <f>117.39342180302*Deflactores!$F$5</f>
        <v>314.13416773770808</v>
      </c>
      <c r="J158" s="57">
        <f>102.94370488535*Deflactores!$G$5</f>
        <v>263.66141171906037</v>
      </c>
      <c r="K158" s="57">
        <f>120.15442575349*Deflactores!$H$5</f>
        <v>291.16175051249451</v>
      </c>
      <c r="L158" s="57">
        <f>107.73536860712*Deflactores!$I$5</f>
        <v>242.46022648843638</v>
      </c>
      <c r="M158" s="57">
        <f>190.83074786321*Deflactores!$J$5</f>
        <v>421.03935056704472</v>
      </c>
      <c r="N158" s="57">
        <f>161.51215903484*Deflactores!$K$5</f>
        <v>345.39892538799199</v>
      </c>
      <c r="O158" s="57">
        <f>155.46538471101*Deflactores!$L$5</f>
        <v>320.52282807546089</v>
      </c>
      <c r="P158" s="57">
        <f>277.45103824322*Deflactores!$M$5</f>
        <v>558.39567345245882</v>
      </c>
      <c r="Q158" s="57">
        <f>218.12870264263*Deflactores!$N$5</f>
        <v>430.64943066656883</v>
      </c>
      <c r="R158" s="57">
        <f>212.32696675616*Deflactores!$O$5</f>
        <v>404.39428755783075</v>
      </c>
      <c r="S158" s="57">
        <f>194.685389917509*Deflactores!$P$5</f>
        <v>347.28336035800959</v>
      </c>
      <c r="T158" s="57">
        <f>187.439075168639*Deflactores!$Q$5</f>
        <v>316.17707001006039</v>
      </c>
      <c r="U158" s="57">
        <f>193.27586451741*Deflactores!$R$5</f>
        <v>313.21233253697335</v>
      </c>
      <c r="V158" s="57">
        <f>197.325995191219*Deflactores!$S$5</f>
        <v>309.92028840429629</v>
      </c>
    </row>
    <row r="159" spans="3:22" x14ac:dyDescent="0.2">
      <c r="C159" s="87" t="s">
        <v>151</v>
      </c>
      <c r="D159" s="56">
        <f>17.10347442701*Deflactores!$A$5</f>
        <v>62.09517521074347</v>
      </c>
      <c r="E159" s="56">
        <f>18.3298306009599*Deflactores!$B$5</f>
        <v>61.819398294362266</v>
      </c>
      <c r="F159" s="56">
        <f>17.63346682007*Deflactores!$C$5</f>
        <v>55.584457227453704</v>
      </c>
      <c r="G159" s="56">
        <f>16.010018341*Deflactores!$D$5</f>
        <v>47.390698830395927</v>
      </c>
      <c r="H159" s="56">
        <f>9.37921894636*Deflactores!$E$5</f>
        <v>26.316487226090945</v>
      </c>
      <c r="I159" s="56">
        <f>8.6880724008*Deflactores!$F$5</f>
        <v>23.24849511116345</v>
      </c>
      <c r="J159" s="56">
        <f>13.3592043443699*Deflactores!$G$5</f>
        <v>34.215853031545926</v>
      </c>
      <c r="K159" s="56">
        <f>12.5065585275899*Deflactores!$H$5</f>
        <v>30.306261720653037</v>
      </c>
      <c r="L159" s="56">
        <f>8.44150337384*Deflactores!$I$5</f>
        <v>18.997742769024899</v>
      </c>
      <c r="M159" s="56">
        <f>6.964427172*Deflactores!$J$5</f>
        <v>15.365961336965832</v>
      </c>
      <c r="N159" s="56">
        <f>8.90393254072999*Deflactores!$K$5</f>
        <v>19.041344934482062</v>
      </c>
      <c r="O159" s="56">
        <f>322.950475881969*Deflactores!$L$5</f>
        <v>665.82667293058114</v>
      </c>
      <c r="P159" s="56">
        <f>1353.55427615768*Deflactores!$M$5</f>
        <v>2724.1521833014549</v>
      </c>
      <c r="Q159" s="56">
        <f>1461.5972508773*Deflactores!$N$5</f>
        <v>2885.617602491152</v>
      </c>
      <c r="R159" s="56">
        <f>1516.99246693318*Deflactores!$O$5</f>
        <v>2889.2377509473449</v>
      </c>
      <c r="S159" s="56">
        <f>1588.44879393395*Deflactores!$P$5</f>
        <v>2833.5040197302337</v>
      </c>
      <c r="T159" s="56">
        <f>1748.39326824629*Deflactores!$Q$5</f>
        <v>2949.2348928955694</v>
      </c>
      <c r="U159" s="56">
        <f>1945.34180877998*Deflactores!$R$5</f>
        <v>3152.514914529263</v>
      </c>
      <c r="V159" s="56">
        <f>1959.86339763276*Deflactores!$S$5</f>
        <v>3078.1622504362181</v>
      </c>
    </row>
    <row r="160" spans="3:22" x14ac:dyDescent="0.2">
      <c r="C160" s="79" t="s">
        <v>179</v>
      </c>
      <c r="D160" s="44">
        <f t="shared" ref="D160:V160" si="32">+SUM(D131:D159)</f>
        <v>84081.023220906252</v>
      </c>
      <c r="E160" s="44">
        <f t="shared" si="32"/>
        <v>89315.441094013964</v>
      </c>
      <c r="F160" s="44">
        <f t="shared" si="32"/>
        <v>92008.079161025278</v>
      </c>
      <c r="G160" s="44">
        <f t="shared" si="32"/>
        <v>92235.557028493451</v>
      </c>
      <c r="H160" s="44">
        <f t="shared" si="32"/>
        <v>102611.30592073651</v>
      </c>
      <c r="I160" s="44">
        <f t="shared" si="32"/>
        <v>113821.65132822155</v>
      </c>
      <c r="J160" s="44">
        <f t="shared" si="32"/>
        <v>119969.41142678527</v>
      </c>
      <c r="K160" s="44">
        <f t="shared" si="32"/>
        <v>125711.42431366797</v>
      </c>
      <c r="L160" s="44">
        <f t="shared" si="32"/>
        <v>133465.62020789497</v>
      </c>
      <c r="M160" s="44">
        <f t="shared" si="32"/>
        <v>145120.43715054559</v>
      </c>
      <c r="N160" s="44">
        <f t="shared" si="32"/>
        <v>154480.10889893351</v>
      </c>
      <c r="O160" s="44">
        <f t="shared" si="32"/>
        <v>158263.3797096569</v>
      </c>
      <c r="P160" s="44">
        <f t="shared" si="32"/>
        <v>168754.1799555147</v>
      </c>
      <c r="Q160" s="44">
        <f t="shared" si="32"/>
        <v>182772.06103827085</v>
      </c>
      <c r="R160" s="44">
        <f t="shared" si="32"/>
        <v>190155.62510349782</v>
      </c>
      <c r="S160" s="44">
        <f t="shared" si="32"/>
        <v>184250.432020106</v>
      </c>
      <c r="T160" s="44">
        <f t="shared" si="32"/>
        <v>187634.88408522963</v>
      </c>
      <c r="U160" s="44">
        <f t="shared" si="32"/>
        <v>207124.86235888849</v>
      </c>
      <c r="V160" s="44">
        <f t="shared" si="32"/>
        <v>208095.44201488708</v>
      </c>
    </row>
    <row r="161" spans="2:22" x14ac:dyDescent="0.2">
      <c r="C161" s="1" t="s">
        <v>52</v>
      </c>
      <c r="D161" s="12"/>
      <c r="E161" s="12"/>
      <c r="F161" s="12"/>
      <c r="G161" s="12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</row>
    <row r="162" spans="2:22" x14ac:dyDescent="0.2">
      <c r="B162" s="9"/>
    </row>
    <row r="163" spans="2:22" x14ac:dyDescent="0.2"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</row>
    <row r="164" spans="2:22" x14ac:dyDescent="0.2">
      <c r="D164" s="11"/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</row>
    <row r="165" spans="2:22" ht="18" customHeight="1" x14ac:dyDescent="0.2">
      <c r="D165" s="160" t="s">
        <v>191</v>
      </c>
      <c r="E165" s="158"/>
      <c r="F165" s="158"/>
      <c r="G165" s="158"/>
      <c r="H165" s="158"/>
      <c r="I165" s="158"/>
      <c r="J165" s="158"/>
      <c r="K165" s="158"/>
      <c r="L165" s="158"/>
      <c r="M165" s="158"/>
      <c r="N165" s="158"/>
      <c r="O165" s="158"/>
      <c r="P165" s="158"/>
      <c r="Q165" s="158"/>
      <c r="R165" s="158"/>
      <c r="S165" s="158"/>
      <c r="T165" s="158"/>
      <c r="U165" s="158"/>
      <c r="V165" s="158"/>
    </row>
    <row r="166" spans="2:22" ht="3.75" customHeight="1" x14ac:dyDescent="0.2">
      <c r="H166" s="27"/>
      <c r="I166" s="27"/>
      <c r="J166" s="27"/>
      <c r="L166" s="175"/>
      <c r="M166" s="158"/>
      <c r="N166" s="158"/>
      <c r="O166" s="158"/>
      <c r="P166" s="158"/>
      <c r="Q166" s="158"/>
      <c r="R166" s="28"/>
      <c r="S166" s="28"/>
      <c r="T166" s="28"/>
      <c r="U166" s="28"/>
      <c r="V166" s="28"/>
    </row>
    <row r="167" spans="2:22" x14ac:dyDescent="0.2"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</row>
    <row r="168" spans="2:22" x14ac:dyDescent="0.2">
      <c r="C168" s="177" t="s">
        <v>120</v>
      </c>
      <c r="D168" s="153">
        <v>2000</v>
      </c>
      <c r="E168" s="153">
        <v>2001</v>
      </c>
      <c r="F168" s="153">
        <v>2002</v>
      </c>
      <c r="G168" s="153">
        <v>2003</v>
      </c>
      <c r="H168" s="153">
        <v>2004</v>
      </c>
      <c r="I168" s="153">
        <v>2005</v>
      </c>
      <c r="J168" s="153">
        <v>2006</v>
      </c>
      <c r="K168" s="153">
        <v>2007</v>
      </c>
      <c r="L168" s="153">
        <v>2008</v>
      </c>
      <c r="M168" s="153">
        <v>2009</v>
      </c>
      <c r="N168" s="153">
        <v>2010</v>
      </c>
      <c r="O168" s="153">
        <v>2011</v>
      </c>
      <c r="P168" s="153">
        <v>2012</v>
      </c>
      <c r="Q168" s="153">
        <v>2013</v>
      </c>
      <c r="R168" s="153">
        <v>2014</v>
      </c>
      <c r="S168" s="153">
        <v>2015</v>
      </c>
      <c r="T168" s="153">
        <v>2016</v>
      </c>
      <c r="U168" s="153">
        <v>2017</v>
      </c>
      <c r="V168" s="153">
        <v>2018</v>
      </c>
    </row>
    <row r="169" spans="2:22" ht="12" customHeight="1" thickBot="1" x14ac:dyDescent="0.25">
      <c r="C169" s="156"/>
      <c r="D169" s="154"/>
      <c r="E169" s="154"/>
      <c r="F169" s="154"/>
      <c r="G169" s="154"/>
      <c r="H169" s="154"/>
      <c r="I169" s="154"/>
      <c r="J169" s="154"/>
      <c r="K169" s="154"/>
      <c r="L169" s="154"/>
      <c r="M169" s="154"/>
      <c r="N169" s="154"/>
      <c r="O169" s="154"/>
      <c r="P169" s="154"/>
      <c r="Q169" s="154"/>
      <c r="R169" s="154"/>
      <c r="S169" s="154"/>
      <c r="T169" s="154"/>
      <c r="U169" s="154"/>
      <c r="V169" s="154"/>
    </row>
    <row r="170" spans="2:22" x14ac:dyDescent="0.2">
      <c r="C170" s="87" t="s">
        <v>123</v>
      </c>
      <c r="D170" s="60">
        <f t="shared" ref="D170:V170" si="33">+IFERROR(IF(D131&gt;0,+((D131/D14)*100)," "),"")</f>
        <v>92.47237804301534</v>
      </c>
      <c r="E170" s="60">
        <f t="shared" si="33"/>
        <v>92.513832123195272</v>
      </c>
      <c r="F170" s="60">
        <f t="shared" si="33"/>
        <v>95.975138615316141</v>
      </c>
      <c r="G170" s="60">
        <f t="shared" si="33"/>
        <v>89.979298231456113</v>
      </c>
      <c r="H170" s="60">
        <f t="shared" si="33"/>
        <v>85.569754205374878</v>
      </c>
      <c r="I170" s="60">
        <f t="shared" si="33"/>
        <v>85.069997153145209</v>
      </c>
      <c r="J170" s="60">
        <f t="shared" si="33"/>
        <v>81.855393425312769</v>
      </c>
      <c r="K170" s="60">
        <f t="shared" si="33"/>
        <v>93.846815075992623</v>
      </c>
      <c r="L170" s="60">
        <f t="shared" si="33"/>
        <v>99.189835714088431</v>
      </c>
      <c r="M170" s="60">
        <f t="shared" si="33"/>
        <v>95.586288319764165</v>
      </c>
      <c r="N170" s="60">
        <f t="shared" si="33"/>
        <v>93.554530420753665</v>
      </c>
      <c r="O170" s="60">
        <f t="shared" si="33"/>
        <v>96.404390184198192</v>
      </c>
      <c r="P170" s="60">
        <f t="shared" si="33"/>
        <v>88.330848766330405</v>
      </c>
      <c r="Q170" s="60">
        <f t="shared" si="33"/>
        <v>96.2297682123654</v>
      </c>
      <c r="R170" s="60">
        <f t="shared" si="33"/>
        <v>88.126090105312315</v>
      </c>
      <c r="S170" s="60">
        <f t="shared" si="33"/>
        <v>95.430492385336862</v>
      </c>
      <c r="T170" s="60">
        <f t="shared" si="33"/>
        <v>93.948952584647571</v>
      </c>
      <c r="U170" s="60">
        <f t="shared" si="33"/>
        <v>96.47575242871828</v>
      </c>
      <c r="V170" s="60">
        <f t="shared" si="33"/>
        <v>79.002577069489377</v>
      </c>
    </row>
    <row r="171" spans="2:22" x14ac:dyDescent="0.2">
      <c r="C171" s="88" t="s">
        <v>124</v>
      </c>
      <c r="D171" s="62">
        <f t="shared" ref="D171:V171" si="34">+IFERROR(IF(D132&gt;0,+((D132/D15)*100)," "),"")</f>
        <v>89.564677008008999</v>
      </c>
      <c r="E171" s="62">
        <f t="shared" si="34"/>
        <v>90.020823457112243</v>
      </c>
      <c r="F171" s="62">
        <f t="shared" si="34"/>
        <v>89.20077231875409</v>
      </c>
      <c r="G171" s="62">
        <f t="shared" si="34"/>
        <v>86.531256937794211</v>
      </c>
      <c r="H171" s="62">
        <f t="shared" si="34"/>
        <v>91.422575330384348</v>
      </c>
      <c r="I171" s="62">
        <f t="shared" si="34"/>
        <v>91.585991052628941</v>
      </c>
      <c r="J171" s="62">
        <f t="shared" si="34"/>
        <v>90.511810487497073</v>
      </c>
      <c r="K171" s="62">
        <f t="shared" si="34"/>
        <v>91.157361524882575</v>
      </c>
      <c r="L171" s="62">
        <f t="shared" si="34"/>
        <v>99.258883826059431</v>
      </c>
      <c r="M171" s="62">
        <f t="shared" si="34"/>
        <v>99.342684760167941</v>
      </c>
      <c r="N171" s="62">
        <f t="shared" si="34"/>
        <v>96.696074782046509</v>
      </c>
      <c r="O171" s="62">
        <f t="shared" si="34"/>
        <v>98.612124260742675</v>
      </c>
      <c r="P171" s="62">
        <f t="shared" si="34"/>
        <v>84.353236201160286</v>
      </c>
      <c r="Q171" s="62">
        <f t="shared" si="34"/>
        <v>86.735051729951024</v>
      </c>
      <c r="R171" s="62">
        <f t="shared" si="34"/>
        <v>95.548598910436382</v>
      </c>
      <c r="S171" s="62">
        <f t="shared" si="34"/>
        <v>94.193681950410848</v>
      </c>
      <c r="T171" s="62">
        <f t="shared" si="34"/>
        <v>95.18334478225114</v>
      </c>
      <c r="U171" s="62">
        <f t="shared" si="34"/>
        <v>96.202163741321428</v>
      </c>
      <c r="V171" s="62">
        <f t="shared" si="34"/>
        <v>95.461854861918056</v>
      </c>
    </row>
    <row r="172" spans="2:22" x14ac:dyDescent="0.2">
      <c r="C172" s="87" t="s">
        <v>125</v>
      </c>
      <c r="D172" s="60">
        <f t="shared" ref="D172:V172" si="35">+IFERROR(IF(D133&gt;0,+((D133/D16)*100)," "),"")</f>
        <v>96.617071685740981</v>
      </c>
      <c r="E172" s="60">
        <f t="shared" si="35"/>
        <v>95.217952059984057</v>
      </c>
      <c r="F172" s="60">
        <f t="shared" si="35"/>
        <v>96.236960896021415</v>
      </c>
      <c r="G172" s="60">
        <f t="shared" si="35"/>
        <v>96.78820066529228</v>
      </c>
      <c r="H172" s="60">
        <f t="shared" si="35"/>
        <v>92.964720642537159</v>
      </c>
      <c r="I172" s="60">
        <f t="shared" si="35"/>
        <v>96.377774519670069</v>
      </c>
      <c r="J172" s="60">
        <f t="shared" si="35"/>
        <v>93.432215022393507</v>
      </c>
      <c r="K172" s="60">
        <f t="shared" si="35"/>
        <v>91.885776904239066</v>
      </c>
      <c r="L172" s="60">
        <f t="shared" si="35"/>
        <v>97.306755006560152</v>
      </c>
      <c r="M172" s="60">
        <f t="shared" si="35"/>
        <v>26.124068591676924</v>
      </c>
      <c r="N172" s="60">
        <f t="shared" si="35"/>
        <v>94.493413434310384</v>
      </c>
      <c r="O172" s="60">
        <f t="shared" si="35"/>
        <v>88.219651295250813</v>
      </c>
      <c r="P172" s="60">
        <f t="shared" si="35"/>
        <v>72.392727882760028</v>
      </c>
      <c r="Q172" s="60">
        <f t="shared" si="35"/>
        <v>91.796487805650102</v>
      </c>
      <c r="R172" s="60">
        <f t="shared" si="35"/>
        <v>91.561598119639669</v>
      </c>
      <c r="S172" s="60">
        <f t="shared" si="35"/>
        <v>93.188827062022</v>
      </c>
      <c r="T172" s="60">
        <f t="shared" si="35"/>
        <v>93.71799167204955</v>
      </c>
      <c r="U172" s="60">
        <f t="shared" si="35"/>
        <v>94.687759219496641</v>
      </c>
      <c r="V172" s="60">
        <f t="shared" si="35"/>
        <v>92.616957482539121</v>
      </c>
    </row>
    <row r="173" spans="2:22" x14ac:dyDescent="0.2">
      <c r="C173" s="88" t="s">
        <v>126</v>
      </c>
      <c r="D173" s="62">
        <f t="shared" ref="D173:V173" si="36">+IFERROR(IF(D134&gt;0,+((D134/D17)*100)," "),"")</f>
        <v>91.67006543430584</v>
      </c>
      <c r="E173" s="62">
        <f t="shared" si="36"/>
        <v>91.78093481807197</v>
      </c>
      <c r="F173" s="62">
        <f t="shared" si="36"/>
        <v>92.918848565738827</v>
      </c>
      <c r="G173" s="62">
        <f t="shared" si="36"/>
        <v>87.783008199179818</v>
      </c>
      <c r="H173" s="62">
        <f t="shared" si="36"/>
        <v>94.969116024161565</v>
      </c>
      <c r="I173" s="62">
        <f t="shared" si="36"/>
        <v>93.997095510575576</v>
      </c>
      <c r="J173" s="62">
        <f t="shared" si="36"/>
        <v>95.777363475944085</v>
      </c>
      <c r="K173" s="62">
        <f t="shared" si="36"/>
        <v>89.229452572713257</v>
      </c>
      <c r="L173" s="62">
        <f t="shared" si="36"/>
        <v>90.603649592742002</v>
      </c>
      <c r="M173" s="62">
        <f t="shared" si="36"/>
        <v>94.090705070451136</v>
      </c>
      <c r="N173" s="62">
        <f t="shared" si="36"/>
        <v>91.796474105094674</v>
      </c>
      <c r="O173" s="62">
        <f t="shared" si="36"/>
        <v>91.565032427001043</v>
      </c>
      <c r="P173" s="62">
        <f t="shared" si="36"/>
        <v>94.696441770290591</v>
      </c>
      <c r="Q173" s="62">
        <f t="shared" si="36"/>
        <v>95.424500597052074</v>
      </c>
      <c r="R173" s="62">
        <f t="shared" si="36"/>
        <v>89.572009813111848</v>
      </c>
      <c r="S173" s="62">
        <f t="shared" si="36"/>
        <v>95.177115542927069</v>
      </c>
      <c r="T173" s="62">
        <f t="shared" si="36"/>
        <v>96.894249864776569</v>
      </c>
      <c r="U173" s="62">
        <f t="shared" si="36"/>
        <v>99.134947044944184</v>
      </c>
      <c r="V173" s="62">
        <f t="shared" si="36"/>
        <v>95.999783747405971</v>
      </c>
    </row>
    <row r="174" spans="2:22" x14ac:dyDescent="0.2">
      <c r="C174" s="87" t="s">
        <v>127</v>
      </c>
      <c r="D174" s="60">
        <f t="shared" ref="D174:V174" si="37">+IFERROR(IF(D135&gt;0,+((D135/D18)*100)," "),"")</f>
        <v>86.625023337689782</v>
      </c>
      <c r="E174" s="60">
        <f t="shared" si="37"/>
        <v>91.019437535437149</v>
      </c>
      <c r="F174" s="60">
        <f t="shared" si="37"/>
        <v>94.643452652291018</v>
      </c>
      <c r="G174" s="60">
        <f t="shared" si="37"/>
        <v>95.099055874449334</v>
      </c>
      <c r="H174" s="60">
        <f t="shared" si="37"/>
        <v>93.497565104521968</v>
      </c>
      <c r="I174" s="60">
        <f t="shared" si="37"/>
        <v>95.306387881107796</v>
      </c>
      <c r="J174" s="60">
        <f t="shared" si="37"/>
        <v>94.625474707542367</v>
      </c>
      <c r="K174" s="60">
        <f t="shared" si="37"/>
        <v>97.282285884965802</v>
      </c>
      <c r="L174" s="60">
        <f t="shared" si="37"/>
        <v>96.073941733529963</v>
      </c>
      <c r="M174" s="60">
        <f t="shared" si="37"/>
        <v>97.557452203060251</v>
      </c>
      <c r="N174" s="60">
        <f t="shared" si="37"/>
        <v>97.273390026468405</v>
      </c>
      <c r="O174" s="60">
        <f t="shared" si="37"/>
        <v>98.035207499081295</v>
      </c>
      <c r="P174" s="60">
        <f t="shared" si="37"/>
        <v>96.074384676546529</v>
      </c>
      <c r="Q174" s="60">
        <f t="shared" si="37"/>
        <v>95.468510495440881</v>
      </c>
      <c r="R174" s="60">
        <f t="shared" si="37"/>
        <v>97.214232843397411</v>
      </c>
      <c r="S174" s="60">
        <f t="shared" si="37"/>
        <v>98.108735614452698</v>
      </c>
      <c r="T174" s="60">
        <f t="shared" si="37"/>
        <v>97.193027758519278</v>
      </c>
      <c r="U174" s="60">
        <f t="shared" si="37"/>
        <v>98.85492464884662</v>
      </c>
      <c r="V174" s="60">
        <f t="shared" si="37"/>
        <v>95.996263344162529</v>
      </c>
    </row>
    <row r="175" spans="2:22" x14ac:dyDescent="0.2">
      <c r="C175" s="88" t="s">
        <v>128</v>
      </c>
      <c r="D175" s="62">
        <f t="shared" ref="D175:V175" si="38">+IFERROR(IF(D136&gt;0,+((D136/D19)*100)," "),"")</f>
        <v>94.282604037050632</v>
      </c>
      <c r="E175" s="62">
        <f t="shared" si="38"/>
        <v>92.811813191136523</v>
      </c>
      <c r="F175" s="62">
        <f t="shared" si="38"/>
        <v>81.316116318817109</v>
      </c>
      <c r="G175" s="62">
        <f t="shared" si="38"/>
        <v>89.487551941990262</v>
      </c>
      <c r="H175" s="62">
        <f t="shared" si="38"/>
        <v>88.844939633825831</v>
      </c>
      <c r="I175" s="62">
        <f t="shared" si="38"/>
        <v>85.220005352807163</v>
      </c>
      <c r="J175" s="62">
        <f t="shared" si="38"/>
        <v>92.689895469372345</v>
      </c>
      <c r="K175" s="62">
        <f t="shared" si="38"/>
        <v>95.054461448853417</v>
      </c>
      <c r="L175" s="62">
        <f t="shared" si="38"/>
        <v>92.333196692542899</v>
      </c>
      <c r="M175" s="62">
        <f t="shared" si="38"/>
        <v>90.612217854145257</v>
      </c>
      <c r="N175" s="62">
        <f t="shared" si="38"/>
        <v>89.747445497797216</v>
      </c>
      <c r="O175" s="62">
        <f t="shared" si="38"/>
        <v>96.080501343991628</v>
      </c>
      <c r="P175" s="62">
        <f t="shared" si="38"/>
        <v>96.713579933881704</v>
      </c>
      <c r="Q175" s="62">
        <f t="shared" si="38"/>
        <v>94.367517918852826</v>
      </c>
      <c r="R175" s="62">
        <f t="shared" si="38"/>
        <v>98.994573104620926</v>
      </c>
      <c r="S175" s="62">
        <f t="shared" si="38"/>
        <v>98.586841297688977</v>
      </c>
      <c r="T175" s="62">
        <f t="shared" si="38"/>
        <v>99.538193390887571</v>
      </c>
      <c r="U175" s="62">
        <f t="shared" si="38"/>
        <v>98.477408778329163</v>
      </c>
      <c r="V175" s="62">
        <f t="shared" si="38"/>
        <v>96.823945080845931</v>
      </c>
    </row>
    <row r="176" spans="2:22" x14ac:dyDescent="0.2">
      <c r="C176" s="87" t="s">
        <v>129</v>
      </c>
      <c r="D176" s="60">
        <f t="shared" ref="D176:V176" si="39">+IFERROR(IF(D137&gt;0,+((D137/D20)*100)," "),"")</f>
        <v>97.231456632812268</v>
      </c>
      <c r="E176" s="60">
        <f t="shared" si="39"/>
        <v>95.273775816364861</v>
      </c>
      <c r="F176" s="60">
        <f t="shared" si="39"/>
        <v>95.620750907132717</v>
      </c>
      <c r="G176" s="60">
        <f t="shared" si="39"/>
        <v>93.290899986463188</v>
      </c>
      <c r="H176" s="60">
        <f t="shared" si="39"/>
        <v>92.539928011027214</v>
      </c>
      <c r="I176" s="60">
        <f t="shared" si="39"/>
        <v>92.425011851039258</v>
      </c>
      <c r="J176" s="60">
        <f t="shared" si="39"/>
        <v>93.848521131946654</v>
      </c>
      <c r="K176" s="60">
        <f t="shared" si="39"/>
        <v>97.6334640707544</v>
      </c>
      <c r="L176" s="60">
        <f t="shared" si="39"/>
        <v>98.873489323668451</v>
      </c>
      <c r="M176" s="60">
        <f t="shared" si="39"/>
        <v>97.715815781035289</v>
      </c>
      <c r="N176" s="60">
        <f t="shared" si="39"/>
        <v>97.44257348672464</v>
      </c>
      <c r="O176" s="60">
        <f t="shared" si="39"/>
        <v>97.799761340284334</v>
      </c>
      <c r="P176" s="60">
        <f t="shared" si="39"/>
        <v>99.108393576491977</v>
      </c>
      <c r="Q176" s="60">
        <f t="shared" si="39"/>
        <v>99.177759458246484</v>
      </c>
      <c r="R176" s="60">
        <f t="shared" si="39"/>
        <v>98.766663774097381</v>
      </c>
      <c r="S176" s="60">
        <f t="shared" si="39"/>
        <v>98.426564104973409</v>
      </c>
      <c r="T176" s="60">
        <f t="shared" si="39"/>
        <v>99.242759183842708</v>
      </c>
      <c r="U176" s="60">
        <f t="shared" si="39"/>
        <v>99.312907512768149</v>
      </c>
      <c r="V176" s="60">
        <f t="shared" si="39"/>
        <v>96.445576030338756</v>
      </c>
    </row>
    <row r="177" spans="3:22" x14ac:dyDescent="0.2">
      <c r="C177" s="88" t="s">
        <v>130</v>
      </c>
      <c r="D177" s="62">
        <f t="shared" ref="D177:V177" si="40">+IFERROR(IF(D138&gt;0,+((D138/D21)*100)," "),"")</f>
        <v>98.349221517625196</v>
      </c>
      <c r="E177" s="62">
        <f t="shared" si="40"/>
        <v>99.444634435081184</v>
      </c>
      <c r="F177" s="62">
        <f t="shared" si="40"/>
        <v>99.026068412831052</v>
      </c>
      <c r="G177" s="62">
        <f t="shared" si="40"/>
        <v>97.063589504651603</v>
      </c>
      <c r="H177" s="62">
        <f t="shared" si="40"/>
        <v>97.325035284836076</v>
      </c>
      <c r="I177" s="62">
        <f t="shared" si="40"/>
        <v>98.238733740409927</v>
      </c>
      <c r="J177" s="62">
        <f t="shared" si="40"/>
        <v>98.725316620915407</v>
      </c>
      <c r="K177" s="62">
        <f t="shared" si="40"/>
        <v>98.895910199863735</v>
      </c>
      <c r="L177" s="62">
        <f t="shared" si="40"/>
        <v>97.032670933412518</v>
      </c>
      <c r="M177" s="62">
        <f t="shared" si="40"/>
        <v>97.458621388158747</v>
      </c>
      <c r="N177" s="62">
        <f t="shared" si="40"/>
        <v>96.703404113646599</v>
      </c>
      <c r="O177" s="62">
        <f t="shared" si="40"/>
        <v>92.739080374342137</v>
      </c>
      <c r="P177" s="62">
        <f t="shared" si="40"/>
        <v>83.008861389590805</v>
      </c>
      <c r="Q177" s="62">
        <f t="shared" si="40"/>
        <v>95.652975759898979</v>
      </c>
      <c r="R177" s="62">
        <f t="shared" si="40"/>
        <v>95.946207466355588</v>
      </c>
      <c r="S177" s="62">
        <f t="shared" si="40"/>
        <v>98.844783464505539</v>
      </c>
      <c r="T177" s="62">
        <f t="shared" si="40"/>
        <v>94.178231229924108</v>
      </c>
      <c r="U177" s="62">
        <f t="shared" si="40"/>
        <v>97.231008814948112</v>
      </c>
      <c r="V177" s="62">
        <f t="shared" si="40"/>
        <v>95.776017388130214</v>
      </c>
    </row>
    <row r="178" spans="3:22" x14ac:dyDescent="0.2">
      <c r="C178" s="87" t="s">
        <v>131</v>
      </c>
      <c r="D178" s="60">
        <f t="shared" ref="D178:V178" si="41">+IFERROR(IF(D139&gt;0,+((D139/D22)*100)," "),"")</f>
        <v>94.91651318445291</v>
      </c>
      <c r="E178" s="60">
        <f t="shared" si="41"/>
        <v>96.553331267241916</v>
      </c>
      <c r="F178" s="60">
        <f t="shared" si="41"/>
        <v>99.602165796125306</v>
      </c>
      <c r="G178" s="60">
        <f t="shared" si="41"/>
        <v>95.840948306159532</v>
      </c>
      <c r="H178" s="60">
        <f t="shared" si="41"/>
        <v>99.50795958120645</v>
      </c>
      <c r="I178" s="60">
        <f t="shared" si="41"/>
        <v>99.375251532694449</v>
      </c>
      <c r="J178" s="60">
        <f t="shared" si="41"/>
        <v>99.022473220249381</v>
      </c>
      <c r="K178" s="60">
        <f t="shared" si="41"/>
        <v>99.628768843981987</v>
      </c>
      <c r="L178" s="60">
        <f t="shared" si="41"/>
        <v>99.855212152368097</v>
      </c>
      <c r="M178" s="60">
        <f t="shared" si="41"/>
        <v>98.779540623827273</v>
      </c>
      <c r="N178" s="60">
        <f t="shared" si="41"/>
        <v>96.780853397342398</v>
      </c>
      <c r="O178" s="60">
        <f t="shared" si="41"/>
        <v>99.959358672402061</v>
      </c>
      <c r="P178" s="60">
        <f t="shared" si="41"/>
        <v>98.139969383205056</v>
      </c>
      <c r="Q178" s="60">
        <f t="shared" si="41"/>
        <v>99.866187709150608</v>
      </c>
      <c r="R178" s="60">
        <f t="shared" si="41"/>
        <v>99.957622773233624</v>
      </c>
      <c r="S178" s="60">
        <f t="shared" si="41"/>
        <v>99.946464813331716</v>
      </c>
      <c r="T178" s="60">
        <f t="shared" si="41"/>
        <v>99.148376169646383</v>
      </c>
      <c r="U178" s="60">
        <f t="shared" si="41"/>
        <v>99.95786953727989</v>
      </c>
      <c r="V178" s="60">
        <f t="shared" si="41"/>
        <v>99.662892960901871</v>
      </c>
    </row>
    <row r="179" spans="3:22" x14ac:dyDescent="0.2">
      <c r="C179" s="88" t="s">
        <v>132</v>
      </c>
      <c r="D179" s="62">
        <f t="shared" ref="D179:V179" si="42">+IFERROR(IF(D140&gt;0,+((D140/D23)*100)," "),"")</f>
        <v>96.5108157890851</v>
      </c>
      <c r="E179" s="62">
        <f t="shared" si="42"/>
        <v>94.146538230657299</v>
      </c>
      <c r="F179" s="62">
        <f t="shared" si="42"/>
        <v>96.244902511097635</v>
      </c>
      <c r="G179" s="62">
        <f t="shared" si="42"/>
        <v>89.257682579972766</v>
      </c>
      <c r="H179" s="62">
        <f t="shared" si="42"/>
        <v>89.557748499660789</v>
      </c>
      <c r="I179" s="62">
        <f t="shared" si="42"/>
        <v>84.606586466532491</v>
      </c>
      <c r="J179" s="62">
        <f t="shared" si="42"/>
        <v>93.048250493892311</v>
      </c>
      <c r="K179" s="62">
        <f t="shared" si="42"/>
        <v>91.145822393915253</v>
      </c>
      <c r="L179" s="62">
        <f t="shared" si="42"/>
        <v>92.001998915063311</v>
      </c>
      <c r="M179" s="62">
        <f t="shared" si="42"/>
        <v>84.40565817280438</v>
      </c>
      <c r="N179" s="62">
        <f t="shared" si="42"/>
        <v>74.899593119021773</v>
      </c>
      <c r="O179" s="62">
        <f t="shared" si="42"/>
        <v>81.605595080696943</v>
      </c>
      <c r="P179" s="62">
        <f t="shared" si="42"/>
        <v>88.635720510363555</v>
      </c>
      <c r="Q179" s="62">
        <f t="shared" si="42"/>
        <v>89.171186476230304</v>
      </c>
      <c r="R179" s="62">
        <f t="shared" si="42"/>
        <v>94.031735083068199</v>
      </c>
      <c r="S179" s="62">
        <f t="shared" si="42"/>
        <v>93.845691451990803</v>
      </c>
      <c r="T179" s="62">
        <f t="shared" si="42"/>
        <v>97.302164466617853</v>
      </c>
      <c r="U179" s="62">
        <f t="shared" si="42"/>
        <v>97.779430914986463</v>
      </c>
      <c r="V179" s="62">
        <f t="shared" si="42"/>
        <v>96.702334346674661</v>
      </c>
    </row>
    <row r="180" spans="3:22" x14ac:dyDescent="0.2">
      <c r="C180" s="87" t="s">
        <v>133</v>
      </c>
      <c r="D180" s="60">
        <f t="shared" ref="D180:V180" si="43">+IFERROR(IF(D141&gt;0,+((D141/D24)*100)," "),"")</f>
        <v>97.421750562372807</v>
      </c>
      <c r="E180" s="60">
        <f t="shared" si="43"/>
        <v>99.203104766825575</v>
      </c>
      <c r="F180" s="60">
        <f t="shared" si="43"/>
        <v>99.006147997487773</v>
      </c>
      <c r="G180" s="60">
        <f t="shared" si="43"/>
        <v>97.652655413346977</v>
      </c>
      <c r="H180" s="60">
        <f t="shared" si="43"/>
        <v>96.302616591663664</v>
      </c>
      <c r="I180" s="60">
        <f t="shared" si="43"/>
        <v>98.152810710677372</v>
      </c>
      <c r="J180" s="60">
        <f t="shared" si="43"/>
        <v>97.620172027223234</v>
      </c>
      <c r="K180" s="60">
        <f t="shared" si="43"/>
        <v>98.563380174926749</v>
      </c>
      <c r="L180" s="60">
        <f t="shared" si="43"/>
        <v>98.139390311658531</v>
      </c>
      <c r="M180" s="60">
        <f t="shared" si="43"/>
        <v>98.269121527550922</v>
      </c>
      <c r="N180" s="60">
        <f t="shared" si="43"/>
        <v>94.163274675742258</v>
      </c>
      <c r="O180" s="60">
        <f t="shared" si="43"/>
        <v>94.667365690753059</v>
      </c>
      <c r="P180" s="60">
        <f t="shared" si="43"/>
        <v>93.091978234720003</v>
      </c>
      <c r="Q180" s="60">
        <f t="shared" si="43"/>
        <v>95.649973007024542</v>
      </c>
      <c r="R180" s="60">
        <f t="shared" si="43"/>
        <v>91.50790335812593</v>
      </c>
      <c r="S180" s="60">
        <f t="shared" si="43"/>
        <v>91.492350292482939</v>
      </c>
      <c r="T180" s="60">
        <f t="shared" si="43"/>
        <v>96.536542528382299</v>
      </c>
      <c r="U180" s="60">
        <f t="shared" si="43"/>
        <v>99.249900409447406</v>
      </c>
      <c r="V180" s="60">
        <f t="shared" si="43"/>
        <v>93.047231273123515</v>
      </c>
    </row>
    <row r="181" spans="3:22" x14ac:dyDescent="0.2">
      <c r="C181" s="88" t="s">
        <v>134</v>
      </c>
      <c r="D181" s="62">
        <f t="shared" ref="D181:V181" si="44">+IFERROR(IF(D142&gt;0,+((D142/D25)*100)," "),"")</f>
        <v>88.473742840374015</v>
      </c>
      <c r="E181" s="62">
        <f t="shared" si="44"/>
        <v>90.395934855939245</v>
      </c>
      <c r="F181" s="62">
        <f t="shared" si="44"/>
        <v>81.312259202532829</v>
      </c>
      <c r="G181" s="62">
        <f t="shared" si="44"/>
        <v>85.979398467016793</v>
      </c>
      <c r="H181" s="62">
        <f t="shared" si="44"/>
        <v>85.940981336047287</v>
      </c>
      <c r="I181" s="62">
        <f t="shared" si="44"/>
        <v>91.479082518996464</v>
      </c>
      <c r="J181" s="62">
        <f t="shared" si="44"/>
        <v>92.258866715407891</v>
      </c>
      <c r="K181" s="62">
        <f t="shared" si="44"/>
        <v>83.287324461610652</v>
      </c>
      <c r="L181" s="62">
        <f t="shared" si="44"/>
        <v>78.218366006883727</v>
      </c>
      <c r="M181" s="62">
        <f t="shared" si="44"/>
        <v>71.187715547923531</v>
      </c>
      <c r="N181" s="62">
        <f t="shared" si="44"/>
        <v>76.491524209043732</v>
      </c>
      <c r="O181" s="62">
        <f t="shared" si="44"/>
        <v>97.011449400354948</v>
      </c>
      <c r="P181" s="62">
        <f t="shared" si="44"/>
        <v>95.488902900662623</v>
      </c>
      <c r="Q181" s="62">
        <f t="shared" si="44"/>
        <v>87.841030301357463</v>
      </c>
      <c r="R181" s="62">
        <f t="shared" si="44"/>
        <v>75.74438239338447</v>
      </c>
      <c r="S181" s="62">
        <f t="shared" si="44"/>
        <v>95.315399858533425</v>
      </c>
      <c r="T181" s="62">
        <f t="shared" si="44"/>
        <v>91.272371078498054</v>
      </c>
      <c r="U181" s="62">
        <f t="shared" si="44"/>
        <v>93.312796119410407</v>
      </c>
      <c r="V181" s="62">
        <f t="shared" si="44"/>
        <v>87.393921588502607</v>
      </c>
    </row>
    <row r="182" spans="3:22" x14ac:dyDescent="0.2">
      <c r="C182" s="87" t="s">
        <v>135</v>
      </c>
      <c r="D182" s="60" t="str">
        <f t="shared" ref="D182:V182" si="45">+IFERROR(IF(D143&gt;0,+((D143/D26)*100)," "),"")</f>
        <v xml:space="preserve"> </v>
      </c>
      <c r="E182" s="60" t="str">
        <f t="shared" si="45"/>
        <v xml:space="preserve"> </v>
      </c>
      <c r="F182" s="60" t="str">
        <f t="shared" si="45"/>
        <v xml:space="preserve"> </v>
      </c>
      <c r="G182" s="60" t="str">
        <f t="shared" si="45"/>
        <v xml:space="preserve"> </v>
      </c>
      <c r="H182" s="60" t="str">
        <f t="shared" si="45"/>
        <v xml:space="preserve"> </v>
      </c>
      <c r="I182" s="60" t="str">
        <f t="shared" si="45"/>
        <v xml:space="preserve"> </v>
      </c>
      <c r="J182" s="60" t="str">
        <f t="shared" si="45"/>
        <v xml:space="preserve"> </v>
      </c>
      <c r="K182" s="60" t="str">
        <f t="shared" si="45"/>
        <v xml:space="preserve"> </v>
      </c>
      <c r="L182" s="60" t="str">
        <f t="shared" si="45"/>
        <v xml:space="preserve"> </v>
      </c>
      <c r="M182" s="60" t="str">
        <f t="shared" si="45"/>
        <v xml:space="preserve"> </v>
      </c>
      <c r="N182" s="60" t="str">
        <f t="shared" si="45"/>
        <v xml:space="preserve"> </v>
      </c>
      <c r="O182" s="60" t="str">
        <f t="shared" si="45"/>
        <v xml:space="preserve"> </v>
      </c>
      <c r="P182" s="60" t="str">
        <f t="shared" si="45"/>
        <v xml:space="preserve"> </v>
      </c>
      <c r="Q182" s="60" t="str">
        <f t="shared" si="45"/>
        <v xml:space="preserve"> </v>
      </c>
      <c r="R182" s="60" t="str">
        <f t="shared" si="45"/>
        <v xml:space="preserve"> </v>
      </c>
      <c r="S182" s="60" t="str">
        <f t="shared" si="45"/>
        <v xml:space="preserve"> </v>
      </c>
      <c r="T182" s="60" t="str">
        <f t="shared" si="45"/>
        <v xml:space="preserve"> </v>
      </c>
      <c r="U182" s="60" t="str">
        <f t="shared" si="45"/>
        <v xml:space="preserve"> </v>
      </c>
      <c r="V182" s="60" t="str">
        <f t="shared" si="45"/>
        <v xml:space="preserve"> </v>
      </c>
    </row>
    <row r="183" spans="3:22" x14ac:dyDescent="0.2">
      <c r="C183" s="88" t="s">
        <v>136</v>
      </c>
      <c r="D183" s="62">
        <f t="shared" ref="D183:V183" si="46">+IFERROR(IF(D144&gt;0,+((D144/D27)*100)," "),"")</f>
        <v>89.974093816936659</v>
      </c>
      <c r="E183" s="62">
        <f t="shared" si="46"/>
        <v>91.857809163005626</v>
      </c>
      <c r="F183" s="62">
        <f t="shared" si="46"/>
        <v>90.514069753726261</v>
      </c>
      <c r="G183" s="62">
        <f t="shared" si="46"/>
        <v>86.272206019076904</v>
      </c>
      <c r="H183" s="62">
        <f t="shared" si="46"/>
        <v>88.84519717363446</v>
      </c>
      <c r="I183" s="62">
        <f t="shared" si="46"/>
        <v>92.111866444339469</v>
      </c>
      <c r="J183" s="62">
        <f t="shared" si="46"/>
        <v>97.880277053589609</v>
      </c>
      <c r="K183" s="62">
        <f t="shared" si="46"/>
        <v>95.055782823202577</v>
      </c>
      <c r="L183" s="62">
        <f t="shared" si="46"/>
        <v>95.156441908547464</v>
      </c>
      <c r="M183" s="62">
        <f t="shared" si="46"/>
        <v>97.885514423043745</v>
      </c>
      <c r="N183" s="62">
        <f t="shared" si="46"/>
        <v>98.12118719049441</v>
      </c>
      <c r="O183" s="62">
        <f t="shared" si="46"/>
        <v>97.227131123163517</v>
      </c>
      <c r="P183" s="62">
        <f t="shared" si="46"/>
        <v>94.440455549186765</v>
      </c>
      <c r="Q183" s="62">
        <f t="shared" si="46"/>
        <v>96.309217987171607</v>
      </c>
      <c r="R183" s="62">
        <f t="shared" si="46"/>
        <v>97.184965823506602</v>
      </c>
      <c r="S183" s="62">
        <f t="shared" si="46"/>
        <v>97.148109805205721</v>
      </c>
      <c r="T183" s="62">
        <f t="shared" si="46"/>
        <v>84.20497797956854</v>
      </c>
      <c r="U183" s="62">
        <f t="shared" si="46"/>
        <v>97.513806000927147</v>
      </c>
      <c r="V183" s="62">
        <f t="shared" si="46"/>
        <v>93.617895823258323</v>
      </c>
    </row>
    <row r="184" spans="3:22" x14ac:dyDescent="0.2">
      <c r="C184" s="87" t="s">
        <v>137</v>
      </c>
      <c r="D184" s="60">
        <f t="shared" ref="D184:V184" si="47">+IFERROR(IF(D145&gt;0,+((D145/D28)*100)," "),"")</f>
        <v>98.700018795357295</v>
      </c>
      <c r="E184" s="60">
        <f t="shared" si="47"/>
        <v>97.026950853447872</v>
      </c>
      <c r="F184" s="60">
        <f t="shared" si="47"/>
        <v>99.11067048937899</v>
      </c>
      <c r="G184" s="60">
        <f t="shared" si="47"/>
        <v>97.128156259048794</v>
      </c>
      <c r="H184" s="60">
        <f t="shared" si="47"/>
        <v>96.401460279466349</v>
      </c>
      <c r="I184" s="60">
        <f t="shared" si="47"/>
        <v>96.109147797122347</v>
      </c>
      <c r="J184" s="60">
        <f t="shared" si="47"/>
        <v>98.529802524125401</v>
      </c>
      <c r="K184" s="60">
        <f t="shared" si="47"/>
        <v>97.349020406603032</v>
      </c>
      <c r="L184" s="60">
        <f t="shared" si="47"/>
        <v>99.363255054116536</v>
      </c>
      <c r="M184" s="60">
        <f t="shared" si="47"/>
        <v>93.71662552586227</v>
      </c>
      <c r="N184" s="60">
        <f t="shared" si="47"/>
        <v>93.350081015666262</v>
      </c>
      <c r="O184" s="60">
        <f t="shared" si="47"/>
        <v>94.371369259654045</v>
      </c>
      <c r="P184" s="60">
        <f t="shared" si="47"/>
        <v>81.523487774340381</v>
      </c>
      <c r="Q184" s="60">
        <f t="shared" si="47"/>
        <v>73.665834594450558</v>
      </c>
      <c r="R184" s="60">
        <f t="shared" si="47"/>
        <v>90.029508519556302</v>
      </c>
      <c r="S184" s="60">
        <f t="shared" si="47"/>
        <v>94.345934506197892</v>
      </c>
      <c r="T184" s="60">
        <f t="shared" si="47"/>
        <v>98.38282696470975</v>
      </c>
      <c r="U184" s="60">
        <f t="shared" si="47"/>
        <v>95.065511288975387</v>
      </c>
      <c r="V184" s="60">
        <f t="shared" si="47"/>
        <v>92.717838461868283</v>
      </c>
    </row>
    <row r="185" spans="3:22" x14ac:dyDescent="0.2">
      <c r="C185" s="88" t="s">
        <v>138</v>
      </c>
      <c r="D185" s="62">
        <f t="shared" ref="D185:V185" si="48">+IFERROR(IF(D146&gt;0,+((D146/D29)*100)," "),"")</f>
        <v>95.141039536462941</v>
      </c>
      <c r="E185" s="62">
        <f t="shared" si="48"/>
        <v>93.979500014446074</v>
      </c>
      <c r="F185" s="62">
        <f t="shared" si="48"/>
        <v>94.776928868212266</v>
      </c>
      <c r="G185" s="62">
        <f t="shared" si="48"/>
        <v>91.939066078074873</v>
      </c>
      <c r="H185" s="62">
        <f t="shared" si="48"/>
        <v>94.076004053946434</v>
      </c>
      <c r="I185" s="62">
        <f t="shared" si="48"/>
        <v>91.486450772702412</v>
      </c>
      <c r="J185" s="62">
        <f t="shared" si="48"/>
        <v>86.779354347697421</v>
      </c>
      <c r="K185" s="62">
        <f t="shared" si="48"/>
        <v>91.634832066681042</v>
      </c>
      <c r="L185" s="62">
        <f t="shared" si="48"/>
        <v>90.384959822690391</v>
      </c>
      <c r="M185" s="62">
        <f t="shared" si="48"/>
        <v>87.262950833161085</v>
      </c>
      <c r="N185" s="62">
        <f t="shared" si="48"/>
        <v>83.779804088227976</v>
      </c>
      <c r="O185" s="62">
        <f t="shared" si="48"/>
        <v>87.872705308304788</v>
      </c>
      <c r="P185" s="62">
        <f t="shared" si="48"/>
        <v>75.711249618663899</v>
      </c>
      <c r="Q185" s="62">
        <f t="shared" si="48"/>
        <v>73.774641725057847</v>
      </c>
      <c r="R185" s="62">
        <f t="shared" si="48"/>
        <v>85.021433049379056</v>
      </c>
      <c r="S185" s="62">
        <f t="shared" si="48"/>
        <v>94.609607096649952</v>
      </c>
      <c r="T185" s="62">
        <f t="shared" si="48"/>
        <v>96.999598580527589</v>
      </c>
      <c r="U185" s="62">
        <f t="shared" si="48"/>
        <v>97.709392107775045</v>
      </c>
      <c r="V185" s="62">
        <f t="shared" si="48"/>
        <v>95.777769940442866</v>
      </c>
    </row>
    <row r="186" spans="3:22" x14ac:dyDescent="0.2">
      <c r="C186" s="87" t="s">
        <v>139</v>
      </c>
      <c r="D186" s="60">
        <f t="shared" ref="D186:V186" si="49">+IFERROR(IF(D147&gt;0,+((D147/D30)*100)," "),"")</f>
        <v>96.698040308710461</v>
      </c>
      <c r="E186" s="60">
        <f t="shared" si="49"/>
        <v>93.558840692494812</v>
      </c>
      <c r="F186" s="60">
        <f t="shared" si="49"/>
        <v>92.16154710161581</v>
      </c>
      <c r="G186" s="60">
        <f t="shared" si="49"/>
        <v>90.008939079464184</v>
      </c>
      <c r="H186" s="60">
        <f t="shared" si="49"/>
        <v>94.010559996427503</v>
      </c>
      <c r="I186" s="60">
        <f t="shared" si="49"/>
        <v>93.986777453418085</v>
      </c>
      <c r="J186" s="60">
        <f t="shared" si="49"/>
        <v>81.968178158530918</v>
      </c>
      <c r="K186" s="60">
        <f t="shared" si="49"/>
        <v>90.096311050975146</v>
      </c>
      <c r="L186" s="60">
        <f t="shared" si="49"/>
        <v>93.039290261331104</v>
      </c>
      <c r="M186" s="60">
        <f t="shared" si="49"/>
        <v>91.276194977059902</v>
      </c>
      <c r="N186" s="60">
        <f t="shared" si="49"/>
        <v>91.27201189746836</v>
      </c>
      <c r="O186" s="60">
        <f t="shared" si="49"/>
        <v>96.138494326998014</v>
      </c>
      <c r="P186" s="60">
        <f t="shared" si="49"/>
        <v>91.336486194969496</v>
      </c>
      <c r="Q186" s="60">
        <f t="shared" si="49"/>
        <v>93.284943263881516</v>
      </c>
      <c r="R186" s="60">
        <f t="shared" si="49"/>
        <v>94.366341916668404</v>
      </c>
      <c r="S186" s="60">
        <f t="shared" si="49"/>
        <v>94.575217524871618</v>
      </c>
      <c r="T186" s="60">
        <f t="shared" si="49"/>
        <v>91.841819942706977</v>
      </c>
      <c r="U186" s="60">
        <f t="shared" si="49"/>
        <v>94.463774355281757</v>
      </c>
      <c r="V186" s="60">
        <f t="shared" si="49"/>
        <v>88.104971053042433</v>
      </c>
    </row>
    <row r="187" spans="3:22" x14ac:dyDescent="0.2">
      <c r="C187" s="88" t="s">
        <v>140</v>
      </c>
      <c r="D187" s="62">
        <f t="shared" ref="D187:V187" si="50">+IFERROR(IF(D148&gt;0,+((D148/D31)*100)," "),"")</f>
        <v>90.565699565942637</v>
      </c>
      <c r="E187" s="62">
        <f t="shared" si="50"/>
        <v>74.443432334025559</v>
      </c>
      <c r="F187" s="62">
        <f t="shared" si="50"/>
        <v>86.089944625193851</v>
      </c>
      <c r="G187" s="62">
        <f t="shared" si="50"/>
        <v>77.500973902814209</v>
      </c>
      <c r="H187" s="62">
        <f t="shared" si="50"/>
        <v>72.606355652028938</v>
      </c>
      <c r="I187" s="62">
        <f t="shared" si="50"/>
        <v>69.472282704947546</v>
      </c>
      <c r="J187" s="62">
        <f t="shared" si="50"/>
        <v>67.025948421896018</v>
      </c>
      <c r="K187" s="62">
        <f t="shared" si="50"/>
        <v>79.628446898250402</v>
      </c>
      <c r="L187" s="62">
        <f t="shared" si="50"/>
        <v>92.007940366709462</v>
      </c>
      <c r="M187" s="62">
        <f t="shared" si="50"/>
        <v>78.447474344821515</v>
      </c>
      <c r="N187" s="62">
        <f t="shared" si="50"/>
        <v>84.431089918913898</v>
      </c>
      <c r="O187" s="62">
        <f t="shared" si="50"/>
        <v>86.412882634169364</v>
      </c>
      <c r="P187" s="62">
        <f t="shared" si="50"/>
        <v>83.141538936948862</v>
      </c>
      <c r="Q187" s="62">
        <f t="shared" si="50"/>
        <v>89.511576095832467</v>
      </c>
      <c r="R187" s="62">
        <f t="shared" si="50"/>
        <v>85.185021053638238</v>
      </c>
      <c r="S187" s="62">
        <f t="shared" si="50"/>
        <v>94.802405363513813</v>
      </c>
      <c r="T187" s="62">
        <f t="shared" si="50"/>
        <v>93.588746299842512</v>
      </c>
      <c r="U187" s="62">
        <f t="shared" si="50"/>
        <v>90.34344001263338</v>
      </c>
      <c r="V187" s="62">
        <f t="shared" si="50"/>
        <v>90.972134566346782</v>
      </c>
    </row>
    <row r="188" spans="3:22" x14ac:dyDescent="0.2">
      <c r="C188" s="87" t="s">
        <v>141</v>
      </c>
      <c r="D188" s="60">
        <f t="shared" ref="D188:V188" si="51">+IFERROR(IF(D149&gt;0,+((D149/D32)*100)," "),"")</f>
        <v>94.153461365488084</v>
      </c>
      <c r="E188" s="60">
        <f t="shared" si="51"/>
        <v>95.042073323746564</v>
      </c>
      <c r="F188" s="60">
        <f t="shared" si="51"/>
        <v>93.886363828961265</v>
      </c>
      <c r="G188" s="60">
        <f t="shared" si="51"/>
        <v>93.207399169280279</v>
      </c>
      <c r="H188" s="60">
        <f t="shared" si="51"/>
        <v>84.671865494939254</v>
      </c>
      <c r="I188" s="60">
        <f t="shared" si="51"/>
        <v>92.271450697241079</v>
      </c>
      <c r="J188" s="60">
        <f t="shared" si="51"/>
        <v>93.534099226716165</v>
      </c>
      <c r="K188" s="60">
        <f t="shared" si="51"/>
        <v>94.49889218610619</v>
      </c>
      <c r="L188" s="60">
        <f t="shared" si="51"/>
        <v>93.456583968767646</v>
      </c>
      <c r="M188" s="60">
        <f t="shared" si="51"/>
        <v>91.318445299572261</v>
      </c>
      <c r="N188" s="60">
        <f t="shared" si="51"/>
        <v>90.760387514733878</v>
      </c>
      <c r="O188" s="60">
        <f t="shared" si="51"/>
        <v>92.824886026130287</v>
      </c>
      <c r="P188" s="60">
        <f t="shared" si="51"/>
        <v>87.907090862889788</v>
      </c>
      <c r="Q188" s="60">
        <f t="shared" si="51"/>
        <v>89.857064235729069</v>
      </c>
      <c r="R188" s="60">
        <f t="shared" si="51"/>
        <v>92.527166636604321</v>
      </c>
      <c r="S188" s="60">
        <f t="shared" si="51"/>
        <v>94.803989207463019</v>
      </c>
      <c r="T188" s="60">
        <f t="shared" si="51"/>
        <v>96.290103969004264</v>
      </c>
      <c r="U188" s="60">
        <f t="shared" si="51"/>
        <v>95.378725721211239</v>
      </c>
      <c r="V188" s="60">
        <f t="shared" si="51"/>
        <v>93.765113161595721</v>
      </c>
    </row>
    <row r="189" spans="3:22" x14ac:dyDescent="0.2">
      <c r="C189" s="88" t="s">
        <v>142</v>
      </c>
      <c r="D189" s="62">
        <f t="shared" ref="D189:V189" si="52">+IFERROR(IF(D150&gt;0,+((D150/D33)*100)," "),"")</f>
        <v>83.125201355609633</v>
      </c>
      <c r="E189" s="62">
        <f t="shared" si="52"/>
        <v>89.502347155784918</v>
      </c>
      <c r="F189" s="62">
        <f t="shared" si="52"/>
        <v>96.982798704610786</v>
      </c>
      <c r="G189" s="62">
        <f t="shared" si="52"/>
        <v>94.252310171654244</v>
      </c>
      <c r="H189" s="62">
        <f t="shared" si="52"/>
        <v>83.735253974320798</v>
      </c>
      <c r="I189" s="62">
        <f t="shared" si="52"/>
        <v>82.682070461936036</v>
      </c>
      <c r="J189" s="62">
        <f t="shared" si="52"/>
        <v>72.903858218193761</v>
      </c>
      <c r="K189" s="62">
        <f t="shared" si="52"/>
        <v>68.99919536868228</v>
      </c>
      <c r="L189" s="62">
        <f t="shared" si="52"/>
        <v>81.582634252806784</v>
      </c>
      <c r="M189" s="62">
        <f t="shared" si="52"/>
        <v>74.374756528913082</v>
      </c>
      <c r="N189" s="62">
        <f t="shared" si="52"/>
        <v>93.235084975488007</v>
      </c>
      <c r="O189" s="62">
        <f t="shared" si="52"/>
        <v>87.385977997054098</v>
      </c>
      <c r="P189" s="62">
        <f t="shared" si="52"/>
        <v>85.789606883035958</v>
      </c>
      <c r="Q189" s="62">
        <f t="shared" si="52"/>
        <v>75.36934359805133</v>
      </c>
      <c r="R189" s="62">
        <f t="shared" si="52"/>
        <v>86.219288004984492</v>
      </c>
      <c r="S189" s="62">
        <f t="shared" si="52"/>
        <v>89.036863664963931</v>
      </c>
      <c r="T189" s="62">
        <f t="shared" si="52"/>
        <v>93.600886404939402</v>
      </c>
      <c r="U189" s="62">
        <f t="shared" si="52"/>
        <v>94.201901672010706</v>
      </c>
      <c r="V189" s="62">
        <f t="shared" si="52"/>
        <v>92.859655059334159</v>
      </c>
    </row>
    <row r="190" spans="3:22" x14ac:dyDescent="0.2">
      <c r="C190" s="87" t="s">
        <v>143</v>
      </c>
      <c r="D190" s="60">
        <f t="shared" ref="D190:V190" si="53">+IFERROR(IF(D151&gt;0,+((D151/D34)*100)," "),"")</f>
        <v>90.376394381790732</v>
      </c>
      <c r="E190" s="60">
        <f t="shared" si="53"/>
        <v>96.804269734742533</v>
      </c>
      <c r="F190" s="60">
        <f t="shared" si="53"/>
        <v>89.141935712377105</v>
      </c>
      <c r="G190" s="60">
        <f t="shared" si="53"/>
        <v>90.843117700184933</v>
      </c>
      <c r="H190" s="60">
        <f t="shared" si="53"/>
        <v>96.305892486568069</v>
      </c>
      <c r="I190" s="60">
        <f t="shared" si="53"/>
        <v>91.929830752980152</v>
      </c>
      <c r="J190" s="60">
        <f t="shared" si="53"/>
        <v>90.9343695010907</v>
      </c>
      <c r="K190" s="60">
        <f t="shared" si="53"/>
        <v>97.826636741948619</v>
      </c>
      <c r="L190" s="60">
        <f t="shared" si="53"/>
        <v>96.600122003509341</v>
      </c>
      <c r="M190" s="60">
        <f t="shared" si="53"/>
        <v>90.750228155494952</v>
      </c>
      <c r="N190" s="60">
        <f t="shared" si="53"/>
        <v>90.692568390897975</v>
      </c>
      <c r="O190" s="60">
        <f t="shared" si="53"/>
        <v>92.898172267618676</v>
      </c>
      <c r="P190" s="60">
        <f t="shared" si="53"/>
        <v>94.089285409682418</v>
      </c>
      <c r="Q190" s="60">
        <f t="shared" si="53"/>
        <v>91.669736279959551</v>
      </c>
      <c r="R190" s="60">
        <f t="shared" si="53"/>
        <v>93.781656467979076</v>
      </c>
      <c r="S190" s="60">
        <f t="shared" si="53"/>
        <v>96.392240598895924</v>
      </c>
      <c r="T190" s="60">
        <f t="shared" si="53"/>
        <v>89.216113310959059</v>
      </c>
      <c r="U190" s="60">
        <f t="shared" si="53"/>
        <v>61.130286986388761</v>
      </c>
      <c r="V190" s="60">
        <f t="shared" si="53"/>
        <v>71.124009104963562</v>
      </c>
    </row>
    <row r="191" spans="3:22" x14ac:dyDescent="0.2">
      <c r="C191" s="88" t="s">
        <v>144</v>
      </c>
      <c r="D191" s="62">
        <f t="shared" ref="D191:V191" si="54">+IFERROR(IF(D152&gt;0,+((D152/D35)*100)," "),"")</f>
        <v>99.263490831027298</v>
      </c>
      <c r="E191" s="62">
        <f t="shared" si="54"/>
        <v>96.940333237019672</v>
      </c>
      <c r="F191" s="62">
        <f t="shared" si="54"/>
        <v>94.633855923103425</v>
      </c>
      <c r="G191" s="62">
        <f t="shared" si="54"/>
        <v>98.299344578135219</v>
      </c>
      <c r="H191" s="62">
        <f t="shared" si="54"/>
        <v>86.516142410109694</v>
      </c>
      <c r="I191" s="62">
        <f t="shared" si="54"/>
        <v>98.716395879100233</v>
      </c>
      <c r="J191" s="62">
        <f t="shared" si="54"/>
        <v>97.09592493826635</v>
      </c>
      <c r="K191" s="62">
        <f t="shared" si="54"/>
        <v>98.892013003037832</v>
      </c>
      <c r="L191" s="62">
        <f t="shared" si="54"/>
        <v>98.618307559200687</v>
      </c>
      <c r="M191" s="62">
        <f t="shared" si="54"/>
        <v>97.171539256583387</v>
      </c>
      <c r="N191" s="62">
        <f t="shared" si="54"/>
        <v>96.97682135283263</v>
      </c>
      <c r="O191" s="62">
        <f t="shared" si="54"/>
        <v>95.967363606577507</v>
      </c>
      <c r="P191" s="62">
        <f t="shared" si="54"/>
        <v>97.957057060319215</v>
      </c>
      <c r="Q191" s="62">
        <f t="shared" si="54"/>
        <v>99.31896347922418</v>
      </c>
      <c r="R191" s="62">
        <f t="shared" si="54"/>
        <v>99.515120965483632</v>
      </c>
      <c r="S191" s="62">
        <f t="shared" si="54"/>
        <v>99.259482759956796</v>
      </c>
      <c r="T191" s="62">
        <f t="shared" si="54"/>
        <v>98.645028234825332</v>
      </c>
      <c r="U191" s="62">
        <f t="shared" si="54"/>
        <v>98.275853250997159</v>
      </c>
      <c r="V191" s="62">
        <f t="shared" si="54"/>
        <v>98.513890170793246</v>
      </c>
    </row>
    <row r="192" spans="3:22" x14ac:dyDescent="0.2">
      <c r="C192" s="87" t="s">
        <v>145</v>
      </c>
      <c r="D192" s="60">
        <f t="shared" ref="D192:V192" si="55">+IFERROR(IF(D153&gt;0,+((D153/D36)*100)," "),"")</f>
        <v>97.148050589711261</v>
      </c>
      <c r="E192" s="60">
        <f t="shared" si="55"/>
        <v>70.466687239107898</v>
      </c>
      <c r="F192" s="60">
        <f t="shared" si="55"/>
        <v>75.22542947784298</v>
      </c>
      <c r="G192" s="60">
        <f t="shared" si="55"/>
        <v>72.042343390081442</v>
      </c>
      <c r="H192" s="60">
        <f t="shared" si="55"/>
        <v>90.220257390305051</v>
      </c>
      <c r="I192" s="60">
        <f t="shared" si="55"/>
        <v>95.299952241084469</v>
      </c>
      <c r="J192" s="60">
        <f t="shared" si="55"/>
        <v>85.985707154253149</v>
      </c>
      <c r="K192" s="60">
        <f t="shared" si="55"/>
        <v>91.287178003935878</v>
      </c>
      <c r="L192" s="60">
        <f t="shared" si="55"/>
        <v>94.39187166495023</v>
      </c>
      <c r="M192" s="60">
        <f t="shared" si="55"/>
        <v>95.997896923727481</v>
      </c>
      <c r="N192" s="60">
        <f t="shared" si="55"/>
        <v>97.054552593965639</v>
      </c>
      <c r="O192" s="60">
        <f t="shared" si="55"/>
        <v>89.261472833968497</v>
      </c>
      <c r="P192" s="60">
        <f t="shared" si="55"/>
        <v>90.822214827347594</v>
      </c>
      <c r="Q192" s="60">
        <f t="shared" si="55"/>
        <v>87.371264119703326</v>
      </c>
      <c r="R192" s="60">
        <f t="shared" si="55"/>
        <v>93.630679118357008</v>
      </c>
      <c r="S192" s="60">
        <f t="shared" si="55"/>
        <v>91.248203722195356</v>
      </c>
      <c r="T192" s="60">
        <f t="shared" si="55"/>
        <v>93.760275565230685</v>
      </c>
      <c r="U192" s="60">
        <f t="shared" si="55"/>
        <v>94.35884198785206</v>
      </c>
      <c r="V192" s="60">
        <f t="shared" si="55"/>
        <v>97.196602758159372</v>
      </c>
    </row>
    <row r="193" spans="3:22" x14ac:dyDescent="0.2">
      <c r="C193" s="88" t="s">
        <v>146</v>
      </c>
      <c r="D193" s="62">
        <f t="shared" ref="D193:V193" si="56">+IFERROR(IF(D154&gt;0,+((D154/D37)*100)," "),"")</f>
        <v>92.626159347755362</v>
      </c>
      <c r="E193" s="62">
        <f t="shared" si="56"/>
        <v>93.68289348172263</v>
      </c>
      <c r="F193" s="62">
        <f t="shared" si="56"/>
        <v>92.61043827030646</v>
      </c>
      <c r="G193" s="62">
        <f t="shared" si="56"/>
        <v>97.715805492638154</v>
      </c>
      <c r="H193" s="62">
        <f t="shared" si="56"/>
        <v>90.766909050807669</v>
      </c>
      <c r="I193" s="62">
        <f t="shared" si="56"/>
        <v>86.069159226004615</v>
      </c>
      <c r="J193" s="62">
        <f t="shared" si="56"/>
        <v>90.058383449687923</v>
      </c>
      <c r="K193" s="62">
        <f t="shared" si="56"/>
        <v>84.801641951077315</v>
      </c>
      <c r="L193" s="62">
        <f t="shared" si="56"/>
        <v>90.956836669415353</v>
      </c>
      <c r="M193" s="62">
        <f t="shared" si="56"/>
        <v>93.928560195893056</v>
      </c>
      <c r="N193" s="62">
        <f t="shared" si="56"/>
        <v>83.279536394248836</v>
      </c>
      <c r="O193" s="62">
        <f t="shared" si="56"/>
        <v>96.389794678095015</v>
      </c>
      <c r="P193" s="62">
        <f t="shared" si="56"/>
        <v>96.277260692892824</v>
      </c>
      <c r="Q193" s="62">
        <f t="shared" si="56"/>
        <v>98.78956828614389</v>
      </c>
      <c r="R193" s="62">
        <f t="shared" si="56"/>
        <v>97.988715486372342</v>
      </c>
      <c r="S193" s="62">
        <f t="shared" si="56"/>
        <v>98.690884198703984</v>
      </c>
      <c r="T193" s="62">
        <f t="shared" si="56"/>
        <v>97.500145420015912</v>
      </c>
      <c r="U193" s="62">
        <f t="shared" si="56"/>
        <v>96.018848064060677</v>
      </c>
      <c r="V193" s="62">
        <f t="shared" si="56"/>
        <v>92.419439470017636</v>
      </c>
    </row>
    <row r="194" spans="3:22" x14ac:dyDescent="0.2">
      <c r="C194" s="90" t="s">
        <v>147</v>
      </c>
      <c r="D194" s="61">
        <f t="shared" ref="D194:V194" si="57">+IFERROR(IF(D155&gt;0,+((D155/D38)*100)," "),"")</f>
        <v>96.891741419831774</v>
      </c>
      <c r="E194" s="61">
        <f t="shared" si="57"/>
        <v>98.176519670314292</v>
      </c>
      <c r="F194" s="61">
        <f t="shared" si="57"/>
        <v>98.708838293481406</v>
      </c>
      <c r="G194" s="61">
        <f t="shared" si="57"/>
        <v>96.648496560686468</v>
      </c>
      <c r="H194" s="61">
        <f t="shared" si="57"/>
        <v>92.576896322414981</v>
      </c>
      <c r="I194" s="61">
        <f t="shared" si="57"/>
        <v>93.522353590461037</v>
      </c>
      <c r="J194" s="61">
        <f t="shared" si="57"/>
        <v>95.70767198043275</v>
      </c>
      <c r="K194" s="61">
        <f t="shared" si="57"/>
        <v>97.410337105485752</v>
      </c>
      <c r="L194" s="61">
        <f t="shared" si="57"/>
        <v>99.709426566378909</v>
      </c>
      <c r="M194" s="61">
        <f t="shared" si="57"/>
        <v>94.726803253479034</v>
      </c>
      <c r="N194" s="61">
        <f t="shared" si="57"/>
        <v>86.704105423969509</v>
      </c>
      <c r="O194" s="61">
        <f t="shared" si="57"/>
        <v>98.852693950091364</v>
      </c>
      <c r="P194" s="61">
        <f t="shared" si="57"/>
        <v>98.089918321824214</v>
      </c>
      <c r="Q194" s="61">
        <f t="shared" si="57"/>
        <v>98.840735414450492</v>
      </c>
      <c r="R194" s="61">
        <f t="shared" si="57"/>
        <v>94.485541121061729</v>
      </c>
      <c r="S194" s="61">
        <f t="shared" si="57"/>
        <v>86.978122632100025</v>
      </c>
      <c r="T194" s="61">
        <f t="shared" si="57"/>
        <v>89.215897029136499</v>
      </c>
      <c r="U194" s="61">
        <f t="shared" si="57"/>
        <v>92.772527136357979</v>
      </c>
      <c r="V194" s="61">
        <f t="shared" si="57"/>
        <v>90.695129272485048</v>
      </c>
    </row>
    <row r="195" spans="3:22" ht="22.5" customHeight="1" x14ac:dyDescent="0.2">
      <c r="C195" s="89" t="s">
        <v>148</v>
      </c>
      <c r="D195" s="63" t="str">
        <f t="shared" ref="D195:V195" si="58">+IFERROR(IF(D156&gt;0,+((D156/D39)*100)," "),"")</f>
        <v xml:space="preserve"> </v>
      </c>
      <c r="E195" s="63" t="str">
        <f t="shared" si="58"/>
        <v xml:space="preserve"> </v>
      </c>
      <c r="F195" s="63" t="str">
        <f t="shared" si="58"/>
        <v xml:space="preserve"> </v>
      </c>
      <c r="G195" s="63" t="str">
        <f t="shared" si="58"/>
        <v xml:space="preserve"> </v>
      </c>
      <c r="H195" s="63" t="str">
        <f t="shared" si="58"/>
        <v xml:space="preserve"> </v>
      </c>
      <c r="I195" s="63" t="str">
        <f t="shared" si="58"/>
        <v xml:space="preserve"> </v>
      </c>
      <c r="J195" s="63" t="str">
        <f t="shared" si="58"/>
        <v xml:space="preserve"> </v>
      </c>
      <c r="K195" s="63" t="str">
        <f t="shared" si="58"/>
        <v xml:space="preserve"> </v>
      </c>
      <c r="L195" s="63" t="str">
        <f t="shared" si="58"/>
        <v xml:space="preserve"> </v>
      </c>
      <c r="M195" s="63" t="str">
        <f t="shared" si="58"/>
        <v xml:space="preserve"> </v>
      </c>
      <c r="N195" s="63" t="str">
        <f t="shared" si="58"/>
        <v xml:space="preserve"> </v>
      </c>
      <c r="O195" s="63" t="str">
        <f t="shared" si="58"/>
        <v xml:space="preserve"> </v>
      </c>
      <c r="P195" s="63" t="str">
        <f t="shared" si="58"/>
        <v xml:space="preserve"> </v>
      </c>
      <c r="Q195" s="63" t="str">
        <f t="shared" si="58"/>
        <v xml:space="preserve"> </v>
      </c>
      <c r="R195" s="63" t="str">
        <f t="shared" si="58"/>
        <v xml:space="preserve"> </v>
      </c>
      <c r="S195" s="63" t="str">
        <f t="shared" si="58"/>
        <v xml:space="preserve"> </v>
      </c>
      <c r="T195" s="63" t="str">
        <f t="shared" si="58"/>
        <v xml:space="preserve"> </v>
      </c>
      <c r="U195" s="63">
        <f t="shared" si="58"/>
        <v>59.926249401054143</v>
      </c>
      <c r="V195" s="63">
        <f t="shared" si="58"/>
        <v>77.857542494365092</v>
      </c>
    </row>
    <row r="196" spans="3:22" x14ac:dyDescent="0.2">
      <c r="C196" s="87" t="s">
        <v>149</v>
      </c>
      <c r="D196" s="60">
        <f t="shared" ref="D196:V196" si="59">+IFERROR(IF(D157&gt;0,+((D157/D40)*100)," "),"")</f>
        <v>75.755486168337967</v>
      </c>
      <c r="E196" s="60">
        <f t="shared" si="59"/>
        <v>83.26061861660078</v>
      </c>
      <c r="F196" s="60">
        <f t="shared" si="59"/>
        <v>87.917278677386889</v>
      </c>
      <c r="G196" s="60">
        <f t="shared" si="59"/>
        <v>89.90246837873508</v>
      </c>
      <c r="H196" s="60">
        <f t="shared" si="59"/>
        <v>90.042910928175729</v>
      </c>
      <c r="I196" s="60">
        <f t="shared" si="59"/>
        <v>86.42148663640927</v>
      </c>
      <c r="J196" s="60">
        <f t="shared" si="59"/>
        <v>67.790865185200687</v>
      </c>
      <c r="K196" s="60">
        <f t="shared" si="59"/>
        <v>95.063533800782409</v>
      </c>
      <c r="L196" s="60">
        <f t="shared" si="59"/>
        <v>92.067951963293069</v>
      </c>
      <c r="M196" s="60">
        <f t="shared" si="59"/>
        <v>31.145675758440404</v>
      </c>
      <c r="N196" s="60">
        <f t="shared" si="59"/>
        <v>79.277878541012385</v>
      </c>
      <c r="O196" s="60">
        <f t="shared" si="59"/>
        <v>90.44176518242574</v>
      </c>
      <c r="P196" s="60">
        <f t="shared" si="59"/>
        <v>77.652717509345521</v>
      </c>
      <c r="Q196" s="60">
        <f t="shared" si="59"/>
        <v>58.589071892760636</v>
      </c>
      <c r="R196" s="60">
        <f t="shared" si="59"/>
        <v>49.857317436833647</v>
      </c>
      <c r="S196" s="60">
        <f t="shared" si="59"/>
        <v>82.545760018256146</v>
      </c>
      <c r="T196" s="60">
        <f t="shared" si="59"/>
        <v>93.562717896167342</v>
      </c>
      <c r="U196" s="60">
        <f t="shared" si="59"/>
        <v>95.085399528129741</v>
      </c>
      <c r="V196" s="60">
        <f t="shared" si="59"/>
        <v>90.691543500879362</v>
      </c>
    </row>
    <row r="197" spans="3:22" x14ac:dyDescent="0.2">
      <c r="C197" s="88" t="s">
        <v>150</v>
      </c>
      <c r="D197" s="62">
        <f t="shared" ref="D197:V197" si="60">+IFERROR(IF(D158&gt;0,+((D158/D41)*100)," "),"")</f>
        <v>86.957057821452636</v>
      </c>
      <c r="E197" s="62">
        <f t="shared" si="60"/>
        <v>87.400434981976943</v>
      </c>
      <c r="F197" s="62">
        <f t="shared" si="60"/>
        <v>34.670534624005882</v>
      </c>
      <c r="G197" s="62">
        <f t="shared" si="60"/>
        <v>86.146366515959286</v>
      </c>
      <c r="H197" s="62">
        <f t="shared" si="60"/>
        <v>87.773863826191601</v>
      </c>
      <c r="I197" s="62">
        <f t="shared" si="60"/>
        <v>78.578417892879955</v>
      </c>
      <c r="J197" s="62">
        <f t="shared" si="60"/>
        <v>65.091393238721736</v>
      </c>
      <c r="K197" s="62">
        <f t="shared" si="60"/>
        <v>82.000561018430602</v>
      </c>
      <c r="L197" s="62">
        <f t="shared" si="60"/>
        <v>96.011585878649825</v>
      </c>
      <c r="M197" s="62">
        <f t="shared" si="60"/>
        <v>90.272888561793849</v>
      </c>
      <c r="N197" s="62">
        <f t="shared" si="60"/>
        <v>75.48028365597429</v>
      </c>
      <c r="O197" s="62">
        <f t="shared" si="60"/>
        <v>81.318896343710804</v>
      </c>
      <c r="P197" s="62">
        <f t="shared" si="60"/>
        <v>86.133593914345326</v>
      </c>
      <c r="Q197" s="62">
        <f t="shared" si="60"/>
        <v>88.122982100836438</v>
      </c>
      <c r="R197" s="62">
        <f t="shared" si="60"/>
        <v>89.623223793899612</v>
      </c>
      <c r="S197" s="62">
        <f t="shared" si="60"/>
        <v>87.415262435793508</v>
      </c>
      <c r="T197" s="62">
        <f t="shared" si="60"/>
        <v>91.909530573607384</v>
      </c>
      <c r="U197" s="62">
        <f t="shared" si="60"/>
        <v>91.862206382640252</v>
      </c>
      <c r="V197" s="62">
        <f t="shared" si="60"/>
        <v>92.926475319178479</v>
      </c>
    </row>
    <row r="198" spans="3:22" x14ac:dyDescent="0.2">
      <c r="C198" s="87" t="s">
        <v>151</v>
      </c>
      <c r="D198" s="60">
        <f t="shared" ref="D198:V198" si="61">+IFERROR(IF(D159&gt;0,+((D159/D42)*100)," "),"")</f>
        <v>80.892808347431995</v>
      </c>
      <c r="E198" s="60">
        <f t="shared" si="61"/>
        <v>84.453621619178762</v>
      </c>
      <c r="F198" s="60">
        <f t="shared" si="61"/>
        <v>87.140406198403369</v>
      </c>
      <c r="G198" s="60">
        <f t="shared" si="61"/>
        <v>87.103591288613814</v>
      </c>
      <c r="H198" s="60">
        <f t="shared" si="61"/>
        <v>90.30855451124981</v>
      </c>
      <c r="I198" s="60">
        <f t="shared" si="61"/>
        <v>76.257676700250073</v>
      </c>
      <c r="J198" s="60">
        <f t="shared" si="61"/>
        <v>77.311712916042481</v>
      </c>
      <c r="K198" s="60">
        <f t="shared" si="61"/>
        <v>83.053409534910429</v>
      </c>
      <c r="L198" s="60">
        <f t="shared" si="61"/>
        <v>81.411518646117969</v>
      </c>
      <c r="M198" s="60">
        <f t="shared" si="61"/>
        <v>91.783631067508935</v>
      </c>
      <c r="N198" s="60">
        <f t="shared" si="61"/>
        <v>73.296600735750957</v>
      </c>
      <c r="O198" s="60">
        <f t="shared" si="61"/>
        <v>98.235080078438557</v>
      </c>
      <c r="P198" s="60">
        <f t="shared" si="61"/>
        <v>99.260628206933106</v>
      </c>
      <c r="Q198" s="60">
        <f t="shared" si="61"/>
        <v>99.654572508100074</v>
      </c>
      <c r="R198" s="60">
        <f t="shared" si="61"/>
        <v>99.619142831391343</v>
      </c>
      <c r="S198" s="60">
        <f t="shared" si="61"/>
        <v>99.066646912329944</v>
      </c>
      <c r="T198" s="60">
        <f t="shared" si="61"/>
        <v>99.895084455319179</v>
      </c>
      <c r="U198" s="60">
        <f t="shared" si="61"/>
        <v>99.934895464106191</v>
      </c>
      <c r="V198" s="60">
        <f t="shared" si="61"/>
        <v>99.690632090109304</v>
      </c>
    </row>
    <row r="199" spans="3:22" x14ac:dyDescent="0.2">
      <c r="C199" s="91" t="s">
        <v>179</v>
      </c>
      <c r="D199" s="64">
        <f t="shared" ref="D199:V199" si="62">+IFERROR(IF(D160&gt;0,+((D160/D43)*100)," "),"")</f>
        <v>94.051309074160343</v>
      </c>
      <c r="E199" s="64">
        <f t="shared" si="62"/>
        <v>94.907577082778189</v>
      </c>
      <c r="F199" s="64">
        <f t="shared" si="62"/>
        <v>93.999517285764426</v>
      </c>
      <c r="G199" s="64">
        <f t="shared" si="62"/>
        <v>93.739976043077021</v>
      </c>
      <c r="H199" s="64">
        <f t="shared" si="62"/>
        <v>93.440805797927766</v>
      </c>
      <c r="I199" s="64">
        <f t="shared" si="62"/>
        <v>94.540372470062934</v>
      </c>
      <c r="J199" s="64">
        <f t="shared" si="62"/>
        <v>95.061710012407161</v>
      </c>
      <c r="K199" s="64">
        <f t="shared" si="62"/>
        <v>95.902687494738529</v>
      </c>
      <c r="L199" s="64">
        <f t="shared" si="62"/>
        <v>96.619088386185695</v>
      </c>
      <c r="M199" s="64">
        <f t="shared" si="62"/>
        <v>93.829034090984862</v>
      </c>
      <c r="N199" s="64">
        <f t="shared" si="62"/>
        <v>91.370043709492961</v>
      </c>
      <c r="O199" s="64">
        <f t="shared" si="62"/>
        <v>98.167833618276845</v>
      </c>
      <c r="P199" s="64">
        <f t="shared" si="62"/>
        <v>97.370048114617433</v>
      </c>
      <c r="Q199" s="64">
        <f t="shared" si="62"/>
        <v>97.150172883544897</v>
      </c>
      <c r="R199" s="64">
        <f t="shared" si="62"/>
        <v>94.17483939484832</v>
      </c>
      <c r="S199" s="64">
        <f t="shared" si="62"/>
        <v>95.082502879841428</v>
      </c>
      <c r="T199" s="64">
        <f t="shared" si="62"/>
        <v>95.109222318098858</v>
      </c>
      <c r="U199" s="64">
        <f t="shared" si="62"/>
        <v>96.105148202470048</v>
      </c>
      <c r="V199" s="64">
        <f t="shared" si="62"/>
        <v>94.210779301931041</v>
      </c>
    </row>
    <row r="200" spans="3:22" x14ac:dyDescent="0.2">
      <c r="C200" s="1" t="s">
        <v>52</v>
      </c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</row>
    <row r="204" spans="3:22" ht="18" customHeight="1" x14ac:dyDescent="0.2">
      <c r="D204" s="160" t="s">
        <v>192</v>
      </c>
      <c r="E204" s="158"/>
      <c r="F204" s="158"/>
      <c r="G204" s="158"/>
      <c r="H204" s="158"/>
      <c r="I204" s="158"/>
      <c r="J204" s="158"/>
      <c r="K204" s="158"/>
      <c r="L204" s="158"/>
      <c r="M204" s="158"/>
      <c r="N204" s="158"/>
      <c r="O204" s="158"/>
      <c r="P204" s="158"/>
      <c r="Q204" s="158"/>
      <c r="R204" s="158"/>
      <c r="S204" s="158"/>
      <c r="T204" s="158"/>
      <c r="U204" s="158"/>
      <c r="V204" s="158"/>
    </row>
    <row r="205" spans="3:22" x14ac:dyDescent="0.2"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</row>
    <row r="206" spans="3:22" x14ac:dyDescent="0.2">
      <c r="C206" s="177" t="s">
        <v>120</v>
      </c>
      <c r="D206" s="153">
        <v>2000</v>
      </c>
      <c r="E206" s="153">
        <v>2001</v>
      </c>
      <c r="F206" s="153">
        <v>2002</v>
      </c>
      <c r="G206" s="153">
        <v>2003</v>
      </c>
      <c r="H206" s="153">
        <v>2004</v>
      </c>
      <c r="I206" s="153">
        <v>2005</v>
      </c>
      <c r="J206" s="153">
        <v>2006</v>
      </c>
      <c r="K206" s="153">
        <v>2007</v>
      </c>
      <c r="L206" s="153">
        <v>2008</v>
      </c>
      <c r="M206" s="153">
        <v>2009</v>
      </c>
      <c r="N206" s="153">
        <v>2010</v>
      </c>
      <c r="O206" s="153">
        <v>2011</v>
      </c>
      <c r="P206" s="153">
        <v>2012</v>
      </c>
      <c r="Q206" s="153">
        <v>2013</v>
      </c>
      <c r="R206" s="153">
        <v>2014</v>
      </c>
      <c r="S206" s="153">
        <v>2015</v>
      </c>
      <c r="T206" s="153">
        <v>2016</v>
      </c>
      <c r="U206" s="153">
        <v>2017</v>
      </c>
      <c r="V206" s="153">
        <v>2018</v>
      </c>
    </row>
    <row r="207" spans="3:22" ht="15.75" customHeight="1" thickBot="1" x14ac:dyDescent="0.25">
      <c r="C207" s="156"/>
      <c r="D207" s="154"/>
      <c r="E207" s="154"/>
      <c r="F207" s="154"/>
      <c r="G207" s="154"/>
      <c r="H207" s="154"/>
      <c r="I207" s="154"/>
      <c r="J207" s="154"/>
      <c r="K207" s="154"/>
      <c r="L207" s="154"/>
      <c r="M207" s="154"/>
      <c r="N207" s="154"/>
      <c r="O207" s="154"/>
      <c r="P207" s="154"/>
      <c r="Q207" s="154"/>
      <c r="R207" s="154"/>
      <c r="S207" s="154"/>
      <c r="T207" s="154"/>
      <c r="U207" s="154"/>
      <c r="V207" s="154"/>
    </row>
    <row r="208" spans="3:22" x14ac:dyDescent="0.2">
      <c r="C208" s="87" t="s">
        <v>123</v>
      </c>
      <c r="D208" s="56">
        <f>190.81191992049*Deflactores!$A$5</f>
        <v>692.75395770171087</v>
      </c>
      <c r="E208" s="56">
        <f>209.73321253941*Deflactores!$B$5</f>
        <v>707.34865388504659</v>
      </c>
      <c r="F208" s="56">
        <f>205.30808789014*Deflactores!$C$5</f>
        <v>647.17498528372141</v>
      </c>
      <c r="G208" s="56">
        <f>240.0807341775*Deflactores!$D$5</f>
        <v>710.65463674388218</v>
      </c>
      <c r="H208" s="56">
        <f>220.86262768081*Deflactores!$E$5</f>
        <v>619.70282955582729</v>
      </c>
      <c r="I208" s="56">
        <f>234.80758071328*Deflactores!$F$5</f>
        <v>628.32382609681622</v>
      </c>
      <c r="J208" s="56">
        <f>317.7859931594*Deflactores!$G$5</f>
        <v>813.91964350094986</v>
      </c>
      <c r="K208" s="56">
        <f>394.45126918492*Deflactores!$H$5</f>
        <v>955.84595663069524</v>
      </c>
      <c r="L208" s="56">
        <f>687.23236389085*Deflactores!$I$5</f>
        <v>1546.6277857812706</v>
      </c>
      <c r="M208" s="56">
        <f>319.81854770821*Deflactores!$J$5</f>
        <v>705.63153545299474</v>
      </c>
      <c r="N208" s="56">
        <f>380.49384098087*Deflactores!$K$5</f>
        <v>813.69826629085401</v>
      </c>
      <c r="O208" s="56">
        <f>267.38194129043*Deflactores!$L$5</f>
        <v>551.26108077386107</v>
      </c>
      <c r="P208" s="56">
        <f>328.90855245094*Deflactores!$M$5</f>
        <v>661.95864255196784</v>
      </c>
      <c r="Q208" s="56">
        <f>1140.51579363006*Deflactores!$N$5</f>
        <v>2251.7095239763503</v>
      </c>
      <c r="R208" s="56">
        <f>350.46455353008*Deflactores!$O$5</f>
        <v>667.48875851379921</v>
      </c>
      <c r="S208" s="56">
        <f>471.155924374379*Deflactores!$P$5</f>
        <v>840.45655782721383</v>
      </c>
      <c r="T208" s="56">
        <f>459.73960827667*Deflactores!$Q$5</f>
        <v>775.50063764298238</v>
      </c>
      <c r="U208" s="56">
        <f>485.80056465561*Deflactores!$R$5</f>
        <v>787.2619190372634</v>
      </c>
      <c r="V208" s="56">
        <f>532.932947303866*Deflactores!$S$5</f>
        <v>837.02470406147324</v>
      </c>
    </row>
    <row r="209" spans="3:22" x14ac:dyDescent="0.2">
      <c r="C209" s="88" t="s">
        <v>124</v>
      </c>
      <c r="D209" s="57">
        <f>77.9205900544899*Deflactores!$A$5</f>
        <v>282.89530952360553</v>
      </c>
      <c r="E209" s="57">
        <f>86.69498750176*Deflactores!$B$5</f>
        <v>292.38851570267076</v>
      </c>
      <c r="F209" s="57">
        <f>88.51588976996*Deflactores!$C$5</f>
        <v>279.02100812464153</v>
      </c>
      <c r="G209" s="57">
        <f>93.3216623667799*Deflactores!$D$5</f>
        <v>276.2382091874432</v>
      </c>
      <c r="H209" s="57">
        <f>98.6642969653599*Deflactores!$E$5</f>
        <v>276.83517418769901</v>
      </c>
      <c r="I209" s="57">
        <f>107.57368463658*Deflactores!$F$5</f>
        <v>287.85744017661307</v>
      </c>
      <c r="J209" s="57">
        <f>111.37607583569*Deflactores!$G$5</f>
        <v>285.25856359329646</v>
      </c>
      <c r="K209" s="57">
        <f>119.61262557922*Deflactores!$H$5</f>
        <v>289.84884434046489</v>
      </c>
      <c r="L209" s="57">
        <f>1042.77443049745*Deflactores!$I$5</f>
        <v>2346.7810790787321</v>
      </c>
      <c r="M209" s="57">
        <f>1250.18980882238*Deflactores!$J$5</f>
        <v>2758.355826228948</v>
      </c>
      <c r="N209" s="57">
        <f>1349.56004971954*Deflactores!$K$5</f>
        <v>2886.0773932143602</v>
      </c>
      <c r="O209" s="57">
        <f>1088.63916073869*Deflactores!$L$5</f>
        <v>2244.4462682306012</v>
      </c>
      <c r="P209" s="57">
        <f>186.45614076496*Deflactores!$M$5</f>
        <v>375.26009255919791</v>
      </c>
      <c r="Q209" s="57">
        <f>211.32842344426*Deflactores!$N$5</f>
        <v>417.22370388383678</v>
      </c>
      <c r="R209" s="57">
        <f>234.06842265035*Deflactores!$O$5</f>
        <v>445.80269036753128</v>
      </c>
      <c r="S209" s="57">
        <f>233.97042085248*Deflactores!$P$5</f>
        <v>417.36071727033794</v>
      </c>
      <c r="T209" s="57">
        <f>246.41467479507*Deflactores!$Q$5</f>
        <v>415.65863368719067</v>
      </c>
      <c r="U209" s="57">
        <f>260.13502856489*Deflactores!$R$5</f>
        <v>421.56064997987369</v>
      </c>
      <c r="V209" s="57">
        <f>276.37884380539*Deflactores!$S$5</f>
        <v>434.08072463036581</v>
      </c>
    </row>
    <row r="210" spans="3:22" x14ac:dyDescent="0.2">
      <c r="C210" s="87" t="s">
        <v>125</v>
      </c>
      <c r="D210" s="56">
        <f>6.33798051839999*Deflactores!$A$5</f>
        <v>23.010413027590165</v>
      </c>
      <c r="E210" s="56">
        <f>3.554264065*Deflactores!$B$5</f>
        <v>11.987152017982512</v>
      </c>
      <c r="F210" s="56">
        <f>3.972081537*Deflactores!$C$5</f>
        <v>12.520850185060695</v>
      </c>
      <c r="G210" s="56">
        <f>4.39576342712*Deflactores!$D$5</f>
        <v>13.011746536906294</v>
      </c>
      <c r="H210" s="56">
        <f>4.455573171*Deflactores!$E$5</f>
        <v>12.501577701738244</v>
      </c>
      <c r="I210" s="56">
        <f>4.629562808*Deflactores!$F$5</f>
        <v>12.38829090543738</v>
      </c>
      <c r="J210" s="56">
        <f>4.7170987258*Deflactores!$G$5</f>
        <v>12.08152466095674</v>
      </c>
      <c r="K210" s="56">
        <f>4.955500806*Deflactores!$H$5</f>
        <v>12.008315801044294</v>
      </c>
      <c r="L210" s="56">
        <f>5.143187316*Deflactores!$I$5</f>
        <v>11.574828003395353</v>
      </c>
      <c r="M210" s="56">
        <f>6.442328415*Deflactores!$J$5</f>
        <v>14.214028935921561</v>
      </c>
      <c r="N210" s="56">
        <f>8.76900223808*Deflactores!$K$5</f>
        <v>18.752792160399402</v>
      </c>
      <c r="O210" s="56">
        <f>9.162576116*Deflactores!$L$5</f>
        <v>18.890474008835795</v>
      </c>
      <c r="P210" s="56">
        <f>11.89081820297*Deflactores!$M$5</f>
        <v>23.931362738414421</v>
      </c>
      <c r="Q210" s="56">
        <f>15.49360572838*Deflactores!$N$5</f>
        <v>30.588878974037105</v>
      </c>
      <c r="R210" s="56">
        <f>19.91089945656*Deflactores!$O$5</f>
        <v>37.921956515387279</v>
      </c>
      <c r="S210" s="56">
        <f>19.39479378514*Deflactores!$P$5</f>
        <v>34.596787987059443</v>
      </c>
      <c r="T210" s="56">
        <f>20.15224293803*Deflactores!$Q$5</f>
        <v>33.993323540167154</v>
      </c>
      <c r="U210" s="56">
        <f>21.13743153684*Deflactores!$R$5</f>
        <v>34.254169562376333</v>
      </c>
      <c r="V210" s="56">
        <f>21.83056839667*Deflactores!$S$5</f>
        <v>34.287099613861507</v>
      </c>
    </row>
    <row r="211" spans="3:22" x14ac:dyDescent="0.2">
      <c r="C211" s="88" t="s">
        <v>126</v>
      </c>
      <c r="D211" s="57">
        <f>91.84214100567*Deflactores!$A$5</f>
        <v>333.43832341285679</v>
      </c>
      <c r="E211" s="57">
        <f>106.328685986959*Deflactores!$B$5</f>
        <v>358.60535387598009</v>
      </c>
      <c r="F211" s="57">
        <f>108.334963511579*Deflactores!$C$5</f>
        <v>341.49496562373753</v>
      </c>
      <c r="G211" s="57">
        <f>105.580068922059*Deflactores!$D$5</f>
        <v>312.52389236583593</v>
      </c>
      <c r="H211" s="57">
        <f>104.20152409346*Deflactores!$E$5</f>
        <v>292.37168824265274</v>
      </c>
      <c r="I211" s="57">
        <f>119.12197498223*Deflactores!$F$5</f>
        <v>318.7596195390247</v>
      </c>
      <c r="J211" s="57">
        <f>152.31987986323*Deflactores!$G$5</f>
        <v>390.12462784727524</v>
      </c>
      <c r="K211" s="57">
        <f>170.588728237069*Deflactores!$H$5</f>
        <v>413.37564072010497</v>
      </c>
      <c r="L211" s="57">
        <f>151.494195207539*Deflactores!$I$5</f>
        <v>340.94018850626372</v>
      </c>
      <c r="M211" s="57">
        <f>180.295183787739*Deflactores!$J$5</f>
        <v>397.79421263270359</v>
      </c>
      <c r="N211" s="57">
        <f>130.76485644268*Deflactores!$K$5</f>
        <v>279.64483394760322</v>
      </c>
      <c r="O211" s="57">
        <f>247.571045715879*Deflactores!$L$5</f>
        <v>510.41697719372161</v>
      </c>
      <c r="P211" s="57">
        <f>321.859467761919*Deflactores!$M$5</f>
        <v>647.77171278925152</v>
      </c>
      <c r="Q211" s="57">
        <f>424.311254813609*Deflactores!$N$5</f>
        <v>837.71368965721069</v>
      </c>
      <c r="R211" s="57">
        <f>375.688677383497*Deflactores!$O$5</f>
        <v>715.53019079539661</v>
      </c>
      <c r="S211" s="57">
        <f>353.804253219889*Deflactores!$P$5</f>
        <v>631.12249984049197</v>
      </c>
      <c r="T211" s="57">
        <f>351.65991617186*Deflactores!$Q$5</f>
        <v>593.18902334087682</v>
      </c>
      <c r="U211" s="57">
        <f>387.921177734899*Deflactores!$R$5</f>
        <v>628.64391900258613</v>
      </c>
      <c r="V211" s="57">
        <f>374.499325710399*Deflactores!$S$5</f>
        <v>588.18879346792846</v>
      </c>
    </row>
    <row r="212" spans="3:22" x14ac:dyDescent="0.2">
      <c r="C212" s="87" t="s">
        <v>127</v>
      </c>
      <c r="D212" s="56">
        <f>162.36267304875*Deflactores!$A$5</f>
        <v>589.46728477140744</v>
      </c>
      <c r="E212" s="56">
        <f>176.212293919919*Deflactores!$B$5</f>
        <v>594.29561676517824</v>
      </c>
      <c r="F212" s="56">
        <f>183.29421470424*Deflactores!$C$5</f>
        <v>577.78255071608771</v>
      </c>
      <c r="G212" s="56">
        <f>202.09252200271*Deflactores!$D$5</f>
        <v>598.20705024297843</v>
      </c>
      <c r="H212" s="56">
        <f>212.161283088139*Deflactores!$E$5</f>
        <v>595.28834204546683</v>
      </c>
      <c r="I212" s="56">
        <f>231.94569825457*Deflactores!$F$5</f>
        <v>620.66568775718667</v>
      </c>
      <c r="J212" s="56">
        <f>242.99062646452*Deflactores!$G$5</f>
        <v>622.35230099292528</v>
      </c>
      <c r="K212" s="56">
        <f>268.66944381075*Deflactores!$H$5</f>
        <v>651.04772528018259</v>
      </c>
      <c r="L212" s="56">
        <f>289.04270815675*Deflactores!$I$5</f>
        <v>650.49538875281758</v>
      </c>
      <c r="M212" s="56">
        <f>316.38868377417*Deflactores!$J$5</f>
        <v>698.06405641991614</v>
      </c>
      <c r="N212" s="56">
        <f>328.81422351707*Deflactores!$K$5</f>
        <v>703.17974902796141</v>
      </c>
      <c r="O212" s="56">
        <f>345.454967359439*Deflactores!$L$5</f>
        <v>712.22416048813113</v>
      </c>
      <c r="P212" s="56">
        <f>367.166575577604*Deflactores!$M$5</f>
        <v>738.95642466171034</v>
      </c>
      <c r="Q212" s="56">
        <f>382.795632382603*Deflactores!$N$5</f>
        <v>755.7497896886108</v>
      </c>
      <c r="R212" s="56">
        <f>396.431686182995*Deflactores!$O$5</f>
        <v>755.03696844795991</v>
      </c>
      <c r="S212" s="56">
        <f>406.117934026556*Deflactores!$P$5</f>
        <v>724.44060075671132</v>
      </c>
      <c r="T212" s="56">
        <f>433.734510099165*Deflactores!$Q$5</f>
        <v>731.63456681602179</v>
      </c>
      <c r="U212" s="56">
        <f>469.19364448913*Deflactores!$R$5</f>
        <v>760.34964928963564</v>
      </c>
      <c r="V212" s="56">
        <f>494.88406861495*Deflactores!$S$5</f>
        <v>777.26511969803585</v>
      </c>
    </row>
    <row r="213" spans="3:22" x14ac:dyDescent="0.2">
      <c r="C213" s="88" t="s">
        <v>128</v>
      </c>
      <c r="D213" s="57">
        <f>32.86034452761*Deflactores!$A$5</f>
        <v>119.30142379170674</v>
      </c>
      <c r="E213" s="57">
        <f>38.2875147046499*Deflactores!$B$5</f>
        <v>129.12891410486102</v>
      </c>
      <c r="F213" s="57">
        <f>37.19979481571*Deflactores!$C$5</f>
        <v>117.26170610140282</v>
      </c>
      <c r="G213" s="57">
        <f>44.18954541571*Deflactores!$D$5</f>
        <v>130.80393748738277</v>
      </c>
      <c r="H213" s="57">
        <f>47.95293273514*Deflactores!$E$5</f>
        <v>134.54774315377978</v>
      </c>
      <c r="I213" s="57">
        <f>60.60692285921*Deflactores!$F$5</f>
        <v>162.17863811370415</v>
      </c>
      <c r="J213" s="57">
        <f>66.81997903808*Deflactores!$G$5</f>
        <v>171.14062510028631</v>
      </c>
      <c r="K213" s="57">
        <f>75.80015068328*Deflactores!$H$5</f>
        <v>183.68116216820763</v>
      </c>
      <c r="L213" s="57">
        <f>91.07809049364*Deflactores!$I$5</f>
        <v>204.97274696995703</v>
      </c>
      <c r="M213" s="57">
        <f>91.79113710796*Deflactores!$J$5</f>
        <v>202.52334169674378</v>
      </c>
      <c r="N213" s="57">
        <f>101.32260183592*Deflactores!$K$5</f>
        <v>216.68162942514417</v>
      </c>
      <c r="O213" s="57">
        <f>110.415107144769*Deflactores!$L$5</f>
        <v>227.64271590156775</v>
      </c>
      <c r="P213" s="57">
        <f>135.706278626989*Deflactores!$M$5</f>
        <v>273.12133818441856</v>
      </c>
      <c r="Q213" s="57">
        <f>195.719251468519*Deflactores!$N$5</f>
        <v>386.40666356272641</v>
      </c>
      <c r="R213" s="57">
        <f>186.19187554746*Deflactores!$O$5</f>
        <v>354.61784252558647</v>
      </c>
      <c r="S213" s="57">
        <f>211.31479571114*Deflactores!$P$5</f>
        <v>376.94719865227563</v>
      </c>
      <c r="T213" s="57">
        <f>196.188194422519*Deflactores!$Q$5</f>
        <v>330.93531019221859</v>
      </c>
      <c r="U213" s="57">
        <f>194.207832147579*Deflactores!$R$5</f>
        <v>314.72262848635654</v>
      </c>
      <c r="V213" s="57">
        <f>248.073415535839*Deflactores!$S$5</f>
        <v>389.62420746340342</v>
      </c>
    </row>
    <row r="214" spans="3:22" x14ac:dyDescent="0.2">
      <c r="C214" s="87" t="s">
        <v>129</v>
      </c>
      <c r="D214" s="56">
        <f>4824.80088900603*Deflactores!$A$5</f>
        <v>17516.724910972098</v>
      </c>
      <c r="E214" s="56">
        <f>5714.30374510999*Deflactores!$B$5</f>
        <v>19272.126779798011</v>
      </c>
      <c r="F214" s="56">
        <f>6231.34185930912*Deflactores!$C$5</f>
        <v>19642.521722057751</v>
      </c>
      <c r="G214" s="56">
        <f>7134.45738836671*Deflactores!$D$5</f>
        <v>21118.459342705624</v>
      </c>
      <c r="H214" s="56">
        <f>7987.73038966481*Deflactores!$E$5</f>
        <v>22412.207878637149</v>
      </c>
      <c r="I214" s="56">
        <f>8961.93128999678*Deflactores!$F$5</f>
        <v>23981.316702987864</v>
      </c>
      <c r="J214" s="56">
        <f>10164.5337503961*Deflactores!$G$5</f>
        <v>26033.600802304747</v>
      </c>
      <c r="K214" s="56">
        <f>11939.2889092015*Deflactores!$H$5</f>
        <v>28931.637239975309</v>
      </c>
      <c r="L214" s="56">
        <f>13530.2768215586*Deflactores!$I$5</f>
        <v>30450.111463112724</v>
      </c>
      <c r="M214" s="56">
        <f>15054.9943211553*Deflactores!$J$5</f>
        <v>33216.581199553177</v>
      </c>
      <c r="N214" s="56">
        <f>16317.1720566695*Deflactores!$K$5</f>
        <v>34894.795088021092</v>
      </c>
      <c r="O214" s="56">
        <f>17690.7538679215*Deflactores!$L$5</f>
        <v>36473.009545330184</v>
      </c>
      <c r="P214" s="56">
        <f>19275.0694648838*Deflactores!$M$5</f>
        <v>38792.845984059786</v>
      </c>
      <c r="Q214" s="56">
        <f>20802.0685359096*Deflactores!$N$5</f>
        <v>41069.3267926017</v>
      </c>
      <c r="R214" s="56">
        <f>21770.3360362536*Deflactores!$O$5</f>
        <v>41463.407431359301</v>
      </c>
      <c r="S214" s="56">
        <f>22543.5187651304*Deflactores!$P$5</f>
        <v>40213.54121316236</v>
      </c>
      <c r="T214" s="56">
        <f>24171.8287510089*Deflactores!$Q$5</f>
        <v>40773.66463957903</v>
      </c>
      <c r="U214" s="56">
        <f>25480.5799513828*Deflactores!$R$5</f>
        <v>41292.439182174981</v>
      </c>
      <c r="V214" s="56">
        <f>27507.5468583789*Deflactores!$S$5</f>
        <v>43203.364297654647</v>
      </c>
    </row>
    <row r="215" spans="3:22" x14ac:dyDescent="0.2">
      <c r="C215" s="88" t="s">
        <v>130</v>
      </c>
      <c r="D215" s="57">
        <f>5.234617253*Deflactores!$A$5</f>
        <v>19.004587452295759</v>
      </c>
      <c r="E215" s="57">
        <f>5.65264882324*Deflactores!$B$5</f>
        <v>19.064188678521226</v>
      </c>
      <c r="F215" s="57">
        <f>4.61849465302*Deflactores!$C$5</f>
        <v>14.558482521646003</v>
      </c>
      <c r="G215" s="57">
        <f>4.95865452890999*Deflactores!$D$5</f>
        <v>14.67794092288805</v>
      </c>
      <c r="H215" s="57">
        <f>6.08440611472999*Deflactores!$E$5</f>
        <v>17.071804881874819</v>
      </c>
      <c r="I215" s="57">
        <f>6.203210653*Deflactores!$F$5</f>
        <v>16.599230057809848</v>
      </c>
      <c r="J215" s="57">
        <f>5.257346271*Deflactores!$G$5</f>
        <v>13.465217142238906</v>
      </c>
      <c r="K215" s="57">
        <f>5.975413728*Deflactores!$H$5</f>
        <v>14.479798893552918</v>
      </c>
      <c r="L215" s="57">
        <f>6.276086411*Deflactores!$I$5</f>
        <v>14.124436128503595</v>
      </c>
      <c r="M215" s="57">
        <f>6.8499299144*Deflactores!$J$5</f>
        <v>15.113340354648203</v>
      </c>
      <c r="N215" s="57">
        <f>9.505003788*Deflactores!$K$5</f>
        <v>20.326755049295137</v>
      </c>
      <c r="O215" s="57">
        <f>8.42833242*Deflactores!$L$5</f>
        <v>17.376684515592853</v>
      </c>
      <c r="P215" s="57">
        <f>15.06537560569*Deflactores!$M$5</f>
        <v>30.320450809699164</v>
      </c>
      <c r="Q215" s="57">
        <f>21.74828914771*Deflactores!$N$5</f>
        <v>42.937441180209014</v>
      </c>
      <c r="R215" s="57">
        <f>23.99024368324*Deflactores!$O$5</f>
        <v>45.69140533978419</v>
      </c>
      <c r="S215" s="57">
        <f>27.1787077522399*Deflactores!$P$5</f>
        <v>48.481876130435246</v>
      </c>
      <c r="T215" s="57">
        <f>57.40816521729*Deflactores!$Q$5</f>
        <v>96.837574858527347</v>
      </c>
      <c r="U215" s="57">
        <f>54.23050693398*Deflactores!$R$5</f>
        <v>87.883003984309369</v>
      </c>
      <c r="V215" s="57">
        <f>36.46642153386*Deflactores!$S$5</f>
        <v>57.274176511283379</v>
      </c>
    </row>
    <row r="216" spans="3:22" x14ac:dyDescent="0.2">
      <c r="C216" s="87" t="s">
        <v>131</v>
      </c>
      <c r="D216" s="56">
        <f>4476.10492947814*Deflactores!$A$5</f>
        <v>16250.76361202286</v>
      </c>
      <c r="E216" s="56">
        <f>7198.47927485531*Deflactores!$B$5</f>
        <v>24277.674305549135</v>
      </c>
      <c r="F216" s="56">
        <f>8041.73101258467*Deflactores!$C$5</f>
        <v>25349.255371322728</v>
      </c>
      <c r="G216" s="56">
        <f>9420.98033797129*Deflactores!$D$5</f>
        <v>27886.71645306762</v>
      </c>
      <c r="H216" s="56">
        <f>10801.9562632341*Deflactores!$E$5</f>
        <v>30308.445260094501</v>
      </c>
      <c r="I216" s="56">
        <f>11866.4841818878*Deflactores!$F$5</f>
        <v>31753.63725835365</v>
      </c>
      <c r="J216" s="56">
        <f>12701.5744866034*Deflactores!$G$5</f>
        <v>32531.51869677112</v>
      </c>
      <c r="K216" s="56">
        <f>13574.4027946816*Deflactores!$H$5</f>
        <v>32893.893463149383</v>
      </c>
      <c r="L216" s="56">
        <f>14996.1483184049*Deflactores!$I$5</f>
        <v>33749.079478197869</v>
      </c>
      <c r="M216" s="56">
        <f>17545.867864041*Deflactores!$J$5</f>
        <v>38712.319127452465</v>
      </c>
      <c r="N216" s="56">
        <f>19122.8327912726*Deflactores!$K$5</f>
        <v>40894.790435282572</v>
      </c>
      <c r="O216" s="56">
        <f>20547.6032308361*Deflactores!$L$5</f>
        <v>42362.973017836346</v>
      </c>
      <c r="P216" s="56">
        <f>21501.8562934668*Deflactores!$M$5</f>
        <v>43274.458807190233</v>
      </c>
      <c r="Q216" s="56">
        <f>23458.484202917*Deflactores!$N$5</f>
        <v>46313.863072106054</v>
      </c>
      <c r="R216" s="56">
        <f>24460.6249382057*Deflactores!$O$5</f>
        <v>46587.285384549599</v>
      </c>
      <c r="S216" s="56">
        <f>26483.4074902814*Deflactores!$P$5</f>
        <v>47241.586802442704</v>
      </c>
      <c r="T216" s="56">
        <f>28740.369286571*Deflactores!$Q$5</f>
        <v>48479.996734189663</v>
      </c>
      <c r="U216" s="56">
        <f>32282.5909599334*Deflactores!$R$5</f>
        <v>52315.407514252445</v>
      </c>
      <c r="V216" s="56">
        <f>34654.8563010278*Deflactores!$S$5</f>
        <v>54428.931418874308</v>
      </c>
    </row>
    <row r="217" spans="3:22" x14ac:dyDescent="0.2">
      <c r="C217" s="88" t="s">
        <v>132</v>
      </c>
      <c r="D217" s="57">
        <f>6.87251134135*Deflactores!$A$5</f>
        <v>24.951058786337693</v>
      </c>
      <c r="E217" s="57">
        <f>7.22846594450999*Deflactores!$B$5</f>
        <v>24.378807693808984</v>
      </c>
      <c r="F217" s="57">
        <f>6.78687900776*Deflactores!$C$5</f>
        <v>21.393693580740894</v>
      </c>
      <c r="G217" s="57">
        <f>6.93880014991*Deflactores!$D$5</f>
        <v>20.539301151615771</v>
      </c>
      <c r="H217" s="57">
        <f>6.48204996417*Deflactores!$E$5</f>
        <v>18.187525641158604</v>
      </c>
      <c r="I217" s="57">
        <f>7.36623687984*Deflactores!$F$5</f>
        <v>19.711382938390688</v>
      </c>
      <c r="J217" s="57">
        <f>8.60732535857*Deflactores!$G$5</f>
        <v>22.045248494731382</v>
      </c>
      <c r="K217" s="57">
        <f>8.89000961652*Deflactores!$H$5</f>
        <v>21.54253366687735</v>
      </c>
      <c r="L217" s="57">
        <f>9.63536955518999*Deflactores!$I$5</f>
        <v>21.6845583289419</v>
      </c>
      <c r="M217" s="57">
        <f>10.12018617203*Deflactores!$J$5</f>
        <v>22.328669049410401</v>
      </c>
      <c r="N217" s="57">
        <f>10.37091172891*Deflactores!$K$5</f>
        <v>22.178526916270968</v>
      </c>
      <c r="O217" s="57">
        <f>11.61682207942*Deflactores!$L$5</f>
        <v>23.950390455512512</v>
      </c>
      <c r="P217" s="57">
        <f>14.77261144907*Deflactores!$M$5</f>
        <v>29.731236080377236</v>
      </c>
      <c r="Q217" s="57">
        <f>16.29143286218*Deflactores!$N$5</f>
        <v>32.16402152418658</v>
      </c>
      <c r="R217" s="57">
        <f>19.01014406669*Deflactores!$O$5</f>
        <v>36.20639329835759</v>
      </c>
      <c r="S217" s="57">
        <f>19.13849300468*Deflactores!$P$5</f>
        <v>34.139593965781096</v>
      </c>
      <c r="T217" s="57">
        <f>20.7659230249*Deflactores!$Q$5</f>
        <v>35.028494950480109</v>
      </c>
      <c r="U217" s="57">
        <f>23.03634999217*Deflactores!$R$5</f>
        <v>37.331453320368986</v>
      </c>
      <c r="V217" s="57">
        <f>24.61812143194*Deflactores!$S$5</f>
        <v>38.665231546230416</v>
      </c>
    </row>
    <row r="218" spans="3:22" x14ac:dyDescent="0.2">
      <c r="C218" s="87" t="s">
        <v>133</v>
      </c>
      <c r="D218" s="56">
        <f>553.74942161969*Deflactores!$A$5</f>
        <v>2010.4200175854951</v>
      </c>
      <c r="E218" s="56">
        <f>607.95180908918*Deflactores!$B$5</f>
        <v>2050.3852898615405</v>
      </c>
      <c r="F218" s="56">
        <f>627.33802273342*Deflactores!$C$5</f>
        <v>1977.5035645340406</v>
      </c>
      <c r="G218" s="56">
        <f>652.199049671869*Deflactores!$D$5</f>
        <v>1930.5517384272671</v>
      </c>
      <c r="H218" s="56">
        <f>704.10252096554*Deflactores!$E$5</f>
        <v>1975.5914756675147</v>
      </c>
      <c r="I218" s="56">
        <f>798.230295894449*Deflactores!$F$5</f>
        <v>2135.9919986366435</v>
      </c>
      <c r="J218" s="56">
        <f>869.46156812799*Deflactores!$G$5</f>
        <v>2226.8818160703058</v>
      </c>
      <c r="K218" s="56">
        <f>976.90331371477*Deflactores!$H$5</f>
        <v>2367.2609404018335</v>
      </c>
      <c r="L218" s="56">
        <f>1131.86290591627*Deflactores!$I$5</f>
        <v>2547.2761644608322</v>
      </c>
      <c r="M218" s="56">
        <f>1305.7618257428*Deflactores!$J$5</f>
        <v>2880.9671253820934</v>
      </c>
      <c r="N218" s="56">
        <f>1372.32797883925*Deflactores!$K$5</f>
        <v>2934.7673389017395</v>
      </c>
      <c r="O218" s="56">
        <f>1453.93112152833*Deflactores!$L$5</f>
        <v>2997.568338221748</v>
      </c>
      <c r="P218" s="56">
        <f>1712.52093976825*Deflactores!$M$5</f>
        <v>3446.6055327032018</v>
      </c>
      <c r="Q218" s="56">
        <f>1962.06801553851*Deflactores!$N$5</f>
        <v>3873.692290762327</v>
      </c>
      <c r="R218" s="56">
        <f>2247.52245109335*Deflactores!$O$5</f>
        <v>4280.5925891830047</v>
      </c>
      <c r="S218" s="56">
        <f>2492.64277529107*Deflactores!$P$5</f>
        <v>4446.4217861545112</v>
      </c>
      <c r="T218" s="56">
        <f>2816.66772660883*Deflactores!$Q$5</f>
        <v>4751.2278226396256</v>
      </c>
      <c r="U218" s="56">
        <f>3026.39295027115*Deflactores!$R$5</f>
        <v>4904.4074773365892</v>
      </c>
      <c r="V218" s="56">
        <f>3348.31757700366*Deflactores!$S$5</f>
        <v>5258.8689499756647</v>
      </c>
    </row>
    <row r="219" spans="3:22" x14ac:dyDescent="0.2">
      <c r="C219" s="88" t="s">
        <v>134</v>
      </c>
      <c r="D219" s="57">
        <f>4417.7572673885*Deflactores!$A$5</f>
        <v>16038.928974794309</v>
      </c>
      <c r="E219" s="57">
        <f>4413.44607310971*Deflactores!$B$5</f>
        <v>14884.839177399175</v>
      </c>
      <c r="F219" s="57">
        <f>4229.92385188695*Deflactores!$C$5</f>
        <v>13333.624284986916</v>
      </c>
      <c r="G219" s="57">
        <f>3371.35675277266*Deflactores!$D$5</f>
        <v>9979.4359455113081</v>
      </c>
      <c r="H219" s="57">
        <f>4074.33725341507*Deflactores!$E$5</f>
        <v>11431.894798222645</v>
      </c>
      <c r="I219" s="57">
        <f>4977.45054065022*Deflactores!$F$5</f>
        <v>13319.206979641325</v>
      </c>
      <c r="J219" s="57">
        <f>5053.70222477071*Deflactores!$G$5</f>
        <v>12943.640064973279</v>
      </c>
      <c r="K219" s="57">
        <f>5355.73855425348*Deflactores!$H$5</f>
        <v>12978.183724525903</v>
      </c>
      <c r="L219" s="57">
        <f>5399.38220326598*Deflactores!$I$5</f>
        <v>12151.398828694259</v>
      </c>
      <c r="M219" s="57">
        <f>5209.23165346287*Deflactores!$J$5</f>
        <v>11493.386348302107</v>
      </c>
      <c r="N219" s="57">
        <f>6039.2340233981*Deflactores!$K$5</f>
        <v>12915.095397853862</v>
      </c>
      <c r="O219" s="57">
        <f>5812.20255904915*Deflactores!$L$5</f>
        <v>11983.012199383389</v>
      </c>
      <c r="P219" s="57">
        <f>6388.49088336853*Deflactores!$M$5</f>
        <v>12857.424112561011</v>
      </c>
      <c r="Q219" s="57">
        <f>6539.75394529706*Deflactores!$N$5</f>
        <v>12911.374244295415</v>
      </c>
      <c r="R219" s="57">
        <f>9854.95457508648*Deflactores!$O$5</f>
        <v>18769.576918054197</v>
      </c>
      <c r="S219" s="57">
        <f>13074.0888148323*Deflactores!$P$5</f>
        <v>23321.79882197563</v>
      </c>
      <c r="T219" s="57">
        <f>14947.8174652382*Deflactores!$Q$5</f>
        <v>25214.364320524401</v>
      </c>
      <c r="U219" s="57">
        <f>17914.0617139759*Deflactores!$R$5</f>
        <v>29030.552100519824</v>
      </c>
      <c r="V219" s="57">
        <f>9794.84955875815*Deflactores!$S$5</f>
        <v>15383.794705737306</v>
      </c>
    </row>
    <row r="220" spans="3:22" x14ac:dyDescent="0.2">
      <c r="C220" s="87" t="s">
        <v>135</v>
      </c>
      <c r="D220" s="56"/>
      <c r="E220" s="56"/>
      <c r="F220" s="56"/>
      <c r="G220" s="56"/>
      <c r="H220" s="56"/>
      <c r="I220" s="56"/>
      <c r="J220" s="56"/>
      <c r="K220" s="56"/>
      <c r="L220" s="56"/>
      <c r="M220" s="56"/>
      <c r="N220" s="56"/>
      <c r="O220" s="56"/>
      <c r="P220" s="56"/>
      <c r="Q220" s="56"/>
      <c r="R220" s="56">
        <f>0*Deflactores!$O$5</f>
        <v>0</v>
      </c>
      <c r="S220" s="56"/>
      <c r="T220" s="56"/>
      <c r="U220" s="56"/>
      <c r="V220" s="56"/>
    </row>
    <row r="221" spans="3:22" x14ac:dyDescent="0.2">
      <c r="C221" s="88" t="s">
        <v>136</v>
      </c>
      <c r="D221" s="57">
        <f>18.5810739091699*Deflactores!$A$5</f>
        <v>67.459687499026089</v>
      </c>
      <c r="E221" s="57">
        <f>16.99300950684*Deflactores!$B$5</f>
        <v>57.310820039341429</v>
      </c>
      <c r="F221" s="57">
        <f>18.30890684736*Deflactores!$C$5</f>
        <v>57.713588593945936</v>
      </c>
      <c r="G221" s="57">
        <f>15.71869685459*Deflactores!$D$5</f>
        <v>46.528368223945343</v>
      </c>
      <c r="H221" s="57">
        <f>14.6124878024599*Deflactores!$E$5</f>
        <v>41.000146258882914</v>
      </c>
      <c r="I221" s="57">
        <f>16.44318570099*Deflactores!$F$5</f>
        <v>44.000476140854715</v>
      </c>
      <c r="J221" s="57">
        <f>18.88601739115*Deflactores!$G$5</f>
        <v>48.371233701439991</v>
      </c>
      <c r="K221" s="57">
        <f>51.84993916825*Deflactores!$H$5</f>
        <v>125.6443028005194</v>
      </c>
      <c r="L221" s="57">
        <f>35.19959872022*Deflactores!$I$5</f>
        <v>79.217278302815316</v>
      </c>
      <c r="M221" s="57">
        <f>238.71762310307*Deflactores!$J$5</f>
        <v>526.69454019156126</v>
      </c>
      <c r="N221" s="57">
        <f>354.02051908218*Deflactores!$K$5</f>
        <v>757.0842194605749</v>
      </c>
      <c r="O221" s="57">
        <f>555.83789596437*Deflactores!$L$5</f>
        <v>1145.9704338505171</v>
      </c>
      <c r="P221" s="57">
        <f>917.85912240266*Deflactores!$M$5</f>
        <v>1847.2757068554265</v>
      </c>
      <c r="Q221" s="57">
        <f>821.26643410165*Deflactores!$N$5</f>
        <v>1621.4185386271017</v>
      </c>
      <c r="R221" s="57">
        <f>815.387646684877*Deflactores!$O$5</f>
        <v>1552.9732822080207</v>
      </c>
      <c r="S221" s="57">
        <f>773.526945632059*Deflactores!$P$5</f>
        <v>1379.8315175082862</v>
      </c>
      <c r="T221" s="57">
        <f>696.04380378115*Deflactores!$Q$5</f>
        <v>1174.1046538998423</v>
      </c>
      <c r="U221" s="57">
        <f>793.21628958906*Deflactores!$R$5</f>
        <v>1285.4430887625558</v>
      </c>
      <c r="V221" s="57">
        <f>771.0979064293*Deflactores!$S$5</f>
        <v>1211.0866858516788</v>
      </c>
    </row>
    <row r="222" spans="3:22" x14ac:dyDescent="0.2">
      <c r="C222" s="87" t="s">
        <v>137</v>
      </c>
      <c r="D222" s="56">
        <f>35.95324207099*Deflactores!$A$5</f>
        <v>130.53037120146607</v>
      </c>
      <c r="E222" s="56">
        <f>33.97478672581*Deflactores!$B$5</f>
        <v>114.58375793494082</v>
      </c>
      <c r="F222" s="56">
        <f>35.48492929766*Deflactores!$C$5</f>
        <v>111.85608337210523</v>
      </c>
      <c r="G222" s="56">
        <f>36.37505368427*Deflactores!$D$5</f>
        <v>107.67253212172466</v>
      </c>
      <c r="H222" s="56">
        <f>38.23164309257*Deflactores!$E$5</f>
        <v>107.27146394941072</v>
      </c>
      <c r="I222" s="56">
        <f>39.50337900637*Deflactores!$F$5</f>
        <v>105.70746551553412</v>
      </c>
      <c r="J222" s="56">
        <f>41.68179885531*Deflactores!$G$5</f>
        <v>106.75623090717933</v>
      </c>
      <c r="K222" s="56">
        <f>42.56360278622*Deflactores!$H$5</f>
        <v>103.14137841896631</v>
      </c>
      <c r="L222" s="56">
        <f>45.35792418*Deflactores!$I$5</f>
        <v>102.07875753256877</v>
      </c>
      <c r="M222" s="56">
        <f>49.43304919362*Deflactores!$J$5</f>
        <v>109.06658996038604</v>
      </c>
      <c r="N222" s="56">
        <f>48.633295019*Deflactores!$K$5</f>
        <v>104.00385913989479</v>
      </c>
      <c r="O222" s="56">
        <f>49.99333779172*Deflactores!$L$5</f>
        <v>103.07121449395608</v>
      </c>
      <c r="P222" s="56">
        <f>82.85712434163*Deflactores!$M$5</f>
        <v>166.75756573136277</v>
      </c>
      <c r="Q222" s="56">
        <f>109.04224274688*Deflactores!$N$5</f>
        <v>215.28106658427552</v>
      </c>
      <c r="R222" s="56">
        <f>113.954154590009*Deflactores!$O$5</f>
        <v>217.03512212183318</v>
      </c>
      <c r="S222" s="56">
        <f>113.92791632488*Deflactores!$P$5</f>
        <v>203.22670148312022</v>
      </c>
      <c r="T222" s="56">
        <f>129.80541594029*Deflactores!$Q$5</f>
        <v>218.959126033422</v>
      </c>
      <c r="U222" s="56">
        <f>135.22303499527*Deflactores!$R$5</f>
        <v>219.13508088218717</v>
      </c>
      <c r="V222" s="56">
        <f>139.64785912901*Deflactores!$S$5</f>
        <v>219.3309844167519</v>
      </c>
    </row>
    <row r="223" spans="3:22" x14ac:dyDescent="0.2">
      <c r="C223" s="88" t="s">
        <v>138</v>
      </c>
      <c r="D223" s="57">
        <f>130.72557398484*Deflactores!$A$5</f>
        <v>474.6069259643827</v>
      </c>
      <c r="E223" s="57">
        <f>144.93533183195*Deflactores!$B$5</f>
        <v>488.81057334897952</v>
      </c>
      <c r="F223" s="57">
        <f>158.024145276669*Deflactores!$C$5</f>
        <v>498.12588946142751</v>
      </c>
      <c r="G223" s="57">
        <f>168.605080704179*Deflactores!$D$5</f>
        <v>499.0820391794295</v>
      </c>
      <c r="H223" s="57">
        <f>178.69529184586*Deflactores!$E$5</f>
        <v>501.38848363799229</v>
      </c>
      <c r="I223" s="57">
        <f>208.27327020891*Deflactores!$F$5</f>
        <v>557.32041365032967</v>
      </c>
      <c r="J223" s="57">
        <f>211.5811642222*Deflactores!$G$5</f>
        <v>541.90577766864999</v>
      </c>
      <c r="K223" s="57">
        <f>215.222254229569*Deflactores!$H$5</f>
        <v>521.53291814060606</v>
      </c>
      <c r="L223" s="57">
        <f>239.48912769375*Deflactores!$I$5</f>
        <v>538.9742374567528</v>
      </c>
      <c r="M223" s="57">
        <f>232.48545138972*Deflactores!$J$5</f>
        <v>512.944190417257</v>
      </c>
      <c r="N223" s="57">
        <f>233.11617673579*Deflactores!$K$5</f>
        <v>498.52641074366682</v>
      </c>
      <c r="O223" s="57">
        <f>249.21480242823*Deflactores!$L$5</f>
        <v>513.80590876257304</v>
      </c>
      <c r="P223" s="57">
        <f>92.32975159442*Deflactores!$M$5</f>
        <v>185.82209728863492</v>
      </c>
      <c r="Q223" s="57">
        <f>116.74487349446*Deflactores!$N$5</f>
        <v>230.4882974800405</v>
      </c>
      <c r="R223" s="57">
        <f>76.58836630816*Deflactores!$O$5</f>
        <v>145.86888468093269</v>
      </c>
      <c r="S223" s="57">
        <f>61.06332925316*Deflactores!$P$5</f>
        <v>108.92588389231651</v>
      </c>
      <c r="T223" s="57">
        <f>79.27123751715*Deflactores!$Q$5</f>
        <v>133.71676952467996</v>
      </c>
      <c r="U223" s="57">
        <f>80.5239965851*Deflactores!$R$5</f>
        <v>130.49280032244565</v>
      </c>
      <c r="V223" s="57">
        <f>85.16624505572*Deflactores!$S$5</f>
        <v>133.76213916672182</v>
      </c>
    </row>
    <row r="224" spans="3:22" x14ac:dyDescent="0.2">
      <c r="C224" s="87" t="s">
        <v>139</v>
      </c>
      <c r="D224" s="56">
        <f>312.6081267764*Deflactores!$A$5</f>
        <v>1134.9422883240657</v>
      </c>
      <c r="E224" s="56">
        <f>384.55220022066*Deflactores!$B$5</f>
        <v>1296.9451899446024</v>
      </c>
      <c r="F224" s="56">
        <f>401.8284849527*Deflactores!$C$5</f>
        <v>1266.6492903825483</v>
      </c>
      <c r="G224" s="56">
        <f>439.059924378969*Deflactores!$D$5</f>
        <v>1299.6460217321953</v>
      </c>
      <c r="H224" s="56">
        <f>543.92674486251*Deflactores!$E$5</f>
        <v>1526.1655917157916</v>
      </c>
      <c r="I224" s="56">
        <f>652.74391396122*Deflactores!$F$5</f>
        <v>1746.6836131765858</v>
      </c>
      <c r="J224" s="56">
        <f>711.74554852588*Deflactores!$G$5</f>
        <v>1822.9364905614209</v>
      </c>
      <c r="K224" s="56">
        <f>693.15099544349*Deflactores!$H$5</f>
        <v>1679.6639485994351</v>
      </c>
      <c r="L224" s="56">
        <f>753.09909788788*Deflactores!$I$5</f>
        <v>1694.861958545943</v>
      </c>
      <c r="M224" s="56">
        <f>889.712921154109*Deflactores!$J$5</f>
        <v>1963.017777315192</v>
      </c>
      <c r="N224" s="56">
        <f>1350.51347202445*Deflactores!$K$5</f>
        <v>2888.1163173518662</v>
      </c>
      <c r="O224" s="56">
        <f>1475.83703762606*Deflactores!$L$5</f>
        <v>3042.7317435179166</v>
      </c>
      <c r="P224" s="56">
        <f>1368.57142262286*Deflactores!$M$5</f>
        <v>2754.3755685403576</v>
      </c>
      <c r="Q224" s="56">
        <f>1716.96036802382*Deflactores!$N$5</f>
        <v>3389.7785848840153</v>
      </c>
      <c r="R224" s="56">
        <f>1916.67771333352*Deflactores!$O$5</f>
        <v>3650.4713942040717</v>
      </c>
      <c r="S224" s="56">
        <f>1903.90258221444*Deflactores!$P$5</f>
        <v>3396.2162585794422</v>
      </c>
      <c r="T224" s="56">
        <f>1943.29826349402*Deflactores!$Q$5</f>
        <v>3278.0056695989242</v>
      </c>
      <c r="U224" s="56">
        <f>2145.39151270555*Deflactores!$R$5</f>
        <v>3476.7045620380682</v>
      </c>
      <c r="V224" s="56">
        <f>2545.44417704937*Deflactores!$S$5</f>
        <v>3997.875661053718</v>
      </c>
    </row>
    <row r="225" spans="2:22" x14ac:dyDescent="0.2">
      <c r="C225" s="88" t="s">
        <v>140</v>
      </c>
      <c r="D225" s="57">
        <f>73.97255930735*Deflactores!$A$5</f>
        <v>268.5617504548174</v>
      </c>
      <c r="E225" s="57">
        <f>72.27647323021*Deflactores!$B$5</f>
        <v>243.76046801524603</v>
      </c>
      <c r="F225" s="57">
        <f>84.92162624563*Deflactores!$C$5</f>
        <v>267.69112108819519</v>
      </c>
      <c r="G225" s="57">
        <f>56.73694043944*Deflactores!$D$5</f>
        <v>167.94504538685416</v>
      </c>
      <c r="H225" s="57">
        <f>72.84066675056*Deflactores!$E$5</f>
        <v>204.37847618697478</v>
      </c>
      <c r="I225" s="57">
        <f>74.13168125725*Deflactores!$F$5</f>
        <v>198.36966703141286</v>
      </c>
      <c r="J225" s="57">
        <f>63.87160313778*Deflactores!$G$5</f>
        <v>163.58918761299822</v>
      </c>
      <c r="K225" s="57">
        <f>62.0302097471199*Deflactores!$H$5</f>
        <v>150.31343490985836</v>
      </c>
      <c r="L225" s="57">
        <f>54.37228109749*Deflactores!$I$5</f>
        <v>122.36571666325659</v>
      </c>
      <c r="M225" s="57">
        <f>43.7081252553399*Deflactores!$J$5</f>
        <v>96.435406128590756</v>
      </c>
      <c r="N225" s="57">
        <f>55.52031812993*Deflactores!$K$5</f>
        <v>118.73197865642207</v>
      </c>
      <c r="O225" s="57">
        <f>45.4609497573999*Deflactores!$L$5</f>
        <v>93.726794619421938</v>
      </c>
      <c r="P225" s="57">
        <f>58.8309974194299*Deflactores!$M$5</f>
        <v>118.40278065603958</v>
      </c>
      <c r="Q225" s="57">
        <f>84.9235795872899*Deflactores!$N$5</f>
        <v>167.66381845378439</v>
      </c>
      <c r="R225" s="57">
        <f>102.356255258739*Deflactores!$O$5</f>
        <v>194.94596261049048</v>
      </c>
      <c r="S225" s="57">
        <f>102.46995141674*Deflactores!$P$5</f>
        <v>182.78777405333702</v>
      </c>
      <c r="T225" s="57">
        <f>123.140257048039*Deflactores!$Q$5</f>
        <v>207.71616397864543</v>
      </c>
      <c r="U225" s="57">
        <f>149.07096558529*Deflactores!$R$5</f>
        <v>241.57628248664079</v>
      </c>
      <c r="V225" s="57">
        <f>167.10609145485*Deflactores!$S$5</f>
        <v>262.45689528951863</v>
      </c>
    </row>
    <row r="226" spans="2:22" x14ac:dyDescent="0.2">
      <c r="C226" s="87" t="s">
        <v>141</v>
      </c>
      <c r="D226" s="56">
        <f>327.3265947114*Deflactores!$A$5</f>
        <v>1188.3785564436132</v>
      </c>
      <c r="E226" s="56">
        <f>319.68330121126*Deflactores!$B$5</f>
        <v>1078.1675922635384</v>
      </c>
      <c r="F226" s="56">
        <f>340.02209714601*Deflactores!$C$5</f>
        <v>1071.8223425974311</v>
      </c>
      <c r="G226" s="56">
        <f>347.72853745346*Deflactores!$D$5</f>
        <v>1029.2991577023811</v>
      </c>
      <c r="H226" s="56">
        <f>370.59715404499*Deflactores!$E$5</f>
        <v>1039.8323491782467</v>
      </c>
      <c r="I226" s="56">
        <f>423.874480165119*Deflactores!$F$5</f>
        <v>1134.2497305798602</v>
      </c>
      <c r="J226" s="56">
        <f>468.69624723294*Deflactores!$G$5</f>
        <v>1200.433910460989</v>
      </c>
      <c r="K226" s="56">
        <f>532.33202201124*Deflactores!$H$5</f>
        <v>1289.9626660497474</v>
      </c>
      <c r="L226" s="56">
        <f>613.071352639099*Deflactores!$I$5</f>
        <v>1379.7272050603476</v>
      </c>
      <c r="M226" s="56">
        <f>681.31751643049*Deflactores!$J$5</f>
        <v>1503.2246525254484</v>
      </c>
      <c r="N226" s="56">
        <f>761.06222607424*Deflactores!$K$5</f>
        <v>1627.5559475539637</v>
      </c>
      <c r="O226" s="56">
        <f>811.83734283705*Deflactores!$L$5</f>
        <v>1673.7642372744253</v>
      </c>
      <c r="P226" s="56">
        <f>925.892537831999*Deflactores!$M$5</f>
        <v>1863.4436925555078</v>
      </c>
      <c r="Q226" s="56">
        <f>1030.08200631091*Deflactores!$N$5</f>
        <v>2033.6811441291472</v>
      </c>
      <c r="R226" s="56">
        <f>1173.51884326684*Deflactores!$O$5</f>
        <v>2235.0637971651586</v>
      </c>
      <c r="S226" s="56">
        <f>1237.24905452442*Deflactores!$P$5</f>
        <v>2207.0274992749619</v>
      </c>
      <c r="T226" s="56">
        <f>1361.48009016172*Deflactores!$Q$5</f>
        <v>2296.5797574335693</v>
      </c>
      <c r="U226" s="56">
        <f>1417.12892165939*Deflactores!$R$5</f>
        <v>2296.5218971692184</v>
      </c>
      <c r="V226" s="56">
        <f>1529.79479867709*Deflactores!$S$5</f>
        <v>2402.6963337798193</v>
      </c>
    </row>
    <row r="227" spans="2:22" x14ac:dyDescent="0.2">
      <c r="C227" s="88" t="s">
        <v>142</v>
      </c>
      <c r="D227" s="57">
        <f>17.0953122067999*Deflactores!$A$5</f>
        <v>62.065541787650531</v>
      </c>
      <c r="E227" s="57">
        <f>19.76909328135*Deflactores!$B$5</f>
        <v>66.673472225879522</v>
      </c>
      <c r="F227" s="57">
        <f>23.0353911629499*Deflactores!$C$5</f>
        <v>72.61247761882656</v>
      </c>
      <c r="G227" s="57">
        <f>22.99900057732*Deflactores!$D$5</f>
        <v>68.078542231813316</v>
      </c>
      <c r="H227" s="57">
        <f>21.6239209703199*Deflactores!$E$5</f>
        <v>60.67303079797211</v>
      </c>
      <c r="I227" s="57">
        <f>20.34276746716*Deflactores!$F$5</f>
        <v>54.435403872124255</v>
      </c>
      <c r="J227" s="57">
        <f>21.4478856333199*Deflactores!$G$5</f>
        <v>54.932740285266753</v>
      </c>
      <c r="K227" s="57">
        <f>23.95852548049*Deflactores!$H$5</f>
        <v>58.057006014154688</v>
      </c>
      <c r="L227" s="57">
        <f>26.4434710502799*Deflactores!$I$5</f>
        <v>59.5114683588464</v>
      </c>
      <c r="M227" s="57">
        <f>28.25190809362*Deflactores!$J$5</f>
        <v>62.333587061893247</v>
      </c>
      <c r="N227" s="57">
        <f>29.88439057908*Deflactores!$K$5</f>
        <v>63.908726461038043</v>
      </c>
      <c r="O227" s="57">
        <f>29.19266501349*Deflactores!$L$5</f>
        <v>60.186488243519101</v>
      </c>
      <c r="P227" s="57">
        <f>42.89552286756*Deflactores!$M$5</f>
        <v>86.331175876620961</v>
      </c>
      <c r="Q227" s="57">
        <f>66.33024663686*Deflactores!$N$5</f>
        <v>130.95517739788835</v>
      </c>
      <c r="R227" s="57">
        <f>72.92351198066*Deflactores!$O$5</f>
        <v>138.88886618674582</v>
      </c>
      <c r="S227" s="57">
        <f>69.2075648100899*Deflactores!$P$5</f>
        <v>123.45372027981441</v>
      </c>
      <c r="T227" s="57">
        <f>68.83007430544*Deflactores!$Q$5</f>
        <v>116.1043459208761</v>
      </c>
      <c r="U227" s="57">
        <f>70.70133468932*Deflactores!$R$5</f>
        <v>114.57472978745568</v>
      </c>
      <c r="V227" s="57">
        <f>74.232908911838*Deflactores!$S$5</f>
        <v>116.59023696676365</v>
      </c>
    </row>
    <row r="228" spans="2:22" x14ac:dyDescent="0.2">
      <c r="C228" s="87" t="s">
        <v>143</v>
      </c>
      <c r="D228" s="56">
        <f>40.77466491261*Deflactores!$A$5</f>
        <v>148.03483191166418</v>
      </c>
      <c r="E228" s="56">
        <f>48.7188006844499*Deflactores!$B$5</f>
        <v>164.30958962479099</v>
      </c>
      <c r="F228" s="56">
        <f>44.26091933012*Deflactores!$C$5</f>
        <v>139.51988014930052</v>
      </c>
      <c r="G228" s="56">
        <f>42.17268777616*Deflactores!$D$5</f>
        <v>124.8339072885462</v>
      </c>
      <c r="H228" s="56">
        <f>70.79457489002*Deflactores!$E$5</f>
        <v>198.6374917170252</v>
      </c>
      <c r="I228" s="56">
        <f>83.1010246837999*Deflactores!$F$5</f>
        <v>222.370817940709</v>
      </c>
      <c r="J228" s="56">
        <f>152.87978478614*Deflactores!$G$5</f>
        <v>391.55866718525431</v>
      </c>
      <c r="K228" s="56">
        <f>207.68690929004*Deflactores!$H$5</f>
        <v>503.27304789820681</v>
      </c>
      <c r="L228" s="56">
        <f>229.72081069987*Deflactores!$I$5</f>
        <v>516.99047872117944</v>
      </c>
      <c r="M228" s="56">
        <f>241.66311817121*Deflactores!$J$5</f>
        <v>533.19333215498773</v>
      </c>
      <c r="N228" s="56">
        <f>232.685649338499*Deflactores!$K$5</f>
        <v>497.6057141146141</v>
      </c>
      <c r="O228" s="56">
        <f>201.756110405469*Deflactores!$L$5</f>
        <v>415.96037091391264</v>
      </c>
      <c r="P228" s="56">
        <f>251.16504944744*Deflactores!$M$5</f>
        <v>505.4927089909732</v>
      </c>
      <c r="Q228" s="56">
        <f>322.3086015684*Deflactores!$N$5</f>
        <v>636.33081791979919</v>
      </c>
      <c r="R228" s="56">
        <f>303.423241096969*Deflactores!$O$5</f>
        <v>577.89468425275686</v>
      </c>
      <c r="S228" s="56">
        <f>386.89641640346*Deflactores!$P$5</f>
        <v>690.15290595764145</v>
      </c>
      <c r="T228" s="56">
        <f>441.58890057785*Deflactores!$Q$5</f>
        <v>744.88355540621433</v>
      </c>
      <c r="U228" s="56">
        <f>913.481582068379*Deflactores!$R$5</f>
        <v>1480.3384673176763</v>
      </c>
      <c r="V228" s="56">
        <f>535.46146471208*Deflactores!$S$5</f>
        <v>840.99599453250107</v>
      </c>
    </row>
    <row r="229" spans="2:22" x14ac:dyDescent="0.2">
      <c r="C229" s="88" t="s">
        <v>144</v>
      </c>
      <c r="D229" s="57">
        <f>648.293309847219*Deflactores!$A$5</f>
        <v>2353.6671940376814</v>
      </c>
      <c r="E229" s="57">
        <f>733.86382156283*Deflactores!$B$5</f>
        <v>2475.0375967271402</v>
      </c>
      <c r="F229" s="57">
        <f>742.22168605816*Deflactores!$C$5</f>
        <v>2339.6414319974651</v>
      </c>
      <c r="G229" s="57">
        <f>743.62049048253*Deflactores!$D$5</f>
        <v>2201.1651678325134</v>
      </c>
      <c r="H229" s="57">
        <f>833.20222115808*Deflactores!$E$5</f>
        <v>2337.823195647532</v>
      </c>
      <c r="I229" s="57">
        <f>975.651544951769*Deflactores!$F$5</f>
        <v>2610.7551970816526</v>
      </c>
      <c r="J229" s="57">
        <f>1101.31913948581*Deflactores!$G$5</f>
        <v>2820.7199205958727</v>
      </c>
      <c r="K229" s="57">
        <f>1200.63062102362*Deflactores!$H$5</f>
        <v>2909.4035541673484</v>
      </c>
      <c r="L229" s="57">
        <f>1321.76166911568*Deflactores!$I$5</f>
        <v>2974.6464675514371</v>
      </c>
      <c r="M229" s="57">
        <f>1532.83931403791*Deflactores!$J$5</f>
        <v>3381.9794584087517</v>
      </c>
      <c r="N229" s="57">
        <f>1649.70477634329*Deflactores!$K$5</f>
        <v>3527.9465048417583</v>
      </c>
      <c r="O229" s="57">
        <f>1808.57890573014*Deflactores!$L$5</f>
        <v>3728.7453199940096</v>
      </c>
      <c r="P229" s="57">
        <f>2085.50490399103*Deflactores!$M$5</f>
        <v>4197.2699858186033</v>
      </c>
      <c r="Q229" s="57">
        <f>2468.78211351965*Deflactores!$N$5</f>
        <v>4874.0931328459801</v>
      </c>
      <c r="R229" s="57">
        <f>2699.52904492785*Deflactores!$O$5</f>
        <v>5141.4765705147893</v>
      </c>
      <c r="S229" s="57">
        <f>2859.14267356723*Deflactores!$P$5</f>
        <v>5100.1910099167235</v>
      </c>
      <c r="T229" s="57">
        <f>3103.56997730652*Deflactores!$Q$5</f>
        <v>5235.181944389713</v>
      </c>
      <c r="U229" s="57">
        <f>3372.54167358996*Deflactores!$R$5</f>
        <v>5465.3572333037328</v>
      </c>
      <c r="V229" s="57">
        <f>3909.73623852785*Deflactores!$S$5</f>
        <v>6140.633328391802</v>
      </c>
    </row>
    <row r="230" spans="2:22" x14ac:dyDescent="0.2">
      <c r="C230" s="87" t="s">
        <v>145</v>
      </c>
      <c r="D230" s="56">
        <f>144.670216053309*Deflactores!$A$5</f>
        <v>525.23377352029536</v>
      </c>
      <c r="E230" s="56">
        <f>121.0981130667*Deflactores!$B$5</f>
        <v>408.41689415143873</v>
      </c>
      <c r="F230" s="56">
        <f>169.85648766476*Deflactores!$C$5</f>
        <v>535.42396227277391</v>
      </c>
      <c r="G230" s="56">
        <f>226.252586854489*Deflactores!$D$5</f>
        <v>669.72241847846396</v>
      </c>
      <c r="H230" s="56">
        <f>120.79846306602*Deflactores!$E$5</f>
        <v>338.93986571686503</v>
      </c>
      <c r="I230" s="56">
        <f>133.89494983884*Deflactores!$F$5</f>
        <v>358.29076268415014</v>
      </c>
      <c r="J230" s="56">
        <f>383.12020906353*Deflactores!$G$5</f>
        <v>981.25490327254829</v>
      </c>
      <c r="K230" s="56">
        <f>314.31271844536*Deflactores!$H$5</f>
        <v>761.65185541019218</v>
      </c>
      <c r="L230" s="56">
        <f>242.38297840458*Deflactores!$I$5</f>
        <v>545.48689627848353</v>
      </c>
      <c r="M230" s="56">
        <f>280.69805417166*Deflactores!$J$5</f>
        <v>619.31804888479178</v>
      </c>
      <c r="N230" s="56">
        <f>642.14325209635*Deflactores!$K$5</f>
        <v>1373.2439126851491</v>
      </c>
      <c r="O230" s="56">
        <f>482.22954234466*Deflactores!$L$5</f>
        <v>994.21216485691025</v>
      </c>
      <c r="P230" s="56">
        <f>355.14217045314*Deflactores!$M$5</f>
        <v>714.75620598581452</v>
      </c>
      <c r="Q230" s="56">
        <f>464.15078265013*Deflactores!$N$5</f>
        <v>916.36849195038496</v>
      </c>
      <c r="R230" s="56">
        <f>1009.01960311971*Deflactores!$O$5</f>
        <v>1921.7613747766791</v>
      </c>
      <c r="S230" s="56">
        <f>758.66596002025*Deflactores!$P$5</f>
        <v>1353.3222194880916</v>
      </c>
      <c r="T230" s="56">
        <f>634.37486902129*Deflactores!$Q$5</f>
        <v>1070.0799030016026</v>
      </c>
      <c r="U230" s="56">
        <f>650.10060043326*Deflactores!$R$5</f>
        <v>1053.5176026960494</v>
      </c>
      <c r="V230" s="56">
        <f>1711.05630732292*Deflactores!$S$5</f>
        <v>2687.3857330739947</v>
      </c>
    </row>
    <row r="231" spans="2:22" x14ac:dyDescent="0.2">
      <c r="C231" s="88" t="s">
        <v>146</v>
      </c>
      <c r="D231" s="57">
        <f>137.35289434502*Deflactores!$A$5</f>
        <v>498.66780439579776</v>
      </c>
      <c r="E231" s="57">
        <f>152.140573639659*Deflactores!$B$5</f>
        <v>513.11105505090131</v>
      </c>
      <c r="F231" s="57">
        <f>155.9885152445*Deflactores!$C$5</f>
        <v>491.70914840825958</v>
      </c>
      <c r="G231" s="57">
        <f>178.60079000935*Deflactores!$D$5</f>
        <v>528.66999087242903</v>
      </c>
      <c r="H231" s="57">
        <f>173.932490894929*Deflactores!$E$5</f>
        <v>488.02487723297997</v>
      </c>
      <c r="I231" s="57">
        <f>218.36880579789*Deflactores!$F$5</f>
        <v>584.33515281886673</v>
      </c>
      <c r="J231" s="57">
        <f>217.56150351853*Deflactores!$G$5</f>
        <v>557.22273855698631</v>
      </c>
      <c r="K231" s="57">
        <f>203.22299751712*Deflactores!$H$5</f>
        <v>492.45596515001705</v>
      </c>
      <c r="L231" s="57">
        <f>206.50323624515*Deflactores!$I$5</f>
        <v>464.73894393196713</v>
      </c>
      <c r="M231" s="57">
        <f>199.543718655069*Deflactores!$J$5</f>
        <v>440.26321047846517</v>
      </c>
      <c r="N231" s="57">
        <f>212.58031661698*Deflactores!$K$5</f>
        <v>454.60981610867691</v>
      </c>
      <c r="O231" s="57">
        <f>241.842333267978*Deflactores!$L$5</f>
        <v>498.60609647293899</v>
      </c>
      <c r="P231" s="57">
        <f>363.992632703793*Deflactores!$M$5</f>
        <v>732.56857338624434</v>
      </c>
      <c r="Q231" s="57">
        <f>360.326240147269*Deflactores!$N$5</f>
        <v>711.38868151558995</v>
      </c>
      <c r="R231" s="57">
        <f>428.132020051839*Deflactores!$O$5</f>
        <v>815.41287889441105</v>
      </c>
      <c r="S231" s="57">
        <f>559.433141271853*Deflactores!$P$5</f>
        <v>997.92707238507319</v>
      </c>
      <c r="T231" s="57">
        <f>622.943899731648*Deflactores!$Q$5</f>
        <v>1050.797848957523</v>
      </c>
      <c r="U231" s="57">
        <f>576.679271005247*Deflactores!$R$5</f>
        <v>934.53499767429321</v>
      </c>
      <c r="V231" s="57">
        <f>551.515725007955*Deflactores!$S$5</f>
        <v>866.2108222909709</v>
      </c>
    </row>
    <row r="232" spans="2:22" x14ac:dyDescent="0.2">
      <c r="C232" s="90" t="s">
        <v>147</v>
      </c>
      <c r="D232" s="58">
        <f>3812.82278971848*Deflactores!$A$5</f>
        <v>13842.678584720423</v>
      </c>
      <c r="E232" s="58">
        <f>4947.18863823246*Deflactores!$B$5</f>
        <v>16684.945514347535</v>
      </c>
      <c r="F232" s="58">
        <f>6163.28443961917*Deflactores!$C$5</f>
        <v>19427.99018538561</v>
      </c>
      <c r="G232" s="58">
        <f>6942.95613954505*Deflactores!$D$5</f>
        <v>20551.603152084601</v>
      </c>
      <c r="H232" s="58">
        <f>8656.95981466345*Deflactores!$E$5</f>
        <v>24289.951400248396</v>
      </c>
      <c r="I232" s="58">
        <f>11581.8811912988*Deflactores!$F$5</f>
        <v>30992.065423993525</v>
      </c>
      <c r="J232" s="58">
        <f>12701.6088315993*Deflactores!$G$5</f>
        <v>32531.606661840131</v>
      </c>
      <c r="K232" s="58">
        <f>14349.1628478734*Deflactores!$H$5</f>
        <v>34771.314888950881</v>
      </c>
      <c r="L232" s="58">
        <f>16521.0688138027*Deflactores!$I$5</f>
        <v>37180.938239820694</v>
      </c>
      <c r="M232" s="58">
        <f>17093.6303600135*Deflactores!$J$5</f>
        <v>37714.525076284735</v>
      </c>
      <c r="N232" s="58">
        <f>16093.1360612613*Deflactores!$K$5</f>
        <v>34415.686935887919</v>
      </c>
      <c r="O232" s="58">
        <f>16654.9025877897*Deflactores!$L$5</f>
        <v>34337.395997718915</v>
      </c>
      <c r="P232" s="58">
        <f>18123.0562197432*Deflactores!$M$5</f>
        <v>36474.313619143839</v>
      </c>
      <c r="Q232" s="58">
        <f>21487.4436243359*Deflactores!$N$5</f>
        <v>42422.456335151655</v>
      </c>
      <c r="R232" s="58">
        <f>23893.5215959023*Deflactores!$O$5</f>
        <v>45507.190116453872</v>
      </c>
      <c r="S232" s="58">
        <f>23297.1732915*Deflactores!$P$5</f>
        <v>41557.923945618852</v>
      </c>
      <c r="T232" s="58">
        <f>25266.5658402812*Deflactores!$Q$5</f>
        <v>42620.295418172253</v>
      </c>
      <c r="U232" s="58">
        <f>31957.280932998*Deflactores!$R$5</f>
        <v>51788.22781393904</v>
      </c>
      <c r="V232" s="58">
        <f>40694.5682510053*Deflactores!$S$5</f>
        <v>63914.905467057892</v>
      </c>
    </row>
    <row r="233" spans="2:22" ht="22.5" customHeight="1" x14ac:dyDescent="0.2">
      <c r="C233" s="89" t="s">
        <v>148</v>
      </c>
      <c r="D233" s="59">
        <f>0*Deflactores!$A$5</f>
        <v>0</v>
      </c>
      <c r="E233" s="59">
        <f>0*Deflactores!$B$5</f>
        <v>0</v>
      </c>
      <c r="F233" s="59">
        <f>0*Deflactores!$C$5</f>
        <v>0</v>
      </c>
      <c r="G233" s="59">
        <f>0*Deflactores!$D$5</f>
        <v>0</v>
      </c>
      <c r="H233" s="59">
        <f>0*Deflactores!$E$5</f>
        <v>0</v>
      </c>
      <c r="I233" s="59">
        <f>0*Deflactores!$F$5</f>
        <v>0</v>
      </c>
      <c r="J233" s="59">
        <f>0*Deflactores!$G$5</f>
        <v>0</v>
      </c>
      <c r="K233" s="59">
        <f>0*Deflactores!$H$5</f>
        <v>0</v>
      </c>
      <c r="L233" s="59">
        <f>0*Deflactores!$I$5</f>
        <v>0</v>
      </c>
      <c r="M233" s="59">
        <f>0*Deflactores!$J$5</f>
        <v>0</v>
      </c>
      <c r="N233" s="59">
        <f>0*Deflactores!$K$5</f>
        <v>0</v>
      </c>
      <c r="O233" s="59">
        <f>0*Deflactores!$L$5</f>
        <v>0</v>
      </c>
      <c r="P233" s="59">
        <f>0*Deflactores!$M$5</f>
        <v>0</v>
      </c>
      <c r="Q233" s="59">
        <f>0*Deflactores!$N$5</f>
        <v>0</v>
      </c>
      <c r="R233" s="59">
        <f>0*Deflactores!$O$5</f>
        <v>0</v>
      </c>
      <c r="S233" s="59">
        <f>0*Deflactores!$P$5</f>
        <v>0</v>
      </c>
      <c r="T233" s="59">
        <f>0*Deflactores!$Q$5</f>
        <v>0</v>
      </c>
      <c r="U233" s="59">
        <f>0.137947055*Deflactores!$R$5</f>
        <v>0.22354947924325105</v>
      </c>
      <c r="V233" s="59">
        <f>108.008317615179*Deflactores!$S$5</f>
        <v>169.63790763057406</v>
      </c>
    </row>
    <row r="234" spans="2:22" x14ac:dyDescent="0.2">
      <c r="C234" s="87" t="s">
        <v>149</v>
      </c>
      <c r="D234" s="56">
        <f>28.95794787721*Deflactores!$A$5</f>
        <v>105.13354200941038</v>
      </c>
      <c r="E234" s="56">
        <f>15.53363079752*Deflactores!$B$5</f>
        <v>52.388902556424767</v>
      </c>
      <c r="F234" s="56">
        <f>14.51047796839*Deflactores!$C$5</f>
        <v>45.740128711722122</v>
      </c>
      <c r="G234" s="56">
        <f>16.93381097986*Deflactores!$D$5</f>
        <v>50.125185312390578</v>
      </c>
      <c r="H234" s="56">
        <f>18.43188031436*Deflactores!$E$5</f>
        <v>51.716709634328446</v>
      </c>
      <c r="I234" s="56">
        <f>36.17477738854*Deflactores!$F$5</f>
        <v>96.80042896367415</v>
      </c>
      <c r="J234" s="56">
        <f>29.99841820145*Deflactores!$G$5</f>
        <v>76.832529984634931</v>
      </c>
      <c r="K234" s="56">
        <f>27.85175057704*Deflactores!$H$5</f>
        <v>67.491183965920627</v>
      </c>
      <c r="L234" s="56">
        <f>31.20294143852*Deflactores!$I$5</f>
        <v>70.222735078561655</v>
      </c>
      <c r="M234" s="56">
        <f>36.7646862425*Deflactores!$J$5</f>
        <v>81.115752008891079</v>
      </c>
      <c r="N234" s="56">
        <f>94.04790039644*Deflactores!$K$5</f>
        <v>201.12444738553774</v>
      </c>
      <c r="O234" s="56">
        <f>98.9973749221599*Deflactores!$L$5</f>
        <v>204.10278880460154</v>
      </c>
      <c r="P234" s="56">
        <f>91.2697243041099*Deflactores!$M$5</f>
        <v>183.68869509847332</v>
      </c>
      <c r="Q234" s="56">
        <f>37.02590532524*Deflactores!$N$5</f>
        <v>73.099894030693392</v>
      </c>
      <c r="R234" s="56">
        <f>55.1108298646199*Deflactores!$O$5</f>
        <v>104.9631383159069</v>
      </c>
      <c r="S234" s="56">
        <f>55.59232782266*Deflactores!$P$5</f>
        <v>99.166611447103392</v>
      </c>
      <c r="T234" s="56">
        <f>59.93456808385*Deflactores!$Q$5</f>
        <v>101.09917642317062</v>
      </c>
      <c r="U234" s="56">
        <f>57.05265722654*Deflactores!$R$5</f>
        <v>92.456426941747466</v>
      </c>
      <c r="V234" s="56">
        <f>59.05262584467*Deflactores!$S$5</f>
        <v>92.748078199610404</v>
      </c>
    </row>
    <row r="235" spans="2:22" x14ac:dyDescent="0.2">
      <c r="C235" s="88" t="s">
        <v>150</v>
      </c>
      <c r="D235" s="57">
        <f>117.56130828305*Deflactores!$A$5</f>
        <v>426.81328095021388</v>
      </c>
      <c r="E235" s="57">
        <f>133.58240192273*Deflactores!$B$5</f>
        <v>450.52155087272729</v>
      </c>
      <c r="F235" s="57">
        <f>106.33274050864*Deflactores!$C$5</f>
        <v>335.18353066869986</v>
      </c>
      <c r="G235" s="57">
        <f>103.18497578472*Deflactores!$D$5</f>
        <v>305.43426041633927</v>
      </c>
      <c r="H235" s="57">
        <f>150.184389420209*Deflactores!$E$5</f>
        <v>421.39175856099018</v>
      </c>
      <c r="I235" s="57">
        <f>115.9925041225*Deflactores!$F$5</f>
        <v>310.38543886619078</v>
      </c>
      <c r="J235" s="57">
        <f>101.17746355149*Deflactores!$G$5</f>
        <v>259.13768018986462</v>
      </c>
      <c r="K235" s="57">
        <f>109.29000914165*Deflactores!$H$5</f>
        <v>264.83477554537825</v>
      </c>
      <c r="L235" s="57">
        <f>103.9034179784*Deflactores!$I$5</f>
        <v>233.83635830713277</v>
      </c>
      <c r="M235" s="57">
        <f>186.43437388848*Deflactores!$J$5</f>
        <v>411.33941246012586</v>
      </c>
      <c r="N235" s="57">
        <f>159.90946428225*Deflactores!$K$5</f>
        <v>341.97151132469446</v>
      </c>
      <c r="O235" s="57">
        <f>146.72720618723*Deflactores!$L$5</f>
        <v>302.50733415778575</v>
      </c>
      <c r="P235" s="57">
        <f>272.75172895697*Deflactores!$M$5</f>
        <v>548.93788230389362</v>
      </c>
      <c r="Q235" s="57">
        <f>198.7315765016*Deflactores!$N$5</f>
        <v>392.35386833111642</v>
      </c>
      <c r="R235" s="57">
        <f>203.2558347579*Deflactores!$O$5</f>
        <v>387.11756563304505</v>
      </c>
      <c r="S235" s="57">
        <f>187.750250199529*Deflactores!$P$5</f>
        <v>334.91233124877397</v>
      </c>
      <c r="T235" s="57">
        <f>182.27748504479*Deflactores!$Q$5</f>
        <v>307.47036656264345</v>
      </c>
      <c r="U235" s="57">
        <f>188.942170419639*Deflactores!$R$5</f>
        <v>306.18938406767649</v>
      </c>
      <c r="V235" s="57">
        <f>197.271200076219*Deflactores!$S$5</f>
        <v>309.83422717436309</v>
      </c>
    </row>
    <row r="236" spans="2:22" x14ac:dyDescent="0.2">
      <c r="C236" s="87" t="s">
        <v>151</v>
      </c>
      <c r="D236" s="56">
        <f>16.46091882001*Deflactores!$A$5</f>
        <v>59.762339086154618</v>
      </c>
      <c r="E236" s="56">
        <f>18.10944899374*Deflactores!$B$5</f>
        <v>61.076136741646913</v>
      </c>
      <c r="F236" s="56">
        <f>17.47866282195*Deflactores!$C$5</f>
        <v>55.096481930256537</v>
      </c>
      <c r="G236" s="56">
        <f>16.009800203*Deflactores!$D$5</f>
        <v>47.390053127683963</v>
      </c>
      <c r="H236" s="56">
        <f>9.35166163069*Deflactores!$E$5</f>
        <v>26.239166102662395</v>
      </c>
      <c r="I236" s="56">
        <f>8.50765923445*Deflactores!$F$5</f>
        <v>22.76572581293669</v>
      </c>
      <c r="J236" s="56">
        <f>13.2880476868099*Deflactores!$G$5</f>
        <v>34.033605221382366</v>
      </c>
      <c r="K236" s="56">
        <f>12.5065585275899*Deflactores!$H$5</f>
        <v>30.306261720653037</v>
      </c>
      <c r="L236" s="56">
        <f>8.44150337384*Deflactores!$I$5</f>
        <v>18.997742769024899</v>
      </c>
      <c r="M236" s="56">
        <f>6.877948654*Deflactores!$J$5</f>
        <v>15.175159490489706</v>
      </c>
      <c r="N236" s="56">
        <f>8.81691673772999*Deflactores!$K$5</f>
        <v>18.855258852619396</v>
      </c>
      <c r="O236" s="56">
        <f>322.19907733797*Deflactores!$L$5</f>
        <v>664.2775153043865</v>
      </c>
      <c r="P236" s="56">
        <f>1351.0575654521*Deflactores!$M$5</f>
        <v>2719.1273239075745</v>
      </c>
      <c r="Q236" s="56">
        <f>1460.99136627098*Deflactores!$N$5</f>
        <v>2884.4214102541828</v>
      </c>
      <c r="R236" s="56">
        <f>1515.81470727709*Deflactores!$O$5</f>
        <v>2886.9946101710452</v>
      </c>
      <c r="S236" s="56">
        <f>1587.73106439595*Deflactores!$P$5</f>
        <v>2832.2237206492882</v>
      </c>
      <c r="T236" s="56">
        <f>1737.21182061143*Deflactores!$Q$5</f>
        <v>2930.3737384192136</v>
      </c>
      <c r="U236" s="56">
        <f>1937.02395482534*Deflactores!$R$5</f>
        <v>3139.0354537319217</v>
      </c>
      <c r="V236" s="56">
        <f>1955.82088193534*Deflactores!$S$5</f>
        <v>3071.8130736356184</v>
      </c>
    </row>
    <row r="237" spans="2:22" x14ac:dyDescent="0.2">
      <c r="C237" s="79" t="s">
        <v>179</v>
      </c>
      <c r="D237" s="44">
        <f t="shared" ref="D237:V237" si="63">+SUM(D208:D236)</f>
        <v>75188.196346148936</v>
      </c>
      <c r="E237" s="44">
        <f t="shared" si="63"/>
        <v>86778.281869177037</v>
      </c>
      <c r="F237" s="44">
        <f t="shared" si="63"/>
        <v>89030.888727677055</v>
      </c>
      <c r="G237" s="44">
        <f t="shared" si="63"/>
        <v>90689.016036342058</v>
      </c>
      <c r="H237" s="44">
        <f t="shared" si="63"/>
        <v>99728.080104618071</v>
      </c>
      <c r="I237" s="44">
        <f t="shared" si="63"/>
        <v>112295.17277333286</v>
      </c>
      <c r="J237" s="44">
        <f t="shared" si="63"/>
        <v>117657.32140949674</v>
      </c>
      <c r="K237" s="44">
        <f t="shared" si="63"/>
        <v>123441.85253329547</v>
      </c>
      <c r="L237" s="44">
        <f t="shared" si="63"/>
        <v>130017.66143039461</v>
      </c>
      <c r="M237" s="44">
        <f t="shared" si="63"/>
        <v>139087.90500523272</v>
      </c>
      <c r="N237" s="44">
        <f t="shared" si="63"/>
        <v>143488.95976665957</v>
      </c>
      <c r="O237" s="44">
        <f t="shared" si="63"/>
        <v>145901.83626132531</v>
      </c>
      <c r="P237" s="44">
        <f t="shared" si="63"/>
        <v>154250.94927902863</v>
      </c>
      <c r="Q237" s="44">
        <f t="shared" si="63"/>
        <v>169622.52937176829</v>
      </c>
      <c r="R237" s="44">
        <f t="shared" si="63"/>
        <v>179637.21677713963</v>
      </c>
      <c r="S237" s="44">
        <f t="shared" si="63"/>
        <v>178898.18362794831</v>
      </c>
      <c r="T237" s="44">
        <f t="shared" si="63"/>
        <v>183717.39951968347</v>
      </c>
      <c r="U237" s="44">
        <f t="shared" si="63"/>
        <v>202639.14303754651</v>
      </c>
      <c r="V237" s="44">
        <f t="shared" si="63"/>
        <v>207869.33299774679</v>
      </c>
    </row>
    <row r="238" spans="2:22" x14ac:dyDescent="0.2">
      <c r="C238" s="1" t="s">
        <v>52</v>
      </c>
      <c r="D238" s="12"/>
      <c r="E238" s="12"/>
      <c r="F238" s="12"/>
      <c r="G238" s="12"/>
      <c r="H238" s="13"/>
      <c r="I238" s="13"/>
      <c r="J238" s="13"/>
      <c r="K238" s="13"/>
      <c r="L238" s="13"/>
      <c r="M238" s="13"/>
      <c r="N238" s="13"/>
      <c r="O238" s="13"/>
      <c r="P238" s="13"/>
      <c r="Q238" s="13"/>
      <c r="R238" s="13"/>
      <c r="S238" s="13"/>
      <c r="T238" s="13"/>
      <c r="U238" s="13"/>
    </row>
    <row r="239" spans="2:22" x14ac:dyDescent="0.2">
      <c r="B239" s="9"/>
    </row>
    <row r="242" spans="3:22" ht="18" customHeight="1" x14ac:dyDescent="0.2">
      <c r="D242" s="160" t="s">
        <v>193</v>
      </c>
      <c r="E242" s="158"/>
      <c r="F242" s="158"/>
      <c r="G242" s="158"/>
      <c r="H242" s="158"/>
      <c r="I242" s="158"/>
      <c r="J242" s="158"/>
      <c r="K242" s="158"/>
      <c r="L242" s="158"/>
      <c r="M242" s="158"/>
      <c r="N242" s="158"/>
      <c r="O242" s="158"/>
      <c r="P242" s="158"/>
      <c r="Q242" s="158"/>
      <c r="R242" s="158"/>
      <c r="S242" s="158"/>
      <c r="T242" s="158"/>
      <c r="U242" s="158"/>
      <c r="V242" s="158"/>
    </row>
    <row r="243" spans="3:22" ht="1.5" customHeight="1" x14ac:dyDescent="0.2">
      <c r="H243" s="27"/>
      <c r="I243" s="27"/>
      <c r="J243" s="27"/>
      <c r="L243" s="175"/>
      <c r="M243" s="158"/>
      <c r="N243" s="158"/>
      <c r="O243" s="158"/>
      <c r="P243" s="158"/>
      <c r="Q243" s="158"/>
      <c r="R243" s="28"/>
      <c r="S243" s="28"/>
      <c r="T243" s="28"/>
      <c r="U243" s="28"/>
      <c r="V243" s="28"/>
    </row>
    <row r="244" spans="3:22" x14ac:dyDescent="0.2"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</row>
    <row r="245" spans="3:22" ht="13.5" customHeight="1" x14ac:dyDescent="0.2">
      <c r="C245" s="177" t="s">
        <v>120</v>
      </c>
      <c r="D245" s="153">
        <v>2000</v>
      </c>
      <c r="E245" s="153">
        <v>2001</v>
      </c>
      <c r="F245" s="153">
        <v>2002</v>
      </c>
      <c r="G245" s="153">
        <v>2003</v>
      </c>
      <c r="H245" s="153">
        <v>2004</v>
      </c>
      <c r="I245" s="153">
        <v>2005</v>
      </c>
      <c r="J245" s="153">
        <v>2006</v>
      </c>
      <c r="K245" s="153">
        <v>2007</v>
      </c>
      <c r="L245" s="153">
        <v>2008</v>
      </c>
      <c r="M245" s="153">
        <v>2009</v>
      </c>
      <c r="N245" s="153">
        <v>2010</v>
      </c>
      <c r="O245" s="153">
        <v>2011</v>
      </c>
      <c r="P245" s="153">
        <v>2012</v>
      </c>
      <c r="Q245" s="153">
        <v>2013</v>
      </c>
      <c r="R245" s="153">
        <v>2014</v>
      </c>
      <c r="S245" s="153">
        <v>2015</v>
      </c>
      <c r="T245" s="153">
        <v>2016</v>
      </c>
      <c r="U245" s="153">
        <v>2017</v>
      </c>
      <c r="V245" s="153">
        <v>2018</v>
      </c>
    </row>
    <row r="246" spans="3:22" ht="12" customHeight="1" thickBot="1" x14ac:dyDescent="0.25">
      <c r="C246" s="156"/>
      <c r="D246" s="154"/>
      <c r="E246" s="154"/>
      <c r="F246" s="154"/>
      <c r="G246" s="154"/>
      <c r="H246" s="154"/>
      <c r="I246" s="154"/>
      <c r="J246" s="154"/>
      <c r="K246" s="154"/>
      <c r="L246" s="154"/>
      <c r="M246" s="154"/>
      <c r="N246" s="154"/>
      <c r="O246" s="154"/>
      <c r="P246" s="154"/>
      <c r="Q246" s="154"/>
      <c r="R246" s="154"/>
      <c r="S246" s="154"/>
      <c r="T246" s="154"/>
      <c r="U246" s="154"/>
      <c r="V246" s="154"/>
    </row>
    <row r="247" spans="3:22" x14ac:dyDescent="0.2">
      <c r="C247" s="87" t="s">
        <v>123</v>
      </c>
      <c r="D247" s="60">
        <f t="shared" ref="D247:V247" si="64">+IFERROR(IF(D208&gt;0,+((D208/D14)*100)," "),"")</f>
        <v>84.374993281080862</v>
      </c>
      <c r="E247" s="60">
        <f t="shared" si="64"/>
        <v>91.457003170426304</v>
      </c>
      <c r="F247" s="60">
        <f t="shared" si="64"/>
        <v>88.054493433205721</v>
      </c>
      <c r="G247" s="60">
        <f t="shared" si="64"/>
        <v>86.933825221952418</v>
      </c>
      <c r="H247" s="60">
        <f t="shared" si="64"/>
        <v>83.321242349260459</v>
      </c>
      <c r="I247" s="60">
        <f t="shared" si="64"/>
        <v>82.593340497349246</v>
      </c>
      <c r="J247" s="60">
        <f t="shared" si="64"/>
        <v>80.871844328172955</v>
      </c>
      <c r="K247" s="60">
        <f t="shared" si="64"/>
        <v>91.593982336965993</v>
      </c>
      <c r="L247" s="60">
        <f t="shared" si="64"/>
        <v>93.319200850866181</v>
      </c>
      <c r="M247" s="60">
        <f t="shared" si="64"/>
        <v>94.818166827072432</v>
      </c>
      <c r="N247" s="60">
        <f t="shared" si="64"/>
        <v>93.290625962250147</v>
      </c>
      <c r="O247" s="60">
        <f t="shared" si="64"/>
        <v>95.245164677840137</v>
      </c>
      <c r="P247" s="60">
        <f t="shared" si="64"/>
        <v>75.821857037201511</v>
      </c>
      <c r="Q247" s="60">
        <f t="shared" si="64"/>
        <v>81.477740167826099</v>
      </c>
      <c r="R247" s="60">
        <f t="shared" si="64"/>
        <v>86.928872975039098</v>
      </c>
      <c r="S247" s="60">
        <f t="shared" si="64"/>
        <v>90.76790567364317</v>
      </c>
      <c r="T247" s="60">
        <f t="shared" si="64"/>
        <v>88.855903831331901</v>
      </c>
      <c r="U247" s="60">
        <f t="shared" si="64"/>
        <v>83.080370324784781</v>
      </c>
      <c r="V247" s="60">
        <f t="shared" si="64"/>
        <v>78.913595009818536</v>
      </c>
    </row>
    <row r="248" spans="3:22" x14ac:dyDescent="0.2">
      <c r="C248" s="88" t="s">
        <v>124</v>
      </c>
      <c r="D248" s="62">
        <f t="shared" ref="D248:V248" si="65">+IFERROR(IF(D209&gt;0,+((D209/D15)*100)," "),"")</f>
        <v>83.092431804818716</v>
      </c>
      <c r="E248" s="62">
        <f t="shared" si="65"/>
        <v>89.145319930130455</v>
      </c>
      <c r="F248" s="62">
        <f t="shared" si="65"/>
        <v>86.088423068644843</v>
      </c>
      <c r="G248" s="62">
        <f t="shared" si="65"/>
        <v>84.458374532707339</v>
      </c>
      <c r="H248" s="62">
        <f t="shared" si="65"/>
        <v>88.633242852497403</v>
      </c>
      <c r="I248" s="62">
        <f t="shared" si="65"/>
        <v>90.514275495045993</v>
      </c>
      <c r="J248" s="62">
        <f t="shared" si="65"/>
        <v>89.678668363308063</v>
      </c>
      <c r="K248" s="62">
        <f t="shared" si="65"/>
        <v>89.208132896003789</v>
      </c>
      <c r="L248" s="62">
        <f t="shared" si="65"/>
        <v>98.986238044864152</v>
      </c>
      <c r="M248" s="62">
        <f t="shared" si="65"/>
        <v>98.964542802924711</v>
      </c>
      <c r="N248" s="62">
        <f t="shared" si="65"/>
        <v>96.543851912870565</v>
      </c>
      <c r="O248" s="62">
        <f t="shared" si="65"/>
        <v>98.335271298807214</v>
      </c>
      <c r="P248" s="62">
        <f t="shared" si="65"/>
        <v>80.918101315842122</v>
      </c>
      <c r="Q248" s="62">
        <f t="shared" si="65"/>
        <v>84.13486565019646</v>
      </c>
      <c r="R248" s="62">
        <f t="shared" si="65"/>
        <v>92.546196511313866</v>
      </c>
      <c r="S248" s="62">
        <f t="shared" si="65"/>
        <v>92.07778832411438</v>
      </c>
      <c r="T248" s="62">
        <f t="shared" si="65"/>
        <v>93.651428074469578</v>
      </c>
      <c r="U248" s="62">
        <f t="shared" si="65"/>
        <v>93.293937343321929</v>
      </c>
      <c r="V248" s="62">
        <f t="shared" si="65"/>
        <v>94.621763924193729</v>
      </c>
    </row>
    <row r="249" spans="3:22" x14ac:dyDescent="0.2">
      <c r="C249" s="87" t="s">
        <v>125</v>
      </c>
      <c r="D249" s="60">
        <f t="shared" ref="D249:V249" si="66">+IFERROR(IF(D210&gt;0,+((D210/D16)*100)," "),"")</f>
        <v>96.617071685740981</v>
      </c>
      <c r="E249" s="60">
        <f t="shared" si="66"/>
        <v>95.217952059984057</v>
      </c>
      <c r="F249" s="60">
        <f t="shared" si="66"/>
        <v>96.236960896021415</v>
      </c>
      <c r="G249" s="60">
        <f t="shared" si="66"/>
        <v>96.78820066529228</v>
      </c>
      <c r="H249" s="60">
        <f t="shared" si="66"/>
        <v>92.964720642537159</v>
      </c>
      <c r="I249" s="60">
        <f t="shared" si="66"/>
        <v>96.377774519670069</v>
      </c>
      <c r="J249" s="60">
        <f t="shared" si="66"/>
        <v>93.432215022393507</v>
      </c>
      <c r="K249" s="60">
        <f t="shared" si="66"/>
        <v>90.231416320115613</v>
      </c>
      <c r="L249" s="60">
        <f t="shared" si="66"/>
        <v>97.304454520164285</v>
      </c>
      <c r="M249" s="60">
        <f t="shared" si="66"/>
        <v>24.934300810663387</v>
      </c>
      <c r="N249" s="60">
        <f t="shared" si="66"/>
        <v>33.326930658897268</v>
      </c>
      <c r="O249" s="60">
        <f t="shared" si="66"/>
        <v>87.429890425665533</v>
      </c>
      <c r="P249" s="60">
        <f t="shared" si="66"/>
        <v>70.200020596130727</v>
      </c>
      <c r="Q249" s="60">
        <f t="shared" si="66"/>
        <v>87.892022511799411</v>
      </c>
      <c r="R249" s="60">
        <f t="shared" si="66"/>
        <v>87.385997176036852</v>
      </c>
      <c r="S249" s="60">
        <f t="shared" si="66"/>
        <v>91.036208855582487</v>
      </c>
      <c r="T249" s="60">
        <f t="shared" si="66"/>
        <v>92.133528138737958</v>
      </c>
      <c r="U249" s="60">
        <f t="shared" si="66"/>
        <v>90.208215217937749</v>
      </c>
      <c r="V249" s="60">
        <f t="shared" si="66"/>
        <v>92.111940480501588</v>
      </c>
    </row>
    <row r="250" spans="3:22" x14ac:dyDescent="0.2">
      <c r="C250" s="88" t="s">
        <v>126</v>
      </c>
      <c r="D250" s="62">
        <f t="shared" ref="D250:V250" si="67">+IFERROR(IF(D211&gt;0,+((D211/D17)*100)," "),"")</f>
        <v>76.918680448558447</v>
      </c>
      <c r="E250" s="62">
        <f t="shared" si="67"/>
        <v>89.54406972122591</v>
      </c>
      <c r="F250" s="62">
        <f t="shared" si="67"/>
        <v>92.1543684634794</v>
      </c>
      <c r="G250" s="62">
        <f t="shared" si="67"/>
        <v>86.591240974535353</v>
      </c>
      <c r="H250" s="62">
        <f t="shared" si="67"/>
        <v>89.233508705093229</v>
      </c>
      <c r="I250" s="62">
        <f t="shared" si="67"/>
        <v>91.570038777680637</v>
      </c>
      <c r="J250" s="62">
        <f t="shared" si="67"/>
        <v>73.213542572440389</v>
      </c>
      <c r="K250" s="62">
        <f t="shared" si="67"/>
        <v>88.45845308003004</v>
      </c>
      <c r="L250" s="62">
        <f t="shared" si="67"/>
        <v>89.625160850076128</v>
      </c>
      <c r="M250" s="62">
        <f t="shared" si="67"/>
        <v>87.016091595951067</v>
      </c>
      <c r="N250" s="62">
        <f t="shared" si="67"/>
        <v>90.015665037055399</v>
      </c>
      <c r="O250" s="62">
        <f t="shared" si="67"/>
        <v>90.709088646583382</v>
      </c>
      <c r="P250" s="62">
        <f t="shared" si="67"/>
        <v>86.327353009203904</v>
      </c>
      <c r="Q250" s="62">
        <f t="shared" si="67"/>
        <v>77.239468689906232</v>
      </c>
      <c r="R250" s="62">
        <f t="shared" si="67"/>
        <v>83.430509275102523</v>
      </c>
      <c r="S250" s="62">
        <f t="shared" si="67"/>
        <v>87.107509545126334</v>
      </c>
      <c r="T250" s="62">
        <f t="shared" si="67"/>
        <v>93.355134749701193</v>
      </c>
      <c r="U250" s="62">
        <f t="shared" si="67"/>
        <v>87.911107171153631</v>
      </c>
      <c r="V250" s="62">
        <f t="shared" si="67"/>
        <v>95.964797455601001</v>
      </c>
    </row>
    <row r="251" spans="3:22" x14ac:dyDescent="0.2">
      <c r="C251" s="87" t="s">
        <v>127</v>
      </c>
      <c r="D251" s="60">
        <f t="shared" ref="D251:V251" si="68">+IFERROR(IF(D212&gt;0,+((D212/D18)*100)," "),"")</f>
        <v>83.645771919463243</v>
      </c>
      <c r="E251" s="60">
        <f t="shared" si="68"/>
        <v>88.763520598214697</v>
      </c>
      <c r="F251" s="60">
        <f t="shared" si="68"/>
        <v>94.253791505514897</v>
      </c>
      <c r="G251" s="60">
        <f t="shared" si="68"/>
        <v>94.712412022184395</v>
      </c>
      <c r="H251" s="60">
        <f t="shared" si="68"/>
        <v>92.166551913861099</v>
      </c>
      <c r="I251" s="60">
        <f t="shared" si="68"/>
        <v>95.134793392056338</v>
      </c>
      <c r="J251" s="60">
        <f t="shared" si="68"/>
        <v>93.726610348659406</v>
      </c>
      <c r="K251" s="60">
        <f t="shared" si="68"/>
        <v>97.17932270356755</v>
      </c>
      <c r="L251" s="60">
        <f t="shared" si="68"/>
        <v>95.674974316140876</v>
      </c>
      <c r="M251" s="60">
        <f t="shared" si="68"/>
        <v>96.336797194101919</v>
      </c>
      <c r="N251" s="60">
        <f t="shared" si="68"/>
        <v>96.800393736583572</v>
      </c>
      <c r="O251" s="60">
        <f t="shared" si="68"/>
        <v>97.642136345622745</v>
      </c>
      <c r="P251" s="60">
        <f t="shared" si="68"/>
        <v>95.881928516000542</v>
      </c>
      <c r="Q251" s="60">
        <f t="shared" si="68"/>
        <v>94.427675514042946</v>
      </c>
      <c r="R251" s="60">
        <f t="shared" si="68"/>
        <v>96.302275137462686</v>
      </c>
      <c r="S251" s="60">
        <f t="shared" si="68"/>
        <v>96.479269296368159</v>
      </c>
      <c r="T251" s="60">
        <f t="shared" si="68"/>
        <v>96.752422817067938</v>
      </c>
      <c r="U251" s="60">
        <f t="shared" si="68"/>
        <v>96.46616276405318</v>
      </c>
      <c r="V251" s="60">
        <f t="shared" si="68"/>
        <v>95.994180668059442</v>
      </c>
    </row>
    <row r="252" spans="3:22" x14ac:dyDescent="0.2">
      <c r="C252" s="88" t="s">
        <v>128</v>
      </c>
      <c r="D252" s="62">
        <f t="shared" ref="D252:V252" si="69">+IFERROR(IF(D213&gt;0,+((D213/D19)*100)," "),"")</f>
        <v>82.34163201980887</v>
      </c>
      <c r="E252" s="62">
        <f t="shared" si="69"/>
        <v>89.427230720217267</v>
      </c>
      <c r="F252" s="62">
        <f t="shared" si="69"/>
        <v>75.203411530750742</v>
      </c>
      <c r="G252" s="62">
        <f t="shared" si="69"/>
        <v>81.944646655209297</v>
      </c>
      <c r="H252" s="62">
        <f t="shared" si="69"/>
        <v>80.402466908600047</v>
      </c>
      <c r="I252" s="62">
        <f t="shared" si="69"/>
        <v>84.689654796925467</v>
      </c>
      <c r="J252" s="62">
        <f t="shared" si="69"/>
        <v>90.676556177813552</v>
      </c>
      <c r="K252" s="62">
        <f t="shared" si="69"/>
        <v>90.038152500225038</v>
      </c>
      <c r="L252" s="62">
        <f t="shared" si="69"/>
        <v>85.951124929754329</v>
      </c>
      <c r="M252" s="62">
        <f t="shared" si="69"/>
        <v>87.702255444122898</v>
      </c>
      <c r="N252" s="62">
        <f t="shared" si="69"/>
        <v>87.795075799091691</v>
      </c>
      <c r="O252" s="62">
        <f t="shared" si="69"/>
        <v>90.856548909731544</v>
      </c>
      <c r="P252" s="62">
        <f t="shared" si="69"/>
        <v>88.613646739245411</v>
      </c>
      <c r="Q252" s="62">
        <f t="shared" si="69"/>
        <v>91.498560078730733</v>
      </c>
      <c r="R252" s="62">
        <f t="shared" si="69"/>
        <v>93.977238290998343</v>
      </c>
      <c r="S252" s="62">
        <f t="shared" si="69"/>
        <v>96.802638538546887</v>
      </c>
      <c r="T252" s="62">
        <f t="shared" si="69"/>
        <v>95.245490462158514</v>
      </c>
      <c r="U252" s="62">
        <f t="shared" si="69"/>
        <v>91.13251073290408</v>
      </c>
      <c r="V252" s="62">
        <f t="shared" si="69"/>
        <v>96.207397627409279</v>
      </c>
    </row>
    <row r="253" spans="3:22" x14ac:dyDescent="0.2">
      <c r="C253" s="87" t="s">
        <v>129</v>
      </c>
      <c r="D253" s="60">
        <f t="shared" ref="D253:V253" si="70">+IFERROR(IF(D214&gt;0,+((D214/D20)*100)," "),"")</f>
        <v>87.555792425268237</v>
      </c>
      <c r="E253" s="60">
        <f t="shared" si="70"/>
        <v>92.197783496161293</v>
      </c>
      <c r="F253" s="60">
        <f t="shared" si="70"/>
        <v>89.608958210176453</v>
      </c>
      <c r="G253" s="60">
        <f t="shared" si="70"/>
        <v>88.937442889400458</v>
      </c>
      <c r="H253" s="60">
        <f t="shared" si="70"/>
        <v>85.899550556304732</v>
      </c>
      <c r="I253" s="60">
        <f t="shared" si="70"/>
        <v>88.233512292489522</v>
      </c>
      <c r="J253" s="60">
        <f t="shared" si="70"/>
        <v>91.647564025541655</v>
      </c>
      <c r="K253" s="60">
        <f t="shared" si="70"/>
        <v>95.255399053380117</v>
      </c>
      <c r="L253" s="60">
        <f t="shared" si="70"/>
        <v>96.572537699504295</v>
      </c>
      <c r="M253" s="60">
        <f t="shared" si="70"/>
        <v>94.528320970159982</v>
      </c>
      <c r="N253" s="60">
        <f t="shared" si="70"/>
        <v>94.763287011517676</v>
      </c>
      <c r="O253" s="60">
        <f t="shared" si="70"/>
        <v>95.064453717235736</v>
      </c>
      <c r="P253" s="60">
        <f t="shared" si="70"/>
        <v>96.208473684851313</v>
      </c>
      <c r="Q253" s="60">
        <f t="shared" si="70"/>
        <v>96.83192780259084</v>
      </c>
      <c r="R253" s="60">
        <f t="shared" si="70"/>
        <v>95.77298274872328</v>
      </c>
      <c r="S253" s="60">
        <f t="shared" si="70"/>
        <v>95.039982881193708</v>
      </c>
      <c r="T253" s="60">
        <f t="shared" si="70"/>
        <v>94.065956340883702</v>
      </c>
      <c r="U253" s="60">
        <f t="shared" si="70"/>
        <v>94.878542892785788</v>
      </c>
      <c r="V253" s="60">
        <f t="shared" si="70"/>
        <v>96.170582915459789</v>
      </c>
    </row>
    <row r="254" spans="3:22" x14ac:dyDescent="0.2">
      <c r="C254" s="88" t="s">
        <v>130</v>
      </c>
      <c r="D254" s="62">
        <f t="shared" ref="D254:V254" si="71">+IFERROR(IF(D215&gt;0,+((D215/D21)*100)," "),"")</f>
        <v>88.372624194891031</v>
      </c>
      <c r="E254" s="62">
        <f t="shared" si="71"/>
        <v>94.930110225200849</v>
      </c>
      <c r="F254" s="62">
        <f t="shared" si="71"/>
        <v>87.319297430263461</v>
      </c>
      <c r="G254" s="62">
        <f t="shared" si="71"/>
        <v>89.134518931164791</v>
      </c>
      <c r="H254" s="62">
        <f t="shared" si="71"/>
        <v>90.03404087169649</v>
      </c>
      <c r="I254" s="62">
        <f t="shared" si="71"/>
        <v>91.480836512115502</v>
      </c>
      <c r="J254" s="62">
        <f t="shared" si="71"/>
        <v>88.206205511813437</v>
      </c>
      <c r="K254" s="62">
        <f t="shared" si="71"/>
        <v>94.2645013749339</v>
      </c>
      <c r="L254" s="62">
        <f t="shared" si="71"/>
        <v>93.803385261395704</v>
      </c>
      <c r="M254" s="62">
        <f t="shared" si="71"/>
        <v>94.874166743696733</v>
      </c>
      <c r="N254" s="62">
        <f t="shared" si="71"/>
        <v>88.306674442939098</v>
      </c>
      <c r="O254" s="62">
        <f t="shared" si="71"/>
        <v>92.164079388089789</v>
      </c>
      <c r="P254" s="62">
        <f t="shared" si="71"/>
        <v>73.561451676250854</v>
      </c>
      <c r="Q254" s="62">
        <f t="shared" si="71"/>
        <v>88.217921579711984</v>
      </c>
      <c r="R254" s="62">
        <f t="shared" si="71"/>
        <v>94.983421742921763</v>
      </c>
      <c r="S254" s="62">
        <f t="shared" si="71"/>
        <v>94.726846150602583</v>
      </c>
      <c r="T254" s="62">
        <f t="shared" si="71"/>
        <v>90.343816120660264</v>
      </c>
      <c r="U254" s="62">
        <f t="shared" si="71"/>
        <v>96.143624091004767</v>
      </c>
      <c r="V254" s="62">
        <f t="shared" si="71"/>
        <v>95.776017388130214</v>
      </c>
    </row>
    <row r="255" spans="3:22" x14ac:dyDescent="0.2">
      <c r="C255" s="87" t="s">
        <v>131</v>
      </c>
      <c r="D255" s="60">
        <f t="shared" ref="D255:V255" si="72">+IFERROR(IF(D216&gt;0,+((D216/D22)*100)," "),"")</f>
        <v>90.074932640915193</v>
      </c>
      <c r="E255" s="60">
        <f t="shared" si="72"/>
        <v>96.480020510689016</v>
      </c>
      <c r="F255" s="60">
        <f t="shared" si="72"/>
        <v>95.665175755172498</v>
      </c>
      <c r="G255" s="60">
        <f t="shared" si="72"/>
        <v>95.806574638462422</v>
      </c>
      <c r="H255" s="60">
        <f t="shared" si="72"/>
        <v>97.442715257938957</v>
      </c>
      <c r="I255" s="60">
        <f t="shared" si="72"/>
        <v>99.365670947628473</v>
      </c>
      <c r="J255" s="60">
        <f t="shared" si="72"/>
        <v>99.001379058872018</v>
      </c>
      <c r="K255" s="60">
        <f t="shared" si="72"/>
        <v>99.176904580275263</v>
      </c>
      <c r="L255" s="60">
        <f t="shared" si="72"/>
        <v>97.43908832152222</v>
      </c>
      <c r="M255" s="60">
        <f t="shared" si="72"/>
        <v>98.366284465841773</v>
      </c>
      <c r="N255" s="60">
        <f t="shared" si="72"/>
        <v>96.507772543799391</v>
      </c>
      <c r="O255" s="60">
        <f t="shared" si="72"/>
        <v>98.704187172307314</v>
      </c>
      <c r="P255" s="60">
        <f t="shared" si="72"/>
        <v>97.072253984029544</v>
      </c>
      <c r="Q255" s="60">
        <f t="shared" si="72"/>
        <v>99.003627720906493</v>
      </c>
      <c r="R255" s="60">
        <f t="shared" si="72"/>
        <v>97.783405575004352</v>
      </c>
      <c r="S255" s="60">
        <f t="shared" si="72"/>
        <v>99.605150038482776</v>
      </c>
      <c r="T255" s="60">
        <f t="shared" si="72"/>
        <v>99.101755103856064</v>
      </c>
      <c r="U255" s="60">
        <f t="shared" si="72"/>
        <v>99.926157123128064</v>
      </c>
      <c r="V255" s="60">
        <f t="shared" si="72"/>
        <v>99.572596192715707</v>
      </c>
    </row>
    <row r="256" spans="3:22" x14ac:dyDescent="0.2">
      <c r="C256" s="88" t="s">
        <v>132</v>
      </c>
      <c r="D256" s="62">
        <f t="shared" ref="D256:V256" si="73">+IFERROR(IF(D217&gt;0,+((D217/D23)*100)," "),"")</f>
        <v>89.576768831390837</v>
      </c>
      <c r="E256" s="62">
        <f t="shared" si="73"/>
        <v>93.308450495912481</v>
      </c>
      <c r="F256" s="62">
        <f t="shared" si="73"/>
        <v>93.58055210283537</v>
      </c>
      <c r="G256" s="62">
        <f t="shared" si="73"/>
        <v>89.083224537274489</v>
      </c>
      <c r="H256" s="62">
        <f t="shared" si="73"/>
        <v>88.345721321989629</v>
      </c>
      <c r="I256" s="62">
        <f t="shared" si="73"/>
        <v>84.326778127515794</v>
      </c>
      <c r="J256" s="62">
        <f t="shared" si="73"/>
        <v>92.692109801052794</v>
      </c>
      <c r="K256" s="62">
        <f t="shared" si="73"/>
        <v>90.612223183474057</v>
      </c>
      <c r="L256" s="62">
        <f t="shared" si="73"/>
        <v>90.750239136098074</v>
      </c>
      <c r="M256" s="62">
        <f t="shared" si="73"/>
        <v>83.060533242408567</v>
      </c>
      <c r="N256" s="62">
        <f t="shared" si="73"/>
        <v>74.216472327797462</v>
      </c>
      <c r="O256" s="62">
        <f t="shared" si="73"/>
        <v>81.093611812889165</v>
      </c>
      <c r="P256" s="62">
        <f t="shared" si="73"/>
        <v>87.717996828640906</v>
      </c>
      <c r="Q256" s="62">
        <f t="shared" si="73"/>
        <v>88.686579428559156</v>
      </c>
      <c r="R256" s="62">
        <f t="shared" si="73"/>
        <v>92.076711606106471</v>
      </c>
      <c r="S256" s="62">
        <f t="shared" si="73"/>
        <v>93.67437510500713</v>
      </c>
      <c r="T256" s="62">
        <f t="shared" si="73"/>
        <v>95.122919080238461</v>
      </c>
      <c r="U256" s="62">
        <f t="shared" si="73"/>
        <v>96.427548768749702</v>
      </c>
      <c r="V256" s="62">
        <f t="shared" si="73"/>
        <v>96.459909161697212</v>
      </c>
    </row>
    <row r="257" spans="3:22" x14ac:dyDescent="0.2">
      <c r="C257" s="87" t="s">
        <v>133</v>
      </c>
      <c r="D257" s="60">
        <f t="shared" ref="D257:V257" si="74">+IFERROR(IF(D218&gt;0,+((D218/D24)*100)," "),"")</f>
        <v>89.556255437807536</v>
      </c>
      <c r="E257" s="60">
        <f t="shared" si="74"/>
        <v>95.939521088850327</v>
      </c>
      <c r="F257" s="60">
        <f t="shared" si="74"/>
        <v>92.87954070688636</v>
      </c>
      <c r="G257" s="60">
        <f t="shared" si="74"/>
        <v>92.258520678268511</v>
      </c>
      <c r="H257" s="60">
        <f t="shared" si="74"/>
        <v>93.759398672545842</v>
      </c>
      <c r="I257" s="60">
        <f t="shared" si="74"/>
        <v>96.423839701089236</v>
      </c>
      <c r="J257" s="60">
        <f t="shared" si="74"/>
        <v>95.459373872506575</v>
      </c>
      <c r="K257" s="60">
        <f t="shared" si="74"/>
        <v>94.823244563751615</v>
      </c>
      <c r="L257" s="60">
        <f t="shared" si="74"/>
        <v>94.971686366243375</v>
      </c>
      <c r="M257" s="60">
        <f t="shared" si="74"/>
        <v>94.741680202634399</v>
      </c>
      <c r="N257" s="60">
        <f t="shared" si="74"/>
        <v>90.97308638337978</v>
      </c>
      <c r="O257" s="60">
        <f t="shared" si="74"/>
        <v>91.082730069211024</v>
      </c>
      <c r="P257" s="60">
        <f t="shared" si="74"/>
        <v>89.727436781051821</v>
      </c>
      <c r="Q257" s="60">
        <f t="shared" si="74"/>
        <v>92.028316601131863</v>
      </c>
      <c r="R257" s="60">
        <f t="shared" si="74"/>
        <v>88.409759058258444</v>
      </c>
      <c r="S257" s="60">
        <f t="shared" si="74"/>
        <v>87.358124968367207</v>
      </c>
      <c r="T257" s="60">
        <f t="shared" si="74"/>
        <v>91.932832299776976</v>
      </c>
      <c r="U257" s="60">
        <f t="shared" si="74"/>
        <v>92.597522757136744</v>
      </c>
      <c r="V257" s="60">
        <f t="shared" si="74"/>
        <v>92.973746374044254</v>
      </c>
    </row>
    <row r="258" spans="3:22" x14ac:dyDescent="0.2">
      <c r="C258" s="88" t="s">
        <v>134</v>
      </c>
      <c r="D258" s="62">
        <f t="shared" ref="D258:V258" si="75">+IFERROR(IF(D219&gt;0,+((D219/D25)*100)," "),"")</f>
        <v>69.439987586864092</v>
      </c>
      <c r="E258" s="62">
        <f t="shared" si="75"/>
        <v>82.724068421865539</v>
      </c>
      <c r="F258" s="62">
        <f t="shared" si="75"/>
        <v>80.996606065919423</v>
      </c>
      <c r="G258" s="62">
        <f t="shared" si="75"/>
        <v>85.58471131306888</v>
      </c>
      <c r="H258" s="62">
        <f t="shared" si="75"/>
        <v>84.421782382328658</v>
      </c>
      <c r="I258" s="62">
        <f t="shared" si="75"/>
        <v>90.488518639817372</v>
      </c>
      <c r="J258" s="62">
        <f t="shared" si="75"/>
        <v>91.646644060863395</v>
      </c>
      <c r="K258" s="62">
        <f t="shared" si="75"/>
        <v>80.216390438413754</v>
      </c>
      <c r="L258" s="62">
        <f t="shared" si="75"/>
        <v>75.515043491092499</v>
      </c>
      <c r="M258" s="62">
        <f t="shared" si="75"/>
        <v>69.069857954746723</v>
      </c>
      <c r="N258" s="62">
        <f t="shared" si="75"/>
        <v>70.992242763381213</v>
      </c>
      <c r="O258" s="62">
        <f t="shared" si="75"/>
        <v>83.348663464644176</v>
      </c>
      <c r="P258" s="62">
        <f t="shared" si="75"/>
        <v>84.524766317670597</v>
      </c>
      <c r="Q258" s="62">
        <f t="shared" si="75"/>
        <v>56.5817239221305</v>
      </c>
      <c r="R258" s="62">
        <f t="shared" si="75"/>
        <v>68.665922651114414</v>
      </c>
      <c r="S258" s="62">
        <f t="shared" si="75"/>
        <v>87.919713107276138</v>
      </c>
      <c r="T258" s="62">
        <f t="shared" si="75"/>
        <v>90.934381189913481</v>
      </c>
      <c r="U258" s="62">
        <f t="shared" si="75"/>
        <v>92.025433941594471</v>
      </c>
      <c r="V258" s="62">
        <f t="shared" si="75"/>
        <v>87.380676217437497</v>
      </c>
    </row>
    <row r="259" spans="3:22" x14ac:dyDescent="0.2">
      <c r="C259" s="87" t="s">
        <v>135</v>
      </c>
      <c r="D259" s="60"/>
      <c r="E259" s="60"/>
      <c r="F259" s="60"/>
      <c r="G259" s="60"/>
      <c r="H259" s="60"/>
      <c r="I259" s="60"/>
      <c r="J259" s="60"/>
      <c r="K259" s="60"/>
      <c r="L259" s="60"/>
      <c r="M259" s="60"/>
      <c r="N259" s="60"/>
      <c r="O259" s="60"/>
      <c r="P259" s="60"/>
      <c r="Q259" s="60"/>
      <c r="R259" s="60"/>
      <c r="S259" s="60"/>
      <c r="T259" s="60"/>
      <c r="U259" s="60"/>
      <c r="V259" s="60"/>
    </row>
    <row r="260" spans="3:22" x14ac:dyDescent="0.2">
      <c r="C260" s="88" t="s">
        <v>136</v>
      </c>
      <c r="D260" s="62">
        <f t="shared" ref="D260:V260" si="76">+IFERROR(IF(D221&gt;0,+((D221/D27)*100)," "),"")</f>
        <v>81.475434583387127</v>
      </c>
      <c r="E260" s="62">
        <f t="shared" si="76"/>
        <v>91.117898204911313</v>
      </c>
      <c r="F260" s="62">
        <f t="shared" si="76"/>
        <v>89.390767987752724</v>
      </c>
      <c r="G260" s="62">
        <f t="shared" si="76"/>
        <v>84.427891146065335</v>
      </c>
      <c r="H260" s="62">
        <f t="shared" si="76"/>
        <v>88.725388311609208</v>
      </c>
      <c r="I260" s="62">
        <f t="shared" si="76"/>
        <v>91.565233013477297</v>
      </c>
      <c r="J260" s="62">
        <f t="shared" si="76"/>
        <v>12.633986058414187</v>
      </c>
      <c r="K260" s="62">
        <f t="shared" si="76"/>
        <v>90.340452370996928</v>
      </c>
      <c r="L260" s="62">
        <f t="shared" si="76"/>
        <v>35.070189720152641</v>
      </c>
      <c r="M260" s="62">
        <f t="shared" si="76"/>
        <v>93.913977112991688</v>
      </c>
      <c r="N260" s="62">
        <f t="shared" si="76"/>
        <v>96.363771444593965</v>
      </c>
      <c r="O260" s="62">
        <f t="shared" si="76"/>
        <v>97.117422088426238</v>
      </c>
      <c r="P260" s="62">
        <f t="shared" si="76"/>
        <v>81.609660962346197</v>
      </c>
      <c r="Q260" s="62">
        <f t="shared" si="76"/>
        <v>94.769457681642152</v>
      </c>
      <c r="R260" s="62">
        <f t="shared" si="76"/>
        <v>94.399573804459706</v>
      </c>
      <c r="S260" s="62">
        <f t="shared" si="76"/>
        <v>94.767954565021327</v>
      </c>
      <c r="T260" s="62">
        <f t="shared" si="76"/>
        <v>79.647989505000197</v>
      </c>
      <c r="U260" s="62">
        <f t="shared" si="76"/>
        <v>95.074423267244839</v>
      </c>
      <c r="V260" s="62">
        <f t="shared" si="76"/>
        <v>93.589630655001216</v>
      </c>
    </row>
    <row r="261" spans="3:22" x14ac:dyDescent="0.2">
      <c r="C261" s="87" t="s">
        <v>137</v>
      </c>
      <c r="D261" s="60">
        <f t="shared" ref="D261:V261" si="77">+IFERROR(IF(D222&gt;0,+((D222/D28)*100)," "),"")</f>
        <v>96.025803185325998</v>
      </c>
      <c r="E261" s="60">
        <f t="shared" si="77"/>
        <v>96.765591753827238</v>
      </c>
      <c r="F261" s="60">
        <f t="shared" si="77"/>
        <v>96.286527163721985</v>
      </c>
      <c r="G261" s="60">
        <f t="shared" si="77"/>
        <v>96.838573021660665</v>
      </c>
      <c r="H261" s="60">
        <f t="shared" si="77"/>
        <v>96.153753594123629</v>
      </c>
      <c r="I261" s="60">
        <f t="shared" si="77"/>
        <v>95.67525299953455</v>
      </c>
      <c r="J261" s="60">
        <f t="shared" si="77"/>
        <v>98.169819419173976</v>
      </c>
      <c r="K261" s="60">
        <f t="shared" si="77"/>
        <v>96.650095138133324</v>
      </c>
      <c r="L261" s="60">
        <f t="shared" si="77"/>
        <v>97.988559225733979</v>
      </c>
      <c r="M261" s="60">
        <f t="shared" si="77"/>
        <v>93.621610499980903</v>
      </c>
      <c r="N261" s="60">
        <f t="shared" si="77"/>
        <v>93.144497085491068</v>
      </c>
      <c r="O261" s="60">
        <f t="shared" si="77"/>
        <v>93.638344485924492</v>
      </c>
      <c r="P261" s="60">
        <f t="shared" si="77"/>
        <v>77.112831769587189</v>
      </c>
      <c r="Q261" s="60">
        <f t="shared" si="77"/>
        <v>72.677101065027713</v>
      </c>
      <c r="R261" s="60">
        <f t="shared" si="77"/>
        <v>88.6444042799871</v>
      </c>
      <c r="S261" s="60">
        <f t="shared" si="77"/>
        <v>91.22238950491159</v>
      </c>
      <c r="T261" s="60">
        <f t="shared" si="77"/>
        <v>97.095935687180983</v>
      </c>
      <c r="U261" s="60">
        <f t="shared" si="77"/>
        <v>93.381435871874487</v>
      </c>
      <c r="V261" s="60">
        <f t="shared" si="77"/>
        <v>92.585815817011266</v>
      </c>
    </row>
    <row r="262" spans="3:22" x14ac:dyDescent="0.2">
      <c r="C262" s="88" t="s">
        <v>138</v>
      </c>
      <c r="D262" s="62">
        <f t="shared" ref="D262:V262" si="78">+IFERROR(IF(D223&gt;0,+((D223/D29)*100)," "),"")</f>
        <v>91.556454621597297</v>
      </c>
      <c r="E262" s="62">
        <f t="shared" si="78"/>
        <v>92.931523888293768</v>
      </c>
      <c r="F262" s="62">
        <f t="shared" si="78"/>
        <v>93.544006335444948</v>
      </c>
      <c r="G262" s="62">
        <f t="shared" si="78"/>
        <v>90.686283242740032</v>
      </c>
      <c r="H262" s="62">
        <f t="shared" si="78"/>
        <v>92.224873167610326</v>
      </c>
      <c r="I262" s="62">
        <f t="shared" si="78"/>
        <v>90.552815033137747</v>
      </c>
      <c r="J262" s="62">
        <f t="shared" si="78"/>
        <v>86.100957819743996</v>
      </c>
      <c r="K262" s="62">
        <f t="shared" si="78"/>
        <v>89.822007278735967</v>
      </c>
      <c r="L262" s="62">
        <f t="shared" si="78"/>
        <v>88.967381752356872</v>
      </c>
      <c r="M262" s="62">
        <f t="shared" si="78"/>
        <v>86.589799659944916</v>
      </c>
      <c r="N262" s="62">
        <f t="shared" si="78"/>
        <v>82.69195111236759</v>
      </c>
      <c r="O262" s="62">
        <f t="shared" si="78"/>
        <v>87.3880904468148</v>
      </c>
      <c r="P262" s="62">
        <f t="shared" si="78"/>
        <v>73.753189192512636</v>
      </c>
      <c r="Q262" s="62">
        <f t="shared" si="78"/>
        <v>70.126848291204965</v>
      </c>
      <c r="R262" s="62">
        <f t="shared" si="78"/>
        <v>83.775055522432396</v>
      </c>
      <c r="S262" s="62">
        <f t="shared" si="78"/>
        <v>93.826555497580785</v>
      </c>
      <c r="T262" s="62">
        <f t="shared" si="78"/>
        <v>94.72857230263196</v>
      </c>
      <c r="U262" s="62">
        <f t="shared" si="78"/>
        <v>94.774253313285612</v>
      </c>
      <c r="V262" s="62">
        <f t="shared" si="78"/>
        <v>95.776340816163781</v>
      </c>
    </row>
    <row r="263" spans="3:22" x14ac:dyDescent="0.2">
      <c r="C263" s="87" t="s">
        <v>139</v>
      </c>
      <c r="D263" s="60">
        <f t="shared" ref="D263:V263" si="79">+IFERROR(IF(D224&gt;0,+((D224/D30)*100)," "),"")</f>
        <v>84.637364196739355</v>
      </c>
      <c r="E263" s="60">
        <f t="shared" si="79"/>
        <v>88.158708413588585</v>
      </c>
      <c r="F263" s="60">
        <f t="shared" si="79"/>
        <v>85.431239096267888</v>
      </c>
      <c r="G263" s="60">
        <f t="shared" si="79"/>
        <v>83.196431852029804</v>
      </c>
      <c r="H263" s="60">
        <f t="shared" si="79"/>
        <v>89.398438374788597</v>
      </c>
      <c r="I263" s="60">
        <f t="shared" si="79"/>
        <v>89.738783228751302</v>
      </c>
      <c r="J263" s="60">
        <f t="shared" si="79"/>
        <v>80.216067377594669</v>
      </c>
      <c r="K263" s="60">
        <f t="shared" si="79"/>
        <v>86.864813089398638</v>
      </c>
      <c r="L263" s="60">
        <f t="shared" si="79"/>
        <v>89.643667997763615</v>
      </c>
      <c r="M263" s="60">
        <f t="shared" si="79"/>
        <v>87.621637221936766</v>
      </c>
      <c r="N263" s="60">
        <f t="shared" si="79"/>
        <v>66.476113042495783</v>
      </c>
      <c r="O263" s="60">
        <f t="shared" si="79"/>
        <v>76.198045493343258</v>
      </c>
      <c r="P263" s="60">
        <f t="shared" si="79"/>
        <v>85.631661720579672</v>
      </c>
      <c r="Q263" s="60">
        <f t="shared" si="79"/>
        <v>89.320878132272199</v>
      </c>
      <c r="R263" s="60">
        <f t="shared" si="79"/>
        <v>86.379993243472271</v>
      </c>
      <c r="S263" s="60">
        <f t="shared" si="79"/>
        <v>84.527143877927273</v>
      </c>
      <c r="T263" s="60">
        <f t="shared" si="79"/>
        <v>85.178545257075825</v>
      </c>
      <c r="U263" s="60">
        <f t="shared" si="79"/>
        <v>83.287517726237354</v>
      </c>
      <c r="V263" s="60">
        <f t="shared" si="79"/>
        <v>87.987960308936536</v>
      </c>
    </row>
    <row r="264" spans="3:22" x14ac:dyDescent="0.2">
      <c r="C264" s="88" t="s">
        <v>140</v>
      </c>
      <c r="D264" s="62">
        <f t="shared" ref="D264:V264" si="80">+IFERROR(IF(D225&gt;0,+((D225/D31)*100)," "),"")</f>
        <v>74.567540552755247</v>
      </c>
      <c r="E264" s="62">
        <f t="shared" si="80"/>
        <v>72.724230933383055</v>
      </c>
      <c r="F264" s="62">
        <f t="shared" si="80"/>
        <v>78.509305992427699</v>
      </c>
      <c r="G264" s="62">
        <f t="shared" si="80"/>
        <v>72.0757671640078</v>
      </c>
      <c r="H264" s="62">
        <f t="shared" si="80"/>
        <v>71.061460105736359</v>
      </c>
      <c r="I264" s="62">
        <f t="shared" si="80"/>
        <v>68.860053757271118</v>
      </c>
      <c r="J264" s="62">
        <f t="shared" si="80"/>
        <v>66.901897071636142</v>
      </c>
      <c r="K264" s="62">
        <f t="shared" si="80"/>
        <v>79.3660727667353</v>
      </c>
      <c r="L264" s="62">
        <f t="shared" si="80"/>
        <v>90.891324643253583</v>
      </c>
      <c r="M264" s="62">
        <f t="shared" si="80"/>
        <v>77.842273596499183</v>
      </c>
      <c r="N264" s="62">
        <f t="shared" si="80"/>
        <v>84.132401896498934</v>
      </c>
      <c r="O264" s="62">
        <f t="shared" si="80"/>
        <v>84.116068419017125</v>
      </c>
      <c r="P264" s="62">
        <f t="shared" si="80"/>
        <v>80.626627956817416</v>
      </c>
      <c r="Q264" s="62">
        <f t="shared" si="80"/>
        <v>87.299792643246406</v>
      </c>
      <c r="R264" s="62">
        <f t="shared" si="80"/>
        <v>82.938713728175941</v>
      </c>
      <c r="S264" s="62">
        <f t="shared" si="80"/>
        <v>89.915297851926084</v>
      </c>
      <c r="T264" s="62">
        <f t="shared" si="80"/>
        <v>92.401198011711031</v>
      </c>
      <c r="U264" s="62">
        <f t="shared" si="80"/>
        <v>86.034437317781169</v>
      </c>
      <c r="V264" s="62">
        <f t="shared" si="80"/>
        <v>89.317157999382914</v>
      </c>
    </row>
    <row r="265" spans="3:22" x14ac:dyDescent="0.2">
      <c r="C265" s="87" t="s">
        <v>141</v>
      </c>
      <c r="D265" s="60">
        <f t="shared" ref="D265:V265" si="81">+IFERROR(IF(D226&gt;0,+((D226/D32)*100)," "),"")</f>
        <v>89.882901232603828</v>
      </c>
      <c r="E265" s="60">
        <f t="shared" si="81"/>
        <v>89.479785378333816</v>
      </c>
      <c r="F265" s="60">
        <f t="shared" si="81"/>
        <v>88.747959025168257</v>
      </c>
      <c r="G265" s="60">
        <f t="shared" si="81"/>
        <v>88.323748569034748</v>
      </c>
      <c r="H265" s="60">
        <f t="shared" si="81"/>
        <v>82.582673115964198</v>
      </c>
      <c r="I265" s="60">
        <f t="shared" si="81"/>
        <v>91.232981983817069</v>
      </c>
      <c r="J265" s="60">
        <f t="shared" si="81"/>
        <v>91.456658514954569</v>
      </c>
      <c r="K265" s="60">
        <f t="shared" si="81"/>
        <v>91.879405447329631</v>
      </c>
      <c r="L265" s="60">
        <f t="shared" si="81"/>
        <v>92.462867054461768</v>
      </c>
      <c r="M265" s="60">
        <f t="shared" si="81"/>
        <v>90.343847955486297</v>
      </c>
      <c r="N265" s="60">
        <f t="shared" si="81"/>
        <v>88.600468082765403</v>
      </c>
      <c r="O265" s="60">
        <f t="shared" si="81"/>
        <v>91.568773422289937</v>
      </c>
      <c r="P265" s="60">
        <f t="shared" si="81"/>
        <v>86.112662054681849</v>
      </c>
      <c r="Q265" s="60">
        <f t="shared" si="81"/>
        <v>87.248677381460212</v>
      </c>
      <c r="R265" s="60">
        <f t="shared" si="81"/>
        <v>90.478909441812363</v>
      </c>
      <c r="S265" s="60">
        <f t="shared" si="81"/>
        <v>90.930310203762943</v>
      </c>
      <c r="T265" s="60">
        <f t="shared" si="81"/>
        <v>93.897093819782228</v>
      </c>
      <c r="U265" s="60">
        <f t="shared" si="81"/>
        <v>92.879288976086713</v>
      </c>
      <c r="V265" s="60">
        <f t="shared" si="81"/>
        <v>93.265938735291385</v>
      </c>
    </row>
    <row r="266" spans="3:22" x14ac:dyDescent="0.2">
      <c r="C266" s="88" t="s">
        <v>142</v>
      </c>
      <c r="D266" s="62">
        <f t="shared" ref="D266:V266" si="82">+IFERROR(IF(D227&gt;0,+((D227/D33)*100)," "),"")</f>
        <v>75.961312686019326</v>
      </c>
      <c r="E266" s="62">
        <f t="shared" si="82"/>
        <v>85.975525679082239</v>
      </c>
      <c r="F266" s="62">
        <f t="shared" si="82"/>
        <v>93.610305469389601</v>
      </c>
      <c r="G266" s="62">
        <f t="shared" si="82"/>
        <v>93.483023151156601</v>
      </c>
      <c r="H266" s="62">
        <f t="shared" si="82"/>
        <v>82.898038443209671</v>
      </c>
      <c r="I266" s="62">
        <f t="shared" si="82"/>
        <v>82.090549428772803</v>
      </c>
      <c r="J266" s="62">
        <f t="shared" si="82"/>
        <v>72.700909098293579</v>
      </c>
      <c r="K266" s="62">
        <f t="shared" si="82"/>
        <v>67.891414082804673</v>
      </c>
      <c r="L266" s="62">
        <f t="shared" si="82"/>
        <v>80.457351107732833</v>
      </c>
      <c r="M266" s="62">
        <f t="shared" si="82"/>
        <v>73.923041743733322</v>
      </c>
      <c r="N266" s="62">
        <f t="shared" si="82"/>
        <v>21.088679866597289</v>
      </c>
      <c r="O266" s="62">
        <f t="shared" si="82"/>
        <v>86.910565363322533</v>
      </c>
      <c r="P266" s="62">
        <f t="shared" si="82"/>
        <v>82.751294052758183</v>
      </c>
      <c r="Q266" s="62">
        <f t="shared" si="82"/>
        <v>71.441865548935084</v>
      </c>
      <c r="R266" s="62">
        <f t="shared" si="82"/>
        <v>81.970987181771946</v>
      </c>
      <c r="S266" s="62">
        <f t="shared" si="82"/>
        <v>86.235628096839505</v>
      </c>
      <c r="T266" s="62">
        <f t="shared" si="82"/>
        <v>90.226122281818363</v>
      </c>
      <c r="U266" s="62">
        <f t="shared" si="82"/>
        <v>90.666204815822084</v>
      </c>
      <c r="V266" s="62">
        <f t="shared" si="82"/>
        <v>92.637304461595321</v>
      </c>
    </row>
    <row r="267" spans="3:22" x14ac:dyDescent="0.2">
      <c r="C267" s="87" t="s">
        <v>143</v>
      </c>
      <c r="D267" s="60">
        <f t="shared" ref="D267:V267" si="83">+IFERROR(IF(D228&gt;0,+((D228/D34)*100)," "),"")</f>
        <v>85.507572243251118</v>
      </c>
      <c r="E267" s="60">
        <f t="shared" si="83"/>
        <v>94.604477988158692</v>
      </c>
      <c r="F267" s="60">
        <f t="shared" si="83"/>
        <v>88.42694591658406</v>
      </c>
      <c r="G267" s="60">
        <f t="shared" si="83"/>
        <v>89.070877072591898</v>
      </c>
      <c r="H267" s="60">
        <f t="shared" si="83"/>
        <v>93.824130920661887</v>
      </c>
      <c r="I267" s="60">
        <f t="shared" si="83"/>
        <v>91.013857595711983</v>
      </c>
      <c r="J267" s="60">
        <f t="shared" si="83"/>
        <v>90.462463283363761</v>
      </c>
      <c r="K267" s="60">
        <f t="shared" si="83"/>
        <v>92.300732973923587</v>
      </c>
      <c r="L267" s="60">
        <f t="shared" si="83"/>
        <v>96.383457287142107</v>
      </c>
      <c r="M267" s="60">
        <f t="shared" si="83"/>
        <v>90.536090582530363</v>
      </c>
      <c r="N267" s="60">
        <f t="shared" si="83"/>
        <v>90.348135031627777</v>
      </c>
      <c r="O267" s="60">
        <f t="shared" si="83"/>
        <v>80.826195251291168</v>
      </c>
      <c r="P267" s="60">
        <f t="shared" si="83"/>
        <v>51.162343130281108</v>
      </c>
      <c r="Q267" s="60">
        <f t="shared" si="83"/>
        <v>63.551122362474509</v>
      </c>
      <c r="R267" s="60">
        <f t="shared" si="83"/>
        <v>53.719107067394148</v>
      </c>
      <c r="S267" s="60">
        <f t="shared" si="83"/>
        <v>71.03220637934497</v>
      </c>
      <c r="T267" s="60">
        <f t="shared" si="83"/>
        <v>61.416622154839693</v>
      </c>
      <c r="U267" s="60">
        <f t="shared" si="83"/>
        <v>51.435139131465469</v>
      </c>
      <c r="V267" s="60">
        <f t="shared" si="83"/>
        <v>71.111358660028017</v>
      </c>
    </row>
    <row r="268" spans="3:22" x14ac:dyDescent="0.2">
      <c r="C268" s="88" t="s">
        <v>144</v>
      </c>
      <c r="D268" s="62">
        <f t="shared" ref="D268:V268" si="84">+IFERROR(IF(D229&gt;0,+((D229/D35)*100)," "),"")</f>
        <v>94.85167884324234</v>
      </c>
      <c r="E268" s="62">
        <f t="shared" si="84"/>
        <v>96.552088151037566</v>
      </c>
      <c r="F268" s="62">
        <f t="shared" si="84"/>
        <v>93.956492496096416</v>
      </c>
      <c r="G268" s="62">
        <f t="shared" si="84"/>
        <v>95.361019689010462</v>
      </c>
      <c r="H268" s="62">
        <f t="shared" si="84"/>
        <v>85.85917186662158</v>
      </c>
      <c r="I268" s="62">
        <f t="shared" si="84"/>
        <v>97.033369539644838</v>
      </c>
      <c r="J268" s="62">
        <f t="shared" si="84"/>
        <v>96.764740284827127</v>
      </c>
      <c r="K268" s="62">
        <f t="shared" si="84"/>
        <v>97.894354014673851</v>
      </c>
      <c r="L268" s="62">
        <f t="shared" si="84"/>
        <v>96.752565123296208</v>
      </c>
      <c r="M268" s="62">
        <f t="shared" si="84"/>
        <v>95.830914252418339</v>
      </c>
      <c r="N268" s="62">
        <f t="shared" si="84"/>
        <v>96.500329956555149</v>
      </c>
      <c r="O268" s="62">
        <f t="shared" si="84"/>
        <v>94.800994502082872</v>
      </c>
      <c r="P268" s="62">
        <f t="shared" si="84"/>
        <v>92.788429975371173</v>
      </c>
      <c r="Q268" s="62">
        <f t="shared" si="84"/>
        <v>98.733673552121388</v>
      </c>
      <c r="R268" s="62">
        <f t="shared" si="84"/>
        <v>97.896015258278979</v>
      </c>
      <c r="S268" s="62">
        <f t="shared" si="84"/>
        <v>95.690988017057862</v>
      </c>
      <c r="T268" s="62">
        <f t="shared" si="84"/>
        <v>93.12010826845875</v>
      </c>
      <c r="U268" s="62">
        <f t="shared" si="84"/>
        <v>94.245991873108423</v>
      </c>
      <c r="V268" s="62">
        <f t="shared" si="84"/>
        <v>98.450874930599838</v>
      </c>
    </row>
    <row r="269" spans="3:22" x14ac:dyDescent="0.2">
      <c r="C269" s="87" t="s">
        <v>145</v>
      </c>
      <c r="D269" s="60">
        <f t="shared" ref="D269:V269" si="85">+IFERROR(IF(D230&gt;0,+((D230/D36)*100)," "),"")</f>
        <v>81.552112403190819</v>
      </c>
      <c r="E269" s="60">
        <f t="shared" si="85"/>
        <v>66.713041015268232</v>
      </c>
      <c r="F269" s="60">
        <f t="shared" si="85"/>
        <v>75.035851360102569</v>
      </c>
      <c r="G269" s="60">
        <f t="shared" si="85"/>
        <v>71.078079829345526</v>
      </c>
      <c r="H269" s="60">
        <f t="shared" si="85"/>
        <v>88.949224998613488</v>
      </c>
      <c r="I269" s="60">
        <f t="shared" si="85"/>
        <v>95.048353913740911</v>
      </c>
      <c r="J269" s="60">
        <f t="shared" si="85"/>
        <v>84.574529163942032</v>
      </c>
      <c r="K269" s="60">
        <f t="shared" si="85"/>
        <v>88.512924375791897</v>
      </c>
      <c r="L269" s="60">
        <f t="shared" si="85"/>
        <v>93.091156496943427</v>
      </c>
      <c r="M269" s="60">
        <f t="shared" si="85"/>
        <v>92.13678688828162</v>
      </c>
      <c r="N269" s="60">
        <f t="shared" si="85"/>
        <v>96.894685488738531</v>
      </c>
      <c r="O269" s="60">
        <f t="shared" si="85"/>
        <v>85.207182286090159</v>
      </c>
      <c r="P269" s="60">
        <f t="shared" si="85"/>
        <v>89.204929687123752</v>
      </c>
      <c r="Q269" s="60">
        <f t="shared" si="85"/>
        <v>83.536251426718877</v>
      </c>
      <c r="R269" s="60">
        <f t="shared" si="85"/>
        <v>92.804490134284308</v>
      </c>
      <c r="S269" s="60">
        <f t="shared" si="85"/>
        <v>90.949737175447993</v>
      </c>
      <c r="T269" s="60">
        <f t="shared" si="85"/>
        <v>92.291334930447277</v>
      </c>
      <c r="U269" s="60">
        <f t="shared" si="85"/>
        <v>91.450349089140602</v>
      </c>
      <c r="V269" s="60">
        <f t="shared" si="85"/>
        <v>97.157641640582767</v>
      </c>
    </row>
    <row r="270" spans="3:22" x14ac:dyDescent="0.2">
      <c r="C270" s="88" t="s">
        <v>146</v>
      </c>
      <c r="D270" s="62">
        <f t="shared" ref="D270:V270" si="86">+IFERROR(IF(D231&gt;0,+((D231/D37)*100)," "),"")</f>
        <v>88.816709410608112</v>
      </c>
      <c r="E270" s="62">
        <f t="shared" si="86"/>
        <v>93.497216269104911</v>
      </c>
      <c r="F270" s="62">
        <f t="shared" si="86"/>
        <v>85.945561930225551</v>
      </c>
      <c r="G270" s="62">
        <f t="shared" si="86"/>
        <v>96.679558136761827</v>
      </c>
      <c r="H270" s="62">
        <f t="shared" si="86"/>
        <v>90.471992948685127</v>
      </c>
      <c r="I270" s="62">
        <f t="shared" si="86"/>
        <v>86.05831753262045</v>
      </c>
      <c r="J270" s="62">
        <f t="shared" si="86"/>
        <v>89.643625848886785</v>
      </c>
      <c r="K270" s="62">
        <f t="shared" si="86"/>
        <v>83.128564845577031</v>
      </c>
      <c r="L270" s="62">
        <f t="shared" si="86"/>
        <v>90.677301498549568</v>
      </c>
      <c r="M270" s="62">
        <f t="shared" si="86"/>
        <v>91.428945847855474</v>
      </c>
      <c r="N270" s="62">
        <f t="shared" si="86"/>
        <v>82.361852710935651</v>
      </c>
      <c r="O270" s="62">
        <f t="shared" si="86"/>
        <v>93.936946808400862</v>
      </c>
      <c r="P270" s="62">
        <f t="shared" si="86"/>
        <v>92.786702127846695</v>
      </c>
      <c r="Q270" s="62">
        <f t="shared" si="86"/>
        <v>90.080816870078067</v>
      </c>
      <c r="R270" s="62">
        <f t="shared" si="86"/>
        <v>97.245445422114742</v>
      </c>
      <c r="S270" s="62">
        <f t="shared" si="86"/>
        <v>98.01261765307062</v>
      </c>
      <c r="T270" s="62">
        <f t="shared" si="86"/>
        <v>95.943652374007755</v>
      </c>
      <c r="U270" s="62">
        <f t="shared" si="86"/>
        <v>94.779294677520582</v>
      </c>
      <c r="V270" s="62">
        <f t="shared" si="86"/>
        <v>92.376508973270901</v>
      </c>
    </row>
    <row r="271" spans="3:22" x14ac:dyDescent="0.2">
      <c r="C271" s="90" t="s">
        <v>147</v>
      </c>
      <c r="D271" s="61">
        <f t="shared" ref="D271:V271" si="87">+IFERROR(IF(D232&gt;0,+((D232/D38)*100)," "),"")</f>
        <v>92.271408406151949</v>
      </c>
      <c r="E271" s="61">
        <f t="shared" si="87"/>
        <v>97.441763172625812</v>
      </c>
      <c r="F271" s="61">
        <f t="shared" si="87"/>
        <v>98.300030739610719</v>
      </c>
      <c r="G271" s="61">
        <f t="shared" si="87"/>
        <v>96.567972457742769</v>
      </c>
      <c r="H271" s="61">
        <f t="shared" si="87"/>
        <v>92.47907496965378</v>
      </c>
      <c r="I271" s="61">
        <f t="shared" si="87"/>
        <v>93.496607291645603</v>
      </c>
      <c r="J271" s="61">
        <f t="shared" si="87"/>
        <v>92.951424473614921</v>
      </c>
      <c r="K271" s="61">
        <f t="shared" si="87"/>
        <v>96.00977324033083</v>
      </c>
      <c r="L271" s="61">
        <f t="shared" si="87"/>
        <v>97.281959228758936</v>
      </c>
      <c r="M271" s="61">
        <f t="shared" si="87"/>
        <v>85.646357163245028</v>
      </c>
      <c r="N271" s="61">
        <f t="shared" si="87"/>
        <v>71.471465088419166</v>
      </c>
      <c r="O271" s="61">
        <f t="shared" si="87"/>
        <v>80.859568608052285</v>
      </c>
      <c r="P271" s="61">
        <f t="shared" si="87"/>
        <v>77.800149098484184</v>
      </c>
      <c r="Q271" s="61">
        <f t="shared" si="87"/>
        <v>92.118836508534514</v>
      </c>
      <c r="R271" s="61">
        <f t="shared" si="87"/>
        <v>85.159844374399498</v>
      </c>
      <c r="S271" s="61">
        <f t="shared" si="87"/>
        <v>86.076087932281638</v>
      </c>
      <c r="T271" s="61">
        <f t="shared" si="87"/>
        <v>88.972412782024975</v>
      </c>
      <c r="U271" s="61">
        <f t="shared" si="87"/>
        <v>92.165653144677151</v>
      </c>
      <c r="V271" s="61">
        <f t="shared" si="87"/>
        <v>90.692210442734961</v>
      </c>
    </row>
    <row r="272" spans="3:22" ht="22.5" customHeight="1" x14ac:dyDescent="0.2">
      <c r="C272" s="89" t="s">
        <v>148</v>
      </c>
      <c r="D272" s="63" t="str">
        <f t="shared" ref="D272:V272" si="88">+IFERROR(IF(D233&gt;0,+((D233/D39)*100)," "),"")</f>
        <v xml:space="preserve"> </v>
      </c>
      <c r="E272" s="63" t="str">
        <f t="shared" si="88"/>
        <v xml:space="preserve"> </v>
      </c>
      <c r="F272" s="63" t="str">
        <f t="shared" si="88"/>
        <v xml:space="preserve"> </v>
      </c>
      <c r="G272" s="63" t="str">
        <f t="shared" si="88"/>
        <v xml:space="preserve"> </v>
      </c>
      <c r="H272" s="63" t="str">
        <f t="shared" si="88"/>
        <v xml:space="preserve"> </v>
      </c>
      <c r="I272" s="63" t="str">
        <f t="shared" si="88"/>
        <v xml:space="preserve"> </v>
      </c>
      <c r="J272" s="63" t="str">
        <f t="shared" si="88"/>
        <v xml:space="preserve"> </v>
      </c>
      <c r="K272" s="63" t="str">
        <f t="shared" si="88"/>
        <v xml:space="preserve"> </v>
      </c>
      <c r="L272" s="63" t="str">
        <f t="shared" si="88"/>
        <v xml:space="preserve"> </v>
      </c>
      <c r="M272" s="63" t="str">
        <f t="shared" si="88"/>
        <v xml:space="preserve"> </v>
      </c>
      <c r="N272" s="63" t="str">
        <f t="shared" si="88"/>
        <v xml:space="preserve"> </v>
      </c>
      <c r="O272" s="63" t="str">
        <f t="shared" si="88"/>
        <v xml:space="preserve"> </v>
      </c>
      <c r="P272" s="63" t="str">
        <f t="shared" si="88"/>
        <v xml:space="preserve"> </v>
      </c>
      <c r="Q272" s="63" t="str">
        <f t="shared" si="88"/>
        <v xml:space="preserve"> </v>
      </c>
      <c r="R272" s="63" t="str">
        <f t="shared" si="88"/>
        <v xml:space="preserve"> </v>
      </c>
      <c r="S272" s="63" t="str">
        <f t="shared" si="88"/>
        <v xml:space="preserve"> </v>
      </c>
      <c r="T272" s="63" t="str">
        <f t="shared" si="88"/>
        <v xml:space="preserve"> </v>
      </c>
      <c r="U272" s="63">
        <f t="shared" si="88"/>
        <v>55.081877894904977</v>
      </c>
      <c r="V272" s="63">
        <f t="shared" si="88"/>
        <v>77.692399336423691</v>
      </c>
    </row>
    <row r="273" spans="3:22" x14ac:dyDescent="0.2">
      <c r="C273" s="87" t="s">
        <v>149</v>
      </c>
      <c r="D273" s="60">
        <f t="shared" ref="D273:V273" si="89">+IFERROR(IF(D234&gt;0,+((D234/D40)*100)," "),"")</f>
        <v>74.158041048752324</v>
      </c>
      <c r="E273" s="60">
        <f t="shared" si="89"/>
        <v>81.073502624744037</v>
      </c>
      <c r="F273" s="60">
        <f t="shared" si="89"/>
        <v>82.038443748872055</v>
      </c>
      <c r="G273" s="60">
        <f t="shared" si="89"/>
        <v>86.120088139205237</v>
      </c>
      <c r="H273" s="60">
        <f t="shared" si="89"/>
        <v>88.022351071442202</v>
      </c>
      <c r="I273" s="60">
        <f t="shared" si="89"/>
        <v>86.04990422899526</v>
      </c>
      <c r="J273" s="60">
        <f t="shared" si="89"/>
        <v>67.567677978284081</v>
      </c>
      <c r="K273" s="60">
        <f t="shared" si="89"/>
        <v>76.742872859407967</v>
      </c>
      <c r="L273" s="60">
        <f t="shared" si="89"/>
        <v>82.281898208216859</v>
      </c>
      <c r="M273" s="60">
        <f t="shared" si="89"/>
        <v>29.717386369331294</v>
      </c>
      <c r="N273" s="60">
        <f t="shared" si="89"/>
        <v>76.822170378779646</v>
      </c>
      <c r="O273" s="60">
        <f t="shared" si="89"/>
        <v>89.967760626846456</v>
      </c>
      <c r="P273" s="60">
        <f t="shared" si="89"/>
        <v>53.628576945876461</v>
      </c>
      <c r="Q273" s="60">
        <f t="shared" si="89"/>
        <v>57.108425967140896</v>
      </c>
      <c r="R273" s="60">
        <f t="shared" si="89"/>
        <v>48.975911273257097</v>
      </c>
      <c r="S273" s="60">
        <f t="shared" si="89"/>
        <v>82.138398695799083</v>
      </c>
      <c r="T273" s="60">
        <f t="shared" si="89"/>
        <v>93.271615432079528</v>
      </c>
      <c r="U273" s="60">
        <f t="shared" si="89"/>
        <v>88.25243335245213</v>
      </c>
      <c r="V273" s="60">
        <f t="shared" si="89"/>
        <v>90.204177329018549</v>
      </c>
    </row>
    <row r="274" spans="3:22" x14ac:dyDescent="0.2">
      <c r="C274" s="88" t="s">
        <v>150</v>
      </c>
      <c r="D274" s="62">
        <f t="shared" ref="D274:V274" si="90">+IFERROR(IF(D235&gt;0,+((D235/D41)*100)," "),"")</f>
        <v>75.089815726498799</v>
      </c>
      <c r="E274" s="62">
        <f t="shared" si="90"/>
        <v>77.515638414481543</v>
      </c>
      <c r="F274" s="62">
        <f t="shared" si="90"/>
        <v>34.13795213749308</v>
      </c>
      <c r="G274" s="62">
        <f t="shared" si="90"/>
        <v>85.328992996552984</v>
      </c>
      <c r="H274" s="62">
        <f t="shared" si="90"/>
        <v>87.075175615146279</v>
      </c>
      <c r="I274" s="62">
        <f t="shared" si="90"/>
        <v>77.640700146496044</v>
      </c>
      <c r="J274" s="62">
        <f t="shared" si="90"/>
        <v>63.974597322499314</v>
      </c>
      <c r="K274" s="62">
        <f t="shared" si="90"/>
        <v>74.5860338237637</v>
      </c>
      <c r="L274" s="62">
        <f t="shared" si="90"/>
        <v>92.596628825745825</v>
      </c>
      <c r="M274" s="62">
        <f t="shared" si="90"/>
        <v>88.193174562133507</v>
      </c>
      <c r="N274" s="62">
        <f t="shared" si="90"/>
        <v>74.731288315547076</v>
      </c>
      <c r="O274" s="62">
        <f t="shared" si="90"/>
        <v>76.748238798759701</v>
      </c>
      <c r="P274" s="62">
        <f t="shared" si="90"/>
        <v>84.674711654243865</v>
      </c>
      <c r="Q274" s="62">
        <f t="shared" si="90"/>
        <v>80.286633289217022</v>
      </c>
      <c r="R274" s="62">
        <f t="shared" si="90"/>
        <v>85.79429850209857</v>
      </c>
      <c r="S274" s="62">
        <f t="shared" si="90"/>
        <v>84.301330472367852</v>
      </c>
      <c r="T274" s="62">
        <f t="shared" si="90"/>
        <v>89.378578450260051</v>
      </c>
      <c r="U274" s="62">
        <f t="shared" si="90"/>
        <v>89.802442207725335</v>
      </c>
      <c r="V274" s="62">
        <f t="shared" si="90"/>
        <v>92.900670726647604</v>
      </c>
    </row>
    <row r="275" spans="3:22" x14ac:dyDescent="0.2">
      <c r="C275" s="87" t="s">
        <v>151</v>
      </c>
      <c r="D275" s="60">
        <f t="shared" ref="D275:V275" si="91">+IFERROR(IF(D236&gt;0,+((D236/D42)*100)," "),"")</f>
        <v>77.853769245088301</v>
      </c>
      <c r="E275" s="60">
        <f t="shared" si="91"/>
        <v>83.438226263206332</v>
      </c>
      <c r="F275" s="60">
        <f t="shared" si="91"/>
        <v>86.37540159579396</v>
      </c>
      <c r="G275" s="60">
        <f t="shared" si="91"/>
        <v>87.102404494021101</v>
      </c>
      <c r="H275" s="60">
        <f t="shared" si="91"/>
        <v>90.043216708752553</v>
      </c>
      <c r="I275" s="60">
        <f t="shared" si="91"/>
        <v>74.674139147004098</v>
      </c>
      <c r="J275" s="60">
        <f t="shared" si="91"/>
        <v>76.899918699895011</v>
      </c>
      <c r="K275" s="60">
        <f t="shared" si="91"/>
        <v>83.053409534910429</v>
      </c>
      <c r="L275" s="60">
        <f t="shared" si="91"/>
        <v>81.411518646117969</v>
      </c>
      <c r="M275" s="60">
        <f t="shared" si="91"/>
        <v>90.643937565753561</v>
      </c>
      <c r="N275" s="60">
        <f t="shared" si="91"/>
        <v>72.580292234870427</v>
      </c>
      <c r="O275" s="60">
        <f t="shared" si="91"/>
        <v>98.006519659262878</v>
      </c>
      <c r="P275" s="60">
        <f t="shared" si="91"/>
        <v>99.077536123037987</v>
      </c>
      <c r="Q275" s="60">
        <f t="shared" si="91"/>
        <v>99.613262105117457</v>
      </c>
      <c r="R275" s="60">
        <f t="shared" si="91"/>
        <v>99.541800715356814</v>
      </c>
      <c r="S275" s="60">
        <f t="shared" si="91"/>
        <v>99.02188433704822</v>
      </c>
      <c r="T275" s="60">
        <f t="shared" si="91"/>
        <v>99.25622838323109</v>
      </c>
      <c r="U275" s="60">
        <f t="shared" si="91"/>
        <v>99.507595818516421</v>
      </c>
      <c r="V275" s="60">
        <f t="shared" si="91"/>
        <v>99.485005031816982</v>
      </c>
    </row>
    <row r="276" spans="3:22" x14ac:dyDescent="0.2">
      <c r="C276" s="91" t="s">
        <v>179</v>
      </c>
      <c r="D276" s="64">
        <f t="shared" ref="D276:V276" si="92">+IFERROR(IF(D237&gt;0,+((D237/D43)*100)," "),"")</f>
        <v>84.103975218060938</v>
      </c>
      <c r="E276" s="64">
        <f t="shared" si="92"/>
        <v>92.211563585526008</v>
      </c>
      <c r="F276" s="64">
        <f t="shared" si="92"/>
        <v>90.957888048915038</v>
      </c>
      <c r="G276" s="64">
        <f t="shared" si="92"/>
        <v>92.168210010275558</v>
      </c>
      <c r="H276" s="64">
        <f t="shared" si="92"/>
        <v>90.815257461532894</v>
      </c>
      <c r="I276" s="64">
        <f t="shared" si="92"/>
        <v>93.27247792220939</v>
      </c>
      <c r="J276" s="64">
        <f t="shared" si="92"/>
        <v>93.229649421860728</v>
      </c>
      <c r="K276" s="64">
        <f t="shared" si="92"/>
        <v>94.171277367232108</v>
      </c>
      <c r="L276" s="64">
        <f t="shared" si="92"/>
        <v>94.123025105197584</v>
      </c>
      <c r="M276" s="64">
        <f t="shared" si="92"/>
        <v>89.928641593335911</v>
      </c>
      <c r="N276" s="64">
        <f t="shared" si="92"/>
        <v>84.869130525320813</v>
      </c>
      <c r="O276" s="64">
        <f t="shared" si="92"/>
        <v>90.500197916782525</v>
      </c>
      <c r="P276" s="64">
        <f t="shared" si="92"/>
        <v>89.001779730633658</v>
      </c>
      <c r="Q276" s="64">
        <f t="shared" si="92"/>
        <v>90.160705962389599</v>
      </c>
      <c r="R276" s="64">
        <f t="shared" si="92"/>
        <v>88.965582954051087</v>
      </c>
      <c r="S276" s="64">
        <f t="shared" si="92"/>
        <v>92.320473138139505</v>
      </c>
      <c r="T276" s="64">
        <f t="shared" si="92"/>
        <v>93.123509947562198</v>
      </c>
      <c r="U276" s="64">
        <f t="shared" si="92"/>
        <v>94.023791501673401</v>
      </c>
      <c r="V276" s="64">
        <f t="shared" si="92"/>
        <v>94.108413260148836</v>
      </c>
    </row>
    <row r="277" spans="3:22" x14ac:dyDescent="0.2">
      <c r="C277" s="1" t="s">
        <v>52</v>
      </c>
      <c r="D277" s="11"/>
      <c r="E277" s="11"/>
      <c r="F277" s="11"/>
      <c r="G277" s="11"/>
      <c r="H277" s="11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</row>
  </sheetData>
  <mergeCells count="173">
    <mergeCell ref="I6:I7"/>
    <mergeCell ref="K6:K7"/>
    <mergeCell ref="N129:N130"/>
    <mergeCell ref="L6:L7"/>
    <mergeCell ref="N6:N7"/>
    <mergeCell ref="G90:G91"/>
    <mergeCell ref="J245:J246"/>
    <mergeCell ref="L12:L13"/>
    <mergeCell ref="K129:K130"/>
    <mergeCell ref="N12:N13"/>
    <mergeCell ref="D165:V165"/>
    <mergeCell ref="P6:P7"/>
    <mergeCell ref="M129:M130"/>
    <mergeCell ref="R6:R7"/>
    <mergeCell ref="T206:T207"/>
    <mergeCell ref="M90:M91"/>
    <mergeCell ref="P245:P246"/>
    <mergeCell ref="F245:F246"/>
    <mergeCell ref="R245:R246"/>
    <mergeCell ref="T245:T246"/>
    <mergeCell ref="L243:Q243"/>
    <mergeCell ref="S245:S246"/>
    <mergeCell ref="U245:U246"/>
    <mergeCell ref="K245:K246"/>
    <mergeCell ref="G51:G52"/>
    <mergeCell ref="Q90:Q91"/>
    <mergeCell ref="I51:I52"/>
    <mergeCell ref="M206:M207"/>
    <mergeCell ref="N206:N207"/>
    <mergeCell ref="C129:C130"/>
    <mergeCell ref="J206:J207"/>
    <mergeCell ref="C51:C52"/>
    <mergeCell ref="G206:G207"/>
    <mergeCell ref="H12:H13"/>
    <mergeCell ref="O51:O52"/>
    <mergeCell ref="G129:G130"/>
    <mergeCell ref="J12:J13"/>
    <mergeCell ref="S206:S207"/>
    <mergeCell ref="D168:D169"/>
    <mergeCell ref="P206:P207"/>
    <mergeCell ref="S129:S130"/>
    <mergeCell ref="S51:S52"/>
    <mergeCell ref="P51:P52"/>
    <mergeCell ref="F51:F52"/>
    <mergeCell ref="H51:H52"/>
    <mergeCell ref="C12:C13"/>
    <mergeCell ref="L206:L207"/>
    <mergeCell ref="R206:R207"/>
    <mergeCell ref="F206:F207"/>
    <mergeCell ref="P90:P91"/>
    <mergeCell ref="R12:R13"/>
    <mergeCell ref="K90:K91"/>
    <mergeCell ref="J168:J169"/>
    <mergeCell ref="C245:C246"/>
    <mergeCell ref="Q168:Q169"/>
    <mergeCell ref="A7:C7"/>
    <mergeCell ref="F168:F169"/>
    <mergeCell ref="D87:V87"/>
    <mergeCell ref="D90:D91"/>
    <mergeCell ref="L166:Q166"/>
    <mergeCell ref="E51:E52"/>
    <mergeCell ref="I206:I207"/>
    <mergeCell ref="F129:F130"/>
    <mergeCell ref="H129:H130"/>
    <mergeCell ref="O206:O207"/>
    <mergeCell ref="S6:S7"/>
    <mergeCell ref="T90:T91"/>
    <mergeCell ref="T6:T7"/>
    <mergeCell ref="C206:C207"/>
    <mergeCell ref="C90:C91"/>
    <mergeCell ref="G168:G169"/>
    <mergeCell ref="C168:C169"/>
    <mergeCell ref="S168:S169"/>
    <mergeCell ref="S12:S13"/>
    <mergeCell ref="P129:P130"/>
    <mergeCell ref="Q12:Q13"/>
    <mergeCell ref="U6:U7"/>
    <mergeCell ref="G6:G7"/>
    <mergeCell ref="M12:M13"/>
    <mergeCell ref="R51:R52"/>
    <mergeCell ref="L129:L130"/>
    <mergeCell ref="O168:O169"/>
    <mergeCell ref="M168:M169"/>
    <mergeCell ref="Q6:Q7"/>
    <mergeCell ref="O12:O13"/>
    <mergeCell ref="O6:O7"/>
    <mergeCell ref="P12:P13"/>
    <mergeCell ref="O129:O130"/>
    <mergeCell ref="J90:J91"/>
    <mergeCell ref="L90:L91"/>
    <mergeCell ref="Q129:Q130"/>
    <mergeCell ref="I90:I91"/>
    <mergeCell ref="D48:V48"/>
    <mergeCell ref="O90:O91"/>
    <mergeCell ref="D6:D7"/>
    <mergeCell ref="F6:F7"/>
    <mergeCell ref="I129:I130"/>
    <mergeCell ref="V6:V7"/>
    <mergeCell ref="M6:M7"/>
    <mergeCell ref="E6:E7"/>
    <mergeCell ref="U12:U13"/>
    <mergeCell ref="D10:V10"/>
    <mergeCell ref="V90:V91"/>
    <mergeCell ref="T51:T52"/>
    <mergeCell ref="L51:L52"/>
    <mergeCell ref="V51:V52"/>
    <mergeCell ref="F90:F91"/>
    <mergeCell ref="D245:D246"/>
    <mergeCell ref="E168:E169"/>
    <mergeCell ref="D129:D130"/>
    <mergeCell ref="M51:M52"/>
    <mergeCell ref="D127:V127"/>
    <mergeCell ref="T168:T169"/>
    <mergeCell ref="R90:R91"/>
    <mergeCell ref="Q51:Q52"/>
    <mergeCell ref="I12:I13"/>
    <mergeCell ref="K12:K13"/>
    <mergeCell ref="E90:E91"/>
    <mergeCell ref="R129:R130"/>
    <mergeCell ref="E245:E246"/>
    <mergeCell ref="T12:T13"/>
    <mergeCell ref="H90:H91"/>
    <mergeCell ref="L168:L169"/>
    <mergeCell ref="V245:V246"/>
    <mergeCell ref="D206:D207"/>
    <mergeCell ref="N168:N169"/>
    <mergeCell ref="P168:P169"/>
    <mergeCell ref="N90:N91"/>
    <mergeCell ref="J129:J130"/>
    <mergeCell ref="J51:J52"/>
    <mergeCell ref="E12:E13"/>
    <mergeCell ref="G12:G13"/>
    <mergeCell ref="D242:V242"/>
    <mergeCell ref="M245:M246"/>
    <mergeCell ref="O245:O246"/>
    <mergeCell ref="S90:S91"/>
    <mergeCell ref="Q245:Q246"/>
    <mergeCell ref="G245:G246"/>
    <mergeCell ref="T129:T130"/>
    <mergeCell ref="D12:D13"/>
    <mergeCell ref="V12:V13"/>
    <mergeCell ref="U206:U207"/>
    <mergeCell ref="V168:V169"/>
    <mergeCell ref="U129:U130"/>
    <mergeCell ref="I245:I246"/>
    <mergeCell ref="U51:U52"/>
    <mergeCell ref="V206:V207"/>
    <mergeCell ref="L245:L246"/>
    <mergeCell ref="N245:N246"/>
    <mergeCell ref="D2:V2"/>
    <mergeCell ref="K206:K207"/>
    <mergeCell ref="H245:H246"/>
    <mergeCell ref="D204:V204"/>
    <mergeCell ref="D51:D52"/>
    <mergeCell ref="A5:C6"/>
    <mergeCell ref="H206:H207"/>
    <mergeCell ref="N51:N52"/>
    <mergeCell ref="I168:I169"/>
    <mergeCell ref="K168:K169"/>
    <mergeCell ref="E129:E130"/>
    <mergeCell ref="U168:U169"/>
    <mergeCell ref="D4:V4"/>
    <mergeCell ref="E206:E207"/>
    <mergeCell ref="F12:F13"/>
    <mergeCell ref="K51:K52"/>
    <mergeCell ref="H6:H7"/>
    <mergeCell ref="H168:H169"/>
    <mergeCell ref="U90:U91"/>
    <mergeCell ref="J6:J7"/>
    <mergeCell ref="Q206:Q207"/>
    <mergeCell ref="L88:Q88"/>
    <mergeCell ref="R168:R169"/>
    <mergeCell ref="V129:V130"/>
  </mergeCells>
  <pageMargins left="0.7" right="0.7" top="0.75" bottom="0.75" header="0.3" footer="0.3"/>
  <pageSetup orientation="portrait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Hoja19"/>
  <dimension ref="A1:L298"/>
  <sheetViews>
    <sheetView showGridLines="0" zoomScaleNormal="100" workbookViewId="0">
      <pane xSplit="3" ySplit="8" topLeftCell="D278" activePane="bottomRight" state="frozen"/>
      <selection activeCell="C204" sqref="C204:V204"/>
      <selection pane="topRight" activeCell="C204" sqref="C204:V204"/>
      <selection pane="bottomLeft" activeCell="C204" sqref="C204:V204"/>
      <selection pane="bottomRight" activeCell="K223" sqref="K223:K253"/>
    </sheetView>
  </sheetViews>
  <sheetFormatPr baseColWidth="10" defaultColWidth="11.42578125" defaultRowHeight="11.25" x14ac:dyDescent="0.2"/>
  <cols>
    <col min="1" max="2" width="2.7109375" style="3" customWidth="1"/>
    <col min="3" max="3" width="45.7109375" style="3" customWidth="1"/>
    <col min="4" max="4" width="10.7109375" style="3" customWidth="1"/>
    <col min="5" max="11" width="10.7109375" style="9" customWidth="1"/>
    <col min="12" max="12" width="43.85546875" style="9" customWidth="1"/>
    <col min="13" max="33" width="10.7109375" style="9" customWidth="1"/>
    <col min="34" max="34" width="11.42578125" style="9" customWidth="1"/>
    <col min="35" max="16384" width="11.42578125" style="9"/>
  </cols>
  <sheetData>
    <row r="1" spans="1:12" ht="16.5" customHeight="1" x14ac:dyDescent="0.2"/>
    <row r="2" spans="1:12" ht="16.5" customHeight="1" x14ac:dyDescent="0.2">
      <c r="D2" s="179"/>
      <c r="E2" s="178"/>
      <c r="F2" s="178"/>
      <c r="G2" s="178"/>
      <c r="H2" s="178"/>
      <c r="I2" s="178"/>
      <c r="J2" s="178"/>
      <c r="K2" s="178"/>
    </row>
    <row r="3" spans="1:12" ht="16.5" customHeight="1" x14ac:dyDescent="0.2">
      <c r="D3" s="158"/>
      <c r="E3" s="178"/>
      <c r="F3" s="178"/>
      <c r="G3" s="178"/>
      <c r="H3" s="178"/>
      <c r="I3" s="178"/>
      <c r="J3" s="178"/>
      <c r="K3" s="178"/>
    </row>
    <row r="4" spans="1:12" ht="16.5" customHeight="1" x14ac:dyDescent="0.2">
      <c r="D4" s="158"/>
      <c r="E4" s="178"/>
      <c r="F4" s="178"/>
      <c r="G4" s="178"/>
      <c r="H4" s="178"/>
      <c r="I4" s="178"/>
      <c r="J4" s="178"/>
      <c r="K4" s="178"/>
    </row>
    <row r="5" spans="1:12" ht="16.5" customHeight="1" x14ac:dyDescent="0.2"/>
    <row r="6" spans="1:12" ht="18" customHeight="1" x14ac:dyDescent="0.2">
      <c r="A6" s="165" t="s">
        <v>17</v>
      </c>
      <c r="B6" s="158"/>
      <c r="C6" s="158"/>
      <c r="D6" s="161"/>
      <c r="E6" s="178"/>
      <c r="F6" s="178"/>
      <c r="G6" s="178"/>
      <c r="H6" s="178"/>
      <c r="I6" s="178"/>
      <c r="J6" s="178"/>
      <c r="K6" s="178"/>
    </row>
    <row r="7" spans="1:12" ht="18" customHeight="1" x14ac:dyDescent="0.2">
      <c r="A7" s="158"/>
      <c r="B7" s="158"/>
      <c r="C7" s="158"/>
      <c r="D7" s="151">
        <v>2019</v>
      </c>
      <c r="E7" s="151">
        <v>2020</v>
      </c>
      <c r="F7" s="151">
        <v>2021</v>
      </c>
      <c r="G7" s="151">
        <v>2022</v>
      </c>
      <c r="H7" s="151">
        <v>2023</v>
      </c>
      <c r="I7" s="151">
        <v>2024</v>
      </c>
      <c r="J7" s="151">
        <v>2025</v>
      </c>
      <c r="K7" s="151" t="s">
        <v>36</v>
      </c>
    </row>
    <row r="8" spans="1:12" ht="16.5" customHeight="1" x14ac:dyDescent="0.2">
      <c r="A8" s="162" t="s">
        <v>227</v>
      </c>
      <c r="B8" s="158"/>
      <c r="C8" s="158"/>
      <c r="D8" s="158"/>
      <c r="E8" s="178"/>
      <c r="F8" s="178"/>
      <c r="G8" s="178"/>
      <c r="H8" s="178"/>
      <c r="I8" s="178"/>
      <c r="J8" s="178"/>
      <c r="K8" s="178"/>
    </row>
    <row r="9" spans="1:12" ht="16.5" customHeight="1" x14ac:dyDescent="0.2"/>
    <row r="10" spans="1:12" ht="16.5" customHeight="1" x14ac:dyDescent="0.2">
      <c r="D10" s="183" t="s">
        <v>164</v>
      </c>
      <c r="E10" s="178"/>
      <c r="F10" s="178"/>
      <c r="G10" s="178"/>
      <c r="H10" s="178"/>
      <c r="I10" s="178"/>
      <c r="J10" s="178"/>
      <c r="K10" s="178"/>
      <c r="L10" s="178"/>
    </row>
    <row r="11" spans="1:12" ht="15.75" customHeight="1" x14ac:dyDescent="0.2">
      <c r="C11" s="2"/>
      <c r="D11" s="2"/>
      <c r="E11" s="2"/>
      <c r="F11" s="2"/>
      <c r="G11" s="2"/>
      <c r="H11" s="2"/>
      <c r="I11" s="2"/>
    </row>
    <row r="12" spans="1:12" ht="9.9499999999999993" customHeight="1" x14ac:dyDescent="0.2">
      <c r="C12" s="177" t="s">
        <v>120</v>
      </c>
      <c r="D12" s="153">
        <v>2019</v>
      </c>
      <c r="E12" s="153">
        <v>2020</v>
      </c>
      <c r="F12" s="153">
        <v>2021</v>
      </c>
      <c r="G12" s="153">
        <v>2022</v>
      </c>
      <c r="H12" s="153">
        <v>2023</v>
      </c>
      <c r="I12" s="153">
        <v>2024</v>
      </c>
      <c r="J12" s="153">
        <v>2025</v>
      </c>
      <c r="K12" s="153" t="s">
        <v>36</v>
      </c>
    </row>
    <row r="13" spans="1:12" ht="9.9499999999999993" customHeight="1" thickBot="1" x14ac:dyDescent="0.25">
      <c r="C13" s="156"/>
      <c r="D13" s="154"/>
      <c r="E13" s="154"/>
      <c r="F13" s="154"/>
      <c r="G13" s="154"/>
      <c r="H13" s="154"/>
      <c r="I13" s="154"/>
      <c r="J13" s="154"/>
      <c r="K13" s="154"/>
    </row>
    <row r="14" spans="1:12" x14ac:dyDescent="0.2">
      <c r="C14" s="87" t="s">
        <v>123</v>
      </c>
      <c r="D14" s="42">
        <f>727.067988028*Deflactores!$T$5</f>
        <v>1100.1283989213057</v>
      </c>
      <c r="E14" s="42">
        <f>713.203356274*Deflactores!$U$5</f>
        <v>1062.0507723544913</v>
      </c>
      <c r="F14" s="42">
        <f>625.079042*Deflactores!$V$5</f>
        <v>881.2937203472128</v>
      </c>
      <c r="G14" s="42">
        <f>751.278377641*Deflactores!$W$5</f>
        <v>936.36943916932182</v>
      </c>
      <c r="H14" s="42">
        <f>923.065160514*Deflactores!$X$5</f>
        <v>1052.7809419474318</v>
      </c>
      <c r="I14" s="42">
        <f>1047.353240643*Deflactores!$Y$5</f>
        <v>1135.4894301614283</v>
      </c>
      <c r="J14" s="42">
        <f>832.465454205*Deflactores!$Z$5</f>
        <v>858.72364064305043</v>
      </c>
      <c r="K14" s="42">
        <f>774.009304*Deflactores!$AA$5</f>
        <v>774.00930400000004</v>
      </c>
    </row>
    <row r="15" spans="1:12" x14ac:dyDescent="0.2">
      <c r="C15" s="88" t="s">
        <v>124</v>
      </c>
      <c r="D15" s="50">
        <f>289.536637269*Deflactores!$T$5</f>
        <v>438.09861310457956</v>
      </c>
      <c r="E15" s="50">
        <f>318.243484534*Deflactores!$U$5</f>
        <v>473.9051430042195</v>
      </c>
      <c r="F15" s="50">
        <f>359.443867139*Deflactores!$V$5</f>
        <v>506.77690602673994</v>
      </c>
      <c r="G15" s="50">
        <f>370.26844046*Deflactores!$W$5</f>
        <v>461.4907899043846</v>
      </c>
      <c r="H15" s="50">
        <f>431.866070766*Deflactores!$X$5</f>
        <v>492.55500935924442</v>
      </c>
      <c r="I15" s="50">
        <f>509.768148141*Deflactores!$Y$5</f>
        <v>552.66582618458938</v>
      </c>
      <c r="J15" s="50">
        <f>688.813192493*Deflactores!$Z$5</f>
        <v>710.54020247054063</v>
      </c>
      <c r="K15" s="50">
        <f>580.87922*Deflactores!$AA$5</f>
        <v>580.87922000000003</v>
      </c>
    </row>
    <row r="16" spans="1:12" x14ac:dyDescent="0.2">
      <c r="C16" s="87" t="s">
        <v>125</v>
      </c>
      <c r="D16" s="42">
        <f>23.468888556*Deflactores!$T$5</f>
        <v>35.510834222810722</v>
      </c>
      <c r="E16" s="42">
        <f>24.172511265*Deflactores!$U$5</f>
        <v>35.995952673108285</v>
      </c>
      <c r="F16" s="42">
        <f>25.56990936*Deflactores!$V$5</f>
        <v>36.050801634164245</v>
      </c>
      <c r="G16" s="42">
        <f>27.602653*Deflactores!$W$5</f>
        <v>34.40306746262582</v>
      </c>
      <c r="H16" s="42">
        <f>27.224997*Deflactores!$X$5</f>
        <v>31.050850159067718</v>
      </c>
      <c r="I16" s="42">
        <f>27.813986*Deflactores!$Y$5</f>
        <v>30.154570481176492</v>
      </c>
      <c r="J16" s="42">
        <f>27.025604856*Deflactores!$Z$5</f>
        <v>27.878064699619138</v>
      </c>
      <c r="K16" s="42">
        <f>31.288669554*Deflactores!$AA$5</f>
        <v>31.288669553999998</v>
      </c>
    </row>
    <row r="17" spans="3:11" x14ac:dyDescent="0.2">
      <c r="C17" s="88" t="s">
        <v>126</v>
      </c>
      <c r="D17" s="50">
        <f>450.164471081*Deflactores!$T$5</f>
        <v>681.14499190758613</v>
      </c>
      <c r="E17" s="50">
        <f>515.72524978*Deflactores!$U$5</f>
        <v>767.98068185357113</v>
      </c>
      <c r="F17" s="50">
        <f>433.876844512*Deflactores!$V$5</f>
        <v>611.71933912397867</v>
      </c>
      <c r="G17" s="50">
        <f>409.097998*Deflactores!$W$5</f>
        <v>509.88671357130647</v>
      </c>
      <c r="H17" s="50">
        <f>492.15452855*Deflactores!$X$5</f>
        <v>561.31563654947934</v>
      </c>
      <c r="I17" s="50">
        <f>768.960681882*Deflactores!$Y$5</f>
        <v>833.66976164668756</v>
      </c>
      <c r="J17" s="50">
        <f>692.600138746*Deflactores!$Z$5</f>
        <v>714.44659913465352</v>
      </c>
      <c r="K17" s="50">
        <f>982.024647216*Deflactores!$AA$5</f>
        <v>982.02464721599995</v>
      </c>
    </row>
    <row r="18" spans="3:11" x14ac:dyDescent="0.2">
      <c r="C18" s="87" t="s">
        <v>127</v>
      </c>
      <c r="D18" s="42">
        <f>557.367*Deflactores!$T$5</f>
        <v>843.35340768428591</v>
      </c>
      <c r="E18" s="42">
        <f>607.3197*Deflactores!$U$5</f>
        <v>904.3765018448662</v>
      </c>
      <c r="F18" s="42">
        <f>660.634429179*Deflactores!$V$5</f>
        <v>931.42296375474734</v>
      </c>
      <c r="G18" s="42">
        <f>762.603828761*Deflactores!$W$5</f>
        <v>950.48512069189258</v>
      </c>
      <c r="H18" s="42">
        <f>907.149*Deflactores!$X$5</f>
        <v>1034.6281276338846</v>
      </c>
      <c r="I18" s="42">
        <f>1108.608*Deflactores!$Y$5</f>
        <v>1201.898860235139</v>
      </c>
      <c r="J18" s="42">
        <f>1366.670325863*Deflactores!$Z$5</f>
        <v>1409.7787624168423</v>
      </c>
      <c r="K18" s="42">
        <f>1132.522*Deflactores!$AA$5</f>
        <v>1132.5219999999999</v>
      </c>
    </row>
    <row r="19" spans="3:11" x14ac:dyDescent="0.2">
      <c r="C19" s="88" t="s">
        <v>128</v>
      </c>
      <c r="D19" s="50">
        <f>233.461580475*Deflactores!$T$5</f>
        <v>353.25130382127111</v>
      </c>
      <c r="E19" s="50">
        <f>234.154731375*Deflactores!$U$5</f>
        <v>348.68626334918304</v>
      </c>
      <c r="F19" s="50">
        <f>237.56293997*Deflactores!$V$5</f>
        <v>334.93800482080934</v>
      </c>
      <c r="G19" s="50">
        <f>190.565114364*Deflactores!$W$5</f>
        <v>237.51428840871552</v>
      </c>
      <c r="H19" s="50">
        <f>295.516717669*Deflactores!$X$5</f>
        <v>337.04486064184465</v>
      </c>
      <c r="I19" s="50">
        <f>334.796768508*Deflactores!$Y$5</f>
        <v>362.97036867871498</v>
      </c>
      <c r="J19" s="50">
        <f>337.653058691*Deflactores!$Z$5</f>
        <v>348.30353904631204</v>
      </c>
      <c r="K19" s="50">
        <f>391.484921861*Deflactores!$AA$5</f>
        <v>391.48492186099998</v>
      </c>
    </row>
    <row r="20" spans="3:11" x14ac:dyDescent="0.2">
      <c r="C20" s="87" t="s">
        <v>129</v>
      </c>
      <c r="D20" s="42">
        <f>30301.464155683*Deflactores!$T$5</f>
        <v>45849.221524630098</v>
      </c>
      <c r="E20" s="42">
        <f>32175.056162914*Deflactores!$U$5</f>
        <v>47912.762815496128</v>
      </c>
      <c r="F20" s="42">
        <f>34442.264549507*Deflactores!$V$5</f>
        <v>48559.861109561803</v>
      </c>
      <c r="G20" s="42">
        <f>37622.489945235*Deflactores!$W$5</f>
        <v>46891.47306593613</v>
      </c>
      <c r="H20" s="42">
        <f>43384.091355*Deflactores!$X$5</f>
        <v>49480.737131078844</v>
      </c>
      <c r="I20" s="42">
        <f>49957.582934234*Deflactores!$Y$5</f>
        <v>54161.580999558246</v>
      </c>
      <c r="J20" s="42">
        <f>55088.772196097*Deflactores!$Z$5</f>
        <v>56826.419378525527</v>
      </c>
      <c r="K20" s="42">
        <f>58766.134743991*Deflactores!$AA$5</f>
        <v>58766.134743991002</v>
      </c>
    </row>
    <row r="21" spans="3:11" x14ac:dyDescent="0.2">
      <c r="C21" s="88" t="s">
        <v>130</v>
      </c>
      <c r="D21" s="50">
        <f>37.630371065*Deflactores!$T$5</f>
        <v>56.938608977732635</v>
      </c>
      <c r="E21" s="50">
        <f>39.593952363*Deflactores!$U$5</f>
        <v>58.960445597701202</v>
      </c>
      <c r="F21" s="50">
        <f>39.882291951*Deflactores!$V$5</f>
        <v>56.229710305133686</v>
      </c>
      <c r="G21" s="50">
        <f>52.836845707*Deflactores!$W$5</f>
        <v>65.854161459417412</v>
      </c>
      <c r="H21" s="50">
        <f>57.071743554*Deflactores!$X$5</f>
        <v>65.091877050050471</v>
      </c>
      <c r="I21" s="50">
        <f>64.627885666*Deflactores!$Y$5</f>
        <v>70.066409516594021</v>
      </c>
      <c r="J21" s="50">
        <f>49.600696578*Deflactores!$Z$5</f>
        <v>51.165235180320863</v>
      </c>
      <c r="K21" s="50">
        <f>54.194708762*Deflactores!$AA$5</f>
        <v>54.194708761999998</v>
      </c>
    </row>
    <row r="22" spans="3:11" x14ac:dyDescent="0.2">
      <c r="C22" s="87" t="s">
        <v>131</v>
      </c>
      <c r="D22" s="42">
        <f>37383.621969135*Deflactores!$T$5</f>
        <v>56565.252300999411</v>
      </c>
      <c r="E22" s="42">
        <f>40601.292160617*Deflactores!$U$5</f>
        <v>60460.503050699968</v>
      </c>
      <c r="F22" s="42">
        <f>43215.477111369*Deflactores!$V$5</f>
        <v>60929.140222330811</v>
      </c>
      <c r="G22" s="42">
        <f>44200.443440359*Deflactores!$W$5</f>
        <v>55090.024772497316</v>
      </c>
      <c r="H22" s="42">
        <f>51624.760858448*Deflactores!$X$5</f>
        <v>58879.445015673387</v>
      </c>
      <c r="I22" s="42">
        <f>62013.957837231*Deflactores!$Y$5</f>
        <v>67232.516131254597</v>
      </c>
      <c r="J22" s="42">
        <f>73403.0920684763*Deflactores!$Z$5</f>
        <v>75718.421872166611</v>
      </c>
      <c r="K22" s="42">
        <f>81380.982664056*Deflactores!$AA$5</f>
        <v>81380.982664056006</v>
      </c>
    </row>
    <row r="23" spans="3:11" x14ac:dyDescent="0.2">
      <c r="C23" s="88" t="s">
        <v>132</v>
      </c>
      <c r="D23" s="50">
        <f>25.699*Deflactores!$T$5</f>
        <v>38.885221450280454</v>
      </c>
      <c r="E23" s="50">
        <f>25.966624037*Deflactores!$U$5</f>
        <v>38.667615444226286</v>
      </c>
      <c r="F23" s="50">
        <f>32.004322754*Deflactores!$V$5</f>
        <v>45.122627334969295</v>
      </c>
      <c r="G23" s="50">
        <f>34.817444432*Deflactores!$W$5</f>
        <v>43.395353688296616</v>
      </c>
      <c r="H23" s="50">
        <f>35.825842015*Deflactores!$X$5</f>
        <v>40.860348018778396</v>
      </c>
      <c r="I23" s="50">
        <f>41.510991839*Deflactores!$Y$5</f>
        <v>45.00419785760544</v>
      </c>
      <c r="J23" s="50">
        <f>46.050906398*Deflactores!$Z$5</f>
        <v>47.503475125905574</v>
      </c>
      <c r="K23" s="50">
        <f>52.315994349*Deflactores!$AA$5</f>
        <v>52.315994349</v>
      </c>
    </row>
    <row r="24" spans="3:11" x14ac:dyDescent="0.2">
      <c r="C24" s="87" t="s">
        <v>133</v>
      </c>
      <c r="D24" s="42">
        <f>3688.05016437*Deflactores!$T$5</f>
        <v>5580.3979672855239</v>
      </c>
      <c r="E24" s="42">
        <f>3815.563988827*Deflactores!$U$5</f>
        <v>5681.8614854426851</v>
      </c>
      <c r="F24" s="42">
        <f>4282.639367149*Deflactores!$V$5</f>
        <v>6038.0574730262279</v>
      </c>
      <c r="G24" s="42">
        <f>4556.72*Deflactores!$W$5</f>
        <v>5679.3506612678257</v>
      </c>
      <c r="H24" s="42">
        <f>5205.121*Deflactores!$X$5</f>
        <v>5936.5821869812044</v>
      </c>
      <c r="I24" s="42">
        <f>5746.697624169*Deflactores!$Y$5</f>
        <v>6230.2899894324246</v>
      </c>
      <c r="J24" s="42">
        <f>6496.328023365*Deflactores!$Z$5</f>
        <v>6701.2395804015077</v>
      </c>
      <c r="K24" s="42">
        <f>6766.968119692*Deflactores!$AA$5</f>
        <v>6766.9681196920001</v>
      </c>
    </row>
    <row r="25" spans="3:11" x14ac:dyDescent="0.2">
      <c r="C25" s="88" t="s">
        <v>134</v>
      </c>
      <c r="D25" s="50">
        <f>8489.336368164*Deflactores!$T$5</f>
        <v>12845.236182029525</v>
      </c>
      <c r="E25" s="50">
        <f>38720.906004962*Deflactores!$U$5</f>
        <v>57660.368206451079</v>
      </c>
      <c r="F25" s="50">
        <f>21618.2562138231*Deflactores!$V$5</f>
        <v>30479.398869526347</v>
      </c>
      <c r="G25" s="50">
        <f>15365.545069323*Deflactores!$W$5</f>
        <v>19151.125930537786</v>
      </c>
      <c r="H25" s="50">
        <f>36519.595319728*Deflactores!$X$5</f>
        <v>41651.592547197157</v>
      </c>
      <c r="I25" s="50">
        <f>29099.868603216*Deflactores!$Y$5</f>
        <v>31548.66184187523</v>
      </c>
      <c r="J25" s="50">
        <f>21776.2361211836*Deflactores!$Z$5</f>
        <v>22463.116838095892</v>
      </c>
      <c r="K25" s="50">
        <f>28039.399629212*Deflactores!$AA$5</f>
        <v>28039.399629211999</v>
      </c>
    </row>
    <row r="26" spans="3:11" x14ac:dyDescent="0.2">
      <c r="C26" s="87" t="s">
        <v>135</v>
      </c>
      <c r="D26" s="42">
        <f>0*Deflactores!$T$5</f>
        <v>0</v>
      </c>
      <c r="E26" s="42">
        <f>0*Deflactores!$U$5</f>
        <v>0</v>
      </c>
      <c r="F26" s="42">
        <f>0*Deflactores!$V$5</f>
        <v>0</v>
      </c>
      <c r="G26" s="42">
        <f>0*Deflactores!$W$5</f>
        <v>0</v>
      </c>
      <c r="H26" s="42">
        <f>500*Deflactores!$X$5</f>
        <v>570.26361029659097</v>
      </c>
      <c r="I26" s="42">
        <f>1381.612947511*Deflactores!$Y$5</f>
        <v>1497.8775427379035</v>
      </c>
      <c r="J26" s="42">
        <f>112.269769677*Deflactores!$Z$5</f>
        <v>115.81105842194975</v>
      </c>
      <c r="K26" s="42">
        <f>341.91090145*Deflactores!$AA$5</f>
        <v>341.91090144999998</v>
      </c>
    </row>
    <row r="27" spans="3:11" x14ac:dyDescent="0.2">
      <c r="C27" s="88" t="s">
        <v>136</v>
      </c>
      <c r="D27" s="50">
        <f>844.587181865*Deflactores!$T$5</f>
        <v>1277.9469862986427</v>
      </c>
      <c r="E27" s="50">
        <f>6882.971452534*Deflactores!$U$5</f>
        <v>10249.622471559504</v>
      </c>
      <c r="F27" s="50">
        <f>8750.89389384*Deflactores!$V$5</f>
        <v>12337.812209141324</v>
      </c>
      <c r="G27" s="50">
        <f>927.2094056*Deflactores!$W$5</f>
        <v>1155.6442684273134</v>
      </c>
      <c r="H27" s="50">
        <f>1229.265655381*Deflactores!$X$5</f>
        <v>1402.0109413023483</v>
      </c>
      <c r="I27" s="50">
        <f>2204.145190735*Deflactores!$Y$5</f>
        <v>2389.6269849551504</v>
      </c>
      <c r="J27" s="50">
        <f>2034.640892403*Deflactores!$Z$5</f>
        <v>2098.8189067786484</v>
      </c>
      <c r="K27" s="50">
        <f>1926.603753656*Deflactores!$AA$5</f>
        <v>1926.603753656</v>
      </c>
    </row>
    <row r="28" spans="3:11" x14ac:dyDescent="0.2">
      <c r="C28" s="87" t="s">
        <v>137</v>
      </c>
      <c r="D28" s="42">
        <f>154.540731379*Deflactores!$T$5</f>
        <v>233.83596882216119</v>
      </c>
      <c r="E28" s="42">
        <f>161.943*Deflactores!$U$5</f>
        <v>241.15378414081277</v>
      </c>
      <c r="F28" s="42">
        <f>180.945256866*Deflactores!$V$5</f>
        <v>255.1132063113055</v>
      </c>
      <c r="G28" s="42">
        <f>187.367*Deflactores!$W$5</f>
        <v>233.52826053603656</v>
      </c>
      <c r="H28" s="42">
        <f>220.227*Deflactores!$X$5</f>
        <v>251.1748882095747</v>
      </c>
      <c r="I28" s="42">
        <f>239.855581223*Deflactores!$Y$5</f>
        <v>260.03975227759543</v>
      </c>
      <c r="J28" s="42">
        <f>263.438327117*Deflactores!$Z$5</f>
        <v>271.74787638829361</v>
      </c>
      <c r="K28" s="42">
        <f>294.324447*Deflactores!$AA$5</f>
        <v>294.32444700000002</v>
      </c>
    </row>
    <row r="29" spans="3:11" x14ac:dyDescent="0.2">
      <c r="C29" s="88" t="s">
        <v>138</v>
      </c>
      <c r="D29" s="50">
        <f>90.387*Deflactores!$T$5</f>
        <v>136.76479673242147</v>
      </c>
      <c r="E29" s="50">
        <f>92.601*Deflactores!$U$5</f>
        <v>137.894701007289</v>
      </c>
      <c r="F29" s="50">
        <f>109.327*Deflactores!$V$5</f>
        <v>154.13922414695153</v>
      </c>
      <c r="G29" s="50">
        <f>103.804*Deflactores!$W$5</f>
        <v>129.37799909633361</v>
      </c>
      <c r="H29" s="50">
        <f>114.794*Deflactores!$X$5</f>
        <v>130.92568176077373</v>
      </c>
      <c r="I29" s="50">
        <f>128.047*Deflactores!$Y$5</f>
        <v>138.82232796130717</v>
      </c>
      <c r="J29" s="50">
        <f>140.651175014*Deflactores!$Z$5</f>
        <v>145.08768917514976</v>
      </c>
      <c r="K29" s="50">
        <f>154.503477808*Deflactores!$AA$5</f>
        <v>154.50347780800001</v>
      </c>
    </row>
    <row r="30" spans="3:11" x14ac:dyDescent="0.2">
      <c r="C30" s="87" t="s">
        <v>160</v>
      </c>
      <c r="D30" s="42">
        <f>1186.079361308*Deflactores!$T$5</f>
        <v>1794.6596607676868</v>
      </c>
      <c r="E30" s="42">
        <f>1460.645014439*Deflactores!$U$5</f>
        <v>2175.0867435972964</v>
      </c>
      <c r="F30" s="42">
        <f>1752.640581646*Deflactores!$V$5</f>
        <v>2471.0333171437646</v>
      </c>
      <c r="G30" s="42">
        <f>2229.878899244*Deflactores!$W$5</f>
        <v>2779.250030936415</v>
      </c>
      <c r="H30" s="42">
        <f>2716.479836*Deflactores!$X$5</f>
        <v>3098.2191971505031</v>
      </c>
      <c r="I30" s="42">
        <f>3327.528019971*Deflactores!$Y$5</f>
        <v>3607.5439962580404</v>
      </c>
      <c r="J30" s="42">
        <f>3790.264639969*Deflactores!$Z$5</f>
        <v>3909.8197218803598</v>
      </c>
      <c r="K30" s="42">
        <f>3643.573843343*Deflactores!$AA$5</f>
        <v>3643.5738433430001</v>
      </c>
    </row>
    <row r="31" spans="3:11" x14ac:dyDescent="0.2">
      <c r="C31" s="88" t="s">
        <v>161</v>
      </c>
      <c r="D31" s="50">
        <f>1982.379883804*Deflactores!$T$5</f>
        <v>2999.5439814895435</v>
      </c>
      <c r="E31" s="50">
        <f>2102.0194001*Deflactores!$U$5</f>
        <v>3130.1750163422694</v>
      </c>
      <c r="F31" s="50">
        <f>2499.320849*Deflactores!$V$5</f>
        <v>3523.7715894441471</v>
      </c>
      <c r="G31" s="50">
        <f>2725.439825119*Deflactores!$W$5</f>
        <v>3396.9013836784484</v>
      </c>
      <c r="H31" s="50">
        <f>2971.650059648*Deflactores!$X$5</f>
        <v>3389.2477831058968</v>
      </c>
      <c r="I31" s="50">
        <f>3399.756777892*Deflactores!$Y$5</f>
        <v>3685.8509016939111</v>
      </c>
      <c r="J31" s="50">
        <f>3764.579825209*Deflactores!$Z$5</f>
        <v>3883.3247393816405</v>
      </c>
      <c r="K31" s="50">
        <f>4114.389560285*Deflactores!$AA$5</f>
        <v>4114.3895602849998</v>
      </c>
    </row>
    <row r="32" spans="3:11" x14ac:dyDescent="0.2">
      <c r="C32" s="87" t="s">
        <v>140</v>
      </c>
      <c r="D32" s="42">
        <f>187.908314991*Deflactores!$T$5</f>
        <v>284.3245433975676</v>
      </c>
      <c r="E32" s="42">
        <f>217.811210451*Deflactores!$U$5</f>
        <v>324.34867594492874</v>
      </c>
      <c r="F32" s="42">
        <f>227.708876361*Deflactores!$V$5</f>
        <v>321.04484284448171</v>
      </c>
      <c r="G32" s="42">
        <f>294.182227074*Deflactores!$W$5</f>
        <v>366.65935713977677</v>
      </c>
      <c r="H32" s="42">
        <f>300.419110299*Deflactores!$X$5</f>
        <v>342.63617288239504</v>
      </c>
      <c r="I32" s="42">
        <f>320.718328145*Deflactores!$Y$5</f>
        <v>347.70720854801226</v>
      </c>
      <c r="J32" s="42">
        <f>302.93701468*Deflactores!$Z$5</f>
        <v>312.49245817651172</v>
      </c>
      <c r="K32" s="42">
        <f>334.354650216*Deflactores!$AA$5</f>
        <v>334.35465021599998</v>
      </c>
    </row>
    <row r="33" spans="1:11" x14ac:dyDescent="0.2">
      <c r="C33" s="88" t="s">
        <v>141</v>
      </c>
      <c r="D33" s="50">
        <f>1717.95151541*Deflactores!$T$5</f>
        <v>2599.4367530862191</v>
      </c>
      <c r="E33" s="50">
        <f>2121.531077567*Deflactores!$U$5</f>
        <v>3159.2303929630684</v>
      </c>
      <c r="F33" s="50">
        <f>2489.039096424*Deflactores!$V$5</f>
        <v>3509.2754323655154</v>
      </c>
      <c r="G33" s="50">
        <f>2726.20315378*Deflactores!$W$5</f>
        <v>3397.8527722069543</v>
      </c>
      <c r="H33" s="50">
        <f>3404.796995337*Deflactores!$X$5</f>
        <v>3883.2636537757262</v>
      </c>
      <c r="I33" s="50">
        <f>3751.56476*Deflactores!$Y$5</f>
        <v>4067.2640005685621</v>
      </c>
      <c r="J33" s="50">
        <f>3860.537568828*Deflactores!$Z$5</f>
        <v>3982.3092468253676</v>
      </c>
      <c r="K33" s="50">
        <f>4104.305502878*Deflactores!$AA$5</f>
        <v>4104.305502878</v>
      </c>
    </row>
    <row r="34" spans="1:11" x14ac:dyDescent="0.2">
      <c r="C34" s="87" t="s">
        <v>142</v>
      </c>
      <c r="D34" s="42">
        <f>82.880917062*Deflactores!$T$5</f>
        <v>125.40732378529115</v>
      </c>
      <c r="E34" s="42">
        <f>85.304108421*Deflactores!$U$5</f>
        <v>127.02869866855821</v>
      </c>
      <c r="F34" s="42">
        <f>279.127568491*Deflactores!$V$5</f>
        <v>393.53962740428085</v>
      </c>
      <c r="G34" s="42">
        <f>433.401119538*Deflactores!$W$5</f>
        <v>540.17735012077901</v>
      </c>
      <c r="H34" s="42">
        <f>246.769024435*Deflactores!$X$5</f>
        <v>281.44678956734157</v>
      </c>
      <c r="I34" s="42">
        <f>273.548990122*Deflactores!$Y$5</f>
        <v>296.56850703414108</v>
      </c>
      <c r="J34" s="42">
        <f>279.355350031*Deflactores!$Z$5</f>
        <v>288.16696476711667</v>
      </c>
      <c r="K34" s="42">
        <f>277.005164844*Deflactores!$AA$5</f>
        <v>277.00516484399998</v>
      </c>
    </row>
    <row r="35" spans="1:11" x14ac:dyDescent="0.2">
      <c r="C35" s="88" t="s">
        <v>143</v>
      </c>
      <c r="D35" s="50">
        <f>1319.218584481*Deflactores!$T$5</f>
        <v>1996.1129537674308</v>
      </c>
      <c r="E35" s="50">
        <f>4621.73738908*Deflactores!$U$5</f>
        <v>6882.3565123637445</v>
      </c>
      <c r="F35" s="50">
        <f>6365.786150271*Deflactores!$V$5</f>
        <v>8975.0687230801304</v>
      </c>
      <c r="G35" s="50">
        <f>4745.81222325475*Deflactores!$W$5</f>
        <v>5915.0291851144666</v>
      </c>
      <c r="H35" s="50">
        <f>3287.22381*Deflactores!$X$5</f>
        <v>3749.16823548703</v>
      </c>
      <c r="I35" s="50">
        <f>2113.115714571*Deflactores!$Y$5</f>
        <v>2290.9372554481347</v>
      </c>
      <c r="J35" s="50">
        <f>3587.518379853*Deflactores!$Z$5</f>
        <v>3700.6783025768505</v>
      </c>
      <c r="K35" s="50">
        <f>2481.91*Deflactores!$AA$5</f>
        <v>2481.91</v>
      </c>
    </row>
    <row r="36" spans="1:11" x14ac:dyDescent="0.2">
      <c r="C36" s="87" t="s">
        <v>144</v>
      </c>
      <c r="D36" s="42">
        <f>4334.331609424*Deflactores!$T$5</f>
        <v>6558.2880451147021</v>
      </c>
      <c r="E36" s="42">
        <f>4599.530195*Deflactores!$U$5</f>
        <v>6849.2871676712202</v>
      </c>
      <c r="F36" s="42">
        <f>4957.475927*Deflactores!$V$5</f>
        <v>6989.5039021922257</v>
      </c>
      <c r="G36" s="42">
        <f>5455.2092*Deflactores!$W$5</f>
        <v>6799.1989802696507</v>
      </c>
      <c r="H36" s="42">
        <f>7176.2295*Deflactores!$X$5</f>
        <v>8184.6850859738006</v>
      </c>
      <c r="I36" s="42">
        <f>8192.5800133*Deflactores!$Y$5</f>
        <v>8881.996684464164</v>
      </c>
      <c r="J36" s="42">
        <f>9425.170014399*Deflactores!$Z$5</f>
        <v>9722.4650795555008</v>
      </c>
      <c r="K36" s="42">
        <f>9459.483033632*Deflactores!$AA$5</f>
        <v>9459.4830336319992</v>
      </c>
    </row>
    <row r="37" spans="1:11" x14ac:dyDescent="0.2">
      <c r="C37" s="88" t="s">
        <v>145</v>
      </c>
      <c r="D37" s="50">
        <f>1402.315373561*Deflactores!$T$5</f>
        <v>2121.8469140453808</v>
      </c>
      <c r="E37" s="50">
        <f>526.345228942*Deflactores!$U$5</f>
        <v>783.79518549011527</v>
      </c>
      <c r="F37" s="50">
        <f>1288.351220562*Deflactores!$V$5</f>
        <v>1816.4356249252676</v>
      </c>
      <c r="G37" s="50">
        <f>3066.85993592*Deflactores!$W$5</f>
        <v>3822.4365344113867</v>
      </c>
      <c r="H37" s="50">
        <f>3043.809406163*Deflactores!$X$5</f>
        <v>3471.5474820264703</v>
      </c>
      <c r="I37" s="50">
        <f>1247.842178072*Deflactores!$Y$5</f>
        <v>1352.8497824100764</v>
      </c>
      <c r="J37" s="50">
        <f>2739.50086744*Deflactores!$Z$5</f>
        <v>2825.9120502237197</v>
      </c>
      <c r="K37" s="50">
        <f>6474.520786*Deflactores!$AA$5</f>
        <v>6474.520786</v>
      </c>
    </row>
    <row r="38" spans="1:11" x14ac:dyDescent="0.2">
      <c r="C38" s="87" t="s">
        <v>146</v>
      </c>
      <c r="D38" s="42">
        <f>695.832895488*Deflactores!$T$5</f>
        <v>1052.8665019432949</v>
      </c>
      <c r="E38" s="42">
        <f>770.714414943999*Deflactores!$U$5</f>
        <v>1147.6920747152883</v>
      </c>
      <c r="F38" s="42">
        <f>876.740207534999*Deflactores!$V$5</f>
        <v>1236.1086956367778</v>
      </c>
      <c r="G38" s="42">
        <f>1127.545477201*Deflactores!$W$5</f>
        <v>1405.3367666986439</v>
      </c>
      <c r="H38" s="42">
        <f>1184.651*Deflactores!$X$5</f>
        <v>1351.1267124029337</v>
      </c>
      <c r="I38" s="42">
        <f>1185.336206162*Deflactores!$Y$5</f>
        <v>1285.0838485574266</v>
      </c>
      <c r="J38" s="42">
        <f>1281.042804945*Deflactores!$Z$5</f>
        <v>1321.4503205211181</v>
      </c>
      <c r="K38" s="42">
        <f>1239.480282653*Deflactores!$AA$5</f>
        <v>1239.4802826529999</v>
      </c>
    </row>
    <row r="39" spans="1:11" x14ac:dyDescent="0.2">
      <c r="C39" s="88" t="s">
        <v>162</v>
      </c>
      <c r="D39" s="50">
        <f>28454.23331852*Deflactores!$T$5</f>
        <v>43054.171905077972</v>
      </c>
      <c r="E39" s="50">
        <f>34261.195270608*Deflactores!$U$5</f>
        <v>51019.290050785996</v>
      </c>
      <c r="F39" s="50">
        <f>42433.0174329598*Deflactores!$V$5</f>
        <v>59825.956857230995</v>
      </c>
      <c r="G39" s="50">
        <f>40782.6885048082*Deflactores!$W$5</f>
        <v>50830.243887722347</v>
      </c>
      <c r="H39" s="50">
        <f>51171.608337631*Deflactores!$X$5</f>
        <v>58362.612230601182</v>
      </c>
      <c r="I39" s="50">
        <f>58777.42640181*Deflactores!$Y$5</f>
        <v>63723.62620501584</v>
      </c>
      <c r="J39" s="50">
        <f>64115.67056048*Deflactores!$Z$5</f>
        <v>66138.050255245224</v>
      </c>
      <c r="K39" s="50">
        <f>74821.670435844*Deflactores!$AA$5</f>
        <v>74821.670435844004</v>
      </c>
    </row>
    <row r="40" spans="1:11" x14ac:dyDescent="0.2">
      <c r="C40" s="87" t="s">
        <v>148</v>
      </c>
      <c r="D40" s="42">
        <f>279.190136412*Deflactores!$T$5</f>
        <v>422.44329666970037</v>
      </c>
      <c r="E40" s="42">
        <f>325.051517136*Deflactores!$U$5</f>
        <v>484.04317196827674</v>
      </c>
      <c r="F40" s="42">
        <f>368.2064*Deflactores!$V$5</f>
        <v>519.13112791846572</v>
      </c>
      <c r="G40" s="42">
        <f>364.995285796*Deflactores!$W$5</f>
        <v>454.91849789874112</v>
      </c>
      <c r="H40" s="42">
        <f>490.227944563*Deflactores!$X$5</f>
        <v>559.11831506954695</v>
      </c>
      <c r="I40" s="42">
        <f>601.201697709*Deflactores!$Y$5</f>
        <v>651.79363241820158</v>
      </c>
      <c r="J40" s="42">
        <f>703.36457226*Deflactores!$Z$5</f>
        <v>725.55057166577785</v>
      </c>
      <c r="K40" s="42">
        <f>675.156391489*Deflactores!$AA$5</f>
        <v>675.15639148900004</v>
      </c>
    </row>
    <row r="41" spans="1:11" x14ac:dyDescent="0.2">
      <c r="C41" s="88" t="s">
        <v>149</v>
      </c>
      <c r="D41" s="50">
        <f>68.740496183*Deflactores!$T$5</f>
        <v>104.01141743562448</v>
      </c>
      <c r="E41" s="50">
        <f>54.421210989*Deflactores!$U$5</f>
        <v>81.040125028701041</v>
      </c>
      <c r="F41" s="50">
        <f>81.8916*Deflactores!$V$5</f>
        <v>115.45828284094959</v>
      </c>
      <c r="G41" s="50">
        <f>106.793*Deflactores!$W$5</f>
        <v>133.103393486713</v>
      </c>
      <c r="H41" s="50">
        <f>108.200203899*Deflactores!$X$5</f>
        <v>123.40527782054205</v>
      </c>
      <c r="I41" s="50">
        <f>120.086*Deflactores!$Y$5</f>
        <v>130.19139906098178</v>
      </c>
      <c r="J41" s="50">
        <f>127.996875*Deflactores!$Z$5</f>
        <v>132.03423870111303</v>
      </c>
      <c r="K41" s="50">
        <f>105.78732957*Deflactores!$AA$5</f>
        <v>105.78732957</v>
      </c>
    </row>
    <row r="42" spans="1:11" x14ac:dyDescent="0.2">
      <c r="C42" s="87" t="s">
        <v>163</v>
      </c>
      <c r="D42" s="42">
        <f>22774.625745418*Deflactores!$T$5</f>
        <v>34460.343420282406</v>
      </c>
      <c r="E42" s="42">
        <f>26546.258370817*Deflactores!$U$5</f>
        <v>39530.764904332056</v>
      </c>
      <c r="F42" s="42">
        <f>23646.932778951*Deflactores!$V$5</f>
        <v>33339.613014192502</v>
      </c>
      <c r="G42" s="42">
        <f>30160.023479922*Deflactores!$W$5</f>
        <v>37590.49256802001</v>
      </c>
      <c r="H42" s="42">
        <f>29477.31120709*Deflactores!$X$5</f>
        <v>33619.675821582612</v>
      </c>
      <c r="I42" s="42">
        <f>34386.99487278*Deflactores!$Y$5</f>
        <v>37280.706926619554</v>
      </c>
      <c r="J42" s="42">
        <f>45053.18442475*Deflactores!$Z$5</f>
        <v>46474.282333710951</v>
      </c>
      <c r="K42" s="42">
        <f>49871.951716629*Deflactores!$AA$5</f>
        <v>49871.951716629002</v>
      </c>
    </row>
    <row r="43" spans="1:11" x14ac:dyDescent="0.2">
      <c r="C43" s="88" t="s">
        <v>150</v>
      </c>
      <c r="D43" s="50">
        <f>177.716233621*Deflactores!$T$5</f>
        <v>268.90287947633607</v>
      </c>
      <c r="E43" s="50">
        <f>173.459417223*Deflactores!$U$5</f>
        <v>258.30319839811858</v>
      </c>
      <c r="F43" s="50">
        <f>320.081022352*Deflactores!$V$5</f>
        <v>451.27955993945079</v>
      </c>
      <c r="G43" s="50">
        <f>382.41154937*Deflactores!$W$5</f>
        <v>476.62557405128314</v>
      </c>
      <c r="H43" s="50">
        <f>505.340996533*Deflactores!$X$5</f>
        <v>576.35516222757133</v>
      </c>
      <c r="I43" s="50">
        <f>545.718513851*Deflactores!$Y$5</f>
        <v>591.64146371551601</v>
      </c>
      <c r="J43" s="50">
        <f>480.697534377*Deflactores!$Z$5</f>
        <v>495.86001999634215</v>
      </c>
      <c r="K43" s="50">
        <f>538.865401127*Deflactores!$AA$5</f>
        <v>538.86540112700004</v>
      </c>
    </row>
    <row r="44" spans="1:11" x14ac:dyDescent="0.2">
      <c r="C44" s="87" t="s">
        <v>151</v>
      </c>
      <c r="D44" s="42">
        <f>2193.858246928*Deflactores!$T$5</f>
        <v>3319.5324239199713</v>
      </c>
      <c r="E44" s="42">
        <f>2371.702884348*Deflactores!$U$5</f>
        <v>3531.7681246994352</v>
      </c>
      <c r="F44" s="42">
        <f>2743.274099731*Deflactores!$V$5</f>
        <v>3867.7192400318618</v>
      </c>
      <c r="G44" s="42">
        <f>2659.146005054*Deflactores!$W$5</f>
        <v>3314.274878028742</v>
      </c>
      <c r="H44" s="42">
        <f>2941.964825564*Deflactores!$X$5</f>
        <v>3355.3909655834145</v>
      </c>
      <c r="I44" s="42">
        <f>3774.236903562*Deflactores!$Y$5</f>
        <v>4091.8440356271717</v>
      </c>
      <c r="J44" s="42">
        <f>4342.223109946*Deflactores!$Z$5</f>
        <v>4479.1884379372505</v>
      </c>
      <c r="K44" s="42">
        <f>4698.621505748*Deflactores!$AA$5</f>
        <v>4698.6215057480003</v>
      </c>
    </row>
    <row r="45" spans="1:11" ht="21.75" customHeight="1" x14ac:dyDescent="0.2">
      <c r="C45" s="79" t="s">
        <v>179</v>
      </c>
      <c r="D45" s="44">
        <f t="shared" ref="D45:K45" si="0">+SUM(D14:D44)</f>
        <v>227197.85912714674</v>
      </c>
      <c r="E45" s="44">
        <f t="shared" si="0"/>
        <v>305518.9999338878</v>
      </c>
      <c r="F45" s="44">
        <f t="shared" si="0"/>
        <v>289512.01622458332</v>
      </c>
      <c r="G45" s="44">
        <f t="shared" si="0"/>
        <v>252792.42505243901</v>
      </c>
      <c r="H45" s="44">
        <f t="shared" si="0"/>
        <v>286265.95853911666</v>
      </c>
      <c r="I45" s="44">
        <f t="shared" si="0"/>
        <v>299976.94084225415</v>
      </c>
      <c r="J45" s="44">
        <f t="shared" si="0"/>
        <v>316900.58745983557</v>
      </c>
      <c r="K45" s="44">
        <f t="shared" si="0"/>
        <v>344510.62280686514</v>
      </c>
    </row>
    <row r="46" spans="1:11" s="31" customFormat="1" x14ac:dyDescent="0.2">
      <c r="A46" s="5"/>
      <c r="B46" s="5"/>
      <c r="C46" s="72" t="str">
        <f>+'C1 Aprop Resumen 2000-2026'!B20</f>
        <v>* Información con corte a 28 de febrero</v>
      </c>
      <c r="D46" s="121">
        <f>+D45-'C6 Ejec. Nac 19-26'!D14</f>
        <v>1.1641532182693481E-9</v>
      </c>
      <c r="E46" s="121">
        <f>+E45-'C6 Ejec. Nac 19-26'!E14</f>
        <v>5.8207660913467407E-10</v>
      </c>
      <c r="F46" s="121">
        <f>+F45-'C6 Ejec. Nac 19-26'!F14</f>
        <v>0</v>
      </c>
      <c r="G46" s="121">
        <f>+G45-'C6 Ejec. Nac 19-26'!G14</f>
        <v>0</v>
      </c>
      <c r="H46" s="121">
        <f>+H45-'C6 Ejec. Nac 19-26'!H14</f>
        <v>0</v>
      </c>
      <c r="I46" s="121">
        <f>+I45-'C6 Ejec. Nac 19-26'!I14</f>
        <v>0</v>
      </c>
      <c r="J46" s="121">
        <f>+J45-'C6 Ejec. Nac 19-26'!J14</f>
        <v>5.8207660913467407E-10</v>
      </c>
      <c r="K46" s="121">
        <f>+K45-'C6 Ejec. Nac 19-26'!K14</f>
        <v>0</v>
      </c>
    </row>
    <row r="47" spans="1:11" x14ac:dyDescent="0.2">
      <c r="C47" s="1" t="s">
        <v>52</v>
      </c>
      <c r="D47" s="10"/>
    </row>
    <row r="48" spans="1:11" x14ac:dyDescent="0.2">
      <c r="D48" s="10"/>
    </row>
    <row r="49" spans="3:12" x14ac:dyDescent="0.2">
      <c r="D49" s="10"/>
    </row>
    <row r="51" spans="3:12" ht="17.25" customHeight="1" x14ac:dyDescent="0.2">
      <c r="D51" s="183" t="s">
        <v>188</v>
      </c>
      <c r="E51" s="178"/>
      <c r="F51" s="178"/>
      <c r="G51" s="178"/>
      <c r="H51" s="178"/>
      <c r="I51" s="178"/>
      <c r="J51" s="178"/>
      <c r="K51" s="178"/>
      <c r="L51" s="178"/>
    </row>
    <row r="52" spans="3:12" ht="11.25" hidden="1" customHeight="1" x14ac:dyDescent="0.2">
      <c r="D52" s="28"/>
    </row>
    <row r="53" spans="3:12" ht="15.75" customHeight="1" x14ac:dyDescent="0.2">
      <c r="C53" s="2"/>
      <c r="D53" s="2"/>
      <c r="E53" s="2"/>
      <c r="F53" s="2"/>
      <c r="G53" s="2"/>
      <c r="H53" s="2"/>
      <c r="I53" s="2"/>
    </row>
    <row r="54" spans="3:12" ht="12" thickBot="1" x14ac:dyDescent="0.25">
      <c r="C54" s="177" t="s">
        <v>120</v>
      </c>
      <c r="D54" s="153">
        <v>2019</v>
      </c>
      <c r="E54" s="153">
        <v>2020</v>
      </c>
      <c r="F54" s="153">
        <v>2021</v>
      </c>
      <c r="G54" s="153">
        <v>2022</v>
      </c>
      <c r="H54" s="153">
        <v>2023</v>
      </c>
      <c r="I54" s="153">
        <v>2024</v>
      </c>
      <c r="J54" s="153">
        <v>2025</v>
      </c>
      <c r="K54" s="153" t="s">
        <v>36</v>
      </c>
    </row>
    <row r="55" spans="3:12" ht="12" customHeight="1" thickBot="1" x14ac:dyDescent="0.25">
      <c r="C55" s="156"/>
      <c r="D55" s="154"/>
      <c r="E55" s="154"/>
      <c r="F55" s="154"/>
      <c r="G55" s="154"/>
      <c r="H55" s="154"/>
      <c r="I55" s="154"/>
      <c r="J55" s="154"/>
      <c r="K55" s="154"/>
    </row>
    <row r="56" spans="3:12" x14ac:dyDescent="0.2">
      <c r="C56" s="87" t="s">
        <v>123</v>
      </c>
      <c r="D56" s="42">
        <f>705.313655785759*Deflactores!$T$5</f>
        <v>1067.2118641634352</v>
      </c>
      <c r="E56" s="42">
        <f>614.85273266909*Deflactores!$U$5</f>
        <v>915.59414838844884</v>
      </c>
      <c r="F56" s="42">
        <f>580.30723663103*Deflactores!$V$5</f>
        <v>818.17032591371196</v>
      </c>
      <c r="G56" s="42">
        <f>697.8677054839*Deflactores!$W$5</f>
        <v>869.80007870078634</v>
      </c>
      <c r="H56" s="42">
        <f>777.979802275109*Deflactores!$X$5</f>
        <v>887.30714156646343</v>
      </c>
      <c r="I56" s="42">
        <f>1004.3555198882*Deflactores!$Y$5</f>
        <v>1088.8733931421186</v>
      </c>
      <c r="J56" s="42">
        <f>788.075058990846*Deflactores!$Z$5</f>
        <v>812.93305366393577</v>
      </c>
      <c r="K56" s="42">
        <f>344.68264353447*Deflactores!$AA$5</f>
        <v>344.68264353447</v>
      </c>
    </row>
    <row r="57" spans="3:12" x14ac:dyDescent="0.2">
      <c r="C57" s="88" t="s">
        <v>124</v>
      </c>
      <c r="D57" s="50">
        <f>283.70265242884*Deflactores!$T$5</f>
        <v>429.2711959892365</v>
      </c>
      <c r="E57" s="50">
        <f>310.53778344948*Deflactores!$U$5</f>
        <v>462.43037116480713</v>
      </c>
      <c r="F57" s="50">
        <f>337.69746189479*Deflactores!$V$5</f>
        <v>476.11683090963504</v>
      </c>
      <c r="G57" s="50">
        <f>342.33955107923*Deflactores!$W$5</f>
        <v>426.68111180848399</v>
      </c>
      <c r="H57" s="50">
        <f>412.713006925769*Deflactores!$X$5</f>
        <v>470.71041869170199</v>
      </c>
      <c r="I57" s="50">
        <f>492.918850506129*Deflactores!$Y$5</f>
        <v>534.39863740089481</v>
      </c>
      <c r="J57" s="50">
        <f>675.05352141888*Deflactores!$Z$5</f>
        <v>696.34651457738573</v>
      </c>
      <c r="K57" s="50">
        <f>189.2677915788*Deflactores!$AA$5</f>
        <v>189.2677915788</v>
      </c>
    </row>
    <row r="58" spans="3:12" x14ac:dyDescent="0.2">
      <c r="C58" s="87" t="s">
        <v>125</v>
      </c>
      <c r="D58" s="42">
        <f>22.67956867012*Deflactores!$T$5</f>
        <v>34.316512320886368</v>
      </c>
      <c r="E58" s="42">
        <f>22.94716652129*Deflactores!$U$5</f>
        <v>34.171258047081096</v>
      </c>
      <c r="F58" s="42">
        <f>24.69428390912*Deflactores!$V$5</f>
        <v>34.816264624624353</v>
      </c>
      <c r="G58" s="42">
        <f>24.52920631672*Deflactores!$W$5</f>
        <v>30.572421416114803</v>
      </c>
      <c r="H58" s="42">
        <f>26.11209205751*Deflactores!$X$5</f>
        <v>29.781551778225186</v>
      </c>
      <c r="I58" s="42">
        <f>26.79346334176*Deflactores!$Y$5</f>
        <v>29.04816946315859</v>
      </c>
      <c r="J58" s="42">
        <f>25.25286534355*Deflactores!$Z$5</f>
        <v>26.049408242641434</v>
      </c>
      <c r="K58" s="42">
        <f>5.07812759172999*Deflactores!$AA$5</f>
        <v>5.0781275917299897</v>
      </c>
    </row>
    <row r="59" spans="3:12" x14ac:dyDescent="0.2">
      <c r="C59" s="88" t="s">
        <v>126</v>
      </c>
      <c r="D59" s="50">
        <f>442.508156620599*Deflactores!$T$5</f>
        <v>669.5602032665621</v>
      </c>
      <c r="E59" s="50">
        <f>506.32126280382*Deflactores!$U$5</f>
        <v>753.97694569136138</v>
      </c>
      <c r="F59" s="50">
        <f>421.3475673735*Deflactores!$V$5</f>
        <v>594.05441593711237</v>
      </c>
      <c r="G59" s="50">
        <f>402.77850746161*Deflactores!$W$5</f>
        <v>502.01030186111115</v>
      </c>
      <c r="H59" s="50">
        <f>484.99747237784*Deflactores!$X$5</f>
        <v>553.15281916581637</v>
      </c>
      <c r="I59" s="50">
        <f>750.69204828884*Deflactores!$Y$5</f>
        <v>813.86379786717998</v>
      </c>
      <c r="J59" s="50">
        <f>681.88477925861*Deflactores!$Z$5</f>
        <v>703.39324855616269</v>
      </c>
      <c r="K59" s="50">
        <f>749.50215281733*Deflactores!$AA$5</f>
        <v>749.50215281733006</v>
      </c>
    </row>
    <row r="60" spans="3:12" x14ac:dyDescent="0.2">
      <c r="C60" s="87" t="s">
        <v>127</v>
      </c>
      <c r="D60" s="42">
        <f>551.90141227832*Deflactores!$T$5</f>
        <v>835.08341317424822</v>
      </c>
      <c r="E60" s="42">
        <f>602.52580513676*Deflactores!$U$5</f>
        <v>897.23778089339851</v>
      </c>
      <c r="F60" s="42">
        <f>632.65134401225*Deflactores!$V$5</f>
        <v>891.96984570668133</v>
      </c>
      <c r="G60" s="42">
        <f>738.717671821719*Deflactores!$W$5</f>
        <v>920.71417553654999</v>
      </c>
      <c r="H60" s="42">
        <f>896.06421984406*Deflactores!$X$5</f>
        <v>1021.9856341317437</v>
      </c>
      <c r="I60" s="42">
        <f>1043.44658585773*Deflactores!$Y$5</f>
        <v>1131.2540251005339</v>
      </c>
      <c r="J60" s="42">
        <f>1156.28635316452*Deflactores!$Z$5</f>
        <v>1192.7587166527599</v>
      </c>
      <c r="K60" s="42">
        <f>326.25871556573*Deflactores!$AA$5</f>
        <v>326.25871556572997</v>
      </c>
    </row>
    <row r="61" spans="3:12" x14ac:dyDescent="0.2">
      <c r="C61" s="88" t="s">
        <v>128</v>
      </c>
      <c r="D61" s="50">
        <f>232.712579608919*Deflactores!$T$5</f>
        <v>352.11798872947719</v>
      </c>
      <c r="E61" s="50">
        <f>233.629809391459*Deflactores!$U$5</f>
        <v>347.90458755764143</v>
      </c>
      <c r="F61" s="50">
        <f>224.822556715349*Deflactores!$V$5</f>
        <v>316.97544488404429</v>
      </c>
      <c r="G61" s="50">
        <f>185.7757038072*Deflactores!$W$5</f>
        <v>231.54491964942258</v>
      </c>
      <c r="H61" s="50">
        <f>292.62156096854*Deflactores!$X$5</f>
        <v>333.74285561708729</v>
      </c>
      <c r="I61" s="50">
        <f>328.67350233639*Deflactores!$Y$5</f>
        <v>356.33182139006612</v>
      </c>
      <c r="J61" s="50">
        <f>335.54035014125*Deflactores!$Z$5</f>
        <v>346.12419001952071</v>
      </c>
      <c r="K61" s="50">
        <f>44.80331211273*Deflactores!$AA$5</f>
        <v>44.803312112729998</v>
      </c>
    </row>
    <row r="62" spans="3:12" x14ac:dyDescent="0.2">
      <c r="C62" s="87" t="s">
        <v>129</v>
      </c>
      <c r="D62" s="42">
        <f>30274.1850183194*Deflactores!$T$5</f>
        <v>45807.945393365997</v>
      </c>
      <c r="E62" s="42">
        <f>32100.5958083174*Deflactores!$U$5</f>
        <v>47801.881849480706</v>
      </c>
      <c r="F62" s="42">
        <f>33928.3684748014*Deflactores!$V$5</f>
        <v>47835.323326147955</v>
      </c>
      <c r="G62" s="42">
        <f>37069.3760702019*Deflactores!$W$5</f>
        <v>46202.08955061686</v>
      </c>
      <c r="H62" s="42">
        <f>43074.1734154322*Deflactores!$X$5</f>
        <v>49127.267284851616</v>
      </c>
      <c r="I62" s="42">
        <f>49730.602942097*Deflactores!$Y$5</f>
        <v>53915.500334575096</v>
      </c>
      <c r="J62" s="42">
        <f>54957.3825674249*Deflactores!$Z$5</f>
        <v>56690.885369629279</v>
      </c>
      <c r="K62" s="42">
        <f>11356.8968815982*Deflactores!$AA$5</f>
        <v>11356.896881598201</v>
      </c>
    </row>
    <row r="63" spans="3:12" x14ac:dyDescent="0.2">
      <c r="C63" s="88" t="s">
        <v>130</v>
      </c>
      <c r="D63" s="50">
        <f>36.97973938783*Deflactores!$T$5</f>
        <v>55.954136552761902</v>
      </c>
      <c r="E63" s="50">
        <f>39.0102949904899*Deflactores!$U$5</f>
        <v>58.091305319810253</v>
      </c>
      <c r="F63" s="50">
        <f>36.42389235794*Deflactores!$V$5</f>
        <v>51.353741605138246</v>
      </c>
      <c r="G63" s="50">
        <f>49.74624542684*Deflactores!$W$5</f>
        <v>62.002135716154442</v>
      </c>
      <c r="H63" s="50">
        <f>48.4766144126999*Deflactores!$X$5</f>
        <v>55.288898299884011</v>
      </c>
      <c r="I63" s="50">
        <f>62.4161431238*Deflactores!$Y$5</f>
        <v>67.668545852788824</v>
      </c>
      <c r="J63" s="50">
        <f>46.41038655829*Deflactores!$Z$5</f>
        <v>47.874294251700981</v>
      </c>
      <c r="K63" s="50">
        <f>9.7316620892*Deflactores!$AA$5</f>
        <v>9.7316620892000003</v>
      </c>
    </row>
    <row r="64" spans="3:12" x14ac:dyDescent="0.2">
      <c r="C64" s="87" t="s">
        <v>131</v>
      </c>
      <c r="D64" s="42">
        <f>37378.6409499261*Deflactores!$T$5</f>
        <v>56557.715508323192</v>
      </c>
      <c r="E64" s="42">
        <f>40598.3838936504*Deflactores!$U$5</f>
        <v>60456.172270213712</v>
      </c>
      <c r="F64" s="42">
        <f>43206.8420035142*Deflactores!$V$5</f>
        <v>60916.965655891006</v>
      </c>
      <c r="G64" s="42">
        <f>44171.2634547524*Deflactores!$W$5</f>
        <v>55053.655767917131</v>
      </c>
      <c r="H64" s="42">
        <f>51129.6233913474*Deflactores!$X$5</f>
        <v>58314.727256509592</v>
      </c>
      <c r="I64" s="42">
        <f>61944.3768278671*Deflactores!$Y$5</f>
        <v>67157.079785992362</v>
      </c>
      <c r="J64" s="42">
        <f>73108.3938520768*Deflactores!$Z$5</f>
        <v>75414.428085998909</v>
      </c>
      <c r="K64" s="42">
        <f>30350.886599828*Deflactores!$AA$5</f>
        <v>30350.886599828002</v>
      </c>
    </row>
    <row r="65" spans="3:11" x14ac:dyDescent="0.2">
      <c r="C65" s="88" t="s">
        <v>132</v>
      </c>
      <c r="D65" s="50">
        <f>22.7359512649199*Deflactores!$T$5</f>
        <v>34.401824966698875</v>
      </c>
      <c r="E65" s="50">
        <f>23.34998454923*Deflactores!$U$5</f>
        <v>34.771105473384615</v>
      </c>
      <c r="F65" s="50">
        <f>30.07740491501*Deflactores!$V$5</f>
        <v>42.405881968345867</v>
      </c>
      <c r="G65" s="50">
        <f>32.04388781921*Deflactores!$W$5</f>
        <v>39.938481073145226</v>
      </c>
      <c r="H65" s="50">
        <f>34.77247861571*Deflactores!$X$5</f>
        <v>39.658958388711582</v>
      </c>
      <c r="I65" s="50">
        <f>39.38004129941*Deflactores!$Y$5</f>
        <v>42.693924952529279</v>
      </c>
      <c r="J65" s="50">
        <f>44.94814743334*Deflactores!$Z$5</f>
        <v>46.365932194722987</v>
      </c>
      <c r="K65" s="50">
        <f>10.44660827045*Deflactores!$AA$5</f>
        <v>10.44660827045</v>
      </c>
    </row>
    <row r="66" spans="3:11" x14ac:dyDescent="0.2">
      <c r="C66" s="87" t="s">
        <v>133</v>
      </c>
      <c r="D66" s="42">
        <f>3663.94963800874*Deflactores!$T$5</f>
        <v>5543.9314003130376</v>
      </c>
      <c r="E66" s="42">
        <f>3775.78316769924*Deflactores!$U$5</f>
        <v>5622.6227684176329</v>
      </c>
      <c r="F66" s="42">
        <f>4087.81891210219*Deflactores!$V$5</f>
        <v>5763.3817406922999</v>
      </c>
      <c r="G66" s="42">
        <f>4514.84593453778*Deflactores!$W$5</f>
        <v>5627.1601599043806</v>
      </c>
      <c r="H66" s="42">
        <f>5175.14306849396*Deflactores!$X$5</f>
        <v>5902.3915400814867</v>
      </c>
      <c r="I66" s="42">
        <f>5672.31064864163*Deflactores!$Y$5</f>
        <v>6149.6432494642077</v>
      </c>
      <c r="J66" s="42">
        <f>6474.07986455098*Deflactores!$Z$5</f>
        <v>6678.2896551669219</v>
      </c>
      <c r="K66" s="42">
        <f>1070.89724795802*Deflactores!$AA$5</f>
        <v>1070.89724795802</v>
      </c>
    </row>
    <row r="67" spans="3:11" x14ac:dyDescent="0.2">
      <c r="C67" s="88" t="s">
        <v>134</v>
      </c>
      <c r="D67" s="50">
        <f>8211.59808482213*Deflactores!$T$5</f>
        <v>12424.989687886975</v>
      </c>
      <c r="E67" s="50">
        <f>19570.4421954612*Deflactores!$U$5</f>
        <v>29142.884797394789</v>
      </c>
      <c r="F67" s="50">
        <f>19719.4719808545*Deflactores!$V$5</f>
        <v>27802.318839046737</v>
      </c>
      <c r="G67" s="50">
        <f>14640.1024688037*Deflactores!$W$5</f>
        <v>18246.95738101727</v>
      </c>
      <c r="H67" s="50">
        <f>35238.9991072924*Deflactores!$X$5</f>
        <v>40191.037708325828</v>
      </c>
      <c r="I67" s="50">
        <f>24562.1558290815*Deflactores!$Y$5</f>
        <v>26629.094410189111</v>
      </c>
      <c r="J67" s="50">
        <f>20108.2373514352*Deflactores!$Z$5</f>
        <v>20742.504926921316</v>
      </c>
      <c r="K67" s="50">
        <f>2270.77202000519*Deflactores!$AA$5</f>
        <v>2270.7720200051899</v>
      </c>
    </row>
    <row r="68" spans="3:11" x14ac:dyDescent="0.2">
      <c r="C68" s="87" t="s">
        <v>135</v>
      </c>
      <c r="D68" s="42">
        <f>0*Deflactores!$T$5</f>
        <v>0</v>
      </c>
      <c r="E68" s="42">
        <f>0*Deflactores!$U$5</f>
        <v>0</v>
      </c>
      <c r="F68" s="42">
        <f>0*Deflactores!$V$5</f>
        <v>0</v>
      </c>
      <c r="G68" s="42">
        <f>0*Deflactores!$W$5</f>
        <v>0</v>
      </c>
      <c r="H68" s="42">
        <f>471.96114025259*Deflactores!$X$5</f>
        <v>538.28452752027545</v>
      </c>
      <c r="I68" s="42">
        <f>1371.7499163263*Deflactores!$Y$5</f>
        <v>1487.1845241602327</v>
      </c>
      <c r="J68" s="42">
        <f>108.39744937505*Deflactores!$Z$5</f>
        <v>111.81659478309268</v>
      </c>
      <c r="K68" s="42">
        <f>22.32008679534*Deflactores!$AA$5</f>
        <v>22.32008679534</v>
      </c>
    </row>
    <row r="69" spans="3:11" x14ac:dyDescent="0.2">
      <c r="C69" s="88" t="s">
        <v>136</v>
      </c>
      <c r="D69" s="50">
        <f>824.97717726446*Deflactores!$T$5</f>
        <v>1248.2750390815129</v>
      </c>
      <c r="E69" s="50">
        <f>6820.09096259945*Deflactores!$U$5</f>
        <v>10155.985401131358</v>
      </c>
      <c r="F69" s="50">
        <f>8599.06442311034*Deflactores!$V$5</f>
        <v>12123.749106514229</v>
      </c>
      <c r="G69" s="50">
        <f>906.560701443749*Deflactores!$W$5</f>
        <v>1129.9083812970689</v>
      </c>
      <c r="H69" s="50">
        <f>1166.69534232296*Deflactores!$X$5</f>
        <v>1330.6477960586164</v>
      </c>
      <c r="I69" s="50">
        <f>2125.92965143575*Deflactores!$Y$5</f>
        <v>2304.8295024036579</v>
      </c>
      <c r="J69" s="50">
        <f>1942.99394276131*Deflactores!$Z$5</f>
        <v>2004.2811672813384</v>
      </c>
      <c r="K69" s="50">
        <f>236.365263709199*Deflactores!$AA$5</f>
        <v>236.36526370919901</v>
      </c>
    </row>
    <row r="70" spans="3:11" x14ac:dyDescent="0.2">
      <c r="C70" s="87" t="s">
        <v>137</v>
      </c>
      <c r="D70" s="42">
        <f>139.72034585394*Deflactores!$T$5</f>
        <v>211.41120625861828</v>
      </c>
      <c r="E70" s="42">
        <f>143.5601391313*Deflactores!$U$5</f>
        <v>213.77935942457881</v>
      </c>
      <c r="F70" s="42">
        <f>147.53469395789*Deflactores!$V$5</f>
        <v>208.00793272866818</v>
      </c>
      <c r="G70" s="42">
        <f>168.913770036309*Deflactores!$W$5</f>
        <v>210.52874250622219</v>
      </c>
      <c r="H70" s="42">
        <f>205.83718309344*Deflactores!$X$5</f>
        <v>234.76291032829101</v>
      </c>
      <c r="I70" s="42">
        <f>229.32231856602*Deflactores!$Y$5</f>
        <v>248.62010134418915</v>
      </c>
      <c r="J70" s="42">
        <f>251.58096491343*Deflactores!$Z$5</f>
        <v>259.51650127423937</v>
      </c>
      <c r="K70" s="42">
        <f>56.71592832624*Deflactores!$AA$5</f>
        <v>56.715928326239997</v>
      </c>
    </row>
    <row r="71" spans="3:11" x14ac:dyDescent="0.2">
      <c r="C71" s="88" t="s">
        <v>138</v>
      </c>
      <c r="D71" s="50">
        <f>87.2822857304599*Deflactores!$T$5</f>
        <v>132.06704577281556</v>
      </c>
      <c r="E71" s="50">
        <f>91.83441642363*Deflactores!$U$5</f>
        <v>136.7531602781323</v>
      </c>
      <c r="F71" s="50">
        <f>106.31293775018*Deflactores!$V$5</f>
        <v>149.88972295586544</v>
      </c>
      <c r="G71" s="50">
        <f>100.244969704429*Deflactores!$W$5</f>
        <v>124.94213710292094</v>
      </c>
      <c r="H71" s="50">
        <f>105.58533432232*Deflactores!$X$5</f>
        <v>120.42294789003753</v>
      </c>
      <c r="I71" s="50">
        <f>123.83520786849*Deflactores!$Y$5</f>
        <v>134.2561078344371</v>
      </c>
      <c r="J71" s="50">
        <f>137.17219646521*Deflactores!$Z$5</f>
        <v>141.49897434014315</v>
      </c>
      <c r="K71" s="50">
        <f>25.56727282966*Deflactores!$AA$5</f>
        <v>25.567272829659998</v>
      </c>
    </row>
    <row r="72" spans="3:11" x14ac:dyDescent="0.2">
      <c r="C72" s="87" t="s">
        <v>160</v>
      </c>
      <c r="D72" s="42">
        <f>1171.73597440377*Deflactores!$T$5</f>
        <v>1772.9566460154381</v>
      </c>
      <c r="E72" s="42">
        <f>1426.59215511038*Deflactores!$U$5</f>
        <v>2124.3776923390665</v>
      </c>
      <c r="F72" s="42">
        <f>1703.21005030532*Deflactores!$V$5</f>
        <v>2401.3416238747277</v>
      </c>
      <c r="G72" s="42">
        <f>1960.76812687354*Deflactores!$W$5</f>
        <v>2443.8389363296656</v>
      </c>
      <c r="H72" s="42">
        <f>2619.30595298259*Deflactores!$X$5</f>
        <v>2987.3897384384095</v>
      </c>
      <c r="I72" s="42">
        <f>3013.50910470317*Deflactores!$Y$5</f>
        <v>3267.0999652275232</v>
      </c>
      <c r="J72" s="42">
        <f>3720.71111430494*Deflactores!$Z$5</f>
        <v>3838.0722920307444</v>
      </c>
      <c r="K72" s="42">
        <f>2214.87123832764*Deflactores!$AA$5</f>
        <v>2214.8712383276402</v>
      </c>
    </row>
    <row r="73" spans="3:11" x14ac:dyDescent="0.2">
      <c r="C73" s="88" t="s">
        <v>161</v>
      </c>
      <c r="D73" s="50">
        <f>1955.44297514933*Deflactores!$T$5</f>
        <v>2958.7856773445255</v>
      </c>
      <c r="E73" s="50">
        <f>2042.66667112716*Deflactores!$U$5</f>
        <v>3041.7912319805841</v>
      </c>
      <c r="F73" s="50">
        <f>2164.41331328956*Deflactores!$V$5</f>
        <v>3051.5882521589865</v>
      </c>
      <c r="G73" s="50">
        <f>2479.71172769836*Deflactores!$W$5</f>
        <v>3090.6337103129581</v>
      </c>
      <c r="H73" s="50">
        <f>2894.39873183706*Deflactores!$X$5</f>
        <v>3301.1405409105528</v>
      </c>
      <c r="I73" s="50">
        <f>3356.45164918442*Deflactores!$Y$5</f>
        <v>3638.9015879274793</v>
      </c>
      <c r="J73" s="50">
        <f>3728.48464514616*Deflactores!$Z$5</f>
        <v>3846.0910208211158</v>
      </c>
      <c r="K73" s="50">
        <f>1255.45239371719*Deflactores!$AA$5</f>
        <v>1255.45239371719</v>
      </c>
    </row>
    <row r="74" spans="3:11" x14ac:dyDescent="0.2">
      <c r="C74" s="87" t="s">
        <v>140</v>
      </c>
      <c r="D74" s="42">
        <f>181.5038428251*Deflactores!$T$5</f>
        <v>274.63392047670771</v>
      </c>
      <c r="E74" s="42">
        <f>203.745915122549*Deflactores!$U$5</f>
        <v>303.40365705856715</v>
      </c>
      <c r="F74" s="42">
        <f>206.97533382448*Deflactores!$V$5</f>
        <v>291.81279439901988</v>
      </c>
      <c r="G74" s="42">
        <f>279.31373680063*Deflactores!$W$5</f>
        <v>348.12774447406144</v>
      </c>
      <c r="H74" s="42">
        <f>278.45360018523*Deflactores!$X$5</f>
        <v>317.58391068342553</v>
      </c>
      <c r="I74" s="42">
        <f>299.45422438285*Deflactores!$Y$5</f>
        <v>324.65370173978982</v>
      </c>
      <c r="J74" s="42">
        <f>287.40635666761*Deflactores!$Z$5</f>
        <v>296.47192168143516</v>
      </c>
      <c r="K74" s="42">
        <f>126.15602121255*Deflactores!$AA$5</f>
        <v>126.15602121255</v>
      </c>
    </row>
    <row r="75" spans="3:11" x14ac:dyDescent="0.2">
      <c r="C75" s="88" t="s">
        <v>141</v>
      </c>
      <c r="D75" s="50">
        <f>1649.66144580051*Deflactores!$T$5</f>
        <v>2496.1068772303456</v>
      </c>
      <c r="E75" s="50">
        <f>1830.07164868104*Deflactores!$U$5</f>
        <v>2725.2101253419341</v>
      </c>
      <c r="F75" s="50">
        <f>2232.68043994741*Deflactores!$V$5</f>
        <v>3147.8375038331628</v>
      </c>
      <c r="G75" s="50">
        <f>2563.57285427045*Deflactores!$W$5</f>
        <v>3195.1555472157884</v>
      </c>
      <c r="H75" s="50">
        <f>3186.0926004979*Deflactores!$X$5</f>
        <v>3633.8253381983736</v>
      </c>
      <c r="I75" s="50">
        <f>3427.67086317003*Deflactores!$Y$5</f>
        <v>3716.1139949425346</v>
      </c>
      <c r="J75" s="50">
        <f>3758.29545284916*Deflactores!$Z$5</f>
        <v>3876.8421411131612</v>
      </c>
      <c r="K75" s="50">
        <f>752.671486078219*Deflactores!$AA$5</f>
        <v>752.671486078219</v>
      </c>
    </row>
    <row r="76" spans="3:11" x14ac:dyDescent="0.2">
      <c r="C76" s="87" t="s">
        <v>142</v>
      </c>
      <c r="D76" s="42">
        <f>79.02570833998*Deflactores!$T$5</f>
        <v>119.57399778455961</v>
      </c>
      <c r="E76" s="42">
        <f>81.64625714595*Deflactores!$U$5</f>
        <v>121.58169153146304</v>
      </c>
      <c r="F76" s="42">
        <f>224.83782972817*Deflactores!$V$5</f>
        <v>316.99697817725286</v>
      </c>
      <c r="G76" s="42">
        <f>408.42085454902*Deflactores!$W$5</f>
        <v>509.04274354328271</v>
      </c>
      <c r="H76" s="42">
        <f>225.24244686784*Deflactores!$X$5</f>
        <v>256.89514188578499</v>
      </c>
      <c r="I76" s="42">
        <f>251.51373305666*Deflactores!$Y$5</f>
        <v>272.67895333092008</v>
      </c>
      <c r="J76" s="42">
        <f>240.25038246428*Deflactores!$Z$5</f>
        <v>247.82852195666842</v>
      </c>
      <c r="K76" s="42">
        <f>85.50482467482*Deflactores!$AA$5</f>
        <v>85.50482467482</v>
      </c>
    </row>
    <row r="77" spans="3:11" x14ac:dyDescent="0.2">
      <c r="C77" s="88" t="s">
        <v>143</v>
      </c>
      <c r="D77" s="50">
        <f>1297.06734012303*Deflactores!$T$5</f>
        <v>1962.5958502902936</v>
      </c>
      <c r="E77" s="50">
        <f>4602.66574984392*Deflactores!$U$5</f>
        <v>6853.9564087992239</v>
      </c>
      <c r="F77" s="50">
        <f>6335.74228904698*Deflactores!$V$5</f>
        <v>8932.710134081537</v>
      </c>
      <c r="G77" s="50">
        <f>4712.21453107236*Deflactores!$W$5</f>
        <v>5873.1540917769062</v>
      </c>
      <c r="H77" s="50">
        <f>3243.31125671289*Deflactores!$X$5</f>
        <v>3699.0847731373328</v>
      </c>
      <c r="I77" s="50">
        <f>2039.04091891953*Deflactores!$Y$5</f>
        <v>2210.6289657139346</v>
      </c>
      <c r="J77" s="50">
        <f>3549.53627931391*Deflactores!$Z$5</f>
        <v>3661.4981450226296</v>
      </c>
      <c r="K77" s="50">
        <f>1767.63848585895*Deflactores!$AA$5</f>
        <v>1767.6384858589499</v>
      </c>
    </row>
    <row r="78" spans="3:11" x14ac:dyDescent="0.2">
      <c r="C78" s="87" t="s">
        <v>144</v>
      </c>
      <c r="D78" s="42">
        <f>4304.87282354709*Deflactores!$T$5</f>
        <v>6513.713882210307</v>
      </c>
      <c r="E78" s="42">
        <f>4552.62443572019*Deflactores!$U$5</f>
        <v>6779.4385088942172</v>
      </c>
      <c r="F78" s="42">
        <f>4837.35950806067*Deflactores!$V$5</f>
        <v>6820.1527664012629</v>
      </c>
      <c r="G78" s="42">
        <f>5399.15096306295*Deflactores!$W$5</f>
        <v>6729.3297793931551</v>
      </c>
      <c r="H78" s="42">
        <f>6539.24942233256*Deflactores!$X$5</f>
        <v>7458.1919684185259</v>
      </c>
      <c r="I78" s="42">
        <f>8054.69986637758*Deflactores!$Y$5</f>
        <v>8732.5137369884924</v>
      </c>
      <c r="J78" s="42">
        <f>9300.58513186542*Deflactores!$Z$5</f>
        <v>9593.9504566868654</v>
      </c>
      <c r="K78" s="42">
        <f>1238.62742771135*Deflactores!$AA$5</f>
        <v>1238.62742771135</v>
      </c>
    </row>
    <row r="79" spans="3:11" x14ac:dyDescent="0.2">
      <c r="C79" s="88" t="s">
        <v>145</v>
      </c>
      <c r="D79" s="50">
        <f>1340.97151432361*Deflactores!$T$5</f>
        <v>2029.0273665508973</v>
      </c>
      <c r="E79" s="50">
        <f>508.308374296529*Deflactores!$U$5</f>
        <v>756.93600817616448</v>
      </c>
      <c r="F79" s="50">
        <f>1211.08600769604*Deflactores!$V$5</f>
        <v>1707.500046662733</v>
      </c>
      <c r="G79" s="50">
        <f>2987.93232503438*Deflactores!$W$5</f>
        <v>3724.0636743112404</v>
      </c>
      <c r="H79" s="50">
        <f>2888.80204207781*Deflactores!$X$5</f>
        <v>3294.7573638949129</v>
      </c>
      <c r="I79" s="50">
        <f>795.97448467571*Deflactores!$Y$5</f>
        <v>862.95681242421836</v>
      </c>
      <c r="J79" s="50">
        <f>2608.8966529397*Deflactores!$Z$5</f>
        <v>2691.1882295624418</v>
      </c>
      <c r="K79" s="50">
        <f>2189.53073436515*Deflactores!$AA$5</f>
        <v>2189.5307343651498</v>
      </c>
    </row>
    <row r="80" spans="3:11" x14ac:dyDescent="0.2">
      <c r="C80" s="87" t="s">
        <v>146</v>
      </c>
      <c r="D80" s="42">
        <f>671.409358689904*Deflactores!$T$5</f>
        <v>1015.9111870675007</v>
      </c>
      <c r="E80" s="42">
        <f>719.83630107133*Deflactores!$U$5</f>
        <v>1071.9280732435277</v>
      </c>
      <c r="F80" s="42">
        <f>801.622702706239*Deflactores!$V$5</f>
        <v>1130.2011529971744</v>
      </c>
      <c r="G80" s="42">
        <f>1100.02899264964*Deflactores!$W$5</f>
        <v>1371.0410968456506</v>
      </c>
      <c r="H80" s="42">
        <f>1114.79434319987*Deflactores!$X$5</f>
        <v>1271.4532937827494</v>
      </c>
      <c r="I80" s="42">
        <f>1132.83138462828*Deflactores!$Y$5</f>
        <v>1228.1606753905112</v>
      </c>
      <c r="J80" s="42">
        <f>1227.78329754137*Deflactores!$Z$5</f>
        <v>1266.5108658380677</v>
      </c>
      <c r="K80" s="42">
        <f>318.82603388981*Deflactores!$AA$5</f>
        <v>318.82603388980999</v>
      </c>
    </row>
    <row r="81" spans="1:12" x14ac:dyDescent="0.2">
      <c r="C81" s="88" t="s">
        <v>162</v>
      </c>
      <c r="D81" s="50">
        <f>28434.4478051577*Deflactores!$T$5</f>
        <v>43024.23439511258</v>
      </c>
      <c r="E81" s="50">
        <f>33484.3146004642*Deflactores!$U$5</f>
        <v>49862.415635522426</v>
      </c>
      <c r="F81" s="50">
        <f>42341.5886502869*Deflactores!$V$5</f>
        <v>59697.052180198785</v>
      </c>
      <c r="G81" s="50">
        <f>40756.5954815885*Deflactores!$W$5</f>
        <v>50797.722374731144</v>
      </c>
      <c r="H81" s="50">
        <f>50733.7178001599*Deflactores!$X$5</f>
        <v>57863.18615297522</v>
      </c>
      <c r="I81" s="50">
        <f>58084.9783106795*Deflactores!$Y$5</f>
        <v>62972.907671952984</v>
      </c>
      <c r="J81" s="50">
        <f>63531.8402059979*Deflactores!$Z$5</f>
        <v>65535.804330220533</v>
      </c>
      <c r="K81" s="50">
        <f>14066.4008265711*Deflactores!$AA$5</f>
        <v>14066.4008265711</v>
      </c>
    </row>
    <row r="82" spans="1:12" x14ac:dyDescent="0.2">
      <c r="C82" s="87" t="s">
        <v>148</v>
      </c>
      <c r="D82" s="42">
        <f>264.07690960853*Deflactores!$T$5</f>
        <v>399.57543523224189</v>
      </c>
      <c r="E82" s="42">
        <f>317.62768516746*Deflactores!$U$5</f>
        <v>472.98813919724648</v>
      </c>
      <c r="F82" s="42">
        <f>358.64498812644*Deflactores!$V$5</f>
        <v>505.65057317956325</v>
      </c>
      <c r="G82" s="42">
        <f>360.0101767812*Deflactores!$W$5</f>
        <v>448.70521681504567</v>
      </c>
      <c r="H82" s="42">
        <f>451.28346101165*Deflactores!$X$5</f>
        <v>514.7010714872888</v>
      </c>
      <c r="I82" s="42">
        <f>592.63193987723*Deflactores!$Y$5</f>
        <v>642.50271789251212</v>
      </c>
      <c r="J82" s="42">
        <f>699.623488265909*Deflactores!$Z$5</f>
        <v>721.69148387885548</v>
      </c>
      <c r="K82" s="42">
        <f>182.67364028764*Deflactores!$AA$5</f>
        <v>182.67364028764001</v>
      </c>
    </row>
    <row r="83" spans="1:12" x14ac:dyDescent="0.2">
      <c r="C83" s="88" t="s">
        <v>149</v>
      </c>
      <c r="D83" s="50">
        <f>64.40144436624*Deflactores!$T$5</f>
        <v>97.445987232933533</v>
      </c>
      <c r="E83" s="50">
        <f>53.71154523094*Deflactores!$U$5</f>
        <v>79.98334219133649</v>
      </c>
      <c r="F83" s="50">
        <f>65.78004969265*Deflactores!$V$5</f>
        <v>92.742742634234816</v>
      </c>
      <c r="G83" s="50">
        <f>93.64234653543*Deflactores!$W$5</f>
        <v>116.71283790065335</v>
      </c>
      <c r="H83" s="50">
        <f>94.20563140713*Deflactores!$X$5</f>
        <v>107.44408695299975</v>
      </c>
      <c r="I83" s="50">
        <f>113.06374326329*Deflactores!$Y$5</f>
        <v>122.57820993720648</v>
      </c>
      <c r="J83" s="50">
        <f>115.76479600288*Deflactores!$Z$5</f>
        <v>119.41632722384756</v>
      </c>
      <c r="K83" s="50">
        <f>99.151679191*Deflactores!$AA$5</f>
        <v>99.151679190999999</v>
      </c>
    </row>
    <row r="84" spans="1:12" x14ac:dyDescent="0.2">
      <c r="C84" s="87" t="s">
        <v>163</v>
      </c>
      <c r="D84" s="42">
        <f>22653.7594107629*Deflactores!$T$5</f>
        <v>34277.460265725917</v>
      </c>
      <c r="E84" s="42">
        <f>26371.9671291886*Deflactores!$U$5</f>
        <v>39271.223013288363</v>
      </c>
      <c r="F84" s="42">
        <f>23245.8977128905*Deflactores!$V$5</f>
        <v>32774.197024196554</v>
      </c>
      <c r="G84" s="42">
        <f>25594.2626291314*Deflactores!$W$5</f>
        <v>31899.873678308039</v>
      </c>
      <c r="H84" s="42">
        <f>28926.2308944203*Deflactores!$X$5</f>
        <v>32991.153724249816</v>
      </c>
      <c r="I84" s="42">
        <f>31249.8531415474*Deflactores!$Y$5</f>
        <v>33879.570482389892</v>
      </c>
      <c r="J84" s="42">
        <f>44929.2189198675*Deflactores!$Z$5</f>
        <v>46346.406625320727</v>
      </c>
      <c r="K84" s="42">
        <f>1813.91352312102*Deflactores!$AA$5</f>
        <v>1813.91352312102</v>
      </c>
    </row>
    <row r="85" spans="1:12" x14ac:dyDescent="0.2">
      <c r="C85" s="88" t="s">
        <v>150</v>
      </c>
      <c r="D85" s="50">
        <f>165.370478680169*Deflactores!$T$5</f>
        <v>250.22248666552215</v>
      </c>
      <c r="E85" s="50">
        <f>155.1441584967*Deflactores!$U$5</f>
        <v>231.02944189511885</v>
      </c>
      <c r="F85" s="50">
        <f>299.937552914739*Deflactores!$V$5</f>
        <v>422.8794506280525</v>
      </c>
      <c r="G85" s="50">
        <f>353.09741473827*Deflactores!$W$5</f>
        <v>440.08937039926815</v>
      </c>
      <c r="H85" s="50">
        <f>455.53471354015*Deflactores!$X$5</f>
        <v>519.54974071765866</v>
      </c>
      <c r="I85" s="50">
        <f>524.77733349672*Deflactores!$Y$5</f>
        <v>568.93805475600311</v>
      </c>
      <c r="J85" s="50">
        <f>462.82627020685*Deflactores!$Z$5</f>
        <v>477.42504836650949</v>
      </c>
      <c r="K85" s="50">
        <f>288.39271596456*Deflactores!$AA$5</f>
        <v>288.39271596456001</v>
      </c>
    </row>
    <row r="86" spans="1:12" x14ac:dyDescent="0.2">
      <c r="C86" s="87" t="s">
        <v>151</v>
      </c>
      <c r="D86" s="42">
        <f>2190.79212762716*Deflactores!$T$5</f>
        <v>3314.8930711044477</v>
      </c>
      <c r="E86" s="42">
        <f>2341.04330928252*Deflactores!$U$5</f>
        <v>3486.1121065499024</v>
      </c>
      <c r="F86" s="42">
        <f>2728.56652615388*Deflactores!$V$5</f>
        <v>3846.9831548903917</v>
      </c>
      <c r="G86" s="42">
        <f>2654.77344210921*Deflactores!$W$5</f>
        <v>3308.8250548550718</v>
      </c>
      <c r="H86" s="42">
        <f>2926.31864759444*Deflactores!$X$5</f>
        <v>3337.5460737108856</v>
      </c>
      <c r="I86" s="42">
        <f>3759.52629688483*Deflactores!$Y$5</f>
        <v>4075.895511533301</v>
      </c>
      <c r="J86" s="42">
        <f>4340.45487461282*Deflactores!$Z$5</f>
        <v>4477.3644277334015</v>
      </c>
      <c r="K86" s="42">
        <f>148.88876287019*Deflactores!$AA$5</f>
        <v>148.88876287018999</v>
      </c>
    </row>
    <row r="87" spans="1:12" x14ac:dyDescent="0.2">
      <c r="C87" s="79" t="s">
        <v>179</v>
      </c>
      <c r="D87" s="44">
        <f t="shared" ref="D87:K87" si="1">+SUM(D56:D86)</f>
        <v>225911.38946620972</v>
      </c>
      <c r="E87" s="44">
        <f t="shared" si="1"/>
        <v>274216.63218488597</v>
      </c>
      <c r="F87" s="44">
        <f t="shared" si="1"/>
        <v>283165.14545383956</v>
      </c>
      <c r="G87" s="44">
        <f t="shared" si="1"/>
        <v>243974.82160333556</v>
      </c>
      <c r="H87" s="44">
        <f t="shared" si="1"/>
        <v>280705.07316864934</v>
      </c>
      <c r="I87" s="44">
        <f t="shared" si="1"/>
        <v>288606.4413732799</v>
      </c>
      <c r="J87" s="44">
        <f t="shared" si="1"/>
        <v>312911.62847101112</v>
      </c>
      <c r="K87" s="44">
        <f t="shared" si="1"/>
        <v>73618.892108451488</v>
      </c>
    </row>
    <row r="88" spans="1:12" s="31" customFormat="1" x14ac:dyDescent="0.2">
      <c r="A88" s="5"/>
      <c r="B88" s="5"/>
      <c r="C88" s="72" t="str">
        <f>+'C1 Aprop Resumen 2000-2026'!B20</f>
        <v>* Información con corte a 28 de febrero</v>
      </c>
      <c r="D88" s="121">
        <f>+D87-'C6 Ejec. Nac 19-26'!D47</f>
        <v>0</v>
      </c>
      <c r="E88" s="121">
        <f>+E87-'C6 Ejec. Nac 19-26'!E47</f>
        <v>1.280568540096283E-9</v>
      </c>
      <c r="F88" s="121">
        <f>+F87-'C6 Ejec. Nac 19-26'!F47</f>
        <v>0</v>
      </c>
      <c r="G88" s="121">
        <f>+G87-'C6 Ejec. Nac 19-26'!G47</f>
        <v>0</v>
      </c>
      <c r="H88" s="121">
        <f>+H87-'C6 Ejec. Nac 19-26'!H47</f>
        <v>0</v>
      </c>
      <c r="I88" s="121">
        <f>+I87-'C6 Ejec. Nac 19-26'!I47</f>
        <v>0</v>
      </c>
      <c r="J88" s="121">
        <f>+J87-'C6 Ejec. Nac 19-26'!J47</f>
        <v>0</v>
      </c>
      <c r="K88" s="121">
        <f>+K87-'C6 Ejec. Nac 19-26'!K47</f>
        <v>0</v>
      </c>
    </row>
    <row r="89" spans="1:12" x14ac:dyDescent="0.2">
      <c r="C89" s="1" t="s">
        <v>52</v>
      </c>
      <c r="D89" s="11"/>
      <c r="E89" s="11"/>
      <c r="F89" s="11"/>
    </row>
    <row r="90" spans="1:12" x14ac:dyDescent="0.2">
      <c r="D90" s="11"/>
      <c r="E90" s="11"/>
      <c r="F90" s="11"/>
    </row>
    <row r="91" spans="1:12" x14ac:dyDescent="0.2">
      <c r="D91" s="11"/>
      <c r="E91" s="11"/>
      <c r="F91" s="11"/>
    </row>
    <row r="92" spans="1:12" x14ac:dyDescent="0.2">
      <c r="D92" s="11"/>
      <c r="E92" s="11"/>
      <c r="F92" s="11"/>
    </row>
    <row r="93" spans="1:12" ht="15.75" customHeight="1" x14ac:dyDescent="0.2">
      <c r="D93" s="160" t="s">
        <v>189</v>
      </c>
      <c r="E93" s="178"/>
      <c r="F93" s="178"/>
      <c r="G93" s="178"/>
      <c r="H93" s="178"/>
      <c r="I93" s="178"/>
      <c r="J93" s="178"/>
      <c r="K93" s="178"/>
      <c r="L93" s="178"/>
    </row>
    <row r="94" spans="1:12" ht="11.25" hidden="1" customHeight="1" x14ac:dyDescent="0.2">
      <c r="D94" s="28"/>
      <c r="E94" s="28"/>
      <c r="F94" s="28"/>
    </row>
    <row r="95" spans="1:12" x14ac:dyDescent="0.2">
      <c r="D95" s="29"/>
      <c r="E95" s="29"/>
      <c r="F95" s="29"/>
    </row>
    <row r="96" spans="1:12" ht="12" thickBot="1" x14ac:dyDescent="0.25">
      <c r="C96" s="177" t="s">
        <v>120</v>
      </c>
      <c r="D96" s="153">
        <v>2019</v>
      </c>
      <c r="E96" s="153">
        <v>2020</v>
      </c>
      <c r="F96" s="153">
        <v>2021</v>
      </c>
      <c r="G96" s="153">
        <v>2022</v>
      </c>
      <c r="H96" s="153">
        <v>2023</v>
      </c>
      <c r="I96" s="153">
        <v>2024</v>
      </c>
      <c r="J96" s="153">
        <v>2025</v>
      </c>
      <c r="K96" s="153" t="s">
        <v>36</v>
      </c>
    </row>
    <row r="97" spans="3:11" ht="12" customHeight="1" thickBot="1" x14ac:dyDescent="0.25">
      <c r="C97" s="156"/>
      <c r="D97" s="154"/>
      <c r="E97" s="154"/>
      <c r="F97" s="154"/>
      <c r="G97" s="154"/>
      <c r="H97" s="154"/>
      <c r="I97" s="154"/>
      <c r="J97" s="154"/>
      <c r="K97" s="154"/>
    </row>
    <row r="98" spans="3:11" x14ac:dyDescent="0.2">
      <c r="C98" s="87" t="s">
        <v>123</v>
      </c>
      <c r="D98" s="47">
        <f t="shared" ref="D98:K107" si="2">+IFERROR(IF(D56&gt;0,+((D56/D14)*100)," "),"")</f>
        <v>97.007937001704008</v>
      </c>
      <c r="E98" s="47">
        <f t="shared" si="2"/>
        <v>86.210016716869518</v>
      </c>
      <c r="F98" s="47">
        <f t="shared" si="2"/>
        <v>92.837416972785022</v>
      </c>
      <c r="G98" s="47">
        <f t="shared" si="2"/>
        <v>92.890694881329011</v>
      </c>
      <c r="H98" s="47">
        <f t="shared" si="2"/>
        <v>84.282219235952809</v>
      </c>
      <c r="I98" s="47">
        <f t="shared" si="2"/>
        <v>95.894630475540183</v>
      </c>
      <c r="J98" s="47">
        <f t="shared" si="2"/>
        <v>94.667599118987269</v>
      </c>
      <c r="K98" s="47">
        <f t="shared" si="2"/>
        <v>44.532105977691188</v>
      </c>
    </row>
    <row r="99" spans="3:11" x14ac:dyDescent="0.2">
      <c r="C99" s="88" t="s">
        <v>124</v>
      </c>
      <c r="D99" s="116">
        <f t="shared" si="2"/>
        <v>97.985061615970963</v>
      </c>
      <c r="E99" s="116">
        <f t="shared" si="2"/>
        <v>97.578677503546274</v>
      </c>
      <c r="F99" s="116">
        <f t="shared" si="2"/>
        <v>93.949985732876485</v>
      </c>
      <c r="G99" s="116">
        <f t="shared" si="2"/>
        <v>92.457123986566941</v>
      </c>
      <c r="H99" s="116">
        <f t="shared" si="2"/>
        <v>95.565045476654547</v>
      </c>
      <c r="I99" s="116">
        <f t="shared" si="2"/>
        <v>96.694713528823598</v>
      </c>
      <c r="J99" s="116">
        <f t="shared" si="2"/>
        <v>98.002408893430143</v>
      </c>
      <c r="K99" s="116">
        <f t="shared" si="2"/>
        <v>32.582985423165937</v>
      </c>
    </row>
    <row r="100" spans="3:11" x14ac:dyDescent="0.2">
      <c r="C100" s="87" t="s">
        <v>125</v>
      </c>
      <c r="D100" s="47">
        <f t="shared" si="2"/>
        <v>96.63673938373104</v>
      </c>
      <c r="E100" s="47">
        <f t="shared" si="2"/>
        <v>94.930833911807056</v>
      </c>
      <c r="F100" s="47">
        <f t="shared" si="2"/>
        <v>96.575562945679522</v>
      </c>
      <c r="G100" s="47">
        <f t="shared" si="2"/>
        <v>88.865393905143819</v>
      </c>
      <c r="H100" s="47">
        <f t="shared" si="2"/>
        <v>95.912194434805642</v>
      </c>
      <c r="I100" s="47">
        <f t="shared" si="2"/>
        <v>96.330901086093874</v>
      </c>
      <c r="J100" s="47">
        <f t="shared" si="2"/>
        <v>93.440518641874419</v>
      </c>
      <c r="K100" s="47">
        <f t="shared" si="2"/>
        <v>16.229924966818519</v>
      </c>
    </row>
    <row r="101" spans="3:11" x14ac:dyDescent="0.2">
      <c r="C101" s="88" t="s">
        <v>126</v>
      </c>
      <c r="D101" s="116">
        <f t="shared" si="2"/>
        <v>98.299218407437721</v>
      </c>
      <c r="E101" s="116">
        <f t="shared" si="2"/>
        <v>98.176550987140615</v>
      </c>
      <c r="F101" s="116">
        <f t="shared" si="2"/>
        <v>97.112250331636801</v>
      </c>
      <c r="G101" s="116">
        <f t="shared" si="2"/>
        <v>98.455262414070759</v>
      </c>
      <c r="H101" s="116">
        <f t="shared" si="2"/>
        <v>98.545770534054341</v>
      </c>
      <c r="I101" s="116">
        <f t="shared" si="2"/>
        <v>97.624243472572843</v>
      </c>
      <c r="J101" s="116">
        <f t="shared" si="2"/>
        <v>98.452879390583036</v>
      </c>
      <c r="K101" s="116">
        <f t="shared" si="2"/>
        <v>76.322132539355124</v>
      </c>
    </row>
    <row r="102" spans="3:11" x14ac:dyDescent="0.2">
      <c r="C102" s="87" t="s">
        <v>127</v>
      </c>
      <c r="D102" s="47">
        <f t="shared" si="2"/>
        <v>99.019391581905651</v>
      </c>
      <c r="E102" s="47">
        <f t="shared" si="2"/>
        <v>99.210647231887918</v>
      </c>
      <c r="F102" s="47">
        <f t="shared" si="2"/>
        <v>95.764210290776731</v>
      </c>
      <c r="G102" s="47">
        <f t="shared" si="2"/>
        <v>96.867815759843651</v>
      </c>
      <c r="H102" s="47">
        <f t="shared" si="2"/>
        <v>98.778064005368464</v>
      </c>
      <c r="I102" s="47">
        <f t="shared" si="2"/>
        <v>94.122231289845459</v>
      </c>
      <c r="J102" s="47">
        <f t="shared" si="2"/>
        <v>84.606091994744204</v>
      </c>
      <c r="K102" s="47">
        <f t="shared" si="2"/>
        <v>28.808156977588954</v>
      </c>
    </row>
    <row r="103" spans="3:11" x14ac:dyDescent="0.2">
      <c r="C103" s="88" t="s">
        <v>128</v>
      </c>
      <c r="D103" s="116">
        <f t="shared" si="2"/>
        <v>99.679175963532373</v>
      </c>
      <c r="E103" s="116">
        <f t="shared" si="2"/>
        <v>99.775822602234598</v>
      </c>
      <c r="F103" s="116">
        <f t="shared" si="2"/>
        <v>94.637049341004172</v>
      </c>
      <c r="G103" s="116">
        <f t="shared" si="2"/>
        <v>97.486732777515755</v>
      </c>
      <c r="H103" s="116">
        <f t="shared" si="2"/>
        <v>99.02030696493361</v>
      </c>
      <c r="I103" s="116">
        <f t="shared" si="2"/>
        <v>98.171049798688941</v>
      </c>
      <c r="J103" s="116">
        <f t="shared" si="2"/>
        <v>99.374296042825577</v>
      </c>
      <c r="K103" s="116">
        <f t="shared" si="2"/>
        <v>11.444454080057213</v>
      </c>
    </row>
    <row r="104" spans="3:11" x14ac:dyDescent="0.2">
      <c r="C104" s="87" t="s">
        <v>129</v>
      </c>
      <c r="D104" s="47">
        <f t="shared" si="2"/>
        <v>99.909974193908766</v>
      </c>
      <c r="E104" s="47">
        <f t="shared" si="2"/>
        <v>99.76857739044938</v>
      </c>
      <c r="F104" s="47">
        <f t="shared" si="2"/>
        <v>98.507949226256784</v>
      </c>
      <c r="G104" s="47">
        <f t="shared" si="2"/>
        <v>98.529831821768752</v>
      </c>
      <c r="H104" s="47">
        <f t="shared" si="2"/>
        <v>99.285641510774482</v>
      </c>
      <c r="I104" s="47">
        <f t="shared" si="2"/>
        <v>99.545654575731163</v>
      </c>
      <c r="J104" s="47">
        <f t="shared" si="2"/>
        <v>99.761494723090962</v>
      </c>
      <c r="K104" s="47">
        <f t="shared" si="2"/>
        <v>19.325580848686794</v>
      </c>
    </row>
    <row r="105" spans="3:11" x14ac:dyDescent="0.2">
      <c r="C105" s="88" t="s">
        <v>130</v>
      </c>
      <c r="D105" s="116">
        <f t="shared" si="2"/>
        <v>98.270993193114819</v>
      </c>
      <c r="E105" s="116">
        <f t="shared" si="2"/>
        <v>98.525892623299924</v>
      </c>
      <c r="F105" s="116">
        <f t="shared" si="2"/>
        <v>91.328483334636218</v>
      </c>
      <c r="G105" s="116">
        <f t="shared" si="2"/>
        <v>94.150672246222769</v>
      </c>
      <c r="H105" s="116">
        <f t="shared" si="2"/>
        <v>84.939781744765554</v>
      </c>
      <c r="I105" s="116">
        <f t="shared" si="2"/>
        <v>96.577727215724821</v>
      </c>
      <c r="J105" s="116">
        <f t="shared" si="2"/>
        <v>93.568013677604199</v>
      </c>
      <c r="K105" s="116">
        <f t="shared" si="2"/>
        <v>17.956849130673071</v>
      </c>
    </row>
    <row r="106" spans="3:11" x14ac:dyDescent="0.2">
      <c r="C106" s="87" t="s">
        <v>131</v>
      </c>
      <c r="D106" s="47">
        <f t="shared" si="2"/>
        <v>99.986675932008367</v>
      </c>
      <c r="E106" s="47">
        <f t="shared" si="2"/>
        <v>99.992837008844219</v>
      </c>
      <c r="F106" s="47">
        <f t="shared" si="2"/>
        <v>99.980018483117632</v>
      </c>
      <c r="G106" s="47">
        <f t="shared" si="2"/>
        <v>99.933982595342115</v>
      </c>
      <c r="H106" s="47">
        <f t="shared" si="2"/>
        <v>99.040891504643994</v>
      </c>
      <c r="I106" s="47">
        <f t="shared" si="2"/>
        <v>99.887797825214562</v>
      </c>
      <c r="J106" s="47">
        <f t="shared" si="2"/>
        <v>99.598520705197842</v>
      </c>
      <c r="K106" s="47">
        <f t="shared" si="2"/>
        <v>37.294814594605832</v>
      </c>
    </row>
    <row r="107" spans="3:11" x14ac:dyDescent="0.2">
      <c r="C107" s="88" t="s">
        <v>132</v>
      </c>
      <c r="D107" s="116">
        <f t="shared" si="2"/>
        <v>88.470178858787889</v>
      </c>
      <c r="E107" s="116">
        <f t="shared" si="2"/>
        <v>89.923066302182633</v>
      </c>
      <c r="F107" s="116">
        <f t="shared" si="2"/>
        <v>93.979195079985971</v>
      </c>
      <c r="G107" s="116">
        <f t="shared" si="2"/>
        <v>92.034002902749279</v>
      </c>
      <c r="H107" s="116">
        <f t="shared" si="2"/>
        <v>97.05976652593688</v>
      </c>
      <c r="I107" s="116">
        <f t="shared" si="2"/>
        <v>94.866539089562423</v>
      </c>
      <c r="J107" s="116">
        <f t="shared" si="2"/>
        <v>97.605347970506187</v>
      </c>
      <c r="K107" s="116">
        <f t="shared" si="2"/>
        <v>19.968287710944907</v>
      </c>
    </row>
    <row r="108" spans="3:11" x14ac:dyDescent="0.2">
      <c r="C108" s="87" t="s">
        <v>133</v>
      </c>
      <c r="D108" s="47">
        <f t="shared" ref="D108:K117" si="3">+IFERROR(IF(D66&gt;0,+((D66/D24)*100)," "),"")</f>
        <v>99.346523900512693</v>
      </c>
      <c r="E108" s="47">
        <f t="shared" si="3"/>
        <v>98.957406526420513</v>
      </c>
      <c r="F108" s="47">
        <f t="shared" si="3"/>
        <v>95.450925507731839</v>
      </c>
      <c r="G108" s="47">
        <f t="shared" si="3"/>
        <v>99.081048090244266</v>
      </c>
      <c r="H108" s="47">
        <f t="shared" si="3"/>
        <v>99.424068498963976</v>
      </c>
      <c r="I108" s="47">
        <f t="shared" si="3"/>
        <v>98.705570044010685</v>
      </c>
      <c r="J108" s="47">
        <f t="shared" si="3"/>
        <v>99.657527164053278</v>
      </c>
      <c r="K108" s="47">
        <f t="shared" si="3"/>
        <v>15.825362688523528</v>
      </c>
    </row>
    <row r="109" spans="3:11" x14ac:dyDescent="0.2">
      <c r="C109" s="88" t="s">
        <v>134</v>
      </c>
      <c r="D109" s="116">
        <f t="shared" si="3"/>
        <v>96.728386397982518</v>
      </c>
      <c r="E109" s="116">
        <f t="shared" si="3"/>
        <v>50.542314771646332</v>
      </c>
      <c r="F109" s="116">
        <f t="shared" si="3"/>
        <v>91.216755809589841</v>
      </c>
      <c r="G109" s="116">
        <f t="shared" si="3"/>
        <v>95.278770800213067</v>
      </c>
      <c r="H109" s="116">
        <f t="shared" si="3"/>
        <v>96.49339977285068</v>
      </c>
      <c r="I109" s="116">
        <f t="shared" si="3"/>
        <v>84.406414901705062</v>
      </c>
      <c r="J109" s="116">
        <f t="shared" si="3"/>
        <v>92.340279741337866</v>
      </c>
      <c r="K109" s="116">
        <f t="shared" si="3"/>
        <v>8.0985044260343386</v>
      </c>
    </row>
    <row r="110" spans="3:11" x14ac:dyDescent="0.2">
      <c r="C110" s="87" t="s">
        <v>135</v>
      </c>
      <c r="D110" s="47" t="str">
        <f t="shared" si="3"/>
        <v xml:space="preserve"> </v>
      </c>
      <c r="E110" s="47" t="str">
        <f t="shared" si="3"/>
        <v xml:space="preserve"> </v>
      </c>
      <c r="F110" s="47" t="str">
        <f t="shared" si="3"/>
        <v xml:space="preserve"> </v>
      </c>
      <c r="G110" s="47" t="str">
        <f t="shared" si="3"/>
        <v xml:space="preserve"> </v>
      </c>
      <c r="H110" s="47">
        <f t="shared" si="3"/>
        <v>94.392228050518014</v>
      </c>
      <c r="I110" s="47">
        <f t="shared" si="3"/>
        <v>99.286121977760246</v>
      </c>
      <c r="J110" s="47">
        <f t="shared" si="3"/>
        <v>96.550878911490884</v>
      </c>
      <c r="K110" s="47">
        <f t="shared" si="3"/>
        <v>6.5280418672476932</v>
      </c>
    </row>
    <row r="111" spans="3:11" x14ac:dyDescent="0.2">
      <c r="C111" s="88" t="s">
        <v>136</v>
      </c>
      <c r="D111" s="116">
        <f t="shared" si="3"/>
        <v>97.678155077225099</v>
      </c>
      <c r="E111" s="116">
        <f t="shared" si="3"/>
        <v>99.086433957075315</v>
      </c>
      <c r="F111" s="116">
        <f t="shared" si="3"/>
        <v>98.264983296888801</v>
      </c>
      <c r="G111" s="116">
        <f t="shared" si="3"/>
        <v>97.773026887827015</v>
      </c>
      <c r="H111" s="116">
        <f t="shared" si="3"/>
        <v>94.9099437713773</v>
      </c>
      <c r="I111" s="116">
        <f t="shared" si="3"/>
        <v>96.451434341620313</v>
      </c>
      <c r="J111" s="116">
        <f t="shared" si="3"/>
        <v>95.495669531469474</v>
      </c>
      <c r="K111" s="116">
        <f t="shared" si="3"/>
        <v>12.268493885193719</v>
      </c>
    </row>
    <row r="112" spans="3:11" x14ac:dyDescent="0.2">
      <c r="C112" s="87" t="s">
        <v>137</v>
      </c>
      <c r="D112" s="47">
        <f t="shared" si="3"/>
        <v>90.410045692928634</v>
      </c>
      <c r="E112" s="47">
        <f t="shared" si="3"/>
        <v>88.648560994485706</v>
      </c>
      <c r="F112" s="47">
        <f t="shared" si="3"/>
        <v>81.535540921720667</v>
      </c>
      <c r="G112" s="47">
        <f t="shared" si="3"/>
        <v>90.151291335352013</v>
      </c>
      <c r="H112" s="47">
        <f t="shared" si="3"/>
        <v>93.465916119930782</v>
      </c>
      <c r="I112" s="47">
        <f t="shared" si="3"/>
        <v>95.608497995638885</v>
      </c>
      <c r="J112" s="47">
        <f t="shared" si="3"/>
        <v>95.498998823241166</v>
      </c>
      <c r="K112" s="47">
        <f t="shared" si="3"/>
        <v>19.269866606167444</v>
      </c>
    </row>
    <row r="113" spans="3:11" x14ac:dyDescent="0.2">
      <c r="C113" s="88" t="s">
        <v>138</v>
      </c>
      <c r="D113" s="116">
        <f t="shared" si="3"/>
        <v>96.565087601601903</v>
      </c>
      <c r="E113" s="116">
        <f t="shared" si="3"/>
        <v>99.172164904947024</v>
      </c>
      <c r="F113" s="116">
        <f t="shared" si="3"/>
        <v>97.243076047252742</v>
      </c>
      <c r="G113" s="116">
        <f t="shared" si="3"/>
        <v>96.571393881188584</v>
      </c>
      <c r="H113" s="116">
        <f t="shared" si="3"/>
        <v>91.978094954718898</v>
      </c>
      <c r="I113" s="116">
        <f t="shared" si="3"/>
        <v>96.710745170515537</v>
      </c>
      <c r="J113" s="116">
        <f t="shared" si="3"/>
        <v>97.526520095943965</v>
      </c>
      <c r="K113" s="116">
        <f t="shared" si="3"/>
        <v>16.548024156085472</v>
      </c>
    </row>
    <row r="114" spans="3:11" x14ac:dyDescent="0.2">
      <c r="C114" s="87" t="s">
        <v>160</v>
      </c>
      <c r="D114" s="47">
        <f t="shared" si="3"/>
        <v>98.790689107985813</v>
      </c>
      <c r="E114" s="47">
        <f t="shared" si="3"/>
        <v>97.668642346908698</v>
      </c>
      <c r="F114" s="47">
        <f t="shared" si="3"/>
        <v>97.179653840135487</v>
      </c>
      <c r="G114" s="47">
        <f t="shared" si="3"/>
        <v>87.931596982163597</v>
      </c>
      <c r="H114" s="47">
        <f t="shared" si="3"/>
        <v>96.422801239691964</v>
      </c>
      <c r="I114" s="47">
        <f t="shared" si="3"/>
        <v>90.562997114279241</v>
      </c>
      <c r="J114" s="47">
        <f t="shared" si="3"/>
        <v>98.164942760708414</v>
      </c>
      <c r="K114" s="47">
        <f t="shared" si="3"/>
        <v>60.788427339666129</v>
      </c>
    </row>
    <row r="115" spans="3:11" x14ac:dyDescent="0.2">
      <c r="C115" s="88" t="s">
        <v>161</v>
      </c>
      <c r="D115" s="116">
        <f t="shared" si="3"/>
        <v>98.641183313312254</v>
      </c>
      <c r="E115" s="116">
        <f t="shared" si="3"/>
        <v>97.176394805394466</v>
      </c>
      <c r="F115" s="116">
        <f t="shared" si="3"/>
        <v>86.600058338070525</v>
      </c>
      <c r="G115" s="116">
        <f t="shared" si="3"/>
        <v>90.983910370873417</v>
      </c>
      <c r="H115" s="116">
        <f t="shared" si="3"/>
        <v>97.400389471831332</v>
      </c>
      <c r="I115" s="116">
        <f t="shared" si="3"/>
        <v>98.726228623494919</v>
      </c>
      <c r="J115" s="116">
        <f t="shared" si="3"/>
        <v>99.041189674844105</v>
      </c>
      <c r="K115" s="116">
        <f t="shared" si="3"/>
        <v>30.513697726528015</v>
      </c>
    </row>
    <row r="116" spans="3:11" x14ac:dyDescent="0.2">
      <c r="C116" s="87" t="s">
        <v>140</v>
      </c>
      <c r="D116" s="47">
        <f t="shared" si="3"/>
        <v>96.591703690064634</v>
      </c>
      <c r="E116" s="47">
        <f t="shared" si="3"/>
        <v>93.542437370726972</v>
      </c>
      <c r="F116" s="47">
        <f t="shared" si="3"/>
        <v>90.894714835951376</v>
      </c>
      <c r="G116" s="47">
        <f t="shared" si="3"/>
        <v>94.945823063053382</v>
      </c>
      <c r="H116" s="47">
        <f t="shared" si="3"/>
        <v>92.688377882516122</v>
      </c>
      <c r="I116" s="47">
        <f t="shared" si="3"/>
        <v>93.369850770568902</v>
      </c>
      <c r="J116" s="47">
        <f t="shared" si="3"/>
        <v>94.873304594753662</v>
      </c>
      <c r="K116" s="47">
        <f t="shared" si="3"/>
        <v>37.731199829597287</v>
      </c>
    </row>
    <row r="117" spans="3:11" x14ac:dyDescent="0.2">
      <c r="C117" s="88" t="s">
        <v>141</v>
      </c>
      <c r="D117" s="116">
        <f t="shared" si="3"/>
        <v>96.024912868789997</v>
      </c>
      <c r="E117" s="116">
        <f t="shared" si="3"/>
        <v>86.261835522098053</v>
      </c>
      <c r="F117" s="116">
        <f t="shared" si="3"/>
        <v>89.700496997218707</v>
      </c>
      <c r="G117" s="116">
        <f t="shared" si="3"/>
        <v>94.034549505818902</v>
      </c>
      <c r="H117" s="116">
        <f t="shared" si="3"/>
        <v>93.576580479287784</v>
      </c>
      <c r="I117" s="116">
        <f t="shared" si="3"/>
        <v>91.366431941055708</v>
      </c>
      <c r="J117" s="116">
        <f t="shared" si="3"/>
        <v>97.351609350873915</v>
      </c>
      <c r="K117" s="116">
        <f t="shared" si="3"/>
        <v>18.338583362043458</v>
      </c>
    </row>
    <row r="118" spans="3:11" x14ac:dyDescent="0.2">
      <c r="C118" s="87" t="s">
        <v>142</v>
      </c>
      <c r="D118" s="47">
        <f t="shared" ref="D118:K127" si="4">+IFERROR(IF(D76&gt;0,+((D76/D34)*100)," "),"")</f>
        <v>95.34849654337674</v>
      </c>
      <c r="E118" s="47">
        <f t="shared" si="4"/>
        <v>95.711986980747213</v>
      </c>
      <c r="F118" s="47">
        <f t="shared" si="4"/>
        <v>80.550205393065482</v>
      </c>
      <c r="G118" s="47">
        <f t="shared" si="4"/>
        <v>94.236225089679365</v>
      </c>
      <c r="H118" s="47">
        <f t="shared" si="4"/>
        <v>91.276628978678715</v>
      </c>
      <c r="I118" s="47">
        <f t="shared" si="4"/>
        <v>91.944676141735158</v>
      </c>
      <c r="J118" s="47">
        <f t="shared" si="4"/>
        <v>86.001711596938975</v>
      </c>
      <c r="K118" s="47">
        <f t="shared" si="4"/>
        <v>30.867592206438989</v>
      </c>
    </row>
    <row r="119" spans="3:11" x14ac:dyDescent="0.2">
      <c r="C119" s="88" t="s">
        <v>143</v>
      </c>
      <c r="D119" s="116">
        <f t="shared" si="4"/>
        <v>98.32088142036865</v>
      </c>
      <c r="E119" s="116">
        <f t="shared" si="4"/>
        <v>99.587349136687379</v>
      </c>
      <c r="F119" s="116">
        <f t="shared" si="4"/>
        <v>99.528041619451173</v>
      </c>
      <c r="G119" s="116">
        <f t="shared" si="4"/>
        <v>99.292056014821668</v>
      </c>
      <c r="H119" s="116">
        <f t="shared" si="4"/>
        <v>98.664144706133968</v>
      </c>
      <c r="I119" s="116">
        <f t="shared" si="4"/>
        <v>96.494522512861622</v>
      </c>
      <c r="J119" s="116">
        <f t="shared" si="4"/>
        <v>98.941270914390515</v>
      </c>
      <c r="K119" s="116">
        <f t="shared" si="4"/>
        <v>71.220893822054393</v>
      </c>
    </row>
    <row r="120" spans="3:11" x14ac:dyDescent="0.2">
      <c r="C120" s="87" t="s">
        <v>144</v>
      </c>
      <c r="D120" s="47">
        <f t="shared" si="4"/>
        <v>99.320338438968108</v>
      </c>
      <c r="E120" s="47">
        <f t="shared" si="4"/>
        <v>98.980205427702174</v>
      </c>
      <c r="F120" s="47">
        <f t="shared" si="4"/>
        <v>97.577065008321313</v>
      </c>
      <c r="G120" s="47">
        <f t="shared" si="4"/>
        <v>98.972390702504114</v>
      </c>
      <c r="H120" s="47">
        <f t="shared" si="4"/>
        <v>91.123749907002832</v>
      </c>
      <c r="I120" s="47">
        <f t="shared" si="4"/>
        <v>98.317011897368317</v>
      </c>
      <c r="J120" s="47">
        <f t="shared" si="4"/>
        <v>98.67816832647847</v>
      </c>
      <c r="K120" s="47">
        <f t="shared" si="4"/>
        <v>13.094028746682735</v>
      </c>
    </row>
    <row r="121" spans="3:11" x14ac:dyDescent="0.2">
      <c r="C121" s="88" t="s">
        <v>145</v>
      </c>
      <c r="D121" s="116">
        <f t="shared" si="4"/>
        <v>95.625530433884151</v>
      </c>
      <c r="E121" s="116">
        <f t="shared" si="4"/>
        <v>96.573189295982289</v>
      </c>
      <c r="F121" s="116">
        <f t="shared" si="4"/>
        <v>94.002783431038665</v>
      </c>
      <c r="G121" s="116">
        <f t="shared" si="4"/>
        <v>97.426435750743096</v>
      </c>
      <c r="H121" s="116">
        <f t="shared" si="4"/>
        <v>94.907454988103495</v>
      </c>
      <c r="I121" s="116">
        <f t="shared" si="4"/>
        <v>63.788073416907906</v>
      </c>
      <c r="J121" s="116">
        <f t="shared" si="4"/>
        <v>95.232554365921899</v>
      </c>
      <c r="K121" s="116">
        <f t="shared" si="4"/>
        <v>33.817649316990703</v>
      </c>
    </row>
    <row r="122" spans="3:11" x14ac:dyDescent="0.2">
      <c r="C122" s="87" t="s">
        <v>146</v>
      </c>
      <c r="D122" s="47">
        <f t="shared" si="4"/>
        <v>96.490028431184285</v>
      </c>
      <c r="E122" s="47">
        <f t="shared" si="4"/>
        <v>93.398577620172588</v>
      </c>
      <c r="F122" s="47">
        <f t="shared" si="4"/>
        <v>91.432182055393966</v>
      </c>
      <c r="G122" s="47">
        <f t="shared" si="4"/>
        <v>97.559611997232579</v>
      </c>
      <c r="H122" s="47">
        <f t="shared" si="4"/>
        <v>94.103186778204702</v>
      </c>
      <c r="I122" s="47">
        <f t="shared" si="4"/>
        <v>95.570470111283825</v>
      </c>
      <c r="J122" s="47">
        <f t="shared" si="4"/>
        <v>95.84248807315096</v>
      </c>
      <c r="K122" s="47">
        <f t="shared" si="4"/>
        <v>25.722557942381346</v>
      </c>
    </row>
    <row r="123" spans="3:11" x14ac:dyDescent="0.2">
      <c r="C123" s="88" t="s">
        <v>162</v>
      </c>
      <c r="D123" s="116">
        <f t="shared" si="4"/>
        <v>99.930465484201164</v>
      </c>
      <c r="E123" s="116">
        <f t="shared" si="4"/>
        <v>97.732476453294453</v>
      </c>
      <c r="F123" s="116">
        <f t="shared" si="4"/>
        <v>99.784533864891074</v>
      </c>
      <c r="G123" s="116">
        <f t="shared" si="4"/>
        <v>99.936019364646285</v>
      </c>
      <c r="H123" s="116">
        <f t="shared" si="4"/>
        <v>99.144270520907057</v>
      </c>
      <c r="I123" s="116">
        <f t="shared" si="4"/>
        <v>98.821914919518875</v>
      </c>
      <c r="J123" s="116">
        <f t="shared" si="4"/>
        <v>99.089410826747297</v>
      </c>
      <c r="K123" s="116">
        <f t="shared" si="4"/>
        <v>18.799902146841756</v>
      </c>
    </row>
    <row r="124" spans="3:11" x14ac:dyDescent="0.2">
      <c r="C124" s="87" t="s">
        <v>148</v>
      </c>
      <c r="D124" s="47">
        <f t="shared" si="4"/>
        <v>94.586761911542794</v>
      </c>
      <c r="E124" s="47">
        <f t="shared" si="4"/>
        <v>97.716106039451617</v>
      </c>
      <c r="F124" s="47">
        <f t="shared" si="4"/>
        <v>97.403246691649031</v>
      </c>
      <c r="G124" s="47">
        <f t="shared" si="4"/>
        <v>98.634199068098027</v>
      </c>
      <c r="H124" s="47">
        <f t="shared" si="4"/>
        <v>92.055841780691225</v>
      </c>
      <c r="I124" s="47">
        <f t="shared" si="4"/>
        <v>98.574561937461795</v>
      </c>
      <c r="J124" s="47">
        <f t="shared" si="4"/>
        <v>99.468115947030071</v>
      </c>
      <c r="K124" s="47">
        <f t="shared" si="4"/>
        <v>27.056492775661773</v>
      </c>
    </row>
    <row r="125" spans="3:11" x14ac:dyDescent="0.2">
      <c r="C125" s="88" t="s">
        <v>149</v>
      </c>
      <c r="D125" s="116">
        <f t="shared" si="4"/>
        <v>93.687779318309481</v>
      </c>
      <c r="E125" s="116">
        <f t="shared" si="4"/>
        <v>98.695975805824233</v>
      </c>
      <c r="F125" s="116">
        <f t="shared" si="4"/>
        <v>80.325759531685804</v>
      </c>
      <c r="G125" s="116">
        <f t="shared" si="4"/>
        <v>87.685846951981858</v>
      </c>
      <c r="H125" s="116">
        <f t="shared" si="4"/>
        <v>87.066038706421196</v>
      </c>
      <c r="I125" s="116">
        <f t="shared" si="4"/>
        <v>94.152310230409867</v>
      </c>
      <c r="J125" s="116">
        <f t="shared" si="4"/>
        <v>90.443454969412343</v>
      </c>
      <c r="K125" s="116">
        <f t="shared" si="4"/>
        <v>93.727367534493666</v>
      </c>
    </row>
    <row r="126" spans="3:11" x14ac:dyDescent="0.2">
      <c r="C126" s="87" t="s">
        <v>163</v>
      </c>
      <c r="D126" s="47">
        <f t="shared" si="4"/>
        <v>99.46929387114335</v>
      </c>
      <c r="E126" s="47">
        <f t="shared" si="4"/>
        <v>99.343443286079065</v>
      </c>
      <c r="F126" s="47">
        <f t="shared" si="4"/>
        <v>98.304071526699317</v>
      </c>
      <c r="G126" s="47">
        <f t="shared" si="4"/>
        <v>84.861547426081756</v>
      </c>
      <c r="H126" s="47">
        <f t="shared" si="4"/>
        <v>98.130493284146098</v>
      </c>
      <c r="I126" s="47">
        <f t="shared" si="4"/>
        <v>90.876952921187367</v>
      </c>
      <c r="J126" s="47">
        <f t="shared" si="4"/>
        <v>99.724846297847051</v>
      </c>
      <c r="K126" s="47">
        <f t="shared" si="4"/>
        <v>3.6371416411124726</v>
      </c>
    </row>
    <row r="127" spans="3:11" x14ac:dyDescent="0.2">
      <c r="C127" s="88" t="s">
        <v>150</v>
      </c>
      <c r="D127" s="116">
        <f t="shared" si="4"/>
        <v>93.053107929824961</v>
      </c>
      <c r="E127" s="116">
        <f t="shared" si="4"/>
        <v>89.441185137412376</v>
      </c>
      <c r="F127" s="116">
        <f t="shared" si="4"/>
        <v>93.706759217012007</v>
      </c>
      <c r="G127" s="116">
        <f t="shared" si="4"/>
        <v>92.334401332798848</v>
      </c>
      <c r="H127" s="116">
        <f t="shared" si="4"/>
        <v>90.144024859539073</v>
      </c>
      <c r="I127" s="116">
        <f t="shared" si="4"/>
        <v>96.162640661299292</v>
      </c>
      <c r="J127" s="116">
        <f t="shared" si="4"/>
        <v>96.282222626061156</v>
      </c>
      <c r="K127" s="116">
        <f t="shared" si="4"/>
        <v>53.518506729399661</v>
      </c>
    </row>
    <row r="128" spans="3:11" x14ac:dyDescent="0.2">
      <c r="C128" s="87" t="s">
        <v>151</v>
      </c>
      <c r="D128" s="47">
        <f t="shared" ref="D128:K129" si="5">+IFERROR(IF(D86&gt;0,+((D86/D44)*100)," "),"")</f>
        <v>99.860240774209856</v>
      </c>
      <c r="E128" s="47">
        <f t="shared" si="5"/>
        <v>98.707275887388036</v>
      </c>
      <c r="F128" s="47">
        <f t="shared" si="5"/>
        <v>99.463867880407491</v>
      </c>
      <c r="G128" s="47">
        <f t="shared" si="5"/>
        <v>99.835565142475104</v>
      </c>
      <c r="H128" s="47">
        <f t="shared" si="5"/>
        <v>99.468172500445831</v>
      </c>
      <c r="I128" s="47">
        <f t="shared" si="5"/>
        <v>99.610236266216191</v>
      </c>
      <c r="J128" s="47">
        <f t="shared" si="5"/>
        <v>99.959278109659323</v>
      </c>
      <c r="K128" s="47">
        <f t="shared" si="5"/>
        <v>3.1687754097249323</v>
      </c>
    </row>
    <row r="129" spans="1:12" x14ac:dyDescent="0.2">
      <c r="C129" s="91" t="s">
        <v>179</v>
      </c>
      <c r="D129" s="64">
        <f t="shared" si="5"/>
        <v>99.433766820744083</v>
      </c>
      <c r="E129" s="64">
        <f t="shared" si="5"/>
        <v>89.754362983717726</v>
      </c>
      <c r="F129" s="64">
        <f t="shared" si="5"/>
        <v>97.807734941882245</v>
      </c>
      <c r="G129" s="64">
        <f t="shared" si="5"/>
        <v>96.511919434581813</v>
      </c>
      <c r="H129" s="64">
        <f t="shared" si="5"/>
        <v>98.057440920029109</v>
      </c>
      <c r="I129" s="64">
        <f t="shared" si="5"/>
        <v>96.20954216112446</v>
      </c>
      <c r="J129" s="64">
        <f t="shared" si="5"/>
        <v>98.741258569194031</v>
      </c>
      <c r="K129" s="64">
        <f t="shared" si="5"/>
        <v>21.369121076339848</v>
      </c>
    </row>
    <row r="130" spans="1:12" s="31" customFormat="1" x14ac:dyDescent="0.2">
      <c r="A130" s="5"/>
      <c r="B130" s="5"/>
      <c r="C130" s="72" t="str">
        <f>+'C1 Aprop Resumen 2000-2026'!B20</f>
        <v>* Información con corte a 28 de febrero</v>
      </c>
      <c r="D130" s="47"/>
      <c r="E130" s="47"/>
      <c r="F130" s="47"/>
      <c r="G130" s="47"/>
      <c r="H130" s="47"/>
      <c r="I130" s="47"/>
    </row>
    <row r="131" spans="1:12" x14ac:dyDescent="0.2">
      <c r="C131" s="1" t="s">
        <v>52</v>
      </c>
      <c r="D131" s="11"/>
      <c r="E131" s="11"/>
      <c r="F131" s="11"/>
    </row>
    <row r="132" spans="1:12" x14ac:dyDescent="0.2">
      <c r="D132" s="11"/>
      <c r="E132" s="11"/>
      <c r="F132" s="11"/>
    </row>
    <row r="133" spans="1:12" x14ac:dyDescent="0.2">
      <c r="E133" s="3"/>
      <c r="F133" s="3"/>
    </row>
    <row r="134" spans="1:12" x14ac:dyDescent="0.2">
      <c r="E134" s="3"/>
      <c r="F134" s="3"/>
    </row>
    <row r="135" spans="1:12" x14ac:dyDescent="0.2">
      <c r="E135" s="3"/>
      <c r="F135" s="3"/>
    </row>
    <row r="136" spans="1:12" ht="18" customHeight="1" x14ac:dyDescent="0.2">
      <c r="D136" s="183" t="s">
        <v>190</v>
      </c>
      <c r="E136" s="178"/>
      <c r="F136" s="178"/>
      <c r="G136" s="178"/>
      <c r="H136" s="178"/>
      <c r="I136" s="178"/>
      <c r="J136" s="178"/>
      <c r="K136" s="178"/>
      <c r="L136" s="178"/>
    </row>
    <row r="137" spans="1:12" ht="15.75" customHeight="1" x14ac:dyDescent="0.2">
      <c r="C137" s="2"/>
      <c r="D137" s="2"/>
      <c r="E137" s="2"/>
      <c r="F137" s="2"/>
      <c r="G137" s="2"/>
      <c r="H137" s="2"/>
      <c r="I137" s="2"/>
    </row>
    <row r="138" spans="1:12" x14ac:dyDescent="0.2">
      <c r="C138" s="177" t="s">
        <v>120</v>
      </c>
      <c r="D138" s="153">
        <v>2019</v>
      </c>
      <c r="E138" s="153">
        <v>2020</v>
      </c>
      <c r="F138" s="153">
        <v>2021</v>
      </c>
      <c r="G138" s="153">
        <v>2022</v>
      </c>
      <c r="H138" s="153">
        <v>2023</v>
      </c>
      <c r="I138" s="153">
        <v>2024</v>
      </c>
      <c r="J138" s="153">
        <v>2025</v>
      </c>
      <c r="K138" s="153" t="s">
        <v>36</v>
      </c>
    </row>
    <row r="139" spans="1:12" ht="12" customHeight="1" thickBot="1" x14ac:dyDescent="0.25">
      <c r="C139" s="156"/>
      <c r="D139" s="154"/>
      <c r="E139" s="154"/>
      <c r="F139" s="154"/>
      <c r="G139" s="154"/>
      <c r="H139" s="154"/>
      <c r="I139" s="154"/>
      <c r="J139" s="154"/>
      <c r="K139" s="154"/>
    </row>
    <row r="140" spans="1:12" x14ac:dyDescent="0.2">
      <c r="C140" s="87" t="s">
        <v>123</v>
      </c>
      <c r="D140" s="42">
        <f>543.30313371418*Deflactores!$T$5</f>
        <v>822.07333628184847</v>
      </c>
      <c r="E140" s="42">
        <f>574.29721363944*Deflactores!$U$5</f>
        <v>855.20180736849227</v>
      </c>
      <c r="F140" s="42">
        <f>579.51466850717*Deflactores!$V$5</f>
        <v>817.05289073580172</v>
      </c>
      <c r="G140" s="42">
        <f>689.050639961859*Deflactores!$W$5</f>
        <v>858.81076908706314</v>
      </c>
      <c r="H140" s="42">
        <f>701.351023146479*Deflactores!$X$5</f>
        <v>799.90993308943814</v>
      </c>
      <c r="I140" s="42">
        <f>806.455748773269*Deflactores!$Y$5</f>
        <v>874.32008904921076</v>
      </c>
      <c r="J140" s="42">
        <f>759.88888224333*Deflactores!$Z$5</f>
        <v>783.85780953197343</v>
      </c>
      <c r="K140" s="42">
        <f>63.22794981014*Deflactores!$AA$5</f>
        <v>63.227949810139997</v>
      </c>
    </row>
    <row r="141" spans="1:12" x14ac:dyDescent="0.2">
      <c r="C141" s="88" t="s">
        <v>124</v>
      </c>
      <c r="D141" s="50">
        <f>275.63310062067*Deflactores!$T$5</f>
        <v>417.06113687934118</v>
      </c>
      <c r="E141" s="50">
        <f>306.708871162169*Deflactores!$U$5</f>
        <v>456.72863236023818</v>
      </c>
      <c r="F141" s="50">
        <f>333.17001052223*Deflactores!$V$5</f>
        <v>469.7336150349704</v>
      </c>
      <c r="G141" s="50">
        <f>337.91388946114*Deflactores!$W$5</f>
        <v>421.16510813978215</v>
      </c>
      <c r="H141" s="50">
        <f>408.279679338289*Deflactores!$X$5</f>
        <v>465.65408790037435</v>
      </c>
      <c r="I141" s="50">
        <f>488.78369689703*Deflactores!$Y$5</f>
        <v>529.91550503158726</v>
      </c>
      <c r="J141" s="50">
        <f>671.51859695035*Deflactores!$Z$5</f>
        <v>692.70008913873107</v>
      </c>
      <c r="K141" s="50">
        <f>111.89421135022*Deflactores!$AA$5</f>
        <v>111.89421135022</v>
      </c>
    </row>
    <row r="142" spans="1:12" x14ac:dyDescent="0.2">
      <c r="C142" s="87" t="s">
        <v>125</v>
      </c>
      <c r="D142" s="42">
        <f>22.32428966408*Deflactores!$T$5</f>
        <v>33.778938764463902</v>
      </c>
      <c r="E142" s="42">
        <f>21.9513317790499*Deflactores!$U$5</f>
        <v>32.688333089101498</v>
      </c>
      <c r="F142" s="42">
        <f>24.25331393745*Deflactores!$V$5</f>
        <v>34.194544744765608</v>
      </c>
      <c r="G142" s="42">
        <f>23.96646871316*Deflactores!$W$5</f>
        <v>29.871043192107457</v>
      </c>
      <c r="H142" s="42">
        <f>25.59483440175*Deflactores!$X$5</f>
        <v>29.191605341770686</v>
      </c>
      <c r="I142" s="42">
        <f>26.2082651191699*Deflactores!$Y$5</f>
        <v>28.413726019901219</v>
      </c>
      <c r="J142" s="42">
        <f>24.36302321479*Deflactores!$Z$5</f>
        <v>25.131498113702705</v>
      </c>
      <c r="K142" s="42">
        <f>2.76607340549*Deflactores!$AA$5</f>
        <v>2.7660734054899998</v>
      </c>
    </row>
    <row r="143" spans="1:12" x14ac:dyDescent="0.2">
      <c r="C143" s="88" t="s">
        <v>126</v>
      </c>
      <c r="D143" s="50">
        <f>407.717688347699*Deflactores!$T$5</f>
        <v>616.91865833677207</v>
      </c>
      <c r="E143" s="50">
        <f>496.61617786027*Deflactores!$U$5</f>
        <v>739.52483624825425</v>
      </c>
      <c r="F143" s="50">
        <f>408.637403480529*Deflactores!$V$5</f>
        <v>576.13446202597288</v>
      </c>
      <c r="G143" s="50">
        <f>402.01373598692*Deflactores!$W$5</f>
        <v>501.05711505558008</v>
      </c>
      <c r="H143" s="50">
        <f>473.66100851777*Deflactores!$X$5</f>
        <v>540.22327354813569</v>
      </c>
      <c r="I143" s="50">
        <f>537.065235623299*Deflactores!$Y$5</f>
        <v>582.26000043979423</v>
      </c>
      <c r="J143" s="50">
        <f>619.61760847686*Deflactores!$Z$5</f>
        <v>639.16200470555657</v>
      </c>
      <c r="K143" s="50">
        <f>70.39544618737*Deflactores!$AA$5</f>
        <v>70.395446187369998</v>
      </c>
    </row>
    <row r="144" spans="1:12" x14ac:dyDescent="0.2">
      <c r="C144" s="87" t="s">
        <v>127</v>
      </c>
      <c r="D144" s="42">
        <f>534.55512548138*Deflactores!$T$5</f>
        <v>808.83670305171086</v>
      </c>
      <c r="E144" s="42">
        <f>574.45739305315*Deflactores!$U$5</f>
        <v>855.44033494768757</v>
      </c>
      <c r="F144" s="42">
        <f>620.32288849422*Deflactores!$V$5</f>
        <v>874.58805924515457</v>
      </c>
      <c r="G144" s="42">
        <f>723.0786412986*Deflactores!$W$5</f>
        <v>901.22218604782483</v>
      </c>
      <c r="H144" s="42">
        <f>853.40507203029*Deflactores!$X$5</f>
        <v>973.33171484283093</v>
      </c>
      <c r="I144" s="42">
        <f>956.798178938159*Deflactores!$Y$5</f>
        <v>1037.3140377309471</v>
      </c>
      <c r="J144" s="42">
        <f>1097.22904794437*Deflactores!$Z$5</f>
        <v>1131.8385861067463</v>
      </c>
      <c r="K144" s="42">
        <f>148.85166429042*Deflactores!$AA$5</f>
        <v>148.85166429041999</v>
      </c>
    </row>
    <row r="145" spans="3:11" x14ac:dyDescent="0.2">
      <c r="C145" s="88" t="s">
        <v>128</v>
      </c>
      <c r="D145" s="50">
        <f>227.6419605402*Deflactores!$T$5</f>
        <v>344.44562228030981</v>
      </c>
      <c r="E145" s="50">
        <f>227.532665681329*Deflactores!$U$5</f>
        <v>338.82516283321252</v>
      </c>
      <c r="F145" s="50">
        <f>212.41250972851*Deflactores!$V$5</f>
        <v>299.47862329213581</v>
      </c>
      <c r="G145" s="50">
        <f>178.24536058685*Deflactores!$W$5</f>
        <v>222.15933972612945</v>
      </c>
      <c r="H145" s="50">
        <f>270.8815497843*Deflactores!$X$5</f>
        <v>308.94778108546132</v>
      </c>
      <c r="I145" s="50">
        <f>312.01767563881*Deflactores!$Y$5</f>
        <v>338.27438438429363</v>
      </c>
      <c r="J145" s="50">
        <f>306.34997114132*Deflactores!$Z$5</f>
        <v>316.01306841086654</v>
      </c>
      <c r="K145" s="50">
        <f>19.74599343644*Deflactores!$AA$5</f>
        <v>19.745993436439999</v>
      </c>
    </row>
    <row r="146" spans="3:11" x14ac:dyDescent="0.2">
      <c r="C146" s="87" t="s">
        <v>129</v>
      </c>
      <c r="D146" s="42">
        <f>29581.9006106428*Deflactores!$T$5</f>
        <v>44760.448117243155</v>
      </c>
      <c r="E146" s="42">
        <f>31470.7520821835*Deflactores!$U$5</f>
        <v>46863.964199600559</v>
      </c>
      <c r="F146" s="42">
        <f>33334.9757936885*Deflactores!$V$5</f>
        <v>46998.703941355343</v>
      </c>
      <c r="G146" s="42">
        <f>36413.9199077453*Deflactores!$W$5</f>
        <v>45385.149868196182</v>
      </c>
      <c r="H146" s="42">
        <f>41654.5168566141*Deflactores!$X$5</f>
        <v>47508.110335625926</v>
      </c>
      <c r="I146" s="42">
        <f>46599.1003923985*Deflactores!$Y$5</f>
        <v>50520.477616620636</v>
      </c>
      <c r="J146" s="42">
        <f>51991.479890016*Deflactores!$Z$5</f>
        <v>53631.430190951854</v>
      </c>
      <c r="K146" s="42">
        <f>7487.0488173357*Deflactores!$AA$5</f>
        <v>7487.0488173356998</v>
      </c>
    </row>
    <row r="147" spans="3:11" x14ac:dyDescent="0.2">
      <c r="C147" s="88" t="s">
        <v>130</v>
      </c>
      <c r="D147" s="50">
        <f>35.19635672401*Deflactores!$T$5</f>
        <v>53.255695764667749</v>
      </c>
      <c r="E147" s="50">
        <f>37.52834642101*Deflactores!$U$5</f>
        <v>55.884494865316121</v>
      </c>
      <c r="F147" s="50">
        <f>35.65260900663*Deflactores!$V$5</f>
        <v>50.266315650265398</v>
      </c>
      <c r="G147" s="50">
        <f>48.70019650441*Deflactores!$W$5</f>
        <v>60.698373659385254</v>
      </c>
      <c r="H147" s="50">
        <f>47.58309044185*Deflactores!$X$5</f>
        <v>54.269809888877184</v>
      </c>
      <c r="I147" s="50">
        <f>60.11913009778*Deflactores!$Y$5</f>
        <v>65.178236078803167</v>
      </c>
      <c r="J147" s="50">
        <f>44.59167876021*Deflactores!$Z$5</f>
        <v>45.998219546445327</v>
      </c>
      <c r="K147" s="50">
        <f>5.34656097667*Deflactores!$AA$5</f>
        <v>5.3465609766700002</v>
      </c>
    </row>
    <row r="148" spans="3:11" x14ac:dyDescent="0.2">
      <c r="C148" s="87" t="s">
        <v>131</v>
      </c>
      <c r="D148" s="42">
        <f>37361.7211422818*Deflactores!$T$5</f>
        <v>56532.114104877743</v>
      </c>
      <c r="E148" s="42">
        <f>40590.2652226719*Deflactores!$U$5</f>
        <v>60444.082533524503</v>
      </c>
      <c r="F148" s="42">
        <f>43191.1645587187*Deflactores!$V$5</f>
        <v>60894.862157419593</v>
      </c>
      <c r="G148" s="42">
        <f>44158.534078534*Deflactores!$W$5</f>
        <v>55037.790278871616</v>
      </c>
      <c r="H148" s="42">
        <f>51109.0164412556*Deflactores!$X$5</f>
        <v>58291.224468996486</v>
      </c>
      <c r="I148" s="42">
        <f>61816.1782700859*Deflactores!$Y$5</f>
        <v>67018.093146457904</v>
      </c>
      <c r="J148" s="42">
        <f>71889.181601156*Deflactores!$Z$5</f>
        <v>74156.758620510809</v>
      </c>
      <c r="K148" s="42">
        <f>12681.0831068421*Deflactores!$AA$5</f>
        <v>12681.083106842099</v>
      </c>
    </row>
    <row r="149" spans="3:11" x14ac:dyDescent="0.2">
      <c r="C149" s="88" t="s">
        <v>132</v>
      </c>
      <c r="D149" s="50">
        <f>22.64467599331*Deflactores!$T$5</f>
        <v>34.263716123962368</v>
      </c>
      <c r="E149" s="50">
        <f>23.19263236116*Deflactores!$U$5</f>
        <v>34.536787993802804</v>
      </c>
      <c r="F149" s="50">
        <f>29.97161569409*Deflactores!$V$5</f>
        <v>42.25673062937453</v>
      </c>
      <c r="G149" s="50">
        <f>31.98649557711*Deflactores!$W$5</f>
        <v>39.866949210726141</v>
      </c>
      <c r="H149" s="50">
        <f>34.77247861571*Deflactores!$X$5</f>
        <v>39.658958388711582</v>
      </c>
      <c r="I149" s="50">
        <f>39.0451397555*Deflactores!$Y$5</f>
        <v>42.330840991457002</v>
      </c>
      <c r="J149" s="50">
        <f>41.91778560985*Deflactores!$Z$5</f>
        <v>43.239984656133331</v>
      </c>
      <c r="K149" s="50">
        <f>6.22345806374*Deflactores!$AA$5</f>
        <v>6.2234580637399999</v>
      </c>
    </row>
    <row r="150" spans="3:11" x14ac:dyDescent="0.2">
      <c r="C150" s="87" t="s">
        <v>133</v>
      </c>
      <c r="D150" s="42">
        <f>3521.67172209533*Deflactores!$T$5</f>
        <v>5328.6503283733782</v>
      </c>
      <c r="E150" s="42">
        <f>3642.20515530958*Deflactores!$U$5</f>
        <v>5423.7080690124412</v>
      </c>
      <c r="F150" s="42">
        <f>3961.45757973852*Deflactores!$V$5</f>
        <v>5585.2259536249594</v>
      </c>
      <c r="G150" s="42">
        <f>4339.6961233515*Deflactores!$W$5</f>
        <v>5408.8590143475485</v>
      </c>
      <c r="H150" s="42">
        <f>4970.40285658413*Deflactores!$X$5</f>
        <v>5668.8797552483102</v>
      </c>
      <c r="I150" s="42">
        <f>5394.92810168649*Deflactores!$Y$5</f>
        <v>5848.9185866126836</v>
      </c>
      <c r="J150" s="42">
        <f>6097.59756708658*Deflactores!$Z$5</f>
        <v>6289.9320993269212</v>
      </c>
      <c r="K150" s="42">
        <f>782.895520406189*Deflactores!$AA$5</f>
        <v>782.89552040618901</v>
      </c>
    </row>
    <row r="151" spans="3:11" x14ac:dyDescent="0.2">
      <c r="C151" s="88" t="s">
        <v>134</v>
      </c>
      <c r="D151" s="50">
        <f>7776.11401592784*Deflactores!$T$5</f>
        <v>11766.057649402068</v>
      </c>
      <c r="E151" s="50">
        <f>16131.5699648121*Deflactores!$U$5</f>
        <v>24021.965389962617</v>
      </c>
      <c r="F151" s="50">
        <f>17701.9070223138*Deflactores!$V$5</f>
        <v>24957.770855698251</v>
      </c>
      <c r="G151" s="50">
        <f>12839.7040200251*Deflactores!$W$5</f>
        <v>16002.998103155933</v>
      </c>
      <c r="H151" s="50">
        <f>32694.9352235835*Deflactores!$X$5</f>
        <v>37289.463598027818</v>
      </c>
      <c r="I151" s="50">
        <f>21580.6385206623*Deflactores!$Y$5</f>
        <v>23396.678394103736</v>
      </c>
      <c r="J151" s="50">
        <f>16208.9517183903*Deflactores!$Z$5</f>
        <v>16720.225398321334</v>
      </c>
      <c r="K151" s="50">
        <f>1846.21099113856*Deflactores!$AA$5</f>
        <v>1846.2109911385601</v>
      </c>
    </row>
    <row r="152" spans="3:11" x14ac:dyDescent="0.2">
      <c r="C152" s="87" t="s">
        <v>135</v>
      </c>
      <c r="D152" s="42">
        <f>0*Deflactores!$T$5</f>
        <v>0</v>
      </c>
      <c r="E152" s="42">
        <f>0*Deflactores!$U$5</f>
        <v>0</v>
      </c>
      <c r="F152" s="42">
        <f>0*Deflactores!$V$5</f>
        <v>0</v>
      </c>
      <c r="G152" s="42">
        <f>0*Deflactores!$W$5</f>
        <v>0</v>
      </c>
      <c r="H152" s="42">
        <f>2.91414025259*Deflactores!$X$5</f>
        <v>3.3236562827051861</v>
      </c>
      <c r="I152" s="42">
        <f>67.50728128318*Deflactores!$Y$5</f>
        <v>73.188110163219974</v>
      </c>
      <c r="J152" s="42">
        <f>103.55996841088*Deflactores!$Z$5</f>
        <v>106.82652673388984</v>
      </c>
      <c r="K152" s="42">
        <f>14.51841952411*Deflactores!$AA$5</f>
        <v>14.51841952411</v>
      </c>
    </row>
    <row r="153" spans="3:11" x14ac:dyDescent="0.2">
      <c r="C153" s="88" t="s">
        <v>136</v>
      </c>
      <c r="D153" s="50">
        <f>819.900140468849*Deflactores!$T$5</f>
        <v>1240.5929619536653</v>
      </c>
      <c r="E153" s="50">
        <f>6777.82360945261*Deflactores!$U$5</f>
        <v>10093.043920752605</v>
      </c>
      <c r="F153" s="50">
        <f>8566.23732230856*Deflactores!$V$5</f>
        <v>12077.466451281944</v>
      </c>
      <c r="G153" s="50">
        <f>893.78689187128*Deflactores!$W$5</f>
        <v>1113.9875119343887</v>
      </c>
      <c r="H153" s="50">
        <f>1155.11700885353*Deflactores!$X$5</f>
        <v>1317.4423915676266</v>
      </c>
      <c r="I153" s="50">
        <f>1091.48163776226*Deflactores!$Y$5</f>
        <v>1183.3312914881033</v>
      </c>
      <c r="J153" s="50">
        <f>1109.20070513352*Deflactores!$Z$5</f>
        <v>1144.1878613758504</v>
      </c>
      <c r="K153" s="50">
        <f>53.34291658625*Deflactores!$AA$5</f>
        <v>53.342916586249999</v>
      </c>
    </row>
    <row r="154" spans="3:11" x14ac:dyDescent="0.2">
      <c r="C154" s="87" t="s">
        <v>137</v>
      </c>
      <c r="D154" s="42">
        <f>138.82213405099*Deflactores!$T$5</f>
        <v>210.0521197234626</v>
      </c>
      <c r="E154" s="42">
        <f>142.61878989853*Deflactores!$U$5</f>
        <v>212.37757034026805</v>
      </c>
      <c r="F154" s="42">
        <f>146.13498835788*Deflactores!$V$5</f>
        <v>206.03449949424586</v>
      </c>
      <c r="G154" s="42">
        <f>166.61930328963*Deflactores!$W$5</f>
        <v>207.66899223958123</v>
      </c>
      <c r="H154" s="42">
        <f>203.45946498994*Deflactores!$X$5</f>
        <v>232.05105810835207</v>
      </c>
      <c r="I154" s="42">
        <f>226.21028168501*Deflactores!$Y$5</f>
        <v>245.24618235722926</v>
      </c>
      <c r="J154" s="42">
        <f>248.35357939095*Deflactores!$Z$5</f>
        <v>256.18731538235221</v>
      </c>
      <c r="K154" s="42">
        <f>35.65555499068*Deflactores!$AA$5</f>
        <v>35.655554990680002</v>
      </c>
    </row>
    <row r="155" spans="3:11" x14ac:dyDescent="0.2">
      <c r="C155" s="88" t="s">
        <v>138</v>
      </c>
      <c r="D155" s="50">
        <f>86.51463718401*Deflactores!$T$5</f>
        <v>130.90551482901657</v>
      </c>
      <c r="E155" s="50">
        <f>90.77501368117*Deflactores!$U$5</f>
        <v>135.17557445921216</v>
      </c>
      <c r="F155" s="50">
        <f>103.43565574278*Deflactores!$V$5</f>
        <v>145.83306708611124</v>
      </c>
      <c r="G155" s="50">
        <f>99.5883479329599*Deflactores!$W$5</f>
        <v>124.12374464255564</v>
      </c>
      <c r="H155" s="50">
        <f>101.14452172284*Deflactores!$X$5</f>
        <v>115.35808023877742</v>
      </c>
      <c r="I155" s="50">
        <f>121.30639423118*Deflactores!$Y$5</f>
        <v>131.5144911147039</v>
      </c>
      <c r="J155" s="50">
        <f>135.22252019535*Deflactores!$Z$5</f>
        <v>139.48780006729788</v>
      </c>
      <c r="K155" s="50">
        <f>18.34312832941*Deflactores!$AA$5</f>
        <v>18.34312832941</v>
      </c>
    </row>
    <row r="156" spans="3:11" x14ac:dyDescent="0.2">
      <c r="C156" s="87" t="s">
        <v>160</v>
      </c>
      <c r="D156" s="42">
        <f>1045.01139586186*Deflactores!$T$5</f>
        <v>1581.2093679191842</v>
      </c>
      <c r="E156" s="42">
        <f>1260.39943194177*Deflactores!$U$5</f>
        <v>1876.8955283135956</v>
      </c>
      <c r="F156" s="42">
        <f>1436.18682936032*Deflactores!$V$5</f>
        <v>2024.8678149740688</v>
      </c>
      <c r="G156" s="42">
        <f>1581.01322560998*Deflactores!$W$5</f>
        <v>1970.5245238551452</v>
      </c>
      <c r="H156" s="42">
        <f>1958.83320201961*Deflactores!$X$5</f>
        <v>2234.1025875050691</v>
      </c>
      <c r="I156" s="42">
        <f>2492.36837853637*Deflactores!$Y$5</f>
        <v>2702.1045432190317</v>
      </c>
      <c r="J156" s="42">
        <f>3120.73904303456*Deflactores!$Z$5</f>
        <v>3219.1754973073221</v>
      </c>
      <c r="K156" s="42">
        <f>263.977455257989*Deflactores!$AA$5</f>
        <v>263.97745525798899</v>
      </c>
    </row>
    <row r="157" spans="3:11" x14ac:dyDescent="0.2">
      <c r="C157" s="88" t="s">
        <v>161</v>
      </c>
      <c r="D157" s="50">
        <f>1674.96012706956*Deflactores!$T$5</f>
        <v>2534.3863754033127</v>
      </c>
      <c r="E157" s="50">
        <f>1863.24918015827*Deflactores!$U$5</f>
        <v>2774.6157017742898</v>
      </c>
      <c r="F157" s="50">
        <f>1863.02223958085*Deflactores!$V$5</f>
        <v>2626.6594947040376</v>
      </c>
      <c r="G157" s="50">
        <f>2109.71029496532*Deflactores!$W$5</f>
        <v>2629.4757103343695</v>
      </c>
      <c r="H157" s="50">
        <f>2465.02629853253*Deflactores!$X$5</f>
        <v>2811.4295929544055</v>
      </c>
      <c r="I157" s="50">
        <f>2978.18094457311*Deflactores!$Y$5</f>
        <v>3228.7988927162987</v>
      </c>
      <c r="J157" s="50">
        <f>3304.61684826966*Deflactores!$Z$5</f>
        <v>3408.8533002087438</v>
      </c>
      <c r="K157" s="50">
        <f>333.38421497947*Deflactores!$AA$5</f>
        <v>333.38421497947002</v>
      </c>
    </row>
    <row r="158" spans="3:11" x14ac:dyDescent="0.2">
      <c r="C158" s="87" t="s">
        <v>140</v>
      </c>
      <c r="D158" s="42">
        <f>173.28210162742*Deflactores!$T$5</f>
        <v>262.19358321927814</v>
      </c>
      <c r="E158" s="42">
        <f>195.1665968077*Deflactores!$U$5</f>
        <v>290.62795772624395</v>
      </c>
      <c r="F158" s="42">
        <f>205.55825146978*Deflactores!$V$5</f>
        <v>289.8148618232994</v>
      </c>
      <c r="G158" s="42">
        <f>275.51006429754*Deflactores!$W$5</f>
        <v>343.38696822586746</v>
      </c>
      <c r="H158" s="42">
        <f>268.10553047819*Deflactores!$X$5</f>
        <v>305.78165550195069</v>
      </c>
      <c r="I158" s="42">
        <f>271.75860477502*Deflactores!$Y$5</f>
        <v>294.62745834252331</v>
      </c>
      <c r="J158" s="42">
        <f>266.58950239352*Deflactores!$Z$5</f>
        <v>274.99844815927702</v>
      </c>
      <c r="K158" s="42">
        <f>66.09489395278*Deflactores!$AA$5</f>
        <v>66.094893952779998</v>
      </c>
    </row>
    <row r="159" spans="3:11" x14ac:dyDescent="0.2">
      <c r="C159" s="88" t="s">
        <v>141</v>
      </c>
      <c r="D159" s="50">
        <f>1586.53321145874*Deflactores!$T$5</f>
        <v>2400.5873872834636</v>
      </c>
      <c r="E159" s="50">
        <f>1768.62332274733*Deflactores!$U$5</f>
        <v>2633.7057297951537</v>
      </c>
      <c r="F159" s="50">
        <f>2182.18972686876*Deflactores!$V$5</f>
        <v>3076.651069186923</v>
      </c>
      <c r="G159" s="50">
        <f>2514.63189315989*Deflactores!$W$5</f>
        <v>3134.1570922204533</v>
      </c>
      <c r="H159" s="50">
        <f>2953.33554057771*Deflactores!$X$5</f>
        <v>3368.3595755741585</v>
      </c>
      <c r="I159" s="50">
        <f>3378.78237534768*Deflactores!$Y$5</f>
        <v>3663.1114748522036</v>
      </c>
      <c r="J159" s="50">
        <f>3611.47387538099*Deflactores!$Z$5</f>
        <v>3725.3894184907826</v>
      </c>
      <c r="K159" s="50">
        <f>452.628571822229*Deflactores!$AA$5</f>
        <v>452.62857182222899</v>
      </c>
    </row>
    <row r="160" spans="3:11" x14ac:dyDescent="0.2">
      <c r="C160" s="87" t="s">
        <v>142</v>
      </c>
      <c r="D160" s="42">
        <f>78.25645318036*Deflactores!$T$5</f>
        <v>118.41003587033747</v>
      </c>
      <c r="E160" s="42">
        <f>80.36728670704*Deflactores!$U$5</f>
        <v>119.67714140489143</v>
      </c>
      <c r="F160" s="42">
        <f>224.62844248447*Deflactores!$V$5</f>
        <v>316.70176485126581</v>
      </c>
      <c r="G160" s="42">
        <f>405.4041695299*Deflactores!$W$5</f>
        <v>505.28284342693235</v>
      </c>
      <c r="H160" s="42">
        <f>223.030621817629*Deflactores!$X$5</f>
        <v>254.37249520882949</v>
      </c>
      <c r="I160" s="42">
        <f>247.64718990541*Deflactores!$Y$5</f>
        <v>268.48703535221398</v>
      </c>
      <c r="J160" s="42">
        <f>237.50452147117*Deflactores!$Z$5</f>
        <v>244.99604916540409</v>
      </c>
      <c r="K160" s="42">
        <f>62.91698442134*Deflactores!$AA$5</f>
        <v>62.916984421339997</v>
      </c>
    </row>
    <row r="161" spans="1:11" x14ac:dyDescent="0.2">
      <c r="C161" s="88" t="s">
        <v>143</v>
      </c>
      <c r="D161" s="50">
        <f>571.35197721376*Deflactores!$T$5</f>
        <v>864.51411183363757</v>
      </c>
      <c r="E161" s="50">
        <f>1732.48362359133*Deflactores!$U$5</f>
        <v>2579.8891078406396</v>
      </c>
      <c r="F161" s="50">
        <f>3587.28302111029*Deflactores!$V$5</f>
        <v>5057.6803687055581</v>
      </c>
      <c r="G161" s="50">
        <f>919.236445593309*Deflactores!$W$5</f>
        <v>1145.7070250403458</v>
      </c>
      <c r="H161" s="50">
        <f>733.51044320256*Deflactores!$X$5</f>
        <v>836.58862706188893</v>
      </c>
      <c r="I161" s="50">
        <f>713.69842254485*Deflactores!$Y$5</f>
        <v>773.7571085616122</v>
      </c>
      <c r="J161" s="50">
        <f>1330.47563549567*Deflactores!$Z$5</f>
        <v>1372.4423947307334</v>
      </c>
      <c r="K161" s="50">
        <f>75.59412375847*Deflactores!$AA$5</f>
        <v>75.594123758470005</v>
      </c>
    </row>
    <row r="162" spans="1:11" x14ac:dyDescent="0.2">
      <c r="C162" s="87" t="s">
        <v>144</v>
      </c>
      <c r="D162" s="42">
        <f>4147.32285530746*Deflactores!$T$5</f>
        <v>6275.3246295357803</v>
      </c>
      <c r="E162" s="42">
        <f>4314.73352545996*Deflactores!$U$5</f>
        <v>6425.1885986050602</v>
      </c>
      <c r="F162" s="42">
        <f>4675.53911346223*Deflactores!$V$5</f>
        <v>6592.0035436607031</v>
      </c>
      <c r="G162" s="42">
        <f>5178.99546720401*Deflactores!$W$5</f>
        <v>6454.9349820415046</v>
      </c>
      <c r="H162" s="42">
        <f>6266.11140587502*Deflactores!$X$5</f>
        <v>7146.6706256698726</v>
      </c>
      <c r="I162" s="42">
        <f>7662.25595568172*Deflactores!$Y$5</f>
        <v>8307.0451412616221</v>
      </c>
      <c r="J162" s="42">
        <f>8732.32619687421*Deflactores!$Z$5</f>
        <v>9007.7671153617775</v>
      </c>
      <c r="K162" s="42">
        <f>1039.51431585463*Deflactores!$AA$5</f>
        <v>1039.51431585463</v>
      </c>
    </row>
    <row r="163" spans="1:11" x14ac:dyDescent="0.2">
      <c r="C163" s="88" t="s">
        <v>145</v>
      </c>
      <c r="D163" s="50">
        <f>1293.01509590961*Deflactores!$T$5</f>
        <v>1956.4643893926147</v>
      </c>
      <c r="E163" s="50">
        <f>490.8118590638*Deflactores!$U$5</f>
        <v>730.88146517245355</v>
      </c>
      <c r="F163" s="50">
        <f>1102.22837284093*Deflactores!$V$5</f>
        <v>1554.0225765131925</v>
      </c>
      <c r="G163" s="50">
        <f>2870.02529910241*Deflactores!$W$5</f>
        <v>3577.10811292172</v>
      </c>
      <c r="H163" s="50">
        <f>2428.94230684778*Deflactores!$X$5</f>
        <v>2770.2748182102905</v>
      </c>
      <c r="I163" s="50">
        <f>725.70600988556*Deflactores!$Y$5</f>
        <v>786.77515059177358</v>
      </c>
      <c r="J163" s="50">
        <f>1990.5705291611*Deflactores!$Z$5</f>
        <v>2053.3584464359583</v>
      </c>
      <c r="K163" s="50">
        <f>189.14772362805*Deflactores!$AA$5</f>
        <v>189.14772362804999</v>
      </c>
    </row>
    <row r="164" spans="1:11" x14ac:dyDescent="0.2">
      <c r="C164" s="87" t="s">
        <v>146</v>
      </c>
      <c r="D164" s="42">
        <f>656.833448264317*Deflactores!$T$5</f>
        <v>993.85634039103843</v>
      </c>
      <c r="E164" s="42">
        <f>697.53786907511*Deflactores!$U$5</f>
        <v>1038.7228636556172</v>
      </c>
      <c r="F164" s="42">
        <f>796.423898614789*Deflactores!$V$5</f>
        <v>1122.871402531616</v>
      </c>
      <c r="G164" s="42">
        <f>1069.73594034281*Deflactores!$W$5</f>
        <v>1333.2848013851842</v>
      </c>
      <c r="H164" s="42">
        <f>1099.16190887852*Deflactores!$X$5</f>
        <v>1253.624076915115</v>
      </c>
      <c r="I164" s="42">
        <f>1082.61752766359*Deflactores!$Y$5</f>
        <v>1173.7212545547684</v>
      </c>
      <c r="J164" s="42">
        <f>1177.12360890228*Deflactores!$Z$5</f>
        <v>1214.2532351553057</v>
      </c>
      <c r="K164" s="42">
        <f>187.567226281729*Deflactores!$AA$5</f>
        <v>187.56722628172901</v>
      </c>
    </row>
    <row r="165" spans="1:11" x14ac:dyDescent="0.2">
      <c r="C165" s="88" t="s">
        <v>162</v>
      </c>
      <c r="D165" s="50">
        <f>28343.5967857638*Deflactores!$T$5</f>
        <v>42886.767489469734</v>
      </c>
      <c r="E165" s="50">
        <f>33399.2487409584*Deflactores!$U$5</f>
        <v>49735.741719879181</v>
      </c>
      <c r="F165" s="50">
        <f>42205.6864973238*Deflactores!$V$5</f>
        <v>59505.444869857944</v>
      </c>
      <c r="G165" s="50">
        <f>40740.2566322092*Deflactores!$W$5</f>
        <v>50777.358153311645</v>
      </c>
      <c r="H165" s="50">
        <f>48139.4022285744*Deflactores!$X$5</f>
        <v>54904.29862477319</v>
      </c>
      <c r="I165" s="50">
        <f>56316.7250304004*Deflactores!$Y$5</f>
        <v>61055.85349033559</v>
      </c>
      <c r="J165" s="50">
        <f>62785.9102580151*Deflactores!$Z$5</f>
        <v>64766.345757061856</v>
      </c>
      <c r="K165" s="50">
        <f>10287.7467006236*Deflactores!$AA$5</f>
        <v>10287.7467006236</v>
      </c>
    </row>
    <row r="166" spans="1:11" x14ac:dyDescent="0.2">
      <c r="C166" s="87" t="s">
        <v>148</v>
      </c>
      <c r="D166" s="42">
        <f>261.13458804366*Deflactores!$T$5</f>
        <v>395.12340108196736</v>
      </c>
      <c r="E166" s="42">
        <f>312.86440454456*Deflactores!$U$5</f>
        <v>465.89500675473926</v>
      </c>
      <c r="F166" s="42">
        <f>356.96159296429*Deflactores!$V$5</f>
        <v>503.27716840099498</v>
      </c>
      <c r="G166" s="42">
        <f>358.201944011099*Deflactores!$W$5</f>
        <v>446.45149308863733</v>
      </c>
      <c r="H166" s="42">
        <f>439.06493918917*Deflactores!$X$5</f>
        <v>500.76551475333855</v>
      </c>
      <c r="I166" s="42">
        <f>576.45136574244*Deflactores!$Y$5</f>
        <v>624.96052659445706</v>
      </c>
      <c r="J166" s="42">
        <f>642.43666857635*Deflactores!$Z$5</f>
        <v>662.70083897874565</v>
      </c>
      <c r="K166" s="42">
        <f>93.11465580772*Deflactores!$AA$5</f>
        <v>93.114655807719998</v>
      </c>
    </row>
    <row r="167" spans="1:11" x14ac:dyDescent="0.2">
      <c r="C167" s="88" t="s">
        <v>149</v>
      </c>
      <c r="D167" s="50">
        <f>63.18453991101*Deflactores!$T$5</f>
        <v>95.60468604512657</v>
      </c>
      <c r="E167" s="50">
        <f>53.53657371515*Deflactores!$U$5</f>
        <v>79.722787285291702</v>
      </c>
      <c r="F167" s="50">
        <f>65.62099625465*Deflactores!$V$5</f>
        <v>92.518494520491402</v>
      </c>
      <c r="G167" s="50">
        <f>93.64234653543*Deflactores!$W$5</f>
        <v>116.71283790065335</v>
      </c>
      <c r="H167" s="50">
        <f>94.08753600713*Deflactores!$X$5</f>
        <v>107.30939593467291</v>
      </c>
      <c r="I167" s="50">
        <f>113.05162368229*Deflactores!$Y$5</f>
        <v>122.56507047709938</v>
      </c>
      <c r="J167" s="50">
        <f>101.599217587*Deflactores!$Z$5</f>
        <v>104.80392858597742</v>
      </c>
      <c r="K167" s="50">
        <f>10.890866085*Deflactores!$AA$5</f>
        <v>10.890866085000001</v>
      </c>
    </row>
    <row r="168" spans="1:11" x14ac:dyDescent="0.2">
      <c r="C168" s="87" t="s">
        <v>163</v>
      </c>
      <c r="D168" s="42">
        <f>18168.8527729154*Deflactores!$T$5</f>
        <v>27491.336766892</v>
      </c>
      <c r="E168" s="42">
        <f>22897.2988142007*Deflactores!$U$5</f>
        <v>34096.998670195338</v>
      </c>
      <c r="F168" s="42">
        <f>22240.3059732587*Deflactores!$V$5</f>
        <v>31356.421629688073</v>
      </c>
      <c r="G168" s="42">
        <f>18306.8853000158*Deflactores!$W$5</f>
        <v>22817.11870257531</v>
      </c>
      <c r="H168" s="42">
        <f>22208.3229306944*Deflactores!$X$5</f>
        <v>25329.196826180716</v>
      </c>
      <c r="I168" s="42">
        <f>27546.1053692311*Deflactores!$Y$5</f>
        <v>29864.147333589419</v>
      </c>
      <c r="J168" s="42">
        <f>38670.2381929154*Deflactores!$Z$5</f>
        <v>39890.000909727598</v>
      </c>
      <c r="K168" s="42">
        <f>1755.97633000892*Deflactores!$AA$5</f>
        <v>1755.9763300089201</v>
      </c>
    </row>
    <row r="169" spans="1:11" x14ac:dyDescent="0.2">
      <c r="C169" s="88" t="s">
        <v>150</v>
      </c>
      <c r="D169" s="50">
        <f>149.06642205071*Deflactores!$T$5</f>
        <v>225.55277762725507</v>
      </c>
      <c r="E169" s="50">
        <f>148.87979864401*Deflactores!$U$5</f>
        <v>221.70101100464521</v>
      </c>
      <c r="F169" s="50">
        <f>289.701558125449*Deflactores!$V$5</f>
        <v>408.44780707071169</v>
      </c>
      <c r="G169" s="50">
        <f>329.75570859785*Deflactores!$W$5</f>
        <v>410.99701137705182</v>
      </c>
      <c r="H169" s="50">
        <f>413.41502649011*Deflactores!$X$5</f>
        <v>471.51109111422187</v>
      </c>
      <c r="I169" s="50">
        <f>393.41674990836*Deflactores!$Y$5</f>
        <v>426.52330067279917</v>
      </c>
      <c r="J169" s="50">
        <f>452.243336363769*Deflactores!$Z$5</f>
        <v>466.50830049125517</v>
      </c>
      <c r="K169" s="50">
        <f>53.7697295768899*Deflactores!$AA$5</f>
        <v>53.769729576889901</v>
      </c>
    </row>
    <row r="170" spans="1:11" x14ac:dyDescent="0.2">
      <c r="C170" s="87" t="s">
        <v>151</v>
      </c>
      <c r="D170" s="42">
        <f>2184.37924621438*Deflactores!$T$5</f>
        <v>3305.1897241310116</v>
      </c>
      <c r="E170" s="42">
        <f>2339.43149135068*Deflactores!$U$5</f>
        <v>3483.7119040489652</v>
      </c>
      <c r="F170" s="42">
        <f>2722.94042561438*Deflactores!$V$5</f>
        <v>3839.0509627317178</v>
      </c>
      <c r="G170" s="42">
        <f>2651.12126017479*Deflactores!$W$5</f>
        <v>3304.2730916261885</v>
      </c>
      <c r="H170" s="42">
        <f>2924.4423574912*Deflactores!$X$5</f>
        <v>3335.4061137744111</v>
      </c>
      <c r="I170" s="42">
        <f>3756.2286585442*Deflactores!$Y$5</f>
        <v>4072.3203724732625</v>
      </c>
      <c r="J170" s="42">
        <f>4332.14239693372*Deflactores!$Z$5</f>
        <v>4468.7897522807389</v>
      </c>
      <c r="K170" s="42">
        <f>141.99301756578*Deflactores!$AA$5</f>
        <v>141.99301756578001</v>
      </c>
    </row>
    <row r="171" spans="1:11" x14ac:dyDescent="0.2">
      <c r="C171" s="79" t="s">
        <v>179</v>
      </c>
      <c r="D171" s="44">
        <f t="shared" ref="D171:K171" si="6">+SUM(D140:D170)</f>
        <v>214485.9756699813</v>
      </c>
      <c r="E171" s="44">
        <f t="shared" si="6"/>
        <v>257117.12284081438</v>
      </c>
      <c r="F171" s="44">
        <f t="shared" si="6"/>
        <v>272396.03599653952</v>
      </c>
      <c r="G171" s="44">
        <f t="shared" si="6"/>
        <v>225282.20174683741</v>
      </c>
      <c r="H171" s="44">
        <f t="shared" si="6"/>
        <v>259266.73212931375</v>
      </c>
      <c r="I171" s="44">
        <f t="shared" si="6"/>
        <v>269280.25279223896</v>
      </c>
      <c r="J171" s="44">
        <f t="shared" si="6"/>
        <v>291003.36046502198</v>
      </c>
      <c r="K171" s="44">
        <f t="shared" si="6"/>
        <v>38361.866622298083</v>
      </c>
    </row>
    <row r="172" spans="1:11" s="31" customFormat="1" x14ac:dyDescent="0.2">
      <c r="A172" s="5"/>
      <c r="B172" s="5"/>
      <c r="C172" s="72" t="str">
        <f>+'C1 Aprop Resumen 2000-2026'!B20</f>
        <v>* Información con corte a 28 de febrero</v>
      </c>
      <c r="D172" s="121">
        <f>+D171-'C6 Ejec. Nac 19-26'!D79</f>
        <v>8.149072527885437E-10</v>
      </c>
      <c r="E172" s="121">
        <f>+E171-'C6 Ejec. Nac 19-26'!E79</f>
        <v>1.0477378964424133E-9</v>
      </c>
      <c r="F172" s="121">
        <f>+F171-'C6 Ejec. Nac 19-26'!F79</f>
        <v>0</v>
      </c>
      <c r="G172" s="121">
        <f>+G171-'C6 Ejec. Nac 19-26'!G79</f>
        <v>0</v>
      </c>
      <c r="H172" s="121">
        <f>+H171-'C6 Ejec. Nac 19-26'!H79</f>
        <v>5.2386894822120667E-10</v>
      </c>
      <c r="I172" s="121">
        <f>+I171-'C6 Ejec. Nac 19-26'!I79</f>
        <v>5.2386894822120667E-10</v>
      </c>
      <c r="J172" s="121">
        <f>+J171-'C6 Ejec. Nac 19-26'!J79</f>
        <v>0</v>
      </c>
      <c r="K172" s="121">
        <f>+K171-'C6 Ejec. Nac 19-26'!K79</f>
        <v>-6.5483618527650833E-11</v>
      </c>
    </row>
    <row r="173" spans="1:11" x14ac:dyDescent="0.2">
      <c r="C173" s="1" t="s">
        <v>52</v>
      </c>
      <c r="D173" s="11"/>
      <c r="E173" s="11"/>
      <c r="F173" s="11"/>
    </row>
    <row r="174" spans="1:11" x14ac:dyDescent="0.2">
      <c r="B174" s="9"/>
      <c r="D174" s="11"/>
      <c r="E174" s="11"/>
      <c r="F174" s="11"/>
    </row>
    <row r="175" spans="1:11" x14ac:dyDescent="0.2">
      <c r="D175" s="11"/>
      <c r="E175" s="11"/>
      <c r="F175" s="11"/>
    </row>
    <row r="176" spans="1:11" x14ac:dyDescent="0.2">
      <c r="D176" s="11"/>
      <c r="E176" s="11"/>
      <c r="F176" s="11"/>
    </row>
    <row r="177" spans="3:12" ht="18" customHeight="1" x14ac:dyDescent="0.2">
      <c r="D177" s="160" t="s">
        <v>191</v>
      </c>
      <c r="E177" s="178"/>
      <c r="F177" s="178"/>
      <c r="G177" s="178"/>
      <c r="H177" s="178"/>
      <c r="I177" s="178"/>
      <c r="J177" s="178"/>
      <c r="K177" s="178"/>
      <c r="L177" s="178"/>
    </row>
    <row r="178" spans="3:12" ht="3.75" customHeight="1" x14ac:dyDescent="0.2">
      <c r="D178" s="28"/>
      <c r="E178" s="28"/>
      <c r="F178" s="28"/>
    </row>
    <row r="179" spans="3:12" x14ac:dyDescent="0.2">
      <c r="D179" s="29"/>
      <c r="E179" s="29"/>
      <c r="F179" s="29"/>
    </row>
    <row r="180" spans="3:12" x14ac:dyDescent="0.2">
      <c r="C180" s="177" t="s">
        <v>120</v>
      </c>
      <c r="D180" s="153">
        <v>2019</v>
      </c>
      <c r="E180" s="153">
        <v>2020</v>
      </c>
      <c r="F180" s="153">
        <v>2021</v>
      </c>
      <c r="G180" s="153">
        <v>2022</v>
      </c>
      <c r="H180" s="153">
        <v>2023</v>
      </c>
      <c r="I180" s="153">
        <v>2024</v>
      </c>
      <c r="J180" s="153">
        <v>2025</v>
      </c>
      <c r="K180" s="153" t="s">
        <v>36</v>
      </c>
    </row>
    <row r="181" spans="3:12" ht="12" customHeight="1" thickBot="1" x14ac:dyDescent="0.25">
      <c r="C181" s="156"/>
      <c r="D181" s="154"/>
      <c r="E181" s="154"/>
      <c r="F181" s="154"/>
      <c r="G181" s="154"/>
      <c r="H181" s="154"/>
      <c r="I181" s="154"/>
      <c r="J181" s="154"/>
      <c r="K181" s="154"/>
    </row>
    <row r="182" spans="3:12" x14ac:dyDescent="0.2">
      <c r="C182" s="87" t="s">
        <v>123</v>
      </c>
      <c r="D182" s="47">
        <f t="shared" ref="D182:K191" si="7">+IFERROR(IF(D140&gt;0,+((D140/D14)*100)," "),"")</f>
        <v>74.725217264448872</v>
      </c>
      <c r="E182" s="47">
        <f t="shared" si="7"/>
        <v>80.523627460160924</v>
      </c>
      <c r="F182" s="47">
        <f t="shared" si="7"/>
        <v>92.710622108358905</v>
      </c>
      <c r="G182" s="47">
        <f t="shared" si="7"/>
        <v>91.717086564565477</v>
      </c>
      <c r="H182" s="47">
        <f t="shared" si="7"/>
        <v>75.980662378800915</v>
      </c>
      <c r="I182" s="47">
        <f t="shared" si="7"/>
        <v>76.999403589772911</v>
      </c>
      <c r="J182" s="47">
        <f t="shared" si="7"/>
        <v>91.281731680868347</v>
      </c>
      <c r="K182" s="47">
        <f t="shared" si="7"/>
        <v>8.1688875680672695</v>
      </c>
    </row>
    <row r="183" spans="3:12" x14ac:dyDescent="0.2">
      <c r="C183" s="88" t="s">
        <v>124</v>
      </c>
      <c r="D183" s="116">
        <f t="shared" si="7"/>
        <v>95.198004377106642</v>
      </c>
      <c r="E183" s="116">
        <f t="shared" si="7"/>
        <v>96.375538249048205</v>
      </c>
      <c r="F183" s="116">
        <f t="shared" si="7"/>
        <v>92.690414549037285</v>
      </c>
      <c r="G183" s="116">
        <f t="shared" si="7"/>
        <v>91.261866401936771</v>
      </c>
      <c r="H183" s="116">
        <f t="shared" si="7"/>
        <v>94.53849398590728</v>
      </c>
      <c r="I183" s="116">
        <f t="shared" si="7"/>
        <v>95.883530322462249</v>
      </c>
      <c r="J183" s="116">
        <f t="shared" si="7"/>
        <v>97.489218306046638</v>
      </c>
      <c r="K183" s="116">
        <f t="shared" si="7"/>
        <v>19.262904834195997</v>
      </c>
    </row>
    <row r="184" spans="3:12" x14ac:dyDescent="0.2">
      <c r="C184" s="87" t="s">
        <v>125</v>
      </c>
      <c r="D184" s="47">
        <f t="shared" si="7"/>
        <v>95.122909680239729</v>
      </c>
      <c r="E184" s="47">
        <f t="shared" si="7"/>
        <v>90.811134757164439</v>
      </c>
      <c r="F184" s="47">
        <f t="shared" si="7"/>
        <v>94.850996911981227</v>
      </c>
      <c r="G184" s="47">
        <f t="shared" si="7"/>
        <v>86.826685511570219</v>
      </c>
      <c r="H184" s="47">
        <f t="shared" si="7"/>
        <v>94.01225793248021</v>
      </c>
      <c r="I184" s="47">
        <f t="shared" si="7"/>
        <v>94.226930002660907</v>
      </c>
      <c r="J184" s="47">
        <f t="shared" si="7"/>
        <v>90.147929508342244</v>
      </c>
      <c r="K184" s="47">
        <f t="shared" si="7"/>
        <v>8.8404954410609644</v>
      </c>
    </row>
    <row r="185" spans="3:12" x14ac:dyDescent="0.2">
      <c r="C185" s="88" t="s">
        <v>126</v>
      </c>
      <c r="D185" s="116">
        <f t="shared" si="7"/>
        <v>90.570827895108721</v>
      </c>
      <c r="E185" s="116">
        <f t="shared" si="7"/>
        <v>96.294718568097721</v>
      </c>
      <c r="F185" s="116">
        <f t="shared" si="7"/>
        <v>94.182809857055432</v>
      </c>
      <c r="G185" s="116">
        <f t="shared" si="7"/>
        <v>98.268321515208186</v>
      </c>
      <c r="H185" s="116">
        <f t="shared" si="7"/>
        <v>96.242334681605755</v>
      </c>
      <c r="I185" s="116">
        <f t="shared" si="7"/>
        <v>69.843003456152488</v>
      </c>
      <c r="J185" s="116">
        <f t="shared" si="7"/>
        <v>89.462530226852138</v>
      </c>
      <c r="K185" s="116">
        <f t="shared" si="7"/>
        <v>7.1683991218487471</v>
      </c>
    </row>
    <row r="186" spans="3:12" x14ac:dyDescent="0.2">
      <c r="C186" s="87" t="s">
        <v>127</v>
      </c>
      <c r="D186" s="47">
        <f t="shared" si="7"/>
        <v>95.907207545724816</v>
      </c>
      <c r="E186" s="47">
        <f t="shared" si="7"/>
        <v>94.588960814732332</v>
      </c>
      <c r="F186" s="47">
        <f t="shared" si="7"/>
        <v>93.898056337318522</v>
      </c>
      <c r="G186" s="47">
        <f t="shared" si="7"/>
        <v>94.8170746104676</v>
      </c>
      <c r="H186" s="47">
        <f t="shared" si="7"/>
        <v>94.075512625851971</v>
      </c>
      <c r="I186" s="47">
        <f t="shared" si="7"/>
        <v>86.306266862421978</v>
      </c>
      <c r="J186" s="47">
        <f t="shared" si="7"/>
        <v>80.284837329113145</v>
      </c>
      <c r="K186" s="47">
        <f t="shared" si="7"/>
        <v>13.143379492002804</v>
      </c>
    </row>
    <row r="187" spans="3:12" x14ac:dyDescent="0.2">
      <c r="C187" s="88" t="s">
        <v>128</v>
      </c>
      <c r="D187" s="116">
        <f t="shared" si="7"/>
        <v>97.507247263999759</v>
      </c>
      <c r="E187" s="116">
        <f t="shared" si="7"/>
        <v>97.171927445247434</v>
      </c>
      <c r="F187" s="116">
        <f t="shared" si="7"/>
        <v>89.41315078662268</v>
      </c>
      <c r="G187" s="116">
        <f t="shared" si="7"/>
        <v>93.535147386096114</v>
      </c>
      <c r="H187" s="116">
        <f t="shared" si="7"/>
        <v>91.663697377590267</v>
      </c>
      <c r="I187" s="116">
        <f t="shared" si="7"/>
        <v>93.196143149557997</v>
      </c>
      <c r="J187" s="116">
        <f t="shared" si="7"/>
        <v>90.729215464229895</v>
      </c>
      <c r="K187" s="116">
        <f t="shared" si="7"/>
        <v>5.0438707428560887</v>
      </c>
    </row>
    <row r="188" spans="3:12" x14ac:dyDescent="0.2">
      <c r="C188" s="87" t="s">
        <v>129</v>
      </c>
      <c r="D188" s="47">
        <f t="shared" si="7"/>
        <v>97.625317570981977</v>
      </c>
      <c r="E188" s="47">
        <f t="shared" si="7"/>
        <v>97.811024549065735</v>
      </c>
      <c r="F188" s="47">
        <f t="shared" si="7"/>
        <v>96.785087245854868</v>
      </c>
      <c r="G188" s="47">
        <f t="shared" si="7"/>
        <v>96.787639416612393</v>
      </c>
      <c r="H188" s="47">
        <f t="shared" si="7"/>
        <v>96.013343960039933</v>
      </c>
      <c r="I188" s="47">
        <f t="shared" si="7"/>
        <v>93.277331799145031</v>
      </c>
      <c r="J188" s="47">
        <f t="shared" si="7"/>
        <v>94.377634166440117</v>
      </c>
      <c r="K188" s="47">
        <f t="shared" si="7"/>
        <v>12.740413930492972</v>
      </c>
    </row>
    <row r="189" spans="3:12" x14ac:dyDescent="0.2">
      <c r="C189" s="88" t="s">
        <v>130</v>
      </c>
      <c r="D189" s="116">
        <f t="shared" si="7"/>
        <v>93.531782249009296</v>
      </c>
      <c r="E189" s="116">
        <f t="shared" si="7"/>
        <v>94.783026652524129</v>
      </c>
      <c r="F189" s="116">
        <f t="shared" si="7"/>
        <v>89.394584068622095</v>
      </c>
      <c r="G189" s="116">
        <f t="shared" si="7"/>
        <v>92.17090053874665</v>
      </c>
      <c r="H189" s="116">
        <f t="shared" si="7"/>
        <v>83.374166406582532</v>
      </c>
      <c r="I189" s="116">
        <f t="shared" si="7"/>
        <v>93.023513732877703</v>
      </c>
      <c r="J189" s="116">
        <f t="shared" si="7"/>
        <v>89.901315579483793</v>
      </c>
      <c r="K189" s="116">
        <f t="shared" si="7"/>
        <v>9.8654667564499903</v>
      </c>
    </row>
    <row r="190" spans="3:12" x14ac:dyDescent="0.2">
      <c r="C190" s="87" t="s">
        <v>131</v>
      </c>
      <c r="D190" s="47">
        <f t="shared" si="7"/>
        <v>99.941415984595409</v>
      </c>
      <c r="E190" s="47">
        <f t="shared" si="7"/>
        <v>99.97284091870408</v>
      </c>
      <c r="F190" s="47">
        <f t="shared" si="7"/>
        <v>99.943741098616954</v>
      </c>
      <c r="G190" s="47">
        <f t="shared" si="7"/>
        <v>99.905183390565881</v>
      </c>
      <c r="H190" s="47">
        <f t="shared" si="7"/>
        <v>99.000974709390817</v>
      </c>
      <c r="I190" s="47">
        <f t="shared" si="7"/>
        <v>99.681072497155867</v>
      </c>
      <c r="J190" s="47">
        <f t="shared" si="7"/>
        <v>97.937538563214758</v>
      </c>
      <c r="K190" s="47">
        <f t="shared" si="7"/>
        <v>15.582366655844062</v>
      </c>
    </row>
    <row r="191" spans="3:12" x14ac:dyDescent="0.2">
      <c r="C191" s="88" t="s">
        <v>132</v>
      </c>
      <c r="D191" s="116">
        <f t="shared" si="7"/>
        <v>88.115008340052142</v>
      </c>
      <c r="E191" s="116">
        <f t="shared" si="7"/>
        <v>89.317087689615263</v>
      </c>
      <c r="F191" s="116">
        <f t="shared" si="7"/>
        <v>93.648648416858165</v>
      </c>
      <c r="G191" s="116">
        <f t="shared" si="7"/>
        <v>91.869165296094693</v>
      </c>
      <c r="H191" s="116">
        <f t="shared" si="7"/>
        <v>97.05976652593688</v>
      </c>
      <c r="I191" s="116">
        <f t="shared" si="7"/>
        <v>94.059761103604117</v>
      </c>
      <c r="J191" s="116">
        <f t="shared" si="7"/>
        <v>91.024887214099437</v>
      </c>
      <c r="K191" s="116">
        <f t="shared" si="7"/>
        <v>11.895899411226537</v>
      </c>
    </row>
    <row r="192" spans="3:12" x14ac:dyDescent="0.2">
      <c r="C192" s="87" t="s">
        <v>133</v>
      </c>
      <c r="D192" s="47">
        <f t="shared" ref="D192:K201" si="8">+IFERROR(IF(D150&gt;0,+((D150/D24)*100)," "),"")</f>
        <v>95.488715314069196</v>
      </c>
      <c r="E192" s="47">
        <f t="shared" si="8"/>
        <v>95.456534498567933</v>
      </c>
      <c r="F192" s="47">
        <f t="shared" si="8"/>
        <v>92.500377457084511</v>
      </c>
      <c r="G192" s="47">
        <f t="shared" si="8"/>
        <v>95.237278642345814</v>
      </c>
      <c r="H192" s="47">
        <f t="shared" si="8"/>
        <v>95.490630411552971</v>
      </c>
      <c r="I192" s="47">
        <f t="shared" si="8"/>
        <v>93.878753581829926</v>
      </c>
      <c r="J192" s="47">
        <f t="shared" si="8"/>
        <v>93.862217935357819</v>
      </c>
      <c r="K192" s="47">
        <f t="shared" si="8"/>
        <v>11.569369126004139</v>
      </c>
    </row>
    <row r="193" spans="3:11" x14ac:dyDescent="0.2">
      <c r="C193" s="88" t="s">
        <v>134</v>
      </c>
      <c r="D193" s="116">
        <f t="shared" si="8"/>
        <v>91.59860887464859</v>
      </c>
      <c r="E193" s="116">
        <f t="shared" si="8"/>
        <v>41.661137688113179</v>
      </c>
      <c r="F193" s="116">
        <f t="shared" si="8"/>
        <v>81.884065242019304</v>
      </c>
      <c r="G193" s="116">
        <f t="shared" si="8"/>
        <v>83.561656694231502</v>
      </c>
      <c r="H193" s="116">
        <f t="shared" si="8"/>
        <v>89.52710164869103</v>
      </c>
      <c r="I193" s="116">
        <f t="shared" si="8"/>
        <v>74.160604691793338</v>
      </c>
      <c r="J193" s="116">
        <f t="shared" si="8"/>
        <v>74.434129149722395</v>
      </c>
      <c r="K193" s="116">
        <f t="shared" si="8"/>
        <v>6.5843456548732275</v>
      </c>
    </row>
    <row r="194" spans="3:11" x14ac:dyDescent="0.2">
      <c r="C194" s="87" t="s">
        <v>135</v>
      </c>
      <c r="D194" s="47" t="str">
        <f t="shared" si="8"/>
        <v xml:space="preserve"> </v>
      </c>
      <c r="E194" s="47" t="str">
        <f t="shared" si="8"/>
        <v xml:space="preserve"> </v>
      </c>
      <c r="F194" s="47" t="str">
        <f t="shared" si="8"/>
        <v xml:space="preserve"> </v>
      </c>
      <c r="G194" s="47" t="str">
        <f t="shared" si="8"/>
        <v xml:space="preserve"> </v>
      </c>
      <c r="H194" s="47">
        <f t="shared" si="8"/>
        <v>0.58282805051800002</v>
      </c>
      <c r="I194" s="47">
        <f t="shared" si="8"/>
        <v>4.8861210663084442</v>
      </c>
      <c r="J194" s="47">
        <f t="shared" si="8"/>
        <v>92.242077906476439</v>
      </c>
      <c r="K194" s="47">
        <f t="shared" si="8"/>
        <v>4.2462581516234952</v>
      </c>
    </row>
    <row r="195" spans="3:11" x14ac:dyDescent="0.2">
      <c r="C195" s="88" t="s">
        <v>136</v>
      </c>
      <c r="D195" s="116">
        <f t="shared" si="8"/>
        <v>97.077028644735336</v>
      </c>
      <c r="E195" s="116">
        <f t="shared" si="8"/>
        <v>98.472348115831878</v>
      </c>
      <c r="F195" s="116">
        <f t="shared" si="8"/>
        <v>97.889854753450649</v>
      </c>
      <c r="G195" s="116">
        <f t="shared" si="8"/>
        <v>96.395365110959773</v>
      </c>
      <c r="H195" s="116">
        <f t="shared" si="8"/>
        <v>93.96805351203858</v>
      </c>
      <c r="I195" s="116">
        <f t="shared" si="8"/>
        <v>49.519498186881769</v>
      </c>
      <c r="J195" s="116">
        <f t="shared" si="8"/>
        <v>54.515797322027936</v>
      </c>
      <c r="K195" s="116">
        <f t="shared" si="8"/>
        <v>2.7687539010045192</v>
      </c>
    </row>
    <row r="196" spans="3:11" x14ac:dyDescent="0.2">
      <c r="C196" s="87" t="s">
        <v>137</v>
      </c>
      <c r="D196" s="47">
        <f t="shared" si="8"/>
        <v>89.828832057574999</v>
      </c>
      <c r="E196" s="47">
        <f t="shared" si="8"/>
        <v>88.067276695213735</v>
      </c>
      <c r="F196" s="47">
        <f t="shared" si="8"/>
        <v>80.761988951222435</v>
      </c>
      <c r="G196" s="47">
        <f t="shared" si="8"/>
        <v>88.926707098704711</v>
      </c>
      <c r="H196" s="47">
        <f t="shared" si="8"/>
        <v>92.386249183769465</v>
      </c>
      <c r="I196" s="47">
        <f t="shared" si="8"/>
        <v>94.311035220271293</v>
      </c>
      <c r="J196" s="47">
        <f t="shared" si="8"/>
        <v>94.273897845035108</v>
      </c>
      <c r="K196" s="47">
        <f t="shared" si="8"/>
        <v>12.114370842827066</v>
      </c>
    </row>
    <row r="197" spans="3:11" x14ac:dyDescent="0.2">
      <c r="C197" s="88" t="s">
        <v>138</v>
      </c>
      <c r="D197" s="116">
        <f t="shared" si="8"/>
        <v>95.715796722991143</v>
      </c>
      <c r="E197" s="116">
        <f t="shared" si="8"/>
        <v>98.028113822928475</v>
      </c>
      <c r="F197" s="116">
        <f t="shared" si="8"/>
        <v>94.611263222058611</v>
      </c>
      <c r="G197" s="116">
        <f t="shared" si="8"/>
        <v>95.938834662402144</v>
      </c>
      <c r="H197" s="116">
        <f t="shared" si="8"/>
        <v>88.109589109918645</v>
      </c>
      <c r="I197" s="116">
        <f t="shared" si="8"/>
        <v>94.735834678813262</v>
      </c>
      <c r="J197" s="116">
        <f t="shared" si="8"/>
        <v>96.140341651529297</v>
      </c>
      <c r="K197" s="116">
        <f t="shared" si="8"/>
        <v>11.872307723846081</v>
      </c>
    </row>
    <row r="198" spans="3:11" x14ac:dyDescent="0.2">
      <c r="C198" s="87" t="s">
        <v>160</v>
      </c>
      <c r="D198" s="47">
        <f t="shared" si="8"/>
        <v>88.106363701449851</v>
      </c>
      <c r="E198" s="47">
        <f t="shared" si="8"/>
        <v>86.290605827033218</v>
      </c>
      <c r="F198" s="47">
        <f t="shared" si="8"/>
        <v>81.944172946829667</v>
      </c>
      <c r="G198" s="47">
        <f t="shared" si="8"/>
        <v>70.901304377829391</v>
      </c>
      <c r="H198" s="47">
        <f t="shared" si="8"/>
        <v>72.109248743917803</v>
      </c>
      <c r="I198" s="47">
        <f t="shared" si="8"/>
        <v>74.901499358616704</v>
      </c>
      <c r="J198" s="47">
        <f t="shared" si="8"/>
        <v>82.335650395643185</v>
      </c>
      <c r="K198" s="47">
        <f t="shared" si="8"/>
        <v>7.2450145546052154</v>
      </c>
    </row>
    <row r="199" spans="3:11" x14ac:dyDescent="0.2">
      <c r="C199" s="88" t="s">
        <v>161</v>
      </c>
      <c r="D199" s="116">
        <f t="shared" si="8"/>
        <v>84.492389211268105</v>
      </c>
      <c r="E199" s="116">
        <f t="shared" si="8"/>
        <v>88.640912641892328</v>
      </c>
      <c r="F199" s="116">
        <f t="shared" si="8"/>
        <v>74.541139458995886</v>
      </c>
      <c r="G199" s="116">
        <f t="shared" si="8"/>
        <v>77.408067333616671</v>
      </c>
      <c r="H199" s="116">
        <f t="shared" si="8"/>
        <v>82.951432673890238</v>
      </c>
      <c r="I199" s="116">
        <f t="shared" si="8"/>
        <v>87.599823726793602</v>
      </c>
      <c r="J199" s="116">
        <f t="shared" si="8"/>
        <v>87.78182431252327</v>
      </c>
      <c r="K199" s="116">
        <f t="shared" si="8"/>
        <v>8.1028840389235484</v>
      </c>
    </row>
    <row r="200" spans="3:11" x14ac:dyDescent="0.2">
      <c r="C200" s="87" t="s">
        <v>140</v>
      </c>
      <c r="D200" s="47">
        <f t="shared" si="8"/>
        <v>92.216303273072</v>
      </c>
      <c r="E200" s="47">
        <f t="shared" si="8"/>
        <v>89.603559157303224</v>
      </c>
      <c r="F200" s="47">
        <f t="shared" si="8"/>
        <v>90.272392870577733</v>
      </c>
      <c r="G200" s="47">
        <f t="shared" si="8"/>
        <v>93.65285831092605</v>
      </c>
      <c r="H200" s="47">
        <f t="shared" si="8"/>
        <v>89.243833460311819</v>
      </c>
      <c r="I200" s="47">
        <f t="shared" si="8"/>
        <v>84.734354393415018</v>
      </c>
      <c r="J200" s="47">
        <f t="shared" si="8"/>
        <v>88.00162722773419</v>
      </c>
      <c r="K200" s="47">
        <f t="shared" si="8"/>
        <v>19.767900314854703</v>
      </c>
    </row>
    <row r="201" spans="3:11" x14ac:dyDescent="0.2">
      <c r="C201" s="88" t="s">
        <v>141</v>
      </c>
      <c r="D201" s="116">
        <f t="shared" si="8"/>
        <v>92.350290286283411</v>
      </c>
      <c r="E201" s="116">
        <f t="shared" si="8"/>
        <v>83.365421390650113</v>
      </c>
      <c r="F201" s="116">
        <f t="shared" si="8"/>
        <v>87.671974699148336</v>
      </c>
      <c r="G201" s="116">
        <f t="shared" si="8"/>
        <v>92.239343560044034</v>
      </c>
      <c r="H201" s="116">
        <f t="shared" si="8"/>
        <v>86.740429594551927</v>
      </c>
      <c r="I201" s="116">
        <f t="shared" si="8"/>
        <v>90.06328269667614</v>
      </c>
      <c r="J201" s="116">
        <f t="shared" si="8"/>
        <v>93.548471190694258</v>
      </c>
      <c r="K201" s="116">
        <f t="shared" si="8"/>
        <v>11.028140363938286</v>
      </c>
    </row>
    <row r="202" spans="3:11" x14ac:dyDescent="0.2">
      <c r="C202" s="87" t="s">
        <v>142</v>
      </c>
      <c r="D202" s="47">
        <f t="shared" ref="D202:K211" si="9">+IFERROR(IF(D160&gt;0,+((D160/D34)*100)," "),"")</f>
        <v>94.420351456559516</v>
      </c>
      <c r="E202" s="47">
        <f t="shared" si="9"/>
        <v>94.212680015837705</v>
      </c>
      <c r="F202" s="47">
        <f t="shared" si="9"/>
        <v>80.47519050118936</v>
      </c>
      <c r="G202" s="47">
        <f t="shared" si="9"/>
        <v>93.540175891113435</v>
      </c>
      <c r="H202" s="47">
        <f t="shared" si="9"/>
        <v>90.380315085443868</v>
      </c>
      <c r="I202" s="47">
        <f t="shared" si="9"/>
        <v>90.531202398137864</v>
      </c>
      <c r="J202" s="47">
        <f t="shared" si="9"/>
        <v>85.018783941246937</v>
      </c>
      <c r="K202" s="47">
        <f t="shared" si="9"/>
        <v>22.713289283531132</v>
      </c>
    </row>
    <row r="203" spans="3:11" x14ac:dyDescent="0.2">
      <c r="C203" s="88" t="s">
        <v>143</v>
      </c>
      <c r="D203" s="116">
        <f t="shared" si="9"/>
        <v>43.309879343349174</v>
      </c>
      <c r="E203" s="116">
        <f t="shared" si="9"/>
        <v>37.48554878268834</v>
      </c>
      <c r="F203" s="116">
        <f t="shared" si="9"/>
        <v>56.352553108583059</v>
      </c>
      <c r="G203" s="116">
        <f t="shared" si="9"/>
        <v>19.369423027084764</v>
      </c>
      <c r="H203" s="116">
        <f t="shared" si="9"/>
        <v>22.313979381968522</v>
      </c>
      <c r="I203" s="116">
        <f t="shared" si="9"/>
        <v>33.774696654023209</v>
      </c>
      <c r="J203" s="116">
        <f t="shared" si="9"/>
        <v>37.086238859915937</v>
      </c>
      <c r="K203" s="116">
        <f t="shared" si="9"/>
        <v>3.0458043909114352</v>
      </c>
    </row>
    <row r="204" spans="3:11" x14ac:dyDescent="0.2">
      <c r="C204" s="87" t="s">
        <v>144</v>
      </c>
      <c r="D204" s="47">
        <f t="shared" si="9"/>
        <v>95.68540732532017</v>
      </c>
      <c r="E204" s="47">
        <f t="shared" si="9"/>
        <v>93.808135668950868</v>
      </c>
      <c r="F204" s="47">
        <f t="shared" si="9"/>
        <v>94.312895963805829</v>
      </c>
      <c r="G204" s="47">
        <f t="shared" si="9"/>
        <v>94.93669770178586</v>
      </c>
      <c r="H204" s="47">
        <f t="shared" si="9"/>
        <v>87.317600501419577</v>
      </c>
      <c r="I204" s="47">
        <f t="shared" si="9"/>
        <v>93.526775975854491</v>
      </c>
      <c r="J204" s="47">
        <f t="shared" si="9"/>
        <v>92.649004564731257</v>
      </c>
      <c r="K204" s="47">
        <f t="shared" si="9"/>
        <v>10.989123952744224</v>
      </c>
    </row>
    <row r="205" spans="3:11" x14ac:dyDescent="0.2">
      <c r="C205" s="88" t="s">
        <v>145</v>
      </c>
      <c r="D205" s="116">
        <f t="shared" si="9"/>
        <v>92.205727776210864</v>
      </c>
      <c r="E205" s="116">
        <f t="shared" si="9"/>
        <v>93.249037338169643</v>
      </c>
      <c r="F205" s="116">
        <f t="shared" si="9"/>
        <v>85.553407739243639</v>
      </c>
      <c r="G205" s="116">
        <f t="shared" si="9"/>
        <v>93.581883720472419</v>
      </c>
      <c r="H205" s="116">
        <f t="shared" si="9"/>
        <v>79.799421801172628</v>
      </c>
      <c r="I205" s="116">
        <f t="shared" si="9"/>
        <v>58.15687453415179</v>
      </c>
      <c r="J205" s="116">
        <f t="shared" si="9"/>
        <v>72.661795906684347</v>
      </c>
      <c r="K205" s="116">
        <f t="shared" si="9"/>
        <v>2.9214165786145641</v>
      </c>
    </row>
    <row r="206" spans="3:11" x14ac:dyDescent="0.2">
      <c r="C206" s="87" t="s">
        <v>146</v>
      </c>
      <c r="D206" s="47">
        <f t="shared" si="9"/>
        <v>94.395285495042316</v>
      </c>
      <c r="E206" s="47">
        <f t="shared" si="9"/>
        <v>90.505361720241609</v>
      </c>
      <c r="F206" s="47">
        <f t="shared" si="9"/>
        <v>90.839212319687803</v>
      </c>
      <c r="G206" s="47">
        <f t="shared" si="9"/>
        <v>94.87297514582778</v>
      </c>
      <c r="H206" s="47">
        <f t="shared" si="9"/>
        <v>92.783605372259018</v>
      </c>
      <c r="I206" s="47">
        <f t="shared" si="9"/>
        <v>91.334215730151115</v>
      </c>
      <c r="J206" s="47">
        <f t="shared" si="9"/>
        <v>91.887921649333066</v>
      </c>
      <c r="K206" s="47">
        <f t="shared" si="9"/>
        <v>15.132731751106007</v>
      </c>
    </row>
    <row r="207" spans="3:11" x14ac:dyDescent="0.2">
      <c r="C207" s="88" t="s">
        <v>162</v>
      </c>
      <c r="D207" s="116">
        <f t="shared" si="9"/>
        <v>99.61117724903103</v>
      </c>
      <c r="E207" s="116">
        <f t="shared" si="9"/>
        <v>97.484190137437949</v>
      </c>
      <c r="F207" s="116">
        <f t="shared" si="9"/>
        <v>99.464259321187427</v>
      </c>
      <c r="G207" s="116">
        <f t="shared" si="9"/>
        <v>99.895956166317987</v>
      </c>
      <c r="H207" s="116">
        <f t="shared" si="9"/>
        <v>94.07443657222953</v>
      </c>
      <c r="I207" s="116">
        <f t="shared" si="9"/>
        <v>95.813526515114944</v>
      </c>
      <c r="J207" s="116">
        <f t="shared" si="9"/>
        <v>97.925997980149731</v>
      </c>
      <c r="K207" s="116">
        <f t="shared" si="9"/>
        <v>13.74968861386869</v>
      </c>
    </row>
    <row r="208" spans="3:11" x14ac:dyDescent="0.2">
      <c r="C208" s="87" t="s">
        <v>148</v>
      </c>
      <c r="D208" s="47">
        <f t="shared" si="9"/>
        <v>93.532884578094311</v>
      </c>
      <c r="E208" s="47">
        <f t="shared" si="9"/>
        <v>96.25071351802336</v>
      </c>
      <c r="F208" s="47">
        <f t="shared" si="9"/>
        <v>96.946058776895242</v>
      </c>
      <c r="G208" s="47">
        <f t="shared" si="9"/>
        <v>98.138786431149157</v>
      </c>
      <c r="H208" s="47">
        <f t="shared" si="9"/>
        <v>89.563425353192002</v>
      </c>
      <c r="I208" s="47">
        <f t="shared" si="9"/>
        <v>95.88318994093396</v>
      </c>
      <c r="J208" s="47">
        <f t="shared" si="9"/>
        <v>91.337649622032998</v>
      </c>
      <c r="K208" s="47">
        <f t="shared" si="9"/>
        <v>13.791568439774901</v>
      </c>
    </row>
    <row r="209" spans="1:12" x14ac:dyDescent="0.2">
      <c r="C209" s="88" t="s">
        <v>149</v>
      </c>
      <c r="D209" s="116">
        <f t="shared" si="9"/>
        <v>91.917491754497945</v>
      </c>
      <c r="E209" s="116">
        <f t="shared" si="9"/>
        <v>98.374462350665439</v>
      </c>
      <c r="F209" s="116">
        <f t="shared" si="9"/>
        <v>80.131535169235917</v>
      </c>
      <c r="G209" s="116">
        <f t="shared" si="9"/>
        <v>87.685846951981858</v>
      </c>
      <c r="H209" s="116">
        <f t="shared" si="9"/>
        <v>86.956893440752154</v>
      </c>
      <c r="I209" s="116">
        <f t="shared" si="9"/>
        <v>94.142217812476062</v>
      </c>
      <c r="J209" s="116">
        <f t="shared" si="9"/>
        <v>79.376326638443317</v>
      </c>
      <c r="K209" s="116">
        <f t="shared" si="9"/>
        <v>10.295057195666764</v>
      </c>
    </row>
    <row r="210" spans="1:12" x14ac:dyDescent="0.2">
      <c r="C210" s="87" t="s">
        <v>163</v>
      </c>
      <c r="D210" s="47">
        <f t="shared" si="9"/>
        <v>79.776734757412072</v>
      </c>
      <c r="E210" s="47">
        <f t="shared" si="9"/>
        <v>86.25433571223094</v>
      </c>
      <c r="F210" s="47">
        <f t="shared" si="9"/>
        <v>94.051546478178395</v>
      </c>
      <c r="G210" s="47">
        <f t="shared" si="9"/>
        <v>60.699174561992578</v>
      </c>
      <c r="H210" s="47">
        <f t="shared" si="9"/>
        <v>75.340395786684795</v>
      </c>
      <c r="I210" s="47">
        <f t="shared" si="9"/>
        <v>80.106172322246167</v>
      </c>
      <c r="J210" s="47">
        <f t="shared" si="9"/>
        <v>85.832419365393136</v>
      </c>
      <c r="K210" s="47">
        <f t="shared" si="9"/>
        <v>3.5209697426447777</v>
      </c>
    </row>
    <row r="211" spans="1:12" x14ac:dyDescent="0.2">
      <c r="C211" s="88" t="s">
        <v>150</v>
      </c>
      <c r="D211" s="116">
        <f t="shared" si="9"/>
        <v>83.878900094524326</v>
      </c>
      <c r="E211" s="116">
        <f t="shared" si="9"/>
        <v>85.829758353569048</v>
      </c>
      <c r="F211" s="116">
        <f t="shared" si="9"/>
        <v>90.508820546960749</v>
      </c>
      <c r="G211" s="116">
        <f t="shared" si="9"/>
        <v>86.230583030534163</v>
      </c>
      <c r="H211" s="116">
        <f t="shared" si="9"/>
        <v>81.809120836510829</v>
      </c>
      <c r="I211" s="116">
        <f t="shared" si="9"/>
        <v>72.091516033076402</v>
      </c>
      <c r="J211" s="116">
        <f t="shared" si="9"/>
        <v>94.080644068601558</v>
      </c>
      <c r="K211" s="116">
        <f t="shared" si="9"/>
        <v>9.9783228732878744</v>
      </c>
    </row>
    <row r="212" spans="1:12" x14ac:dyDescent="0.2">
      <c r="C212" s="87" t="s">
        <v>151</v>
      </c>
      <c r="D212" s="47">
        <f t="shared" ref="D212:K213" si="10">+IFERROR(IF(D170&gt;0,+((D170/D44)*100)," "),"")</f>
        <v>99.56793011914543</v>
      </c>
      <c r="E212" s="47">
        <f t="shared" si="10"/>
        <v>98.639315522602161</v>
      </c>
      <c r="F212" s="47">
        <f t="shared" si="10"/>
        <v>99.258780807990917</v>
      </c>
      <c r="G212" s="47">
        <f t="shared" si="10"/>
        <v>99.698220975307208</v>
      </c>
      <c r="H212" s="47">
        <f t="shared" si="10"/>
        <v>99.404395731704881</v>
      </c>
      <c r="I212" s="47">
        <f t="shared" si="10"/>
        <v>99.522863946330332</v>
      </c>
      <c r="J212" s="47">
        <f t="shared" si="10"/>
        <v>99.767844425377632</v>
      </c>
      <c r="K212" s="47">
        <f t="shared" si="10"/>
        <v>3.0220143800064467</v>
      </c>
    </row>
    <row r="213" spans="1:12" x14ac:dyDescent="0.2">
      <c r="C213" s="91" t="s">
        <v>179</v>
      </c>
      <c r="D213" s="64">
        <f t="shared" si="10"/>
        <v>94.404928151170878</v>
      </c>
      <c r="E213" s="64">
        <f t="shared" si="10"/>
        <v>84.157490334955526</v>
      </c>
      <c r="F213" s="64">
        <f t="shared" si="10"/>
        <v>94.087989696853754</v>
      </c>
      <c r="G213" s="64">
        <f t="shared" si="10"/>
        <v>89.11746532757266</v>
      </c>
      <c r="H213" s="64">
        <f t="shared" si="10"/>
        <v>90.5684816498663</v>
      </c>
      <c r="I213" s="64">
        <f t="shared" si="10"/>
        <v>89.766984100902164</v>
      </c>
      <c r="J213" s="64">
        <f t="shared" si="10"/>
        <v>91.82796497715681</v>
      </c>
      <c r="K213" s="64">
        <f t="shared" si="10"/>
        <v>11.135176706526112</v>
      </c>
    </row>
    <row r="214" spans="1:12" s="31" customFormat="1" x14ac:dyDescent="0.2">
      <c r="A214" s="5"/>
      <c r="B214" s="5"/>
      <c r="C214" s="72" t="str">
        <f>+'C1 Aprop Resumen 2000-2026'!B20</f>
        <v>* Información con corte a 28 de febrero</v>
      </c>
      <c r="D214" s="47"/>
      <c r="E214" s="47"/>
      <c r="F214" s="47"/>
      <c r="G214" s="47"/>
      <c r="H214" s="47"/>
      <c r="I214" s="47"/>
    </row>
    <row r="215" spans="1:12" x14ac:dyDescent="0.2">
      <c r="C215" s="1" t="s">
        <v>52</v>
      </c>
      <c r="D215" s="11"/>
      <c r="E215" s="11"/>
      <c r="F215" s="11"/>
    </row>
    <row r="216" spans="1:12" x14ac:dyDescent="0.2">
      <c r="E216" s="3"/>
      <c r="F216" s="3"/>
    </row>
    <row r="217" spans="1:12" x14ac:dyDescent="0.2">
      <c r="E217" s="3"/>
      <c r="F217" s="3"/>
    </row>
    <row r="218" spans="1:12" x14ac:dyDescent="0.2">
      <c r="E218" s="3"/>
      <c r="F218" s="3"/>
    </row>
    <row r="219" spans="1:12" ht="18" customHeight="1" x14ac:dyDescent="0.2">
      <c r="D219" s="183" t="s">
        <v>192</v>
      </c>
      <c r="E219" s="178"/>
      <c r="F219" s="178"/>
      <c r="G219" s="178"/>
      <c r="H219" s="178"/>
      <c r="I219" s="178"/>
      <c r="J219" s="178"/>
      <c r="K219" s="178"/>
      <c r="L219" s="178"/>
    </row>
    <row r="220" spans="1:12" x14ac:dyDescent="0.2">
      <c r="C220" s="2"/>
      <c r="D220" s="2"/>
      <c r="E220" s="2"/>
      <c r="F220" s="2"/>
      <c r="G220" s="2"/>
      <c r="H220" s="2"/>
      <c r="I220" s="2"/>
    </row>
    <row r="221" spans="1:12" x14ac:dyDescent="0.2">
      <c r="C221" s="177" t="s">
        <v>120</v>
      </c>
      <c r="D221" s="153">
        <v>2019</v>
      </c>
      <c r="E221" s="153">
        <v>2020</v>
      </c>
      <c r="F221" s="153">
        <v>2021</v>
      </c>
      <c r="G221" s="153">
        <v>2022</v>
      </c>
      <c r="H221" s="153">
        <v>2023</v>
      </c>
      <c r="I221" s="153">
        <v>2024</v>
      </c>
      <c r="J221" s="153">
        <v>2025</v>
      </c>
      <c r="K221" s="153" t="s">
        <v>36</v>
      </c>
    </row>
    <row r="222" spans="1:12" ht="15.75" customHeight="1" thickBot="1" x14ac:dyDescent="0.25">
      <c r="C222" s="156"/>
      <c r="D222" s="154"/>
      <c r="E222" s="154"/>
      <c r="F222" s="154"/>
      <c r="G222" s="154"/>
      <c r="H222" s="154"/>
      <c r="I222" s="154"/>
      <c r="J222" s="154"/>
      <c r="K222" s="154"/>
    </row>
    <row r="223" spans="1:12" x14ac:dyDescent="0.2">
      <c r="C223" s="87" t="s">
        <v>123</v>
      </c>
      <c r="D223" s="42">
        <f>543.02381428038*Deflactores!$T$5</f>
        <v>821.65069734497615</v>
      </c>
      <c r="E223" s="42">
        <f>573.90733094228*Deflactores!$U$5</f>
        <v>854.62122229972647</v>
      </c>
      <c r="F223" s="42">
        <f>578.71635256596*Deflactores!$V$5</f>
        <v>815.92735175821849</v>
      </c>
      <c r="G223" s="42">
        <f>688.24175574509*Deflactores!$W$5</f>
        <v>857.80260156494273</v>
      </c>
      <c r="H223" s="42">
        <f>700.118345710039*Deflactores!$X$5</f>
        <v>798.50403091896726</v>
      </c>
      <c r="I223" s="42">
        <f>801.9228516142*Deflactores!$Y$5</f>
        <v>869.40574247310087</v>
      </c>
      <c r="J223" s="42">
        <f>759.43086650291*Deflactores!$Z$5</f>
        <v>783.38534675036658</v>
      </c>
      <c r="K223" s="42">
        <f>59.73047020195*Deflactores!$AA$5</f>
        <v>59.730470201949998</v>
      </c>
    </row>
    <row r="224" spans="1:12" x14ac:dyDescent="0.2">
      <c r="C224" s="88" t="s">
        <v>124</v>
      </c>
      <c r="D224" s="50">
        <f>273.20362468812*Deflactores!$T$5</f>
        <v>413.38509074348627</v>
      </c>
      <c r="E224" s="50">
        <f>302.731953769969*Deflactores!$U$5</f>
        <v>450.80649507524009</v>
      </c>
      <c r="F224" s="50">
        <f>332.2837689024*Deflactores!$V$5</f>
        <v>468.48411037749946</v>
      </c>
      <c r="G224" s="50">
        <f>335.898079173469*Deflactores!$W$5</f>
        <v>418.65266640751099</v>
      </c>
      <c r="H224" s="50">
        <f>405.77709283487*Deflactores!$X$5</f>
        <v>462.7998198713359</v>
      </c>
      <c r="I224" s="50">
        <f>484.63381586385*Deflactores!$Y$5</f>
        <v>525.41640590557483</v>
      </c>
      <c r="J224" s="50">
        <f>669.63559896893*Deflactores!$Z$5</f>
        <v>690.75769636584096</v>
      </c>
      <c r="K224" s="50">
        <f>111.69794539371*Deflactores!$AA$5</f>
        <v>111.69794539371</v>
      </c>
    </row>
    <row r="225" spans="3:11" x14ac:dyDescent="0.2">
      <c r="C225" s="87" t="s">
        <v>125</v>
      </c>
      <c r="D225" s="42">
        <f>22.25149053408*Deflactores!$T$5</f>
        <v>33.668786218005373</v>
      </c>
      <c r="E225" s="42">
        <f>21.95107669705*Deflactores!$U$5</f>
        <v>32.687953239465863</v>
      </c>
      <c r="F225" s="42">
        <f>24.25307473745*Deflactores!$V$5</f>
        <v>34.194207498683525</v>
      </c>
      <c r="G225" s="42">
        <f>23.96039671316*Deflactores!$W$5</f>
        <v>29.863475244720913</v>
      </c>
      <c r="H225" s="42">
        <f>25.56892056175*Deflactores!$X$5</f>
        <v>29.162049901860591</v>
      </c>
      <c r="I225" s="42">
        <f>25.32357174979*Deflactores!$Y$5</f>
        <v>27.454584508821299</v>
      </c>
      <c r="J225" s="42">
        <f>23.99464129079*Deflactores!$Z$5</f>
        <v>24.751496438766569</v>
      </c>
      <c r="K225" s="42">
        <f>2.76606440549*Deflactores!$AA$5</f>
        <v>2.7660644054899999</v>
      </c>
    </row>
    <row r="226" spans="3:11" x14ac:dyDescent="0.2">
      <c r="C226" s="88" t="s">
        <v>126</v>
      </c>
      <c r="D226" s="50">
        <f>407.595871002729*Deflactores!$T$5</f>
        <v>616.73433620611945</v>
      </c>
      <c r="E226" s="50">
        <f>496.58345123833*Deflactores!$U$5</f>
        <v>739.47610213363987</v>
      </c>
      <c r="F226" s="50">
        <f>408.45891409809*Deflactores!$V$5</f>
        <v>575.88281133650355</v>
      </c>
      <c r="G226" s="50">
        <f>402.01373598692*Deflactores!$W$5</f>
        <v>501.05711505558008</v>
      </c>
      <c r="H226" s="50">
        <f>473.59726467977*Deflactores!$X$5</f>
        <v>540.15057196575162</v>
      </c>
      <c r="I226" s="50">
        <f>536.78853533416*Deflactores!$Y$5</f>
        <v>581.96001544767535</v>
      </c>
      <c r="J226" s="50">
        <f>619.484416939449*Deflactores!$Z$5</f>
        <v>639.02461195090143</v>
      </c>
      <c r="K226" s="50">
        <f>70.27405635717*Deflactores!$AA$5</f>
        <v>70.274056357169997</v>
      </c>
    </row>
    <row r="227" spans="3:11" x14ac:dyDescent="0.2">
      <c r="C227" s="87" t="s">
        <v>127</v>
      </c>
      <c r="D227" s="42">
        <f>534.54812548138*Deflactores!$T$5</f>
        <v>808.82611133412843</v>
      </c>
      <c r="E227" s="42">
        <f>574.04592685615*Deflactores!$U$5</f>
        <v>854.82760929450967</v>
      </c>
      <c r="F227" s="42">
        <f>619.06556045522*Deflactores!$V$5</f>
        <v>872.81536294479247</v>
      </c>
      <c r="G227" s="42">
        <f>722.3133069686*Deflactores!$W$5</f>
        <v>900.26829771736425</v>
      </c>
      <c r="H227" s="42">
        <f>853.21862736429*Deflactores!$X$5</f>
        <v>973.11906962612352</v>
      </c>
      <c r="I227" s="42">
        <f>956.774522803159*Deflactores!$Y$5</f>
        <v>1037.2883909002421</v>
      </c>
      <c r="J227" s="42">
        <f>1096.79041804132*Deflactores!$Z$5</f>
        <v>1131.3861206436577</v>
      </c>
      <c r="K227" s="42">
        <f>145.81397864951*Deflactores!$AA$5</f>
        <v>145.81397864951001</v>
      </c>
    </row>
    <row r="228" spans="3:11" x14ac:dyDescent="0.2">
      <c r="C228" s="88" t="s">
        <v>128</v>
      </c>
      <c r="D228" s="50">
        <f>227.118611884309*Deflactores!$T$5</f>
        <v>343.65374211454349</v>
      </c>
      <c r="E228" s="50">
        <f>225.727638707829*Deflactores!$U$5</f>
        <v>336.1372474238662</v>
      </c>
      <c r="F228" s="50">
        <f>197.036787482599*Deflactores!$V$5</f>
        <v>277.80052092324479</v>
      </c>
      <c r="G228" s="50">
        <f>178.20416570913*Deflactores!$W$5</f>
        <v>222.10799574273349</v>
      </c>
      <c r="H228" s="50">
        <f>270.56885585278*Deflactores!$X$5</f>
        <v>308.5911451448485</v>
      </c>
      <c r="I228" s="50">
        <f>300.46375677697*Deflactores!$Y$5</f>
        <v>325.74818764812107</v>
      </c>
      <c r="J228" s="50">
        <f>306.28600848734*Deflactores!$Z$5</f>
        <v>315.94708820374387</v>
      </c>
      <c r="K228" s="50">
        <f>19.1727812553699*Deflactores!$AA$5</f>
        <v>19.172781255369902</v>
      </c>
    </row>
    <row r="229" spans="3:11" x14ac:dyDescent="0.2">
      <c r="C229" s="87" t="s">
        <v>129</v>
      </c>
      <c r="D229" s="42">
        <f>29514.9401043617*Deflactores!$T$5</f>
        <v>44659.130006999047</v>
      </c>
      <c r="E229" s="42">
        <f>31409.7792232463*Deflactores!$U$5</f>
        <v>46773.167835061249</v>
      </c>
      <c r="F229" s="42">
        <f>33266.4461325916*Deflactores!$V$5</f>
        <v>46902.084544568366</v>
      </c>
      <c r="G229" s="42">
        <f>36300.5069287367*Deflactores!$W$5</f>
        <v>45243.795543741559</v>
      </c>
      <c r="H229" s="42">
        <f>41510.2082578213*Deflactores!$X$5</f>
        <v>47343.522450537079</v>
      </c>
      <c r="I229" s="42">
        <f>46451.8398199497*Deflactores!$Y$5</f>
        <v>50360.824868143463</v>
      </c>
      <c r="J229" s="42">
        <f>51917.9186460419*Deflactores!$Z$5</f>
        <v>53555.548628640063</v>
      </c>
      <c r="K229" s="42">
        <f>7441.35995309418*Deflactores!$AA$5</f>
        <v>7441.3599530941801</v>
      </c>
    </row>
    <row r="230" spans="3:11" x14ac:dyDescent="0.2">
      <c r="C230" s="88" t="s">
        <v>130</v>
      </c>
      <c r="D230" s="50">
        <f>35.19635672401*Deflactores!$T$5</f>
        <v>53.255695764667749</v>
      </c>
      <c r="E230" s="50">
        <f>37.52763321301*Deflactores!$U$5</f>
        <v>55.883432807628665</v>
      </c>
      <c r="F230" s="50">
        <f>35.65260900663*Deflactores!$V$5</f>
        <v>50.266315650265398</v>
      </c>
      <c r="G230" s="50">
        <f>48.6718256948099*Deflactores!$W$5</f>
        <v>60.663013186004605</v>
      </c>
      <c r="H230" s="50">
        <f>47.58309044185*Deflactores!$X$5</f>
        <v>54.269809888877184</v>
      </c>
      <c r="I230" s="50">
        <f>60.11913009778*Deflactores!$Y$5</f>
        <v>65.178236078803167</v>
      </c>
      <c r="J230" s="50">
        <f>44.59167876021*Deflactores!$Z$5</f>
        <v>45.998219546445327</v>
      </c>
      <c r="K230" s="50">
        <f>5.34656097667*Deflactores!$AA$5</f>
        <v>5.3465609766700002</v>
      </c>
    </row>
    <row r="231" spans="3:11" x14ac:dyDescent="0.2">
      <c r="C231" s="87" t="s">
        <v>131</v>
      </c>
      <c r="D231" s="42">
        <f>37361.7204136128*Deflactores!$T$5</f>
        <v>56532.113002326842</v>
      </c>
      <c r="E231" s="42">
        <f>40589.7107278951*Deflactores!$U$5</f>
        <v>60443.256820071554</v>
      </c>
      <c r="F231" s="42">
        <f>43190.8427739365*Deflactores!$V$5</f>
        <v>60894.408475742872</v>
      </c>
      <c r="G231" s="42">
        <f>44157.9556841809*Deflactores!$W$5</f>
        <v>55037.069386573705</v>
      </c>
      <c r="H231" s="42">
        <f>51103.8900502773*Deflactores!$X$5</f>
        <v>58285.37768054234</v>
      </c>
      <c r="I231" s="42">
        <f>61803.528248381*Deflactores!$Y$5</f>
        <v>67004.378608344283</v>
      </c>
      <c r="J231" s="42">
        <f>71874.203741382*Deflactores!$Z$5</f>
        <v>74141.308318988755</v>
      </c>
      <c r="K231" s="42">
        <f>11990.2670570771*Deflactores!$AA$5</f>
        <v>11990.267057077101</v>
      </c>
    </row>
    <row r="232" spans="3:11" x14ac:dyDescent="0.2">
      <c r="C232" s="88" t="s">
        <v>132</v>
      </c>
      <c r="D232" s="50">
        <f>22.44254516431*Deflactores!$T$5</f>
        <v>33.957871458893933</v>
      </c>
      <c r="E232" s="50">
        <f>23.14621624126*Deflactores!$U$5</f>
        <v>34.467668470519804</v>
      </c>
      <c r="F232" s="50">
        <f>29.9345987850299*Deflactores!$V$5</f>
        <v>42.204540798474184</v>
      </c>
      <c r="G232" s="50">
        <f>31.83422796036*Deflactores!$W$5</f>
        <v>39.677167703440468</v>
      </c>
      <c r="H232" s="50">
        <f>34.64410383365*Deflactores!$X$5</f>
        <v>39.512543455334438</v>
      </c>
      <c r="I232" s="50">
        <f>38.9439444095*Deflactores!$Y$5</f>
        <v>42.221129920439559</v>
      </c>
      <c r="J232" s="50">
        <f>41.86871894285*Deflactores!$Z$5</f>
        <v>43.189370295251891</v>
      </c>
      <c r="K232" s="50">
        <f>6.22345806374*Deflactores!$AA$5</f>
        <v>6.2234580637399999</v>
      </c>
    </row>
    <row r="233" spans="3:11" x14ac:dyDescent="0.2">
      <c r="C233" s="87" t="s">
        <v>133</v>
      </c>
      <c r="D233" s="42">
        <f>3520.08104222168*Deflactores!$T$5</f>
        <v>5326.2434666611171</v>
      </c>
      <c r="E233" s="42">
        <f>3641.55223334158*Deflactores!$U$5</f>
        <v>5422.7357849166065</v>
      </c>
      <c r="F233" s="42">
        <f>3956.58486274052*Deflactores!$V$5</f>
        <v>5578.3559506288157</v>
      </c>
      <c r="G233" s="42">
        <f>4334.3365460785*Deflactores!$W$5</f>
        <v>5402.1790079548955</v>
      </c>
      <c r="H233" s="42">
        <f>4963.60928468713*Deflactores!$X$5</f>
        <v>5661.1315015747241</v>
      </c>
      <c r="I233" s="42">
        <f>5385.85522312093*Deflactores!$Y$5</f>
        <v>5839.0822130640545</v>
      </c>
      <c r="J233" s="42">
        <f>6087.8641653111*Deflactores!$Z$5</f>
        <v>6279.8916800323286</v>
      </c>
      <c r="K233" s="42">
        <f>776.17456800556*Deflactores!$AA$5</f>
        <v>776.17456800555999</v>
      </c>
    </row>
    <row r="234" spans="3:11" x14ac:dyDescent="0.2">
      <c r="C234" s="88" t="s">
        <v>134</v>
      </c>
      <c r="D234" s="50">
        <f>7755.31104425492*Deflactores!$T$5</f>
        <v>11734.580620711246</v>
      </c>
      <c r="E234" s="50">
        <f>16131.394278164*Deflactores!$U$5</f>
        <v>24021.703770133339</v>
      </c>
      <c r="F234" s="50">
        <f>17660.0754668316*Deflactores!$V$5</f>
        <v>24898.792895021688</v>
      </c>
      <c r="G234" s="50">
        <f>12838.0795146601*Deflactores!$W$5</f>
        <v>16000.973371414912</v>
      </c>
      <c r="H234" s="50">
        <f>32685.3952169124*Deflactores!$X$5</f>
        <v>37278.582960734784</v>
      </c>
      <c r="I234" s="50">
        <f>21569.510934969*Deflactores!$Y$5</f>
        <v>23384.614407047942</v>
      </c>
      <c r="J234" s="50">
        <f>16204.079209475*Deflactores!$Z$5</f>
        <v>16715.199197445756</v>
      </c>
      <c r="K234" s="50">
        <f>1815.78485283366*Deflactores!$AA$5</f>
        <v>1815.7848528336599</v>
      </c>
    </row>
    <row r="235" spans="3:11" x14ac:dyDescent="0.2">
      <c r="C235" s="87" t="s">
        <v>135</v>
      </c>
      <c r="D235" s="42">
        <f>0*Deflactores!$T$5</f>
        <v>0</v>
      </c>
      <c r="E235" s="42">
        <f>0*Deflactores!$U$5</f>
        <v>0</v>
      </c>
      <c r="F235" s="42">
        <f>0*Deflactores!$V$5</f>
        <v>0</v>
      </c>
      <c r="G235" s="42">
        <f>0*Deflactores!$W$5</f>
        <v>0</v>
      </c>
      <c r="H235" s="42">
        <f>2.127776892*Deflactores!$X$5</f>
        <v>2.4267874646751593</v>
      </c>
      <c r="I235" s="42">
        <f>66.79394174573*Deflactores!$Y$5</f>
        <v>72.414742140418568</v>
      </c>
      <c r="J235" s="42">
        <f>103.4797454119*Deflactores!$Z$5</f>
        <v>106.74377328700572</v>
      </c>
      <c r="K235" s="42">
        <f>14.11106004769*Deflactores!$AA$5</f>
        <v>14.11106004769</v>
      </c>
    </row>
    <row r="236" spans="3:11" x14ac:dyDescent="0.2">
      <c r="C236" s="88" t="s">
        <v>136</v>
      </c>
      <c r="D236" s="50">
        <f>819.86160529885*Deflactores!$T$5</f>
        <v>1240.5346542911479</v>
      </c>
      <c r="E236" s="50">
        <f>6777.80608878861*Deflactores!$U$5</f>
        <v>10093.017830249008</v>
      </c>
      <c r="F236" s="50">
        <f>8565.83834604156*Deflactores!$V$5</f>
        <v>12076.903937975549</v>
      </c>
      <c r="G236" s="50">
        <f>891.87539829558*Deflactores!$W$5</f>
        <v>1111.605087229083</v>
      </c>
      <c r="H236" s="50">
        <f>1146.64449478443*Deflactores!$X$5</f>
        <v>1307.7792586449593</v>
      </c>
      <c r="I236" s="50">
        <f>1088.61545742351*Deflactores!$Y$5</f>
        <v>1180.2239182034325</v>
      </c>
      <c r="J236" s="50">
        <f>1108.92199015125*Deflactores!$Z$5</f>
        <v>1143.9003549777558</v>
      </c>
      <c r="K236" s="50">
        <f>51.07556268289*Deflactores!$AA$5</f>
        <v>51.075562682890002</v>
      </c>
    </row>
    <row r="237" spans="3:11" x14ac:dyDescent="0.2">
      <c r="C237" s="87" t="s">
        <v>137</v>
      </c>
      <c r="D237" s="42">
        <f>138.80745074279*Deflactores!$T$5</f>
        <v>210.02990237294389</v>
      </c>
      <c r="E237" s="42">
        <f>142.60560799962*Deflactores!$U$5</f>
        <v>212.35794081133312</v>
      </c>
      <c r="F237" s="42">
        <f>146.11112293388*Deflactores!$V$5</f>
        <v>206.0008518322841</v>
      </c>
      <c r="G237" s="42">
        <f>166.55224488763*Deflactores!$W$5</f>
        <v>207.58541278336219</v>
      </c>
      <c r="H237" s="42">
        <f>202.93134764895*Deflactores!$X$5</f>
        <v>231.44872590528573</v>
      </c>
      <c r="I237" s="42">
        <f>225.93222187271*Deflactores!$Y$5</f>
        <v>244.94472343623954</v>
      </c>
      <c r="J237" s="42">
        <f>248.320785337949*Deflactores!$Z$5</f>
        <v>256.15348691722829</v>
      </c>
      <c r="K237" s="42">
        <f>35.6288287859899*Deflactores!$AA$5</f>
        <v>35.628828785989903</v>
      </c>
    </row>
    <row r="238" spans="3:11" x14ac:dyDescent="0.2">
      <c r="C238" s="88" t="s">
        <v>138</v>
      </c>
      <c r="D238" s="50">
        <f>86.1550347765099*Deflactores!$T$5</f>
        <v>130.36139952298538</v>
      </c>
      <c r="E238" s="50">
        <f>90.77501368117*Deflactores!$U$5</f>
        <v>135.17557445921216</v>
      </c>
      <c r="F238" s="50">
        <f>103.43565574278*Deflactores!$V$5</f>
        <v>145.83306708611124</v>
      </c>
      <c r="G238" s="50">
        <f>97.92361061966*Deflactores!$W$5</f>
        <v>122.04886908269523</v>
      </c>
      <c r="H238" s="50">
        <f>101.14452172284*Deflactores!$X$5</f>
        <v>115.35808023877742</v>
      </c>
      <c r="I238" s="50">
        <f>121.15914611053*Deflactores!$Y$5</f>
        <v>131.35485186586121</v>
      </c>
      <c r="J238" s="50">
        <f>135.22252019535*Deflactores!$Z$5</f>
        <v>139.48780006729788</v>
      </c>
      <c r="K238" s="50">
        <f>18.04253326841*Deflactores!$AA$5</f>
        <v>18.042533268410001</v>
      </c>
    </row>
    <row r="239" spans="3:11" x14ac:dyDescent="0.2">
      <c r="C239" s="87" t="s">
        <v>160</v>
      </c>
      <c r="D239" s="42">
        <f>1041.62321457086*Deflactores!$T$5</f>
        <v>1576.0827022974001</v>
      </c>
      <c r="E239" s="42">
        <f>1259.10179664692*Deflactores!$U$5</f>
        <v>1874.9631838356761</v>
      </c>
      <c r="F239" s="42">
        <f>1414.50821090615*Deflactores!$V$5</f>
        <v>1994.3033118860526</v>
      </c>
      <c r="G239" s="42">
        <f>1571.53993947265*Deflactores!$W$5</f>
        <v>1958.7173217693414</v>
      </c>
      <c r="H239" s="42">
        <f>1953.77696586819*Deflactores!$X$5</f>
        <v>2228.3358125406271</v>
      </c>
      <c r="I239" s="42">
        <f>2486.1018910568*Deflactores!$Y$5</f>
        <v>2695.3107223559559</v>
      </c>
      <c r="J239" s="42">
        <f>3086.9264336193*Deflactores!$Z$5</f>
        <v>3184.2963477761955</v>
      </c>
      <c r="K239" s="42">
        <f>259.880058944589*Deflactores!$AA$5</f>
        <v>259.880058944589</v>
      </c>
    </row>
    <row r="240" spans="3:11" x14ac:dyDescent="0.2">
      <c r="C240" s="88" t="s">
        <v>161</v>
      </c>
      <c r="D240" s="50">
        <f>1674.81882704189*Deflactores!$T$5</f>
        <v>2534.1725739765302</v>
      </c>
      <c r="E240" s="50">
        <f>1862.46619374027*Deflactores!$U$5</f>
        <v>2773.4497351216305</v>
      </c>
      <c r="F240" s="50">
        <f>1862.81914666019*Deflactores!$V$5</f>
        <v>2626.3731556915313</v>
      </c>
      <c r="G240" s="50">
        <f>2098.01764157386*Deflactores!$W$5</f>
        <v>2614.9023595972685</v>
      </c>
      <c r="H240" s="50">
        <f>2461.43018830802*Deflactores!$X$5</f>
        <v>2807.3281313550988</v>
      </c>
      <c r="I240" s="50">
        <f>2974.38249550476*Deflactores!$Y$5</f>
        <v>3224.680799029521</v>
      </c>
      <c r="J240" s="50">
        <f>3304.02150133778*Deflactores!$Z$5</f>
        <v>3408.239174442675</v>
      </c>
      <c r="K240" s="50">
        <f>328.70913351057*Deflactores!$AA$5</f>
        <v>328.70913351056998</v>
      </c>
    </row>
    <row r="241" spans="1:11" x14ac:dyDescent="0.2">
      <c r="C241" s="87" t="s">
        <v>140</v>
      </c>
      <c r="D241" s="42">
        <f>169.309340192769*Deflactores!$T$5</f>
        <v>256.18238791379792</v>
      </c>
      <c r="E241" s="42">
        <f>194.591300737639*Deflactores!$U$5</f>
        <v>289.7712684942515</v>
      </c>
      <c r="F241" s="42">
        <f>204.8845824458*Deflactores!$V$5</f>
        <v>288.86506149320604</v>
      </c>
      <c r="G241" s="42">
        <f>275.09148683978*Deflactores!$W$5</f>
        <v>342.86526661560367</v>
      </c>
      <c r="H241" s="42">
        <f>266.4704148511*Deflactores!$X$5</f>
        <v>303.91676162043723</v>
      </c>
      <c r="I241" s="42">
        <f>270.57342965147*Deflactores!$Y$5</f>
        <v>293.34254913189727</v>
      </c>
      <c r="J241" s="42">
        <f>265.82032903053*Deflactores!$Z$5</f>
        <v>274.20501301164893</v>
      </c>
      <c r="K241" s="42">
        <f>64.55223502847*Deflactores!$AA$5</f>
        <v>64.552235028469994</v>
      </c>
    </row>
    <row r="242" spans="1:11" x14ac:dyDescent="0.2">
      <c r="C242" s="88" t="s">
        <v>141</v>
      </c>
      <c r="D242" s="50">
        <f>1584.79290225124*Deflactores!$T$5</f>
        <v>2397.9541210503185</v>
      </c>
      <c r="E242" s="50">
        <f>1750.98694379723*Deflactores!$U$5</f>
        <v>2607.4429118755279</v>
      </c>
      <c r="F242" s="50">
        <f>2155.1801494663*Deflactores!$V$5</f>
        <v>3038.5704916045124</v>
      </c>
      <c r="G242" s="50">
        <f>2483.0236027618*Deflactores!$W$5</f>
        <v>3094.7615258977607</v>
      </c>
      <c r="H242" s="50">
        <f>2942.38224379191*Deflactores!$X$5</f>
        <v>3355.8670424347174</v>
      </c>
      <c r="I242" s="50">
        <f>3371.05082261323*Deflactores!$Y$5</f>
        <v>3654.7293015146643</v>
      </c>
      <c r="J242" s="50">
        <f>3598.75622591072*Deflactores!$Z$5</f>
        <v>3712.270620349228</v>
      </c>
      <c r="K242" s="50">
        <f>451.51734799674*Deflactores!$AA$5</f>
        <v>451.51734799674</v>
      </c>
    </row>
    <row r="243" spans="1:11" x14ac:dyDescent="0.2">
      <c r="C243" s="87" t="s">
        <v>142</v>
      </c>
      <c r="D243" s="42">
        <f>78.25621735736*Deflactores!$T$5</f>
        <v>118.40967904596384</v>
      </c>
      <c r="E243" s="42">
        <f>79.4729415690399*Deflactores!$U$5</f>
        <v>118.34534741344594</v>
      </c>
      <c r="F243" s="42">
        <f>224.56627628847*Deflactores!$V$5</f>
        <v>316.61411725076812</v>
      </c>
      <c r="G243" s="42">
        <f>405.2790715029*Deflactores!$W$5</f>
        <v>505.12692523086901</v>
      </c>
      <c r="H243" s="42">
        <f>222.29599933127*Deflactores!$X$5</f>
        <v>253.53463826627723</v>
      </c>
      <c r="I243" s="42">
        <f>246.29604005652*Deflactores!$Y$5</f>
        <v>267.02218441898265</v>
      </c>
      <c r="J243" s="42">
        <f>237.280160702169*Deflactores!$Z$5</f>
        <v>244.76461145780817</v>
      </c>
      <c r="K243" s="42">
        <f>62.6094533883399*Deflactores!$AA$5</f>
        <v>62.609453388339901</v>
      </c>
    </row>
    <row r="244" spans="1:11" x14ac:dyDescent="0.2">
      <c r="C244" s="88" t="s">
        <v>143</v>
      </c>
      <c r="D244" s="50">
        <f>567.97958582633*Deflactores!$T$5</f>
        <v>859.41133795460587</v>
      </c>
      <c r="E244" s="50">
        <f>1729.4800182068*Deflactores!$U$5</f>
        <v>2575.4163562888889</v>
      </c>
      <c r="F244" s="50">
        <f>3585.52211482809*Deflactores!$V$5</f>
        <v>5055.197681646242</v>
      </c>
      <c r="G244" s="50">
        <f>914.481658240059*Deflactores!$W$5</f>
        <v>1139.7808095390931</v>
      </c>
      <c r="H244" s="50">
        <f>726.76705567876*Deflactores!$X$5</f>
        <v>828.89761003198657</v>
      </c>
      <c r="I244" s="50">
        <f>712.29303404206*Deflactores!$Y$5</f>
        <v>772.23345471851269</v>
      </c>
      <c r="J244" s="50">
        <f>1328.96235205607*Deflactores!$Z$5</f>
        <v>1370.8813782849288</v>
      </c>
      <c r="K244" s="50">
        <f>74.56270325294*Deflactores!$AA$5</f>
        <v>74.562703252939997</v>
      </c>
    </row>
    <row r="245" spans="1:11" x14ac:dyDescent="0.2">
      <c r="C245" s="87" t="s">
        <v>144</v>
      </c>
      <c r="D245" s="42">
        <f>4146.96161893015*Deflactores!$T$5</f>
        <v>6274.7780418659258</v>
      </c>
      <c r="E245" s="42">
        <f>4303.76763789497*Deflactores!$U$5</f>
        <v>6408.858993233046</v>
      </c>
      <c r="F245" s="42">
        <f>4651.07505393403*Deflactores!$V$5</f>
        <v>6557.5118704677907</v>
      </c>
      <c r="G245" s="42">
        <f>5148.81283218463*Deflactores!$W$5</f>
        <v>6417.3163071709569</v>
      </c>
      <c r="H245" s="42">
        <f>6254.43319146432*Deflactores!$X$5</f>
        <v>7133.3513042465456</v>
      </c>
      <c r="I245" s="42">
        <f>7643.24711338602*Deflactores!$Y$5</f>
        <v>8286.436679217697</v>
      </c>
      <c r="J245" s="42">
        <f>8727.96979723988*Deflactores!$Z$5</f>
        <v>9003.2733032339693</v>
      </c>
      <c r="K245" s="42">
        <f>1036.49794311837*Deflactores!$AA$5</f>
        <v>1036.4979431183699</v>
      </c>
    </row>
    <row r="246" spans="1:11" x14ac:dyDescent="0.2">
      <c r="C246" s="88" t="s">
        <v>145</v>
      </c>
      <c r="D246" s="50">
        <f>1287.83655648011*Deflactores!$T$5</f>
        <v>1948.6287283744771</v>
      </c>
      <c r="E246" s="50">
        <f>490.6920827208*Deflactores!$U$5</f>
        <v>730.70310291928422</v>
      </c>
      <c r="F246" s="50">
        <f>1099.57400858292*Deflactores!$V$5</f>
        <v>1550.2802105163842</v>
      </c>
      <c r="G246" s="50">
        <f>2869.98121737141*Deflactores!$W$5</f>
        <v>3577.0531708563517</v>
      </c>
      <c r="H246" s="50">
        <f>2418.80339096578*Deflactores!$X$5</f>
        <v>2758.7111086595651</v>
      </c>
      <c r="I246" s="50">
        <f>725.02362097556*Deflactores!$Y$5</f>
        <v>786.03533773351705</v>
      </c>
      <c r="J246" s="50">
        <f>1988.76825603714*Deflactores!$Z$5</f>
        <v>2051.4993247983907</v>
      </c>
      <c r="K246" s="50">
        <f>188.87646616805*Deflactores!$AA$5</f>
        <v>188.87646616805</v>
      </c>
    </row>
    <row r="247" spans="1:11" x14ac:dyDescent="0.2">
      <c r="C247" s="87" t="s">
        <v>146</v>
      </c>
      <c r="D247" s="42">
        <f>652.834399596117*Deflactores!$T$5</f>
        <v>987.8053698064474</v>
      </c>
      <c r="E247" s="42">
        <f>696.99038734988*Deflactores!$U$5</f>
        <v>1037.9075935310229</v>
      </c>
      <c r="F247" s="42">
        <f>796.054412517849*Deflactores!$V$5</f>
        <v>1122.3504671696703</v>
      </c>
      <c r="G247" s="42">
        <f>1069.72694034281*Deflactores!$W$5</f>
        <v>1333.2735840718642</v>
      </c>
      <c r="H247" s="42">
        <f>1098.84329694931*Deflactores!$X$5</f>
        <v>1253.260691337045</v>
      </c>
      <c r="I247" s="42">
        <f>1080.01866595528*Deflactores!$Y$5</f>
        <v>1170.9036951242697</v>
      </c>
      <c r="J247" s="42">
        <f>1176.02797004011*Deflactores!$Z$5</f>
        <v>1213.1230369136847</v>
      </c>
      <c r="K247" s="42">
        <f>186.38102099827*Deflactores!$AA$5</f>
        <v>186.38102099827</v>
      </c>
    </row>
    <row r="248" spans="1:11" x14ac:dyDescent="0.2">
      <c r="C248" s="88" t="s">
        <v>162</v>
      </c>
      <c r="D248" s="50">
        <f>28341.6754276778*Deflactores!$T$5</f>
        <v>42883.860277723776</v>
      </c>
      <c r="E248" s="50">
        <f>33399.0700136068*Deflactores!$U$5</f>
        <v>49735.475572054522</v>
      </c>
      <c r="F248" s="50">
        <f>42198.0584531454*Deflactores!$V$5</f>
        <v>59494.690154084012</v>
      </c>
      <c r="G248" s="50">
        <f>40740.220013897*Deflactores!$W$5</f>
        <v>50777.31251341373</v>
      </c>
      <c r="H248" s="50">
        <f>48138.2387114923*Deflactores!$X$5</f>
        <v>54902.971601869431</v>
      </c>
      <c r="I248" s="50">
        <f>56315.7278521713*Deflactores!$Y$5</f>
        <v>61054.77239821195</v>
      </c>
      <c r="J248" s="50">
        <f>62785.0842960598*Deflactores!$Z$5</f>
        <v>64765.493742057864</v>
      </c>
      <c r="K248" s="50">
        <f>10280.4755289599*Deflactores!$AA$5</f>
        <v>10280.4755289599</v>
      </c>
    </row>
    <row r="249" spans="1:11" x14ac:dyDescent="0.2">
      <c r="C249" s="87" t="s">
        <v>148</v>
      </c>
      <c r="D249" s="42">
        <f>259.78888794685*Deflactores!$T$5</f>
        <v>393.08721888537912</v>
      </c>
      <c r="E249" s="42">
        <f>312.25130553392*Deflactores!$U$5</f>
        <v>464.98202412215358</v>
      </c>
      <c r="F249" s="42">
        <f>356.32473052329*Deflactores!$V$5</f>
        <v>502.37926136481843</v>
      </c>
      <c r="G249" s="42">
        <f>357.949919800099*Deflactores!$W$5</f>
        <v>446.13737813985875</v>
      </c>
      <c r="H249" s="42">
        <f>437.92387793794*Deflactores!$X$5</f>
        <v>499.46410333594662</v>
      </c>
      <c r="I249" s="42">
        <f>573.84912724069*Deflactores!$Y$5</f>
        <v>622.13930620879023</v>
      </c>
      <c r="J249" s="42">
        <f>640.88192650466*Deflactores!$Z$5</f>
        <v>661.09705618473458</v>
      </c>
      <c r="K249" s="42">
        <f>93.08767964772*Deflactores!$AA$5</f>
        <v>93.087679647719995</v>
      </c>
    </row>
    <row r="250" spans="1:11" x14ac:dyDescent="0.2">
      <c r="C250" s="88" t="s">
        <v>149</v>
      </c>
      <c r="D250" s="50">
        <f>63.06941549048*Deflactores!$T$5</f>
        <v>95.430490995255198</v>
      </c>
      <c r="E250" s="50">
        <f>53.49254585887*Deflactores!$U$5</f>
        <v>79.657224191181243</v>
      </c>
      <c r="F250" s="50">
        <f>65.41212541591*Deflactores!$V$5</f>
        <v>92.224009269544183</v>
      </c>
      <c r="G250" s="50">
        <f>92.25661037743*Deflactores!$W$5</f>
        <v>114.98570049364129</v>
      </c>
      <c r="H250" s="50">
        <f>92.48053646739*Deflactores!$X$5</f>
        <v>105.47656921611872</v>
      </c>
      <c r="I250" s="50">
        <f>112.836237690289*Deflactores!$Y$5</f>
        <v>122.3315594630199</v>
      </c>
      <c r="J250" s="50">
        <f>98.57549336688*Deflactores!$Z$5</f>
        <v>101.684828018517</v>
      </c>
      <c r="K250" s="50">
        <f>10.802164986*Deflactores!$AA$5</f>
        <v>10.802164985999999</v>
      </c>
    </row>
    <row r="251" spans="1:11" x14ac:dyDescent="0.2">
      <c r="C251" s="87" t="s">
        <v>163</v>
      </c>
      <c r="D251" s="42">
        <f>18168.7878332584*Deflactores!$T$5</f>
        <v>27491.238506533879</v>
      </c>
      <c r="E251" s="42">
        <f>22897.2988142007*Deflactores!$U$5</f>
        <v>34096.998670195338</v>
      </c>
      <c r="F251" s="42">
        <f>22240.3032253927*Deflactores!$V$5</f>
        <v>31356.417755494753</v>
      </c>
      <c r="G251" s="42">
        <f>18304.6048790854*Deflactores!$W$5</f>
        <v>22814.276458566674</v>
      </c>
      <c r="H251" s="42">
        <f>22204.3720395238*Deflactores!$X$5</f>
        <v>25324.690727255045</v>
      </c>
      <c r="I251" s="42">
        <f>27544.2476624817*Deflactores!$Y$5</f>
        <v>29862.133298308458</v>
      </c>
      <c r="J251" s="42">
        <f>38669.9668552806*Deflactores!$Z$5</f>
        <v>39889.721013378243</v>
      </c>
      <c r="K251" s="42">
        <f>1751.52543627097*Deflactores!$AA$5</f>
        <v>1751.52543627097</v>
      </c>
    </row>
    <row r="252" spans="1:11" x14ac:dyDescent="0.2">
      <c r="C252" s="88" t="s">
        <v>150</v>
      </c>
      <c r="D252" s="50">
        <f>147.78395671095*Deflactores!$T$5</f>
        <v>223.61227610039111</v>
      </c>
      <c r="E252" s="50">
        <f>147.04389850981*Deflactores!$U$5</f>
        <v>218.96712152089501</v>
      </c>
      <c r="F252" s="50">
        <f>289.38977432158*Deflactores!$V$5</f>
        <v>408.00822568980891</v>
      </c>
      <c r="G252" s="50">
        <f>327.63152807985*Deflactores!$W$5</f>
        <v>408.34950044165191</v>
      </c>
      <c r="H252" s="50">
        <f>406.40736745863*Deflactores!$X$5</f>
        <v>463.51866523618327</v>
      </c>
      <c r="I252" s="50">
        <f>386.930936752799*Deflactores!$Y$5</f>
        <v>419.49169758192596</v>
      </c>
      <c r="J252" s="50">
        <f>449.876488610739*Deflactores!$Z$5</f>
        <v>464.06679603114424</v>
      </c>
      <c r="K252" s="50">
        <f>52.3846979271699*Deflactores!$AA$5</f>
        <v>52.384697927169903</v>
      </c>
    </row>
    <row r="253" spans="1:11" x14ac:dyDescent="0.2">
      <c r="C253" s="87" t="s">
        <v>151</v>
      </c>
      <c r="D253" s="42">
        <f>2184.34873721739*Deflactores!$T$5</f>
        <v>3305.1435608910338</v>
      </c>
      <c r="E253" s="42">
        <f>2334.07401490468*Deflactores!$U$5</f>
        <v>3475.7339382313739</v>
      </c>
      <c r="F253" s="42">
        <f>2718.89761447776*Deflactores!$V$5</f>
        <v>3833.3510370777508</v>
      </c>
      <c r="G253" s="42">
        <f>2645.99908813304*Deflactores!$W$5</f>
        <v>3297.8889795516166</v>
      </c>
      <c r="H253" s="42">
        <f>2922.82673025365*Deflactores!$X$5</f>
        <v>3333.5634469316537</v>
      </c>
      <c r="I253" s="42">
        <f>3756.1458252721*Deflactores!$Y$5</f>
        <v>4072.2305686694594</v>
      </c>
      <c r="J253" s="42">
        <f>4331.82240967672*Deflactores!$Z$5</f>
        <v>4468.4596717700069</v>
      </c>
      <c r="K253" s="42">
        <f>141.71767374178*Deflactores!$AA$5</f>
        <v>141.71767374178</v>
      </c>
    </row>
    <row r="254" spans="1:11" x14ac:dyDescent="0.2">
      <c r="C254" s="79" t="s">
        <v>179</v>
      </c>
      <c r="D254" s="44">
        <f t="shared" ref="D254:K254" si="11">+SUM(D223:D253)</f>
        <v>214303.92265748532</v>
      </c>
      <c r="E254" s="44">
        <f t="shared" si="11"/>
        <v>256948.99632947508</v>
      </c>
      <c r="F254" s="44">
        <f t="shared" si="11"/>
        <v>272077.09175485023</v>
      </c>
      <c r="G254" s="44">
        <f t="shared" si="11"/>
        <v>224998.09681275874</v>
      </c>
      <c r="H254" s="44">
        <f t="shared" si="11"/>
        <v>258984.62470075249</v>
      </c>
      <c r="I254" s="44">
        <f t="shared" si="11"/>
        <v>268996.30457681714</v>
      </c>
      <c r="J254" s="44">
        <f t="shared" si="11"/>
        <v>290825.74910826021</v>
      </c>
      <c r="K254" s="44">
        <f t="shared" si="11"/>
        <v>37547.049275038975</v>
      </c>
    </row>
    <row r="255" spans="1:11" s="31" customFormat="1" x14ac:dyDescent="0.2">
      <c r="A255" s="5"/>
      <c r="B255" s="5"/>
      <c r="C255" s="72" t="str">
        <f>+'C1 Aprop Resumen 2000-2026'!B20</f>
        <v>* Información con corte a 28 de febrero</v>
      </c>
      <c r="D255" s="121">
        <f>+D254-'C6 Ejec. Nac 19-26'!D112</f>
        <v>2.9103830456733704E-10</v>
      </c>
      <c r="E255" s="121">
        <f>+E254-'C6 Ejec. Nac 19-26'!E112</f>
        <v>1.2223608791828156E-9</v>
      </c>
      <c r="F255" s="121">
        <f>+F254-'C6 Ejec. Nac 19-26'!F112</f>
        <v>0</v>
      </c>
      <c r="G255" s="121">
        <f>+G254-'C6 Ejec. Nac 19-26'!G112</f>
        <v>0</v>
      </c>
      <c r="H255" s="121">
        <f>+H254-'C6 Ejec. Nac 19-26'!H112</f>
        <v>1.076841726899147E-9</v>
      </c>
      <c r="I255" s="121">
        <f>+I254-'C6 Ejec. Nac 19-26'!I112</f>
        <v>0</v>
      </c>
      <c r="J255" s="121">
        <f>+J254-'C6 Ejec. Nac 19-26'!J112</f>
        <v>0</v>
      </c>
      <c r="K255" s="121">
        <f>+K254-'C6 Ejec. Nac 19-26'!K112</f>
        <v>0</v>
      </c>
    </row>
    <row r="256" spans="1:11" x14ac:dyDescent="0.2">
      <c r="C256" s="1" t="s">
        <v>52</v>
      </c>
      <c r="E256" s="3"/>
      <c r="F256" s="3"/>
    </row>
    <row r="257" spans="2:12" x14ac:dyDescent="0.2">
      <c r="B257" s="9"/>
      <c r="E257" s="3"/>
      <c r="F257" s="3"/>
    </row>
    <row r="258" spans="2:12" x14ac:dyDescent="0.2">
      <c r="E258" s="3"/>
      <c r="F258" s="3"/>
    </row>
    <row r="259" spans="2:12" x14ac:dyDescent="0.2">
      <c r="E259" s="3"/>
      <c r="F259" s="3"/>
    </row>
    <row r="260" spans="2:12" ht="18" customHeight="1" x14ac:dyDescent="0.2">
      <c r="D260" s="160" t="s">
        <v>193</v>
      </c>
      <c r="E260" s="178"/>
      <c r="F260" s="178"/>
      <c r="G260" s="178"/>
      <c r="H260" s="178"/>
      <c r="I260" s="178"/>
      <c r="J260" s="178"/>
      <c r="K260" s="178"/>
      <c r="L260" s="178"/>
    </row>
    <row r="261" spans="2:12" ht="1.5" customHeight="1" x14ac:dyDescent="0.2">
      <c r="D261" s="28"/>
      <c r="E261" s="28"/>
      <c r="F261" s="28"/>
    </row>
    <row r="262" spans="2:12" x14ac:dyDescent="0.2">
      <c r="E262" s="29"/>
      <c r="F262" s="29"/>
    </row>
    <row r="263" spans="2:12" ht="13.5" customHeight="1" x14ac:dyDescent="0.2">
      <c r="C263" s="177" t="s">
        <v>120</v>
      </c>
      <c r="D263" s="153">
        <v>2019</v>
      </c>
      <c r="E263" s="153">
        <v>2020</v>
      </c>
      <c r="F263" s="153">
        <v>2021</v>
      </c>
      <c r="G263" s="153">
        <v>2022</v>
      </c>
      <c r="H263" s="153">
        <v>2023</v>
      </c>
      <c r="I263" s="153">
        <v>2024</v>
      </c>
      <c r="J263" s="153">
        <v>2025</v>
      </c>
      <c r="K263" s="153" t="s">
        <v>36</v>
      </c>
    </row>
    <row r="264" spans="2:12" ht="12" customHeight="1" thickBot="1" x14ac:dyDescent="0.25">
      <c r="C264" s="156"/>
      <c r="D264" s="154"/>
      <c r="E264" s="154"/>
      <c r="F264" s="154"/>
      <c r="G264" s="154"/>
      <c r="H264" s="154"/>
      <c r="I264" s="154"/>
      <c r="J264" s="154"/>
      <c r="K264" s="154"/>
    </row>
    <row r="265" spans="2:12" x14ac:dyDescent="0.2">
      <c r="C265" s="87" t="s">
        <v>123</v>
      </c>
      <c r="D265" s="47">
        <f t="shared" ref="D265:K274" si="12">+IFERROR(IF(D223&gt;0,+((D223/D14)*100)," "),"")</f>
        <v>74.686800027216677</v>
      </c>
      <c r="E265" s="47">
        <f t="shared" si="12"/>
        <v>80.468961046475371</v>
      </c>
      <c r="F265" s="47">
        <f t="shared" si="12"/>
        <v>92.582907709447738</v>
      </c>
      <c r="G265" s="47">
        <f t="shared" si="12"/>
        <v>91.60941885565191</v>
      </c>
      <c r="H265" s="47">
        <f t="shared" si="12"/>
        <v>75.847120621493801</v>
      </c>
      <c r="I265" s="47">
        <f t="shared" si="12"/>
        <v>76.56660814090543</v>
      </c>
      <c r="J265" s="47">
        <f t="shared" si="12"/>
        <v>91.226712492011146</v>
      </c>
      <c r="K265" s="47">
        <f t="shared" si="12"/>
        <v>7.7170222493798333</v>
      </c>
    </row>
    <row r="266" spans="2:12" x14ac:dyDescent="0.2">
      <c r="C266" s="88" t="s">
        <v>124</v>
      </c>
      <c r="D266" s="116">
        <f t="shared" si="12"/>
        <v>94.358913353785525</v>
      </c>
      <c r="E266" s="116">
        <f t="shared" si="12"/>
        <v>95.125892117871842</v>
      </c>
      <c r="F266" s="116">
        <f t="shared" si="12"/>
        <v>92.443855433455767</v>
      </c>
      <c r="G266" s="116">
        <f t="shared" si="12"/>
        <v>90.71744779440796</v>
      </c>
      <c r="H266" s="116">
        <f t="shared" si="12"/>
        <v>93.959011902728079</v>
      </c>
      <c r="I266" s="116">
        <f t="shared" si="12"/>
        <v>95.069458072496545</v>
      </c>
      <c r="J266" s="116">
        <f t="shared" si="12"/>
        <v>97.215849851153237</v>
      </c>
      <c r="K266" s="116">
        <f t="shared" si="12"/>
        <v>19.229117094894526</v>
      </c>
    </row>
    <row r="267" spans="2:12" x14ac:dyDescent="0.2">
      <c r="C267" s="87" t="s">
        <v>125</v>
      </c>
      <c r="D267" s="47">
        <f t="shared" si="12"/>
        <v>94.812715484948839</v>
      </c>
      <c r="E267" s="47">
        <f t="shared" si="12"/>
        <v>90.810079500649664</v>
      </c>
      <c r="F267" s="47">
        <f t="shared" si="12"/>
        <v>94.850061437409806</v>
      </c>
      <c r="G267" s="47">
        <f t="shared" si="12"/>
        <v>86.804687626077097</v>
      </c>
      <c r="H267" s="47">
        <f t="shared" si="12"/>
        <v>93.917073936684005</v>
      </c>
      <c r="I267" s="47">
        <f t="shared" si="12"/>
        <v>91.046179967840644</v>
      </c>
      <c r="J267" s="47">
        <f t="shared" si="12"/>
        <v>88.784844663570624</v>
      </c>
      <c r="K267" s="47">
        <f t="shared" si="12"/>
        <v>8.8404666766547813</v>
      </c>
    </row>
    <row r="268" spans="2:12" x14ac:dyDescent="0.2">
      <c r="C268" s="88" t="s">
        <v>126</v>
      </c>
      <c r="D268" s="116">
        <f t="shared" si="12"/>
        <v>90.543767264429135</v>
      </c>
      <c r="E268" s="116">
        <f t="shared" si="12"/>
        <v>96.28837282063742</v>
      </c>
      <c r="F268" s="116">
        <f t="shared" si="12"/>
        <v>94.14167159750167</v>
      </c>
      <c r="G268" s="116">
        <f t="shared" si="12"/>
        <v>98.268321515208186</v>
      </c>
      <c r="H268" s="116">
        <f t="shared" si="12"/>
        <v>96.229382684966041</v>
      </c>
      <c r="I268" s="116">
        <f t="shared" si="12"/>
        <v>69.807019784209501</v>
      </c>
      <c r="J268" s="116">
        <f t="shared" si="12"/>
        <v>89.443299572689668</v>
      </c>
      <c r="K268" s="116">
        <f t="shared" si="12"/>
        <v>7.1560379422649003</v>
      </c>
    </row>
    <row r="269" spans="2:12" x14ac:dyDescent="0.2">
      <c r="C269" s="87" t="s">
        <v>127</v>
      </c>
      <c r="D269" s="47">
        <f t="shared" si="12"/>
        <v>95.905951640728659</v>
      </c>
      <c r="E269" s="47">
        <f t="shared" si="12"/>
        <v>94.521209645619919</v>
      </c>
      <c r="F269" s="47">
        <f t="shared" si="12"/>
        <v>93.707735036540626</v>
      </c>
      <c r="G269" s="47">
        <f t="shared" si="12"/>
        <v>94.716716560699695</v>
      </c>
      <c r="H269" s="47">
        <f t="shared" si="12"/>
        <v>94.054959809721439</v>
      </c>
      <c r="I269" s="47">
        <f t="shared" si="12"/>
        <v>86.304133003113719</v>
      </c>
      <c r="J269" s="47">
        <f t="shared" si="12"/>
        <v>80.252742544090779</v>
      </c>
      <c r="K269" s="47">
        <f t="shared" si="12"/>
        <v>12.875156389854681</v>
      </c>
    </row>
    <row r="270" spans="2:12" x14ac:dyDescent="0.2">
      <c r="C270" s="88" t="s">
        <v>128</v>
      </c>
      <c r="D270" s="116">
        <f t="shared" si="12"/>
        <v>97.283078193086141</v>
      </c>
      <c r="E270" s="116">
        <f t="shared" si="12"/>
        <v>96.401058130371496</v>
      </c>
      <c r="F270" s="116">
        <f t="shared" si="12"/>
        <v>82.94087769223654</v>
      </c>
      <c r="G270" s="116">
        <f t="shared" si="12"/>
        <v>93.513530167300587</v>
      </c>
      <c r="H270" s="116">
        <f t="shared" si="12"/>
        <v>91.557884774504245</v>
      </c>
      <c r="I270" s="116">
        <f t="shared" si="12"/>
        <v>89.745118543397879</v>
      </c>
      <c r="J270" s="116">
        <f t="shared" si="12"/>
        <v>90.710272157680862</v>
      </c>
      <c r="K270" s="116">
        <f t="shared" si="12"/>
        <v>4.8974507534615501</v>
      </c>
    </row>
    <row r="271" spans="2:12" x14ac:dyDescent="0.2">
      <c r="C271" s="87" t="s">
        <v>129</v>
      </c>
      <c r="D271" s="47">
        <f t="shared" si="12"/>
        <v>97.404336479318985</v>
      </c>
      <c r="E271" s="47">
        <f t="shared" si="12"/>
        <v>97.62152104477201</v>
      </c>
      <c r="F271" s="47">
        <f t="shared" si="12"/>
        <v>96.586117573003094</v>
      </c>
      <c r="G271" s="47">
        <f t="shared" si="12"/>
        <v>96.486189461615552</v>
      </c>
      <c r="H271" s="47">
        <f t="shared" si="12"/>
        <v>95.680713739409157</v>
      </c>
      <c r="I271" s="47">
        <f t="shared" si="12"/>
        <v>92.98256058765017</v>
      </c>
      <c r="J271" s="47">
        <f t="shared" si="12"/>
        <v>94.244101976410093</v>
      </c>
      <c r="K271" s="47">
        <f t="shared" si="12"/>
        <v>12.662667002878013</v>
      </c>
    </row>
    <row r="272" spans="2:12" x14ac:dyDescent="0.2">
      <c r="C272" s="88" t="s">
        <v>130</v>
      </c>
      <c r="D272" s="116">
        <f t="shared" si="12"/>
        <v>93.531782249009296</v>
      </c>
      <c r="E272" s="116">
        <f t="shared" si="12"/>
        <v>94.781225347129151</v>
      </c>
      <c r="F272" s="116">
        <f t="shared" si="12"/>
        <v>89.394584068622095</v>
      </c>
      <c r="G272" s="116">
        <f t="shared" si="12"/>
        <v>92.117205415162942</v>
      </c>
      <c r="H272" s="116">
        <f t="shared" si="12"/>
        <v>83.374166406582532</v>
      </c>
      <c r="I272" s="116">
        <f t="shared" si="12"/>
        <v>93.023513732877703</v>
      </c>
      <c r="J272" s="116">
        <f t="shared" si="12"/>
        <v>89.901315579483793</v>
      </c>
      <c r="K272" s="116">
        <f t="shared" si="12"/>
        <v>9.8654667564499903</v>
      </c>
    </row>
    <row r="273" spans="3:11" x14ac:dyDescent="0.2">
      <c r="C273" s="87" t="s">
        <v>131</v>
      </c>
      <c r="D273" s="47">
        <f t="shared" si="12"/>
        <v>99.941414035428991</v>
      </c>
      <c r="E273" s="47">
        <f t="shared" si="12"/>
        <v>99.971475211488155</v>
      </c>
      <c r="F273" s="47">
        <f t="shared" si="12"/>
        <v>99.942996493203083</v>
      </c>
      <c r="G273" s="47">
        <f t="shared" si="12"/>
        <v>99.903874819184963</v>
      </c>
      <c r="H273" s="47">
        <f t="shared" si="12"/>
        <v>98.991044608228023</v>
      </c>
      <c r="I273" s="47">
        <f t="shared" si="12"/>
        <v>99.66067382862046</v>
      </c>
      <c r="J273" s="47">
        <f t="shared" si="12"/>
        <v>97.917133619292201</v>
      </c>
      <c r="K273" s="47">
        <f t="shared" si="12"/>
        <v>14.733499970838897</v>
      </c>
    </row>
    <row r="274" spans="3:11" x14ac:dyDescent="0.2">
      <c r="C274" s="88" t="s">
        <v>132</v>
      </c>
      <c r="D274" s="116">
        <f t="shared" si="12"/>
        <v>87.328476455543026</v>
      </c>
      <c r="E274" s="116">
        <f t="shared" si="12"/>
        <v>89.138334687939476</v>
      </c>
      <c r="F274" s="116">
        <f t="shared" si="12"/>
        <v>93.532986200398753</v>
      </c>
      <c r="G274" s="116">
        <f t="shared" si="12"/>
        <v>91.431833897325944</v>
      </c>
      <c r="H274" s="116">
        <f t="shared" si="12"/>
        <v>96.701436407676837</v>
      </c>
      <c r="I274" s="116">
        <f t="shared" si="12"/>
        <v>93.81598146472561</v>
      </c>
      <c r="J274" s="116">
        <f t="shared" si="12"/>
        <v>90.918338460040317</v>
      </c>
      <c r="K274" s="116">
        <f t="shared" si="12"/>
        <v>11.895899411226537</v>
      </c>
    </row>
    <row r="275" spans="3:11" x14ac:dyDescent="0.2">
      <c r="C275" s="87" t="s">
        <v>133</v>
      </c>
      <c r="D275" s="47">
        <f t="shared" ref="D275:K284" si="13">+IFERROR(IF(D233&gt;0,+((D233/D24)*100)," "),"")</f>
        <v>95.445584667717966</v>
      </c>
      <c r="E275" s="47">
        <f t="shared" si="13"/>
        <v>95.439422428899817</v>
      </c>
      <c r="F275" s="47">
        <f t="shared" si="13"/>
        <v>92.38659909331713</v>
      </c>
      <c r="G275" s="47">
        <f t="shared" si="13"/>
        <v>95.119659449746734</v>
      </c>
      <c r="H275" s="47">
        <f t="shared" si="13"/>
        <v>95.360113332372663</v>
      </c>
      <c r="I275" s="47">
        <f t="shared" si="13"/>
        <v>93.720873714836358</v>
      </c>
      <c r="J275" s="47">
        <f t="shared" si="13"/>
        <v>93.712388651176468</v>
      </c>
      <c r="K275" s="47">
        <f t="shared" si="13"/>
        <v>11.470049130967205</v>
      </c>
    </row>
    <row r="276" spans="3:11" x14ac:dyDescent="0.2">
      <c r="C276" s="88" t="s">
        <v>134</v>
      </c>
      <c r="D276" s="116">
        <f t="shared" si="13"/>
        <v>91.353560607378441</v>
      </c>
      <c r="E276" s="116">
        <f t="shared" si="13"/>
        <v>41.6606839625519</v>
      </c>
      <c r="F276" s="116">
        <f t="shared" si="13"/>
        <v>81.690564179452323</v>
      </c>
      <c r="G276" s="116">
        <f t="shared" si="13"/>
        <v>83.551084304136197</v>
      </c>
      <c r="H276" s="116">
        <f t="shared" si="13"/>
        <v>89.500978668445555</v>
      </c>
      <c r="I276" s="116">
        <f t="shared" si="13"/>
        <v>74.122365393035565</v>
      </c>
      <c r="J276" s="116">
        <f t="shared" si="13"/>
        <v>74.411753800336086</v>
      </c>
      <c r="K276" s="116">
        <f t="shared" si="13"/>
        <v>6.475833565786977</v>
      </c>
    </row>
    <row r="277" spans="3:11" x14ac:dyDescent="0.2">
      <c r="C277" s="87" t="s">
        <v>135</v>
      </c>
      <c r="D277" s="47" t="str">
        <f t="shared" si="13"/>
        <v xml:space="preserve"> </v>
      </c>
      <c r="E277" s="47" t="str">
        <f t="shared" si="13"/>
        <v xml:space="preserve"> </v>
      </c>
      <c r="F277" s="47" t="str">
        <f t="shared" si="13"/>
        <v xml:space="preserve"> </v>
      </c>
      <c r="G277" s="47" t="str">
        <f t="shared" si="13"/>
        <v xml:space="preserve"> </v>
      </c>
      <c r="H277" s="47">
        <f t="shared" si="13"/>
        <v>0.42555537840000007</v>
      </c>
      <c r="I277" s="47">
        <f t="shared" si="13"/>
        <v>4.8344901418346184</v>
      </c>
      <c r="J277" s="47">
        <f t="shared" si="13"/>
        <v>92.170622340823456</v>
      </c>
      <c r="K277" s="47">
        <f t="shared" si="13"/>
        <v>4.1271161544855151</v>
      </c>
    </row>
    <row r="278" spans="3:11" x14ac:dyDescent="0.2">
      <c r="C278" s="88" t="s">
        <v>136</v>
      </c>
      <c r="D278" s="116">
        <f t="shared" si="13"/>
        <v>97.072466040562972</v>
      </c>
      <c r="E278" s="116">
        <f t="shared" si="13"/>
        <v>98.472093564957731</v>
      </c>
      <c r="F278" s="116">
        <f t="shared" si="13"/>
        <v>97.885295490456045</v>
      </c>
      <c r="G278" s="116">
        <f t="shared" si="13"/>
        <v>96.189209568947874</v>
      </c>
      <c r="H278" s="116">
        <f t="shared" si="13"/>
        <v>93.278819738036006</v>
      </c>
      <c r="I278" s="116">
        <f t="shared" si="13"/>
        <v>49.38946227314986</v>
      </c>
      <c r="J278" s="116">
        <f t="shared" si="13"/>
        <v>54.502098836791021</v>
      </c>
      <c r="K278" s="116">
        <f t="shared" si="13"/>
        <v>2.6510673295412706</v>
      </c>
    </row>
    <row r="279" spans="3:11" x14ac:dyDescent="0.2">
      <c r="C279" s="87" t="s">
        <v>137</v>
      </c>
      <c r="D279" s="47">
        <f t="shared" si="13"/>
        <v>89.819330803071423</v>
      </c>
      <c r="E279" s="47">
        <f t="shared" si="13"/>
        <v>88.059136856560627</v>
      </c>
      <c r="F279" s="47">
        <f t="shared" si="13"/>
        <v>80.748799645012753</v>
      </c>
      <c r="G279" s="47">
        <f t="shared" si="13"/>
        <v>88.890917230691642</v>
      </c>
      <c r="H279" s="47">
        <f t="shared" si="13"/>
        <v>92.14644328304432</v>
      </c>
      <c r="I279" s="47">
        <f t="shared" si="13"/>
        <v>94.195107206054502</v>
      </c>
      <c r="J279" s="47">
        <f t="shared" si="13"/>
        <v>94.261449370525014</v>
      </c>
      <c r="K279" s="47">
        <f t="shared" si="13"/>
        <v>12.105290317929281</v>
      </c>
    </row>
    <row r="280" spans="3:11" x14ac:dyDescent="0.2">
      <c r="C280" s="88" t="s">
        <v>138</v>
      </c>
      <c r="D280" s="116">
        <f t="shared" si="13"/>
        <v>95.317949236626845</v>
      </c>
      <c r="E280" s="116">
        <f t="shared" si="13"/>
        <v>98.028113822928475</v>
      </c>
      <c r="F280" s="116">
        <f t="shared" si="13"/>
        <v>94.611263222058611</v>
      </c>
      <c r="G280" s="116">
        <f t="shared" si="13"/>
        <v>94.335103290489769</v>
      </c>
      <c r="H280" s="116">
        <f t="shared" si="13"/>
        <v>88.109589109918645</v>
      </c>
      <c r="I280" s="116">
        <f t="shared" si="13"/>
        <v>94.620839309417633</v>
      </c>
      <c r="J280" s="116">
        <f t="shared" si="13"/>
        <v>96.140341651529297</v>
      </c>
      <c r="K280" s="116">
        <f t="shared" si="13"/>
        <v>11.677752193275081</v>
      </c>
    </row>
    <row r="281" spans="3:11" x14ac:dyDescent="0.2">
      <c r="C281" s="87" t="s">
        <v>160</v>
      </c>
      <c r="D281" s="47">
        <f t="shared" si="13"/>
        <v>87.820701426097258</v>
      </c>
      <c r="E281" s="47">
        <f t="shared" si="13"/>
        <v>86.201765945883295</v>
      </c>
      <c r="F281" s="47">
        <f t="shared" si="13"/>
        <v>80.707261130385817</v>
      </c>
      <c r="G281" s="47">
        <f t="shared" si="13"/>
        <v>70.476470269549267</v>
      </c>
      <c r="H281" s="47">
        <f t="shared" si="13"/>
        <v>71.923116821110469</v>
      </c>
      <c r="I281" s="47">
        <f t="shared" si="13"/>
        <v>74.713176752707469</v>
      </c>
      <c r="J281" s="47">
        <f t="shared" si="13"/>
        <v>81.443559403929839</v>
      </c>
      <c r="K281" s="47">
        <f t="shared" si="13"/>
        <v>7.1325591333740483</v>
      </c>
    </row>
    <row r="282" spans="3:11" x14ac:dyDescent="0.2">
      <c r="C282" s="88" t="s">
        <v>161</v>
      </c>
      <c r="D282" s="116">
        <f t="shared" si="13"/>
        <v>84.485261413572786</v>
      </c>
      <c r="E282" s="116">
        <f t="shared" si="13"/>
        <v>88.603663393956595</v>
      </c>
      <c r="F282" s="116">
        <f t="shared" si="13"/>
        <v>74.533013534677622</v>
      </c>
      <c r="G282" s="116">
        <f t="shared" si="13"/>
        <v>76.979048381016995</v>
      </c>
      <c r="H282" s="116">
        <f t="shared" si="13"/>
        <v>82.83041875393576</v>
      </c>
      <c r="I282" s="116">
        <f t="shared" si="13"/>
        <v>87.488096644049023</v>
      </c>
      <c r="J282" s="116">
        <f t="shared" si="13"/>
        <v>87.766009880115874</v>
      </c>
      <c r="K282" s="116">
        <f t="shared" si="13"/>
        <v>7.9892564545541136</v>
      </c>
    </row>
    <row r="283" spans="3:11" x14ac:dyDescent="0.2">
      <c r="C283" s="87" t="s">
        <v>140</v>
      </c>
      <c r="D283" s="47">
        <f t="shared" si="13"/>
        <v>90.102101229995185</v>
      </c>
      <c r="E283" s="47">
        <f t="shared" si="13"/>
        <v>89.339433142453103</v>
      </c>
      <c r="F283" s="47">
        <f t="shared" si="13"/>
        <v>89.976546246262558</v>
      </c>
      <c r="G283" s="47">
        <f t="shared" si="13"/>
        <v>93.510573217117596</v>
      </c>
      <c r="H283" s="47">
        <f t="shared" si="13"/>
        <v>88.699555293232947</v>
      </c>
      <c r="I283" s="47">
        <f t="shared" si="13"/>
        <v>84.364816696456785</v>
      </c>
      <c r="J283" s="47">
        <f t="shared" si="13"/>
        <v>87.747721852782732</v>
      </c>
      <c r="K283" s="47">
        <f t="shared" si="13"/>
        <v>19.306516295427002</v>
      </c>
    </row>
    <row r="284" spans="3:11" x14ac:dyDescent="0.2">
      <c r="C284" s="88" t="s">
        <v>141</v>
      </c>
      <c r="D284" s="116">
        <f t="shared" si="13"/>
        <v>92.248988870504832</v>
      </c>
      <c r="E284" s="116">
        <f t="shared" si="13"/>
        <v>82.534117096473793</v>
      </c>
      <c r="F284" s="116">
        <f t="shared" si="13"/>
        <v>86.586833953819564</v>
      </c>
      <c r="G284" s="116">
        <f t="shared" si="13"/>
        <v>91.079918212220491</v>
      </c>
      <c r="H284" s="116">
        <f t="shared" si="13"/>
        <v>86.418727689833347</v>
      </c>
      <c r="I284" s="116">
        <f t="shared" si="13"/>
        <v>89.857193951604089</v>
      </c>
      <c r="J284" s="116">
        <f t="shared" si="13"/>
        <v>93.21904428463435</v>
      </c>
      <c r="K284" s="116">
        <f t="shared" si="13"/>
        <v>11.001065775443113</v>
      </c>
    </row>
    <row r="285" spans="3:11" x14ac:dyDescent="0.2">
      <c r="C285" s="87" t="s">
        <v>142</v>
      </c>
      <c r="D285" s="47">
        <f t="shared" ref="D285:K294" si="14">+IFERROR(IF(D243&gt;0,+((D243/D34)*100)," "),"")</f>
        <v>94.420066924234874</v>
      </c>
      <c r="E285" s="47">
        <f t="shared" si="14"/>
        <v>93.164260245026384</v>
      </c>
      <c r="F285" s="47">
        <f t="shared" si="14"/>
        <v>80.452918893860812</v>
      </c>
      <c r="G285" s="47">
        <f t="shared" si="14"/>
        <v>93.511311630879561</v>
      </c>
      <c r="H285" s="47">
        <f t="shared" si="14"/>
        <v>90.082618691805749</v>
      </c>
      <c r="I285" s="47">
        <f t="shared" si="14"/>
        <v>90.03726899034595</v>
      </c>
      <c r="J285" s="47">
        <f t="shared" si="14"/>
        <v>84.938470187106873</v>
      </c>
      <c r="K285" s="47">
        <f t="shared" si="14"/>
        <v>22.602269319996054</v>
      </c>
    </row>
    <row r="286" spans="3:11" x14ac:dyDescent="0.2">
      <c r="C286" s="88" t="s">
        <v>143</v>
      </c>
      <c r="D286" s="116">
        <f t="shared" si="14"/>
        <v>43.054243815840529</v>
      </c>
      <c r="E286" s="116">
        <f t="shared" si="14"/>
        <v>37.42056011864986</v>
      </c>
      <c r="F286" s="116">
        <f t="shared" si="14"/>
        <v>56.32489106903865</v>
      </c>
      <c r="G286" s="116">
        <f t="shared" si="14"/>
        <v>19.269233910247159</v>
      </c>
      <c r="H286" s="116">
        <f t="shared" si="14"/>
        <v>22.108840093816433</v>
      </c>
      <c r="I286" s="116">
        <f t="shared" si="14"/>
        <v>33.708188772173706</v>
      </c>
      <c r="J286" s="116">
        <f t="shared" si="14"/>
        <v>37.044056959243363</v>
      </c>
      <c r="K286" s="116">
        <f t="shared" si="14"/>
        <v>3.0042468603994505</v>
      </c>
    </row>
    <row r="287" spans="3:11" x14ac:dyDescent="0.2">
      <c r="C287" s="87" t="s">
        <v>144</v>
      </c>
      <c r="D287" s="47">
        <f t="shared" si="14"/>
        <v>95.677073021213758</v>
      </c>
      <c r="E287" s="47">
        <f t="shared" si="14"/>
        <v>93.569722459338479</v>
      </c>
      <c r="F287" s="47">
        <f t="shared" si="14"/>
        <v>93.819417833232151</v>
      </c>
      <c r="G287" s="47">
        <f t="shared" si="14"/>
        <v>94.383416720015617</v>
      </c>
      <c r="H287" s="47">
        <f t="shared" si="14"/>
        <v>87.154865817269638</v>
      </c>
      <c r="I287" s="47">
        <f t="shared" si="14"/>
        <v>93.29475087185989</v>
      </c>
      <c r="J287" s="47">
        <f t="shared" si="14"/>
        <v>92.602783651711391</v>
      </c>
      <c r="K287" s="47">
        <f t="shared" si="14"/>
        <v>10.957236663285215</v>
      </c>
    </row>
    <row r="288" spans="3:11" x14ac:dyDescent="0.2">
      <c r="C288" s="88" t="s">
        <v>145</v>
      </c>
      <c r="D288" s="116">
        <f t="shared" si="14"/>
        <v>91.836442840230319</v>
      </c>
      <c r="E288" s="116">
        <f t="shared" si="14"/>
        <v>93.226281105869262</v>
      </c>
      <c r="F288" s="116">
        <f t="shared" si="14"/>
        <v>85.347379738831435</v>
      </c>
      <c r="G288" s="116">
        <f t="shared" si="14"/>
        <v>93.580446363308383</v>
      </c>
      <c r="H288" s="116">
        <f t="shared" si="14"/>
        <v>79.466322236480067</v>
      </c>
      <c r="I288" s="116">
        <f t="shared" si="14"/>
        <v>58.102189020070647</v>
      </c>
      <c r="J288" s="116">
        <f t="shared" si="14"/>
        <v>72.596007530948427</v>
      </c>
      <c r="K288" s="116">
        <f t="shared" si="14"/>
        <v>2.9172269641401383</v>
      </c>
    </row>
    <row r="289" spans="1:11" x14ac:dyDescent="0.2">
      <c r="C289" s="87" t="s">
        <v>146</v>
      </c>
      <c r="D289" s="47">
        <f t="shared" si="14"/>
        <v>93.820571552351311</v>
      </c>
      <c r="E289" s="47">
        <f t="shared" si="14"/>
        <v>90.434326105153247</v>
      </c>
      <c r="F289" s="47">
        <f t="shared" si="14"/>
        <v>90.797069151875405</v>
      </c>
      <c r="G289" s="47">
        <f t="shared" si="14"/>
        <v>94.872176951858492</v>
      </c>
      <c r="H289" s="47">
        <f t="shared" si="14"/>
        <v>92.756710368649493</v>
      </c>
      <c r="I289" s="47">
        <f t="shared" si="14"/>
        <v>91.114964711343148</v>
      </c>
      <c r="J289" s="47">
        <f t="shared" si="14"/>
        <v>91.802394541422174</v>
      </c>
      <c r="K289" s="47">
        <f t="shared" si="14"/>
        <v>15.037029923488385</v>
      </c>
    </row>
    <row r="290" spans="1:11" x14ac:dyDescent="0.2">
      <c r="C290" s="88" t="s">
        <v>162</v>
      </c>
      <c r="D290" s="116">
        <f t="shared" si="14"/>
        <v>99.604424798299036</v>
      </c>
      <c r="E290" s="116">
        <f t="shared" si="14"/>
        <v>97.483668476269401</v>
      </c>
      <c r="F290" s="116">
        <f t="shared" si="14"/>
        <v>99.446282649623939</v>
      </c>
      <c r="G290" s="116">
        <f t="shared" si="14"/>
        <v>99.895866377455249</v>
      </c>
      <c r="H290" s="116">
        <f t="shared" si="14"/>
        <v>94.072162817075281</v>
      </c>
      <c r="I290" s="116">
        <f t="shared" si="14"/>
        <v>95.811829982466037</v>
      </c>
      <c r="J290" s="116">
        <f t="shared" si="14"/>
        <v>97.924709742893427</v>
      </c>
      <c r="K290" s="116">
        <f t="shared" si="14"/>
        <v>13.739970611555533</v>
      </c>
    </row>
    <row r="291" spans="1:11" x14ac:dyDescent="0.2">
      <c r="C291" s="87" t="s">
        <v>148</v>
      </c>
      <c r="D291" s="47">
        <f t="shared" si="14"/>
        <v>93.050883274572556</v>
      </c>
      <c r="E291" s="47">
        <f t="shared" si="14"/>
        <v>96.06209756691446</v>
      </c>
      <c r="F291" s="47">
        <f t="shared" si="14"/>
        <v>96.773095340898479</v>
      </c>
      <c r="G291" s="47">
        <f t="shared" si="14"/>
        <v>98.069737810301802</v>
      </c>
      <c r="H291" s="47">
        <f t="shared" si="14"/>
        <v>89.330663989037788</v>
      </c>
      <c r="I291" s="47">
        <f t="shared" si="14"/>
        <v>95.450350427727926</v>
      </c>
      <c r="J291" s="47">
        <f t="shared" si="14"/>
        <v>91.116606064679175</v>
      </c>
      <c r="K291" s="47">
        <f t="shared" si="14"/>
        <v>13.78757289735835</v>
      </c>
    </row>
    <row r="292" spans="1:11" x14ac:dyDescent="0.2">
      <c r="C292" s="88" t="s">
        <v>149</v>
      </c>
      <c r="D292" s="116">
        <f t="shared" si="14"/>
        <v>91.75001490035433</v>
      </c>
      <c r="E292" s="116">
        <f t="shared" si="14"/>
        <v>98.293560335660842</v>
      </c>
      <c r="F292" s="116">
        <f t="shared" si="14"/>
        <v>79.87647746033781</v>
      </c>
      <c r="G292" s="116">
        <f t="shared" si="14"/>
        <v>86.388256137977208</v>
      </c>
      <c r="H292" s="116">
        <f t="shared" si="14"/>
        <v>85.47168409563848</v>
      </c>
      <c r="I292" s="116">
        <f t="shared" si="14"/>
        <v>93.962858026988144</v>
      </c>
      <c r="J292" s="116">
        <f t="shared" si="14"/>
        <v>77.013984417103927</v>
      </c>
      <c r="K292" s="116">
        <f t="shared" si="14"/>
        <v>10.211208686246451</v>
      </c>
    </row>
    <row r="293" spans="1:11" x14ac:dyDescent="0.2">
      <c r="C293" s="87" t="s">
        <v>163</v>
      </c>
      <c r="D293" s="47">
        <f t="shared" si="14"/>
        <v>79.776449617020631</v>
      </c>
      <c r="E293" s="47">
        <f t="shared" si="14"/>
        <v>86.25433571223094</v>
      </c>
      <c r="F293" s="47">
        <f t="shared" si="14"/>
        <v>94.051534857787601</v>
      </c>
      <c r="G293" s="47">
        <f t="shared" si="14"/>
        <v>60.691613490523523</v>
      </c>
      <c r="H293" s="47">
        <f t="shared" si="14"/>
        <v>75.326992626732931</v>
      </c>
      <c r="I293" s="47">
        <f t="shared" si="14"/>
        <v>80.100769969536145</v>
      </c>
      <c r="J293" s="47">
        <f t="shared" si="14"/>
        <v>85.831817104668914</v>
      </c>
      <c r="K293" s="47">
        <f t="shared" si="14"/>
        <v>3.5120450994640979</v>
      </c>
    </row>
    <row r="294" spans="1:11" x14ac:dyDescent="0.2">
      <c r="C294" s="88" t="s">
        <v>150</v>
      </c>
      <c r="D294" s="116">
        <f t="shared" si="14"/>
        <v>83.157263520515556</v>
      </c>
      <c r="E294" s="116">
        <f t="shared" si="14"/>
        <v>84.771355089225224</v>
      </c>
      <c r="F294" s="116">
        <f t="shared" si="14"/>
        <v>90.411412771398801</v>
      </c>
      <c r="G294" s="116">
        <f t="shared" si="14"/>
        <v>85.675113269879859</v>
      </c>
      <c r="H294" s="116">
        <f t="shared" si="14"/>
        <v>80.422401951726584</v>
      </c>
      <c r="I294" s="116">
        <f t="shared" si="14"/>
        <v>70.903025448472235</v>
      </c>
      <c r="J294" s="116">
        <f t="shared" si="14"/>
        <v>93.58826630841655</v>
      </c>
      <c r="K294" s="116">
        <f t="shared" si="14"/>
        <v>9.7212954881888685</v>
      </c>
    </row>
    <row r="295" spans="1:11" x14ac:dyDescent="0.2">
      <c r="C295" s="87" t="s">
        <v>151</v>
      </c>
      <c r="D295" s="47">
        <f t="shared" ref="D295:K296" si="15">+IFERROR(IF(D253&gt;0,+((D253/D44)*100)," "),"")</f>
        <v>99.566539464255456</v>
      </c>
      <c r="E295" s="47">
        <f t="shared" si="15"/>
        <v>98.413423970951371</v>
      </c>
      <c r="F295" s="47">
        <f t="shared" si="15"/>
        <v>99.11140905476303</v>
      </c>
      <c r="G295" s="47">
        <f t="shared" si="15"/>
        <v>99.505596274293595</v>
      </c>
      <c r="H295" s="47">
        <f t="shared" si="15"/>
        <v>99.349479125513312</v>
      </c>
      <c r="I295" s="47">
        <f t="shared" si="15"/>
        <v>99.520669243819157</v>
      </c>
      <c r="J295" s="47">
        <f t="shared" si="15"/>
        <v>99.76047522188675</v>
      </c>
      <c r="K295" s="47">
        <f t="shared" si="15"/>
        <v>3.0161542820253016</v>
      </c>
    </row>
    <row r="296" spans="1:11" x14ac:dyDescent="0.2">
      <c r="C296" s="91" t="s">
        <v>179</v>
      </c>
      <c r="D296" s="64">
        <f t="shared" si="15"/>
        <v>94.324798429352469</v>
      </c>
      <c r="E296" s="64">
        <f t="shared" si="15"/>
        <v>84.102460529484929</v>
      </c>
      <c r="F296" s="64">
        <f t="shared" si="15"/>
        <v>93.977823546982492</v>
      </c>
      <c r="G296" s="64">
        <f t="shared" si="15"/>
        <v>89.005078679112074</v>
      </c>
      <c r="H296" s="64">
        <f t="shared" si="15"/>
        <v>90.469934330443152</v>
      </c>
      <c r="I296" s="64">
        <f t="shared" si="15"/>
        <v>89.672327420083775</v>
      </c>
      <c r="J296" s="64">
        <f t="shared" si="15"/>
        <v>91.771918581602463</v>
      </c>
      <c r="K296" s="64">
        <f t="shared" si="15"/>
        <v>10.898662273206041</v>
      </c>
    </row>
    <row r="297" spans="1:11" s="31" customFormat="1" x14ac:dyDescent="0.2">
      <c r="A297" s="5"/>
      <c r="B297" s="5"/>
      <c r="C297" s="72" t="str">
        <f>+'C1 Aprop Resumen 2000-2026'!B20</f>
        <v>* Información con corte a 28 de febrero</v>
      </c>
      <c r="D297" s="47"/>
      <c r="E297" s="47"/>
      <c r="F297" s="47"/>
      <c r="G297" s="47"/>
      <c r="H297" s="47"/>
      <c r="I297" s="47"/>
    </row>
    <row r="298" spans="1:11" x14ac:dyDescent="0.2">
      <c r="C298" s="1" t="s">
        <v>52</v>
      </c>
      <c r="D298" s="11"/>
    </row>
  </sheetData>
  <mergeCells count="82">
    <mergeCell ref="D2:K4"/>
    <mergeCell ref="D177:L177"/>
    <mergeCell ref="G221:G222"/>
    <mergeCell ref="D260:L260"/>
    <mergeCell ref="D51:L51"/>
    <mergeCell ref="D54:D55"/>
    <mergeCell ref="D10:L10"/>
    <mergeCell ref="J138:J139"/>
    <mergeCell ref="E12:E13"/>
    <mergeCell ref="G12:G13"/>
    <mergeCell ref="H96:H97"/>
    <mergeCell ref="D221:D222"/>
    <mergeCell ref="I54:I55"/>
    <mergeCell ref="K54:K55"/>
    <mergeCell ref="H180:H181"/>
    <mergeCell ref="F7:F8"/>
    <mergeCell ref="H221:H222"/>
    <mergeCell ref="G7:G8"/>
    <mergeCell ref="I7:I8"/>
    <mergeCell ref="C54:C55"/>
    <mergeCell ref="D12:D13"/>
    <mergeCell ref="C138:C139"/>
    <mergeCell ref="E54:E55"/>
    <mergeCell ref="I96:I97"/>
    <mergeCell ref="D180:D181"/>
    <mergeCell ref="F180:F181"/>
    <mergeCell ref="F96:F97"/>
    <mergeCell ref="H12:H13"/>
    <mergeCell ref="D7:D8"/>
    <mergeCell ref="F54:F55"/>
    <mergeCell ref="H54:H55"/>
    <mergeCell ref="J263:J264"/>
    <mergeCell ref="D136:L136"/>
    <mergeCell ref="C263:C264"/>
    <mergeCell ref="E263:E264"/>
    <mergeCell ref="K221:K222"/>
    <mergeCell ref="I263:I264"/>
    <mergeCell ref="K263:K264"/>
    <mergeCell ref="E221:E222"/>
    <mergeCell ref="F263:F264"/>
    <mergeCell ref="J180:J181"/>
    <mergeCell ref="F221:F222"/>
    <mergeCell ref="H263:H264"/>
    <mergeCell ref="D263:D264"/>
    <mergeCell ref="C221:C222"/>
    <mergeCell ref="F138:F139"/>
    <mergeCell ref="H138:H139"/>
    <mergeCell ref="G180:G181"/>
    <mergeCell ref="E138:E139"/>
    <mergeCell ref="G263:G264"/>
    <mergeCell ref="D6:K6"/>
    <mergeCell ref="I180:I181"/>
    <mergeCell ref="C12:C13"/>
    <mergeCell ref="K180:K181"/>
    <mergeCell ref="D93:L93"/>
    <mergeCell ref="K96:K97"/>
    <mergeCell ref="G54:G55"/>
    <mergeCell ref="D138:D139"/>
    <mergeCell ref="J96:J97"/>
    <mergeCell ref="G96:G97"/>
    <mergeCell ref="J12:J13"/>
    <mergeCell ref="G138:G139"/>
    <mergeCell ref="D96:D97"/>
    <mergeCell ref="F12:F13"/>
    <mergeCell ref="K138:K139"/>
    <mergeCell ref="I138:I139"/>
    <mergeCell ref="I221:I222"/>
    <mergeCell ref="A6:C7"/>
    <mergeCell ref="J221:J222"/>
    <mergeCell ref="E7:E8"/>
    <mergeCell ref="E96:E97"/>
    <mergeCell ref="D219:L219"/>
    <mergeCell ref="C180:C181"/>
    <mergeCell ref="E180:E181"/>
    <mergeCell ref="A8:C8"/>
    <mergeCell ref="I12:I13"/>
    <mergeCell ref="K12:K13"/>
    <mergeCell ref="H7:H8"/>
    <mergeCell ref="J54:J55"/>
    <mergeCell ref="J7:J8"/>
    <mergeCell ref="K7:K8"/>
    <mergeCell ref="C96:C97"/>
  </mergeCells>
  <pageMargins left="0.7" right="0.7" top="0.75" bottom="0.75" header="0.3" footer="0.3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/>
  <dimension ref="A1:AA5"/>
  <sheetViews>
    <sheetView workbookViewId="0">
      <selection activeCell="AA5" sqref="AA5"/>
    </sheetView>
  </sheetViews>
  <sheetFormatPr baseColWidth="10" defaultRowHeight="15" x14ac:dyDescent="0.25"/>
  <sheetData>
    <row r="1" spans="1:27" x14ac:dyDescent="0.25">
      <c r="A1" t="s">
        <v>26</v>
      </c>
    </row>
    <row r="4" spans="1:27" s="145" customFormat="1" ht="11.25" customHeight="1" x14ac:dyDescent="0.25">
      <c r="A4" s="145" t="s">
        <v>27</v>
      </c>
      <c r="B4" s="145" t="s">
        <v>28</v>
      </c>
      <c r="C4" s="145" t="s">
        <v>29</v>
      </c>
      <c r="D4" s="145" t="s">
        <v>30</v>
      </c>
      <c r="E4" s="145">
        <v>2004</v>
      </c>
      <c r="F4" s="145" t="s">
        <v>31</v>
      </c>
      <c r="G4" s="145" t="s">
        <v>32</v>
      </c>
      <c r="H4" s="145" t="s">
        <v>33</v>
      </c>
      <c r="I4" s="145" t="s">
        <v>34</v>
      </c>
      <c r="J4" s="145" t="s">
        <v>35</v>
      </c>
      <c r="K4" s="145">
        <v>2010</v>
      </c>
      <c r="L4" s="145">
        <v>2011</v>
      </c>
      <c r="M4" s="145">
        <v>2012</v>
      </c>
      <c r="N4" s="145">
        <v>2013</v>
      </c>
      <c r="O4" s="145">
        <v>2014</v>
      </c>
      <c r="P4" s="145">
        <v>2015</v>
      </c>
      <c r="Q4" s="145">
        <v>2016</v>
      </c>
      <c r="R4" s="145">
        <v>2017</v>
      </c>
      <c r="S4" s="145">
        <v>2018</v>
      </c>
      <c r="T4" s="145">
        <v>2019</v>
      </c>
      <c r="U4" s="145">
        <v>2020</v>
      </c>
      <c r="V4" s="145">
        <v>2021</v>
      </c>
      <c r="W4" s="145">
        <v>2022</v>
      </c>
      <c r="X4" s="145">
        <v>2023</v>
      </c>
      <c r="Y4" s="145">
        <v>2024</v>
      </c>
      <c r="Z4" s="145">
        <v>2025</v>
      </c>
      <c r="AA4" s="145" t="s">
        <v>36</v>
      </c>
    </row>
    <row r="5" spans="1:27" x14ac:dyDescent="0.25">
      <c r="A5" s="146">
        <v>3.630559128540694</v>
      </c>
      <c r="B5" s="146">
        <v>3.3726115445455829</v>
      </c>
      <c r="C5" s="146">
        <v>3.1522137872621152</v>
      </c>
      <c r="D5" s="146">
        <v>2.9600652429631049</v>
      </c>
      <c r="E5" s="146">
        <v>2.8058292888347771</v>
      </c>
      <c r="F5" s="146">
        <v>2.675909458238714</v>
      </c>
      <c r="G5" s="146">
        <v>2.561219377257737</v>
      </c>
      <c r="H5" s="146">
        <v>2.4232295122432261</v>
      </c>
      <c r="I5" s="146">
        <v>2.2505165167496601</v>
      </c>
      <c r="J5" s="146">
        <v>2.2063496332826369</v>
      </c>
      <c r="K5" s="146">
        <v>2.1385320303562132</v>
      </c>
      <c r="L5" s="146">
        <v>2.0616989992419938</v>
      </c>
      <c r="M5" s="146">
        <v>2.012591760290896</v>
      </c>
      <c r="N5" s="146">
        <v>1.9742905241229121</v>
      </c>
      <c r="O5" s="146">
        <v>1.904582793867367</v>
      </c>
      <c r="P5" s="146">
        <v>1.783818295277106</v>
      </c>
      <c r="Q5" s="146">
        <v>1.6868258111367429</v>
      </c>
      <c r="R5" s="146">
        <v>1.620545500179406</v>
      </c>
      <c r="S5" s="146">
        <v>1.570600407229507</v>
      </c>
      <c r="T5" s="146">
        <v>1.5131025117817991</v>
      </c>
      <c r="U5" s="146">
        <v>1.489127558096446</v>
      </c>
      <c r="V5" s="146">
        <v>1.409891647506577</v>
      </c>
      <c r="W5" s="146">
        <v>1.2463681466642289</v>
      </c>
      <c r="X5" s="146">
        <v>1.140527220593182</v>
      </c>
      <c r="Y5" s="146">
        <v>1.084151350373747</v>
      </c>
      <c r="Z5" s="146">
        <v>1.03154267399976</v>
      </c>
      <c r="AA5" s="146">
        <v>1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Hoja20"/>
  <dimension ref="A1:V277"/>
  <sheetViews>
    <sheetView showGridLines="0" zoomScaleNormal="100" workbookViewId="0">
      <pane xSplit="3" ySplit="7" topLeftCell="D8" activePane="bottomRight" state="frozen"/>
      <selection activeCell="O5" sqref="O5:O6"/>
      <selection pane="topRight" activeCell="O5" sqref="O5:O6"/>
      <selection pane="bottomLeft" activeCell="O5" sqref="O5:O6"/>
      <selection pane="bottomRight" activeCell="A5" sqref="A5:C7"/>
    </sheetView>
  </sheetViews>
  <sheetFormatPr baseColWidth="10" defaultColWidth="11.42578125" defaultRowHeight="11.25" x14ac:dyDescent="0.2"/>
  <cols>
    <col min="1" max="2" width="2.7109375" style="3" customWidth="1"/>
    <col min="3" max="3" width="45.7109375" style="3" customWidth="1"/>
    <col min="4" max="22" width="10.7109375" style="3" customWidth="1"/>
    <col min="23" max="33" width="10.7109375" style="9" customWidth="1"/>
    <col min="34" max="34" width="11.42578125" style="9" customWidth="1"/>
    <col min="35" max="16384" width="11.42578125" style="9"/>
  </cols>
  <sheetData>
    <row r="1" spans="1:22" ht="16.5" customHeight="1" x14ac:dyDescent="0.2"/>
    <row r="2" spans="1:22" ht="16.5" customHeight="1" x14ac:dyDescent="0.2">
      <c r="D2" s="159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  <c r="Q2" s="158"/>
      <c r="R2" s="158"/>
      <c r="S2" s="158"/>
      <c r="T2" s="158"/>
      <c r="U2" s="158"/>
      <c r="V2" s="158"/>
    </row>
    <row r="3" spans="1:22" s="102" customFormat="1" ht="16.5" customHeight="1" x14ac:dyDescent="0.25">
      <c r="A3" s="99"/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  <c r="R3" s="98"/>
      <c r="S3" s="98"/>
      <c r="T3" s="98"/>
      <c r="U3" s="98"/>
      <c r="V3" s="98"/>
    </row>
    <row r="4" spans="1:22" s="102" customFormat="1" ht="16.5" customHeight="1" x14ac:dyDescent="0.25">
      <c r="A4" s="99"/>
      <c r="B4" s="98"/>
      <c r="C4" s="98"/>
      <c r="D4" s="161"/>
      <c r="E4" s="176"/>
      <c r="F4" s="176"/>
      <c r="G4" s="176"/>
      <c r="H4" s="176"/>
      <c r="I4" s="176"/>
      <c r="J4" s="176"/>
      <c r="K4" s="176"/>
      <c r="L4" s="176"/>
      <c r="M4" s="176"/>
      <c r="N4" s="176"/>
      <c r="O4" s="176"/>
      <c r="P4" s="176"/>
      <c r="Q4" s="176"/>
      <c r="R4" s="176"/>
      <c r="S4" s="176"/>
      <c r="T4" s="176"/>
      <c r="U4" s="176"/>
      <c r="V4" s="176"/>
    </row>
    <row r="5" spans="1:22" s="102" customFormat="1" ht="18" customHeight="1" x14ac:dyDescent="0.25">
      <c r="A5" s="165" t="s">
        <v>18</v>
      </c>
      <c r="B5" s="176"/>
      <c r="C5" s="176"/>
      <c r="D5" s="147"/>
      <c r="E5" s="147"/>
      <c r="F5" s="147"/>
      <c r="G5" s="147"/>
      <c r="H5" s="147"/>
      <c r="I5" s="147"/>
      <c r="J5" s="147"/>
      <c r="K5" s="147"/>
      <c r="L5" s="147"/>
      <c r="M5" s="147"/>
      <c r="N5" s="147"/>
      <c r="O5" s="147"/>
      <c r="P5" s="147"/>
      <c r="Q5" s="147"/>
      <c r="R5" s="147"/>
      <c r="S5" s="147"/>
      <c r="T5" s="147"/>
      <c r="U5" s="147"/>
      <c r="V5" s="147"/>
    </row>
    <row r="6" spans="1:22" s="102" customFormat="1" ht="18" customHeight="1" x14ac:dyDescent="0.25">
      <c r="A6" s="176"/>
      <c r="B6" s="176"/>
      <c r="C6" s="176"/>
      <c r="D6" s="151" t="s">
        <v>27</v>
      </c>
      <c r="E6" s="151" t="s">
        <v>28</v>
      </c>
      <c r="F6" s="151" t="s">
        <v>29</v>
      </c>
      <c r="G6" s="151" t="s">
        <v>30</v>
      </c>
      <c r="H6" s="151">
        <v>2004</v>
      </c>
      <c r="I6" s="151" t="s">
        <v>31</v>
      </c>
      <c r="J6" s="151" t="s">
        <v>32</v>
      </c>
      <c r="K6" s="151" t="s">
        <v>33</v>
      </c>
      <c r="L6" s="151" t="s">
        <v>34</v>
      </c>
      <c r="M6" s="151" t="s">
        <v>35</v>
      </c>
      <c r="N6" s="151">
        <v>2010</v>
      </c>
      <c r="O6" s="151">
        <v>2011</v>
      </c>
      <c r="P6" s="151">
        <v>2012</v>
      </c>
      <c r="Q6" s="151">
        <v>2013</v>
      </c>
      <c r="R6" s="151">
        <v>2014</v>
      </c>
      <c r="S6" s="151">
        <v>2015</v>
      </c>
      <c r="T6" s="151">
        <v>2016</v>
      </c>
      <c r="U6" s="151">
        <v>2017</v>
      </c>
      <c r="V6" s="151">
        <v>2018</v>
      </c>
    </row>
    <row r="7" spans="1:22" ht="16.5" customHeight="1" x14ac:dyDescent="0.2">
      <c r="A7" s="162" t="s">
        <v>227</v>
      </c>
      <c r="B7" s="158"/>
      <c r="C7" s="158"/>
      <c r="D7" s="158"/>
      <c r="E7" s="158"/>
      <c r="F7" s="158"/>
      <c r="G7" s="158"/>
      <c r="H7" s="158"/>
      <c r="I7" s="158"/>
      <c r="J7" s="158"/>
      <c r="K7" s="158"/>
      <c r="L7" s="158"/>
      <c r="M7" s="158"/>
      <c r="N7" s="158"/>
      <c r="O7" s="158"/>
      <c r="P7" s="158"/>
      <c r="Q7" s="158"/>
      <c r="R7" s="158"/>
      <c r="S7" s="158"/>
      <c r="T7" s="158"/>
      <c r="U7" s="158"/>
      <c r="V7" s="158"/>
    </row>
    <row r="8" spans="1:22" ht="16.5" customHeight="1" x14ac:dyDescent="0.2">
      <c r="D8" s="132"/>
      <c r="E8" s="132"/>
      <c r="F8" s="132"/>
      <c r="G8" s="132"/>
      <c r="H8" s="132"/>
      <c r="I8" s="132"/>
      <c r="J8" s="132"/>
      <c r="K8" s="132"/>
      <c r="L8" s="132"/>
      <c r="M8" s="132"/>
      <c r="N8" s="132"/>
      <c r="O8" s="132"/>
      <c r="P8" s="132"/>
      <c r="Q8" s="132"/>
      <c r="R8" s="132"/>
      <c r="S8" s="132"/>
      <c r="T8" s="132"/>
      <c r="U8" s="132"/>
      <c r="V8" s="132"/>
    </row>
    <row r="9" spans="1:22" ht="16.5" customHeight="1" x14ac:dyDescent="0.2">
      <c r="D9" s="160" t="s">
        <v>194</v>
      </c>
      <c r="E9" s="158"/>
      <c r="F9" s="158"/>
      <c r="G9" s="158"/>
      <c r="H9" s="158"/>
      <c r="I9" s="158"/>
      <c r="J9" s="158"/>
      <c r="K9" s="158"/>
      <c r="L9" s="158"/>
      <c r="M9" s="158"/>
      <c r="N9" s="158"/>
      <c r="O9" s="158"/>
      <c r="P9" s="158"/>
      <c r="Q9" s="158"/>
      <c r="R9" s="158"/>
      <c r="S9" s="158"/>
      <c r="T9" s="158"/>
      <c r="U9" s="158"/>
      <c r="V9" s="158"/>
    </row>
    <row r="10" spans="1:22" ht="16.5" customHeight="1" x14ac:dyDescent="0.2"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</row>
    <row r="11" spans="1:22" ht="9.9499999999999993" customHeight="1" x14ac:dyDescent="0.2">
      <c r="C11" s="177" t="s">
        <v>120</v>
      </c>
      <c r="D11" s="153" t="s">
        <v>27</v>
      </c>
      <c r="E11" s="153" t="s">
        <v>28</v>
      </c>
      <c r="F11" s="153" t="s">
        <v>29</v>
      </c>
      <c r="G11" s="153" t="s">
        <v>30</v>
      </c>
      <c r="H11" s="153" t="s">
        <v>121</v>
      </c>
      <c r="I11" s="153" t="s">
        <v>31</v>
      </c>
      <c r="J11" s="153" t="s">
        <v>32</v>
      </c>
      <c r="K11" s="153" t="s">
        <v>33</v>
      </c>
      <c r="L11" s="153" t="s">
        <v>34</v>
      </c>
      <c r="M11" s="153" t="s">
        <v>122</v>
      </c>
      <c r="N11" s="153">
        <v>2010</v>
      </c>
      <c r="O11" s="153">
        <v>2011</v>
      </c>
      <c r="P11" s="153">
        <v>2012</v>
      </c>
      <c r="Q11" s="153">
        <v>2013</v>
      </c>
      <c r="R11" s="153">
        <v>2014</v>
      </c>
      <c r="S11" s="153">
        <v>2015</v>
      </c>
      <c r="T11" s="153">
        <v>2016</v>
      </c>
      <c r="U11" s="153">
        <v>2017</v>
      </c>
      <c r="V11" s="153">
        <v>2018</v>
      </c>
    </row>
    <row r="12" spans="1:22" ht="9.9499999999999993" customHeight="1" thickBot="1" x14ac:dyDescent="0.25">
      <c r="C12" s="156"/>
      <c r="D12" s="154"/>
      <c r="E12" s="154"/>
      <c r="F12" s="154"/>
      <c r="G12" s="154"/>
      <c r="H12" s="154"/>
      <c r="I12" s="154"/>
      <c r="J12" s="154"/>
      <c r="K12" s="154"/>
      <c r="L12" s="154"/>
      <c r="M12" s="154"/>
      <c r="N12" s="154"/>
      <c r="O12" s="154"/>
      <c r="P12" s="154"/>
      <c r="Q12" s="154"/>
      <c r="R12" s="154"/>
      <c r="S12" s="154"/>
      <c r="T12" s="154"/>
      <c r="U12" s="154"/>
      <c r="V12" s="154"/>
    </row>
    <row r="13" spans="1:22" x14ac:dyDescent="0.2">
      <c r="C13" s="87" t="s">
        <v>123</v>
      </c>
      <c r="D13" s="56">
        <f>13.80085625*Deflactores!$A$5</f>
        <v>50.104824640115389</v>
      </c>
      <c r="E13" s="56">
        <f>7.1054318*Deflactores!$B$5</f>
        <v>23.963861317661301</v>
      </c>
      <c r="F13" s="56">
        <f>11.319492*Deflactores!$C$5</f>
        <v>35.681458747203216</v>
      </c>
      <c r="G13" s="56">
        <f>11.181996*Deflactores!$D$5</f>
        <v>33.099437706552465</v>
      </c>
      <c r="H13" s="56">
        <f>5.591634*Deflactores!$E$5</f>
        <v>15.68917044964436</v>
      </c>
      <c r="I13" s="56">
        <f>5.6691*Deflactores!$F$5</f>
        <v>15.169998309701095</v>
      </c>
      <c r="J13" s="56">
        <f>12.163799604*Deflactores!$G$5</f>
        <v>31.154159246844785</v>
      </c>
      <c r="K13" s="56">
        <f>5.2309*Deflactores!$H$5</f>
        <v>12.675671255593091</v>
      </c>
      <c r="L13" s="56">
        <f>7.578*Deflactores!$I$5</f>
        <v>17.054414163928925</v>
      </c>
      <c r="M13" s="56">
        <f>7.8522*Deflactores!$J$5</f>
        <v>17.324698590461921</v>
      </c>
      <c r="N13" s="56">
        <f>7.7421*Deflactores!$K$5</f>
        <v>16.556728832220838</v>
      </c>
      <c r="O13" s="56">
        <f>7.9401*Deflactores!$L$5</f>
        <v>16.370096223881355</v>
      </c>
      <c r="P13" s="56">
        <f>8.474842*Deflactores!$M$5</f>
        <v>17.05639717896722</v>
      </c>
      <c r="Q13" s="56">
        <f>16.220087*Deflactores!$N$5</f>
        <v>32.023164064549235</v>
      </c>
      <c r="R13" s="56">
        <f>16.632597*Deflactores!$O$5</f>
        <v>31.678158063529988</v>
      </c>
      <c r="S13" s="56">
        <f>15.256177246*Deflactores!$P$5</f>
        <v>27.214248087405092</v>
      </c>
      <c r="T13" s="56">
        <f>13.793099778*Deflactores!$Q$5</f>
        <v>23.266556721114878</v>
      </c>
      <c r="U13" s="56">
        <f>9.758045*Deflactores!$R$5</f>
        <v>15.813355915298152</v>
      </c>
      <c r="V13" s="56">
        <f>10.095*Deflactores!$S$5</f>
        <v>15.855211110981875</v>
      </c>
    </row>
    <row r="14" spans="1:22" x14ac:dyDescent="0.2">
      <c r="C14" s="88" t="s">
        <v>124</v>
      </c>
      <c r="D14" s="57">
        <f>0*Deflactores!$A$5</f>
        <v>0</v>
      </c>
      <c r="E14" s="57">
        <f>0*Deflactores!$B$5</f>
        <v>0</v>
      </c>
      <c r="F14" s="57">
        <f>0*Deflactores!$C$5</f>
        <v>0</v>
      </c>
      <c r="G14" s="57">
        <f>0*Deflactores!$D$5</f>
        <v>0</v>
      </c>
      <c r="H14" s="57">
        <f>0*Deflactores!$E$5</f>
        <v>0</v>
      </c>
      <c r="I14" s="57">
        <f>0*Deflactores!$F$5</f>
        <v>0</v>
      </c>
      <c r="J14" s="57">
        <f>0*Deflactores!$G$5</f>
        <v>0</v>
      </c>
      <c r="K14" s="57">
        <f>0*Deflactores!$H$5</f>
        <v>0</v>
      </c>
      <c r="L14" s="57">
        <f>0*Deflactores!$I$5</f>
        <v>0</v>
      </c>
      <c r="M14" s="57">
        <f>0*Deflactores!$J$5</f>
        <v>0</v>
      </c>
      <c r="N14" s="57">
        <f>0*Deflactores!$K$5</f>
        <v>0</v>
      </c>
      <c r="O14" s="57">
        <f>0*Deflactores!$L$5</f>
        <v>0</v>
      </c>
      <c r="P14" s="57">
        <f>7.388*Deflactores!$M$5</f>
        <v>14.86902792502914</v>
      </c>
      <c r="Q14" s="57">
        <f>21.11089*Deflactores!$N$5</f>
        <v>41.679030082801148</v>
      </c>
      <c r="R14" s="57">
        <f>27.486847*Deflactores!$O$5</f>
        <v>52.350975853864853</v>
      </c>
      <c r="S14" s="57">
        <f>29.810494*Deflactores!$P$5</f>
        <v>53.176504588448395</v>
      </c>
      <c r="T14" s="57">
        <f>26.905379796*Deflactores!$Q$5</f>
        <v>45.384689098329829</v>
      </c>
      <c r="U14" s="57">
        <f>24.719986*Deflactores!$R$5</f>
        <v>40.059862076797913</v>
      </c>
      <c r="V14" s="57">
        <f>30.531285*Deflactores!$S$5</f>
        <v>47.952448654240136</v>
      </c>
    </row>
    <row r="15" spans="1:22" x14ac:dyDescent="0.2">
      <c r="C15" s="87" t="s">
        <v>125</v>
      </c>
      <c r="D15" s="56">
        <f>1.51613034*Deflactores!$A$5</f>
        <v>5.504400845944506</v>
      </c>
      <c r="E15" s="56">
        <f>2.304689762*Deflactores!$B$5</f>
        <v>7.7728232979172125</v>
      </c>
      <c r="F15" s="56">
        <f>1.736618927*Deflactores!$C$5</f>
        <v>5.474194124909741</v>
      </c>
      <c r="G15" s="56">
        <f>1.754974804*Deflactores!$D$5</f>
        <v>5.1948399195963875</v>
      </c>
      <c r="H15" s="56">
        <f>1.89635611*Deflactores!$E$5</f>
        <v>5.3208515154987843</v>
      </c>
      <c r="I15" s="56">
        <f>1.911463098*Deflactores!$F$5</f>
        <v>5.1149021830124735</v>
      </c>
      <c r="J15" s="56">
        <f>2.331265821*Deflactores!$G$5</f>
        <v>5.9708831942838669</v>
      </c>
      <c r="K15" s="56">
        <f>2.806172783*Deflactores!$H$5</f>
        <v>6.8000007042193067</v>
      </c>
      <c r="L15" s="56">
        <f>2.753424278*Deflactores!$I$5</f>
        <v>6.1966268152585071</v>
      </c>
      <c r="M15" s="56">
        <f>3.103726686*Deflactores!$J$5</f>
        <v>6.8479062354656337</v>
      </c>
      <c r="N15" s="56">
        <f>0*Deflactores!$K$5</f>
        <v>0</v>
      </c>
      <c r="O15" s="56">
        <f>0*Deflactores!$L$5</f>
        <v>0</v>
      </c>
      <c r="P15" s="56">
        <f>0*Deflactores!$M$5</f>
        <v>0</v>
      </c>
      <c r="Q15" s="56">
        <f>0*Deflactores!$N$5</f>
        <v>0</v>
      </c>
      <c r="R15" s="56">
        <f>0*Deflactores!$O$5</f>
        <v>0</v>
      </c>
      <c r="S15" s="56">
        <f>0*Deflactores!$P$5</f>
        <v>0</v>
      </c>
      <c r="T15" s="56">
        <f>0*Deflactores!$Q$5</f>
        <v>0</v>
      </c>
      <c r="U15" s="56">
        <f>0*Deflactores!$R$5</f>
        <v>0</v>
      </c>
      <c r="V15" s="56">
        <f>0*Deflactores!$S$5</f>
        <v>0</v>
      </c>
    </row>
    <row r="16" spans="1:22" x14ac:dyDescent="0.2">
      <c r="C16" s="88" t="s">
        <v>126</v>
      </c>
      <c r="D16" s="57">
        <f>36.741606959*Deflactores!$A$5</f>
        <v>133.39257654225173</v>
      </c>
      <c r="E16" s="57">
        <f>38.249514*Deflactores!$B$5</f>
        <v>129.00075248965788</v>
      </c>
      <c r="F16" s="57">
        <f>41.638*Deflactores!$C$5</f>
        <v>131.25187767401994</v>
      </c>
      <c r="G16" s="57">
        <f>41.02361146*Deflactores!$D$5</f>
        <v>121.43256642356891</v>
      </c>
      <c r="H16" s="57">
        <f>41.0297*Deflactores!$E$5</f>
        <v>115.12233397210424</v>
      </c>
      <c r="I16" s="57">
        <f>47.9101*Deflactores!$F$5</f>
        <v>128.20308973516262</v>
      </c>
      <c r="J16" s="57">
        <f>51.5263*Deflactores!$G$5</f>
        <v>131.97015799839534</v>
      </c>
      <c r="K16" s="57">
        <f>56.152665*Deflactores!$H$5</f>
        <v>136.07079501910727</v>
      </c>
      <c r="L16" s="57">
        <f>84.862539155*Deflactores!$I$5</f>
        <v>190.98454602164225</v>
      </c>
      <c r="M16" s="57">
        <f>90.6529*Deflactores!$J$5</f>
        <v>200.01199267100756</v>
      </c>
      <c r="N16" s="57">
        <f>102.8806*Deflactores!$K$5</f>
        <v>220.01345840226543</v>
      </c>
      <c r="O16" s="57">
        <f>105.2429*Deflactores!$L$5</f>
        <v>216.97918160732524</v>
      </c>
      <c r="P16" s="57">
        <f>135.085535*Deflactores!$M$5</f>
        <v>271.87203467548744</v>
      </c>
      <c r="Q16" s="57">
        <f>159.594189534*Deflactores!$N$5</f>
        <v>315.08529610205227</v>
      </c>
      <c r="R16" s="57">
        <f>172.884116968*Deflactores!$O$5</f>
        <v>329.27211451020611</v>
      </c>
      <c r="S16" s="57">
        <f>177.380948002*Deflactores!$P$5</f>
        <v>316.4153802795646</v>
      </c>
      <c r="T16" s="57">
        <f>187.200506036*Deflactores!$Q$5</f>
        <v>315.77464543938447</v>
      </c>
      <c r="U16" s="57">
        <f>190.059078081*Deflactores!$R$5</f>
        <v>307.99938375241089</v>
      </c>
      <c r="V16" s="57">
        <f>201.717940457*Deflactores!$S$5</f>
        <v>316.81827942726164</v>
      </c>
    </row>
    <row r="17" spans="3:22" x14ac:dyDescent="0.2">
      <c r="C17" s="87" t="s">
        <v>127</v>
      </c>
      <c r="D17" s="56">
        <f>0*Deflactores!$A$5</f>
        <v>0</v>
      </c>
      <c r="E17" s="56">
        <f>0*Deflactores!$B$5</f>
        <v>0</v>
      </c>
      <c r="F17" s="56">
        <f>0*Deflactores!$C$5</f>
        <v>0</v>
      </c>
      <c r="G17" s="56">
        <f>0*Deflactores!$D$5</f>
        <v>0</v>
      </c>
      <c r="H17" s="56">
        <f>0*Deflactores!$E$5</f>
        <v>0</v>
      </c>
      <c r="I17" s="56">
        <f>0*Deflactores!$F$5</f>
        <v>0</v>
      </c>
      <c r="J17" s="56">
        <f>0*Deflactores!$G$5</f>
        <v>0</v>
      </c>
      <c r="K17" s="56">
        <f>0*Deflactores!$H$5</f>
        <v>0</v>
      </c>
      <c r="L17" s="56">
        <f>0*Deflactores!$I$5</f>
        <v>0</v>
      </c>
      <c r="M17" s="56">
        <f>0*Deflactores!$J$5</f>
        <v>0</v>
      </c>
      <c r="N17" s="56">
        <f>0*Deflactores!$K$5</f>
        <v>0</v>
      </c>
      <c r="O17" s="56">
        <f>0*Deflactores!$L$5</f>
        <v>0</v>
      </c>
      <c r="P17" s="56">
        <f>0*Deflactores!$M$5</f>
        <v>0</v>
      </c>
      <c r="Q17" s="56">
        <f>0*Deflactores!$N$5</f>
        <v>0</v>
      </c>
      <c r="R17" s="56">
        <f>0*Deflactores!$O$5</f>
        <v>0</v>
      </c>
      <c r="S17" s="56">
        <f>0*Deflactores!$P$5</f>
        <v>0</v>
      </c>
      <c r="T17" s="56">
        <f>0*Deflactores!$Q$5</f>
        <v>0</v>
      </c>
      <c r="U17" s="56">
        <f>0*Deflactores!$R$5</f>
        <v>0</v>
      </c>
      <c r="V17" s="56">
        <f>0*Deflactores!$S$5</f>
        <v>0</v>
      </c>
    </row>
    <row r="18" spans="3:22" x14ac:dyDescent="0.2">
      <c r="C18" s="88" t="s">
        <v>128</v>
      </c>
      <c r="D18" s="57">
        <f>0.633677303*Deflactores!$A$5</f>
        <v>2.3006029169556972</v>
      </c>
      <c r="E18" s="57">
        <f>0.65286548*Deflactores!$B$5</f>
        <v>2.2018616548832934</v>
      </c>
      <c r="F18" s="57">
        <f>0.61511624*Deflactores!$C$5</f>
        <v>1.9389778924968322</v>
      </c>
      <c r="G18" s="57">
        <f>0.681290411*Deflactores!$D$5</f>
        <v>2.0166640659651485</v>
      </c>
      <c r="H18" s="57">
        <f>0.649131999*Deflactores!$E$5</f>
        <v>1.821353575114067</v>
      </c>
      <c r="I18" s="57">
        <f>0.621818614*Deflactores!$F$5</f>
        <v>1.6639303105114882</v>
      </c>
      <c r="J18" s="57">
        <f>2.52450888*Deflactores!$G$5</f>
        <v>6.4658210615152267</v>
      </c>
      <c r="K18" s="57">
        <f>2.638111779*Deflactores!$H$5</f>
        <v>6.3927503194692799</v>
      </c>
      <c r="L18" s="57">
        <f>2.057585413*Deflactores!$I$5</f>
        <v>4.6306299565796705</v>
      </c>
      <c r="M18" s="57">
        <f>2.857676172*Deflactores!$J$5</f>
        <v>6.3050327741327301</v>
      </c>
      <c r="N18" s="57">
        <f>2.504188433*Deflactores!$K$5</f>
        <v>5.3552871740180334</v>
      </c>
      <c r="O18" s="57">
        <f>2.446591666*Deflactores!$L$5</f>
        <v>5.0441355893460029</v>
      </c>
      <c r="P18" s="57">
        <f>2.51436576*Deflactores!$M$5</f>
        <v>5.0603918109335568</v>
      </c>
      <c r="Q18" s="57">
        <f>3.214447316*Deflactores!$N$5</f>
        <v>6.3462528762711283</v>
      </c>
      <c r="R18" s="57">
        <f>3.361287077*Deflactores!$O$5</f>
        <v>6.4018495321029354</v>
      </c>
      <c r="S18" s="57">
        <f>2.620161643*Deflactores!$P$5</f>
        <v>4.6738922753667209</v>
      </c>
      <c r="T18" s="57">
        <f>3.330796699*Deflactores!$Q$5</f>
        <v>5.6184738435222608</v>
      </c>
      <c r="U18" s="57">
        <f>4.000779367*Deflactores!$R$5</f>
        <v>6.4834450004024617</v>
      </c>
      <c r="V18" s="57">
        <f>3.237860172*Deflactores!$S$5</f>
        <v>5.0853845046954014</v>
      </c>
    </row>
    <row r="19" spans="3:22" x14ac:dyDescent="0.2">
      <c r="C19" s="87" t="s">
        <v>129</v>
      </c>
      <c r="D19" s="56">
        <f>677.02913969995*Deflactores!$A$5</f>
        <v>2457.9943234257062</v>
      </c>
      <c r="E19" s="56">
        <f>799.3352668325*Deflactores!$B$5</f>
        <v>2695.8473488817135</v>
      </c>
      <c r="F19" s="56">
        <f>887.60504367584*Deflactores!$C$5</f>
        <v>2797.9208563183747</v>
      </c>
      <c r="G19" s="56">
        <f>1005.52511952191*Deflactores!$D$5</f>
        <v>2976.4199572231278</v>
      </c>
      <c r="H19" s="56">
        <f>989.260062870449*Deflactores!$E$5</f>
        <v>2775.6948586764388</v>
      </c>
      <c r="I19" s="56">
        <f>1167.01286151563*Deflactores!$F$5</f>
        <v>3122.8207540159005</v>
      </c>
      <c r="J19" s="56">
        <f>1090.71971125516*Deflactores!$G$5</f>
        <v>2793.5724596236796</v>
      </c>
      <c r="K19" s="56">
        <f>1145.68708559529*Deflactores!$H$5</f>
        <v>2776.2627576104378</v>
      </c>
      <c r="L19" s="56">
        <f>1193.15000141556*Deflactores!$I$5</f>
        <v>2685.203785145598</v>
      </c>
      <c r="M19" s="56">
        <f>1481.86724526131*Deflactores!$J$5</f>
        <v>3269.5172531558428</v>
      </c>
      <c r="N19" s="56">
        <f>1710.52501214518*Deflactores!$K$5</f>
        <v>3658.0125271979182</v>
      </c>
      <c r="O19" s="56">
        <f>1871.87444345149*Deflactores!$L$5</f>
        <v>3859.2416667706011</v>
      </c>
      <c r="P19" s="56">
        <f>2010.879273274*Deflactores!$M$5</f>
        <v>4047.0790563309974</v>
      </c>
      <c r="Q19" s="56">
        <f>2071.56060457999*Deflactores!$N$5</f>
        <v>4089.8624717686052</v>
      </c>
      <c r="R19" s="56">
        <f>1927.5918237*Deflactores!$O$5</f>
        <v>3671.2582210184391</v>
      </c>
      <c r="S19" s="56">
        <f>2122.47920969*Deflactores!$P$5</f>
        <v>3786.1172455903152</v>
      </c>
      <c r="T19" s="56">
        <f>2176.033344102*Deflactores!$Q$5</f>
        <v>3670.5892107254549</v>
      </c>
      <c r="U19" s="56">
        <f>2124.48871331314*Deflactores!$R$5</f>
        <v>3442.8306245415456</v>
      </c>
      <c r="V19" s="56">
        <f>2002.03084577662*Deflactores!$S$5</f>
        <v>3144.3904616627938</v>
      </c>
    </row>
    <row r="20" spans="3:22" x14ac:dyDescent="0.2">
      <c r="C20" s="88" t="s">
        <v>130</v>
      </c>
      <c r="D20" s="57">
        <f>1.117404*Deflactores!$A$5</f>
        <v>4.0568012924678856</v>
      </c>
      <c r="E20" s="57">
        <f>1.079154*Deflactores!$B$5</f>
        <v>3.639567238742544</v>
      </c>
      <c r="F20" s="57">
        <f>2.749255041*Deflactores!$C$5</f>
        <v>8.666239644940072</v>
      </c>
      <c r="G20" s="57">
        <f>1.46931272*Deflactores!$D$5</f>
        <v>4.3492615135155805</v>
      </c>
      <c r="H20" s="57">
        <f>1.822051145*Deflactores!$E$5</f>
        <v>5.1123644683959419</v>
      </c>
      <c r="I20" s="57">
        <f>1.989129999*Deflactores!$F$5</f>
        <v>5.3227317779904633</v>
      </c>
      <c r="J20" s="57">
        <f>3.34149*Deflactores!$G$5</f>
        <v>8.5582889369129553</v>
      </c>
      <c r="K20" s="57">
        <f>3.491857051*Deflactores!$H$5</f>
        <v>8.4615710585177997</v>
      </c>
      <c r="L20" s="57">
        <f>3.877321132*Deflactores!$I$5</f>
        <v>8.7259752483084885</v>
      </c>
      <c r="M20" s="57">
        <f>3.890063339*Deflactores!$J$5</f>
        <v>8.5828398214488804</v>
      </c>
      <c r="N20" s="57">
        <f>3.727228289*Deflactores!$K$5</f>
        <v>7.9707970804762844</v>
      </c>
      <c r="O20" s="57">
        <f>3.047493502*Deflactores!$L$5</f>
        <v>6.2830143032698791</v>
      </c>
      <c r="P20" s="57">
        <f>0*Deflactores!$M$5</f>
        <v>0</v>
      </c>
      <c r="Q20" s="57">
        <f>0*Deflactores!$N$5</f>
        <v>0</v>
      </c>
      <c r="R20" s="57">
        <f>0*Deflactores!$O$5</f>
        <v>0</v>
      </c>
      <c r="S20" s="57">
        <f>0*Deflactores!$P$5</f>
        <v>0</v>
      </c>
      <c r="T20" s="57">
        <f>0*Deflactores!$Q$5</f>
        <v>0</v>
      </c>
      <c r="U20" s="57">
        <f>0*Deflactores!$R$5</f>
        <v>0</v>
      </c>
      <c r="V20" s="57">
        <f>0*Deflactores!$S$5</f>
        <v>0</v>
      </c>
    </row>
    <row r="21" spans="3:22" x14ac:dyDescent="0.2">
      <c r="C21" s="87" t="s">
        <v>131</v>
      </c>
      <c r="D21" s="56">
        <f>57.471637097*Deflactores!$A$5</f>
        <v>208.65417669469133</v>
      </c>
      <c r="E21" s="56">
        <f>59.486360417*Deflactores!$B$5</f>
        <v>200.62438588537358</v>
      </c>
      <c r="F21" s="56">
        <f>68.944614871*Deflactores!$C$5</f>
        <v>217.32816555384287</v>
      </c>
      <c r="G21" s="56">
        <f>75.394540509*Deflactores!$D$5</f>
        <v>223.17275886986474</v>
      </c>
      <c r="H21" s="56">
        <f>84.285393904*Deflactores!$E$5</f>
        <v>236.49042683681938</v>
      </c>
      <c r="I21" s="56">
        <f>53.874977407*Deflactores!$F$5</f>
        <v>144.16456160578832</v>
      </c>
      <c r="J21" s="56">
        <f>83.408252928*Deflactores!$G$5</f>
        <v>213.62683362240796</v>
      </c>
      <c r="K21" s="56">
        <f>51.040732309*Deflactores!$H$5</f>
        <v>123.68340885767515</v>
      </c>
      <c r="L21" s="56">
        <f>31.634407999*Deflactores!$I$5</f>
        <v>71.19375769934706</v>
      </c>
      <c r="M21" s="56">
        <f>32.967140237*Deflactores!$J$5</f>
        <v>72.737037772282221</v>
      </c>
      <c r="N21" s="56">
        <f>8.674186205*Deflactores!$K$5</f>
        <v>18.550025036666504</v>
      </c>
      <c r="O21" s="56">
        <f>7.066182277*Deflactores!$L$5</f>
        <v>14.568340928952415</v>
      </c>
      <c r="P21" s="56">
        <f>11.048655019*Deflactores!$M$5</f>
        <v>22.236432053536053</v>
      </c>
      <c r="Q21" s="56">
        <f>11.544805155*Deflactores!$N$5</f>
        <v>22.792799420361849</v>
      </c>
      <c r="R21" s="56">
        <f>13.363598585*Deflactores!$O$5</f>
        <v>25.452079929141291</v>
      </c>
      <c r="S21" s="56">
        <f>11.617948793*Deflactores!$P$5</f>
        <v>20.724309610545973</v>
      </c>
      <c r="T21" s="56">
        <f>13.452521243*Deflactores!$Q$5</f>
        <v>22.69206005755774</v>
      </c>
      <c r="U21" s="56">
        <f>14.328747186*Deflactores!$R$5</f>
        <v>23.220386775480627</v>
      </c>
      <c r="V21" s="56">
        <f>13.968915652*Deflactores!$S$5</f>
        <v>21.939584611585833</v>
      </c>
    </row>
    <row r="22" spans="3:22" x14ac:dyDescent="0.2">
      <c r="C22" s="88" t="s">
        <v>132</v>
      </c>
      <c r="D22" s="57">
        <f>23.750291*Deflactores!$A$5</f>
        <v>86.226835795547885</v>
      </c>
      <c r="E22" s="57">
        <f>25.105373061*Deflactores!$B$5</f>
        <v>84.670671015652289</v>
      </c>
      <c r="F22" s="57">
        <f>28.76394312*Deflactores!$C$5</f>
        <v>90.670098078887264</v>
      </c>
      <c r="G22" s="57">
        <f>28.804555*Deflactores!$D$5</f>
        <v>85.263362094519124</v>
      </c>
      <c r="H22" s="57">
        <f>30.0428*Deflactores!$E$5</f>
        <v>84.294968158605442</v>
      </c>
      <c r="I22" s="57">
        <f>26.4279*Deflactores!$F$5</f>
        <v>70.718667571386916</v>
      </c>
      <c r="J22" s="57">
        <f>45.334135*Deflactores!$G$5</f>
        <v>116.11066501321818</v>
      </c>
      <c r="K22" s="57">
        <f>67.383831*Deflactores!$H$5</f>
        <v>163.28648792720998</v>
      </c>
      <c r="L22" s="57">
        <f>60.956945*Deflactores!$I$5</f>
        <v>137.18461153310059</v>
      </c>
      <c r="M22" s="57">
        <f>85.68832*Deflactores!$J$5</f>
        <v>189.05839340860524</v>
      </c>
      <c r="N22" s="57">
        <f>57.071871001*Deflactores!$K$5</f>
        <v>122.05002416799641</v>
      </c>
      <c r="O22" s="57">
        <f>57.657537*Deflactores!$L$5</f>
        <v>118.87248633165822</v>
      </c>
      <c r="P22" s="57">
        <f>54.7756*Deflactores!$M$5</f>
        <v>110.24092122499</v>
      </c>
      <c r="Q22" s="57">
        <f>82.9869*Deflactores!$N$5</f>
        <v>163.84025029633571</v>
      </c>
      <c r="R22" s="57">
        <f>80.605439*Deflactores!$O$5</f>
        <v>153.51973221152562</v>
      </c>
      <c r="S22" s="57">
        <f>78.631760923*Deflactores!$P$5</f>
        <v>140.26477372430281</v>
      </c>
      <c r="T22" s="57">
        <f>59.755594097*Deflactores!$Q$5</f>
        <v>100.79727848262999</v>
      </c>
      <c r="U22" s="57">
        <f>59.29272862*Deflactores!$R$5</f>
        <v>96.086564558499674</v>
      </c>
      <c r="V22" s="57">
        <f>63.865403324*Deflactores!$S$5</f>
        <v>100.30702846855111</v>
      </c>
    </row>
    <row r="23" spans="3:22" x14ac:dyDescent="0.2">
      <c r="C23" s="87" t="s">
        <v>133</v>
      </c>
      <c r="D23" s="56">
        <f>0.225556897*Deflactores!$A$5</f>
        <v>0.81889765140866311</v>
      </c>
      <c r="E23" s="56">
        <f>0.335156211*Deflactores!$B$5</f>
        <v>1.1303517064447552</v>
      </c>
      <c r="F23" s="56">
        <f>0.3006264*Deflactores!$C$5</f>
        <v>0.94763868289497555</v>
      </c>
      <c r="G23" s="56">
        <f>0.2164611*Deflactores!$D$5</f>
        <v>0.64073897856356088</v>
      </c>
      <c r="H23" s="56">
        <f>0.2989976*Deflactores!$E$5</f>
        <v>0.83893622337130513</v>
      </c>
      <c r="I23" s="56">
        <f>0.229936492*Deflactores!$F$5</f>
        <v>0.61528923373703037</v>
      </c>
      <c r="J23" s="56">
        <f>0.24*Deflactores!$G$5</f>
        <v>0.61469265054185684</v>
      </c>
      <c r="K23" s="56">
        <f>0.91262288*Deflactores!$H$5</f>
        <v>2.2114946963644084</v>
      </c>
      <c r="L23" s="56">
        <f>0.259*Deflactores!$I$5</f>
        <v>0.58288377783816203</v>
      </c>
      <c r="M23" s="56">
        <f>0.289*Deflactores!$J$5</f>
        <v>0.63763504401868198</v>
      </c>
      <c r="N23" s="56">
        <f>0.688727349*Deflactores!$K$5</f>
        <v>1.4728654960188221</v>
      </c>
      <c r="O23" s="56">
        <f>1.207619169*Deflactores!$L$5</f>
        <v>2.4897472321927481</v>
      </c>
      <c r="P23" s="56">
        <f>1.713502078*Deflactores!$M$5</f>
        <v>3.4485801634241287</v>
      </c>
      <c r="Q23" s="56">
        <f>0.705*Deflactores!$N$5</f>
        <v>1.3918748195066528</v>
      </c>
      <c r="R23" s="56">
        <f>0.723843*Deflactores!$O$5</f>
        <v>1.3786189232613366</v>
      </c>
      <c r="S23" s="56">
        <f>3.071323648*Deflactores!$P$5</f>
        <v>5.4786833140196221</v>
      </c>
      <c r="T23" s="56">
        <f>1.270106919*Deflactores!$Q$5</f>
        <v>2.1424491338725646</v>
      </c>
      <c r="U23" s="56">
        <f>1.175452402*Deflactores!$R$5</f>
        <v>1.904874100736174</v>
      </c>
      <c r="V23" s="56">
        <f>5.148*Deflactores!$S$5</f>
        <v>8.0854508964175018</v>
      </c>
    </row>
    <row r="24" spans="3:22" x14ac:dyDescent="0.2">
      <c r="C24" s="88" t="s">
        <v>134</v>
      </c>
      <c r="D24" s="57">
        <f>124.046038978*Deflactores!$A$5</f>
        <v>450.35647917089261</v>
      </c>
      <c r="E24" s="57">
        <f>110.193429036*Deflactores!$B$5</f>
        <v>371.63963089987806</v>
      </c>
      <c r="F24" s="57">
        <f>112.165425957*Deflactores!$C$5</f>
        <v>353.56940215578334</v>
      </c>
      <c r="G24" s="57">
        <f>105.170769035*Deflactores!$D$5</f>
        <v>311.31233799620389</v>
      </c>
      <c r="H24" s="57">
        <f>110.160474664*Deflactores!$E$5</f>
        <v>309.09148628419263</v>
      </c>
      <c r="I24" s="57">
        <f>112.19177772802*Deflactores!$F$5</f>
        <v>300.21503915902423</v>
      </c>
      <c r="J24" s="57">
        <f>115.603494726019*Deflactores!$G$5</f>
        <v>296.08591077099243</v>
      </c>
      <c r="K24" s="57">
        <f>147.53513916*Deflactores!$H$5</f>
        <v>357.51150330542328</v>
      </c>
      <c r="L24" s="57">
        <f>147.687566485*Deflactores!$I$5</f>
        <v>332.37330769305601</v>
      </c>
      <c r="M24" s="57">
        <f>160.361886243*Deflactores!$J$5</f>
        <v>353.81438890475494</v>
      </c>
      <c r="N24" s="57">
        <f>164.322565004*Deflactores!$K$5</f>
        <v>351.40906857134496</v>
      </c>
      <c r="O24" s="57">
        <f>172.746227474*Deflactores!$L$5</f>
        <v>356.15072430597559</v>
      </c>
      <c r="P24" s="57">
        <f>168.909555726*Deflactores!$M$5</f>
        <v>339.94598008854354</v>
      </c>
      <c r="Q24" s="57">
        <f>200.302740406*Deflactores!$N$5</f>
        <v>395.45580233941735</v>
      </c>
      <c r="R24" s="57">
        <f>202.059*Deflactores!$O$5</f>
        <v>384.83809474604629</v>
      </c>
      <c r="S24" s="57">
        <f>204.4395*Deflactores!$P$5</f>
        <v>364.68292037730396</v>
      </c>
      <c r="T24" s="57">
        <f>194.91449716*Deflactores!$Q$5</f>
        <v>328.78680477422739</v>
      </c>
      <c r="U24" s="57">
        <f>205.674911198*Deflactores!$R$5</f>
        <v>333.30555184171783</v>
      </c>
      <c r="V24" s="57">
        <f>219.835570801*Deflactores!$S$5</f>
        <v>345.27383702358168</v>
      </c>
    </row>
    <row r="25" spans="3:22" x14ac:dyDescent="0.2">
      <c r="C25" s="87" t="s">
        <v>135</v>
      </c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</row>
    <row r="26" spans="3:22" x14ac:dyDescent="0.2">
      <c r="C26" s="88" t="s">
        <v>136</v>
      </c>
      <c r="D26" s="57">
        <f>121.340562231*Deflactores!$A$5</f>
        <v>440.53408587001724</v>
      </c>
      <c r="E26" s="57">
        <f>129.504627196*Deflactores!$B$5</f>
        <v>436.76880075330143</v>
      </c>
      <c r="F26" s="57">
        <f>146.786565959*Deflactores!$C$5</f>
        <v>462.70263700081966</v>
      </c>
      <c r="G26" s="57">
        <f>135.669628686*Deflactores!$D$5</f>
        <v>401.59095239913887</v>
      </c>
      <c r="H26" s="57">
        <f>141.49358*Deflactores!$E$5</f>
        <v>397.00683094608667</v>
      </c>
      <c r="I26" s="57">
        <f>147.156956025*Deflactores!$F$5</f>
        <v>393.77869047291603</v>
      </c>
      <c r="J26" s="57">
        <f>203.854189*Deflactores!$G$5</f>
        <v>522.11529900196103</v>
      </c>
      <c r="K26" s="57">
        <f>212.88573*Deflactores!$H$5</f>
        <v>515.87098367144313</v>
      </c>
      <c r="L26" s="57">
        <f>257.999026*Deflactores!$I$5</f>
        <v>580.63106931832499</v>
      </c>
      <c r="M26" s="57">
        <f>296.88755*Deflactores!$J$5</f>
        <v>655.03773706868049</v>
      </c>
      <c r="N26" s="57">
        <f>305.837247*Deflactores!$K$5</f>
        <v>654.04274878546471</v>
      </c>
      <c r="O26" s="57">
        <f>311.0035655*Deflactores!$L$5</f>
        <v>641.19573975204185</v>
      </c>
      <c r="P26" s="57">
        <f>323.28705196*Deflactores!$M$5</f>
        <v>650.64485698343071</v>
      </c>
      <c r="Q26" s="57">
        <f>351.531764988*Deflactores!$N$5</f>
        <v>694.02583254401088</v>
      </c>
      <c r="R26" s="57">
        <f>368.847347583*Deflactores!$O$5</f>
        <v>702.50031177019787</v>
      </c>
      <c r="S26" s="57">
        <f>369.97270037*Deflactores!$P$5</f>
        <v>659.96407167308087</v>
      </c>
      <c r="T26" s="57">
        <f>405.814701572*Deflactores!$Q$5</f>
        <v>684.53871315040419</v>
      </c>
      <c r="U26" s="57">
        <f>400.569059354*Deflactores!$R$5</f>
        <v>649.14038664722204</v>
      </c>
      <c r="V26" s="57">
        <f>640.910570447*Deflactores!$S$5</f>
        <v>1006.614402941754</v>
      </c>
    </row>
    <row r="27" spans="3:22" x14ac:dyDescent="0.2">
      <c r="C27" s="87" t="s">
        <v>137</v>
      </c>
      <c r="D27" s="56">
        <f>5.188840261*Deflactores!$A$5</f>
        <v>18.838391376113027</v>
      </c>
      <c r="E27" s="56">
        <f>5.430549946*Deflactores!$B$5</f>
        <v>18.315135441110993</v>
      </c>
      <c r="F27" s="56">
        <f>4.957805335*Deflactores!$C$5</f>
        <v>15.628062331548669</v>
      </c>
      <c r="G27" s="56">
        <f>5.278021855*Deflactores!$D$5</f>
        <v>15.623289044585153</v>
      </c>
      <c r="H27" s="56">
        <f>5.612049827*Deflactores!$E$5</f>
        <v>15.746453774996743</v>
      </c>
      <c r="I27" s="56">
        <f>5.473532357*Deflactores!$F$5</f>
        <v>14.646677004071941</v>
      </c>
      <c r="J27" s="56">
        <f>5.747218434*Deflactores!$G$5</f>
        <v>14.719887218493666</v>
      </c>
      <c r="K27" s="56">
        <f>6.089412608*Deflactores!$H$5</f>
        <v>14.756044343931592</v>
      </c>
      <c r="L27" s="56">
        <f>6.4874*Deflactores!$I$5</f>
        <v>14.600000850761745</v>
      </c>
      <c r="M27" s="56">
        <f>6.763475*Deflactores!$J$5</f>
        <v>14.922590585966281</v>
      </c>
      <c r="N27" s="56">
        <f>6.9391043*Deflactores!$K$5</f>
        <v>14.83949680753253</v>
      </c>
      <c r="O27" s="56">
        <f>7.148123029*Deflactores!$L$5</f>
        <v>14.73727809534795</v>
      </c>
      <c r="P27" s="56">
        <f>8.156053805*Deflactores!$M$5</f>
        <v>16.414806684432211</v>
      </c>
      <c r="Q27" s="56">
        <f>5.8824*Deflactores!$N$5</f>
        <v>11.613566579100617</v>
      </c>
      <c r="R27" s="56">
        <f>7.288*Deflactores!$O$5</f>
        <v>13.880599401705371</v>
      </c>
      <c r="S27" s="56">
        <f>6.628177921*Deflactores!$P$5</f>
        <v>11.823465039831571</v>
      </c>
      <c r="T27" s="56">
        <f>5.35734824*Deflactores!$Q$5</f>
        <v>9.0369132904800029</v>
      </c>
      <c r="U27" s="56">
        <f>3.837543532*Deflactores!$R$5</f>
        <v>6.2189139025251849</v>
      </c>
      <c r="V27" s="56">
        <f>4.935194231*Deflactores!$S$5</f>
        <v>7.7512180689653132</v>
      </c>
    </row>
    <row r="28" spans="3:22" x14ac:dyDescent="0.2">
      <c r="C28" s="88" t="s">
        <v>138</v>
      </c>
      <c r="D28" s="57">
        <f>10.726020194*Deflactores!$A$5</f>
        <v>38.941450528238526</v>
      </c>
      <c r="E28" s="57">
        <f>13.291699*Deflactores!$B$5</f>
        <v>44.82773749402498</v>
      </c>
      <c r="F28" s="57">
        <f>13.74561668*Deflactores!$C$5</f>
        <v>43.329122413116103</v>
      </c>
      <c r="G28" s="57">
        <f>13.445056*Deflactores!$D$5</f>
        <v>39.798242955292551</v>
      </c>
      <c r="H28" s="57">
        <f>32.096393*Deflactores!$E$5</f>
        <v>90.056999545351516</v>
      </c>
      <c r="I28" s="57">
        <f>16.281800051*Deflactores!$F$5</f>
        <v>43.568622753622478</v>
      </c>
      <c r="J28" s="57">
        <f>22.412383*Deflactores!$G$5</f>
        <v>57.403029630121885</v>
      </c>
      <c r="K28" s="57">
        <f>30.404*Deflactores!$H$5</f>
        <v>73.675870090243052</v>
      </c>
      <c r="L28" s="57">
        <f>44.725*Deflactores!$I$5</f>
        <v>100.65435121162855</v>
      </c>
      <c r="M28" s="57">
        <f>46.69213*Deflactores!$J$5</f>
        <v>103.01916390268521</v>
      </c>
      <c r="N28" s="57">
        <f>48.519375*Deflactores!$K$5</f>
        <v>103.76023753036448</v>
      </c>
      <c r="O28" s="57">
        <f>33.989953*Deflactores!$L$5</f>
        <v>70.077052084382402</v>
      </c>
      <c r="P28" s="57">
        <f>20.347235*Deflactores!$M$5</f>
        <v>40.950677505702529</v>
      </c>
      <c r="Q28" s="57">
        <f>20.362461*Deflactores!$N$5</f>
        <v>40.201413800122353</v>
      </c>
      <c r="R28" s="57">
        <f>53.7835*Deflactores!$O$5</f>
        <v>102.43512869396552</v>
      </c>
      <c r="S28" s="57">
        <f>0*Deflactores!$P$5</f>
        <v>0</v>
      </c>
      <c r="T28" s="57">
        <f>0*Deflactores!$Q$5</f>
        <v>0</v>
      </c>
      <c r="U28" s="57">
        <f>0*Deflactores!$R$5</f>
        <v>0</v>
      </c>
      <c r="V28" s="57">
        <f>0*Deflactores!$S$5</f>
        <v>0</v>
      </c>
    </row>
    <row r="29" spans="3:22" x14ac:dyDescent="0.2">
      <c r="C29" s="87" t="s">
        <v>139</v>
      </c>
      <c r="D29" s="56">
        <f>106.979473554*Deflactores!$A$5</f>
        <v>388.39530427795245</v>
      </c>
      <c r="E29" s="56">
        <f>180.07728343*Deflactores!$B$5</f>
        <v>607.33072500642493</v>
      </c>
      <c r="F29" s="56">
        <f>118.75088055*Deflactores!$C$5</f>
        <v>374.32816291922654</v>
      </c>
      <c r="G29" s="56">
        <f>135.638305601*Deflactores!$D$5</f>
        <v>401.49823402392798</v>
      </c>
      <c r="H29" s="56">
        <f>126.18836426*Deflactores!$E$5</f>
        <v>354.0630083508596</v>
      </c>
      <c r="I29" s="56">
        <f>132.77632913804*Deflactores!$F$5</f>
        <v>355.29743497069779</v>
      </c>
      <c r="J29" s="56">
        <f>203.97829052704*Deflactores!$G$5</f>
        <v>522.43315023776313</v>
      </c>
      <c r="K29" s="56">
        <f>172.122981215999*Deflactores!$H$5</f>
        <v>417.09348781789527</v>
      </c>
      <c r="L29" s="56">
        <f>191.626098741*Deflactores!$I$5</f>
        <v>431.25770025692174</v>
      </c>
      <c r="M29" s="56">
        <f>456.410829655*Deflactores!$J$5</f>
        <v>1007.0018666355332</v>
      </c>
      <c r="N29" s="56">
        <f>579.844923724*Deflactores!$K$5</f>
        <v>1240.0169420232291</v>
      </c>
      <c r="O29" s="56">
        <f>616.783008822*Deflactores!$L$5</f>
        <v>1271.6209120377835</v>
      </c>
      <c r="P29" s="56">
        <f>585.801071101*Deflactores!$M$5</f>
        <v>1178.9784088674539</v>
      </c>
      <c r="Q29" s="56">
        <f>722.855719611*Deflactores!$N$5</f>
        <v>1427.127197536046</v>
      </c>
      <c r="R29" s="56">
        <f>649.200587198*Deflactores!$O$5</f>
        <v>1236.456268145902</v>
      </c>
      <c r="S29" s="56">
        <f>503.131819782*Deflactores!$P$5</f>
        <v>897.49574506319527</v>
      </c>
      <c r="T29" s="56">
        <f>479.742201449*Deflactores!$Q$5</f>
        <v>809.24152809573616</v>
      </c>
      <c r="U29" s="56">
        <f>458.38611713826*Deflactores!$R$5</f>
        <v>742.83555947311731</v>
      </c>
      <c r="V29" s="56">
        <f>465.142400646*Deflactores!$S$5</f>
        <v>730.55284387431811</v>
      </c>
    </row>
    <row r="30" spans="3:22" x14ac:dyDescent="0.2">
      <c r="C30" s="88" t="s">
        <v>140</v>
      </c>
      <c r="D30" s="57">
        <f>14.276947494*Deflactores!$A$5</f>
        <v>51.833302052037887</v>
      </c>
      <c r="E30" s="57">
        <f>4.570054056*Deflactores!$B$5</f>
        <v>15.413017068462965</v>
      </c>
      <c r="F30" s="57">
        <f>9.38915895*Deflactores!$C$5</f>
        <v>29.596636292985487</v>
      </c>
      <c r="G30" s="57">
        <f>9.82322591*Deflactores!$D$5</f>
        <v>29.077389589965616</v>
      </c>
      <c r="H30" s="57">
        <f>2279.89389*Deflactores!$E$5</f>
        <v>6396.9930519974532</v>
      </c>
      <c r="I30" s="57">
        <f>2040.920686961*Deflactores!$F$5</f>
        <v>5461.3189697539938</v>
      </c>
      <c r="J30" s="57">
        <f>129.265054937*Deflactores!$G$5</f>
        <v>331.0761635069303</v>
      </c>
      <c r="K30" s="57">
        <f>80.305856*Deflactores!$H$5</f>
        <v>194.59952026515478</v>
      </c>
      <c r="L30" s="57">
        <f>74.0099*Deflactores!$I$5</f>
        <v>166.56050235299068</v>
      </c>
      <c r="M30" s="57">
        <f>77.782*Deflactores!$J$5</f>
        <v>171.61428717599006</v>
      </c>
      <c r="N30" s="57">
        <f>918.574036397*Deflactores!$K$5</f>
        <v>1964.3999990885784</v>
      </c>
      <c r="O30" s="57">
        <f>685.3882*Deflactores!$L$5</f>
        <v>1413.0641660322715</v>
      </c>
      <c r="P30" s="57">
        <f>152.900642702*Deflactores!$M$5</f>
        <v>307.72657364522752</v>
      </c>
      <c r="Q30" s="57">
        <f>266.708764*Deflactores!$N$5</f>
        <v>526.56058546573399</v>
      </c>
      <c r="R30" s="57">
        <f>370.293201064*Deflactores!$O$5</f>
        <v>705.25405943256385</v>
      </c>
      <c r="S30" s="57">
        <f>666.255231335*Deflactores!$P$5</f>
        <v>1188.4782709794536</v>
      </c>
      <c r="T30" s="57">
        <f>444.310438666*Deflactores!$Q$5</f>
        <v>749.47431609929743</v>
      </c>
      <c r="U30" s="57">
        <f>540.211884629*Deflactores!$R$5</f>
        <v>875.43793877896235</v>
      </c>
      <c r="V30" s="57">
        <f>475.601225*Deflactores!$S$5</f>
        <v>746.97947766385244</v>
      </c>
    </row>
    <row r="31" spans="3:22" x14ac:dyDescent="0.2">
      <c r="C31" s="87" t="s">
        <v>141</v>
      </c>
      <c r="D31" s="56">
        <f>9.184223294*Deflactores!$A$5</f>
        <v>33.343865718587786</v>
      </c>
      <c r="E31" s="56">
        <f>8.382529829*Deflactores!$B$5</f>
        <v>28.271016873783108</v>
      </c>
      <c r="F31" s="56">
        <f>10.845507335*Deflactores!$C$5</f>
        <v>34.187357751239404</v>
      </c>
      <c r="G31" s="56">
        <f>11.930545653*Deflactores!$D$5</f>
        <v>35.315193517029861</v>
      </c>
      <c r="H31" s="56">
        <f>14.276763447*Deflactores!$E$5</f>
        <v>40.058161029358352</v>
      </c>
      <c r="I31" s="56">
        <f>14.562986552*Deflactores!$F$5</f>
        <v>38.969233454699996</v>
      </c>
      <c r="J31" s="56">
        <f>24.913591299*Deflactores!$G$5</f>
        <v>63.809172792078556</v>
      </c>
      <c r="K31" s="56">
        <f>20.154658*Deflactores!$H$5</f>
        <v>48.839362074769042</v>
      </c>
      <c r="L31" s="56">
        <f>25.638*Deflactores!$I$5</f>
        <v>57.698742456427787</v>
      </c>
      <c r="M31" s="56">
        <f>27.86438595*Deflactores!$J$5</f>
        <v>61.478577722428355</v>
      </c>
      <c r="N31" s="56">
        <f>30.773414526*Deflactores!$K$5</f>
        <v>65.809932647280164</v>
      </c>
      <c r="O31" s="56">
        <f>25.431882887*Deflactores!$L$5</f>
        <v>52.432887496967489</v>
      </c>
      <c r="P31" s="56">
        <f>26.194855358*Deflactores!$M$5</f>
        <v>52.719550055522632</v>
      </c>
      <c r="Q31" s="56">
        <f>26.981*Deflactores!$N$5</f>
        <v>53.268332631360295</v>
      </c>
      <c r="R31" s="56">
        <f>29.804*Deflactores!$O$5</f>
        <v>56.764185588423004</v>
      </c>
      <c r="S31" s="56">
        <f>31.3467*Deflactores!$P$5</f>
        <v>55.916816956562855</v>
      </c>
      <c r="T31" s="56">
        <f>42.563385942*Deflactores!$Q$5</f>
        <v>71.797018016340388</v>
      </c>
      <c r="U31" s="56">
        <f>24.299951725*Deflactores!$R$5</f>
        <v>39.379177422525544</v>
      </c>
      <c r="V31" s="56">
        <f>21.823*Deflactores!$S$5</f>
        <v>34.275212686969532</v>
      </c>
    </row>
    <row r="32" spans="3:22" x14ac:dyDescent="0.2">
      <c r="C32" s="88" t="s">
        <v>142</v>
      </c>
      <c r="D32" s="57">
        <f>18.629317588*Deflactores!$A$5</f>
        <v>67.634839027597096</v>
      </c>
      <c r="E32" s="57">
        <f>20.231653333*Deflactores!$B$5</f>
        <v>68.233507596119921</v>
      </c>
      <c r="F32" s="57">
        <f>22.780749905*Deflactores!$C$5</f>
        <v>71.809793934711124</v>
      </c>
      <c r="G32" s="57">
        <f>23.511103627*Deflactores!$D$5</f>
        <v>69.594400669986499</v>
      </c>
      <c r="H32" s="57">
        <f>31.311627703*Deflactores!$E$5</f>
        <v>87.855082090167798</v>
      </c>
      <c r="I32" s="57">
        <f>25.481814913*Deflactores!$F$5</f>
        <v>68.187029538785012</v>
      </c>
      <c r="J32" s="57">
        <f>43.239761194*Deflactores!$G$5</f>
        <v>110.74651423806995</v>
      </c>
      <c r="K32" s="57">
        <f>45.185550448*Deflactores!$H$5</f>
        <v>109.49495937254873</v>
      </c>
      <c r="L32" s="57">
        <f>40.904823783*Deflactores!$I$5</f>
        <v>92.056981538375808</v>
      </c>
      <c r="M32" s="57">
        <f>44.6761398259999*Deflactores!$J$5</f>
        <v>98.571184721578675</v>
      </c>
      <c r="N32" s="57">
        <f>55.929517333*Deflactores!$K$5</f>
        <v>119.60706425898351</v>
      </c>
      <c r="O32" s="57">
        <f>48.181120576*Deflactores!$L$5</f>
        <v>99.334968073897031</v>
      </c>
      <c r="P32" s="57">
        <f>54.620596755*Deflactores!$M$5</f>
        <v>109.92896297128466</v>
      </c>
      <c r="Q32" s="57">
        <f>79.205162*Deflactores!$N$5</f>
        <v>156.37400079822015</v>
      </c>
      <c r="R32" s="57">
        <f>105.171*Deflactores!$O$5</f>
        <v>200.30687701382487</v>
      </c>
      <c r="S32" s="57">
        <f>107.5389*Deflactores!$P$5</f>
        <v>191.82985727397516</v>
      </c>
      <c r="T32" s="57">
        <f>100.577171697*Deflactores!$Q$5</f>
        <v>169.65616922963147</v>
      </c>
      <c r="U32" s="57">
        <f>107.550848*Deflactores!$R$5</f>
        <v>174.29104276687929</v>
      </c>
      <c r="V32" s="57">
        <f>94.863065*Deflactores!$S$5</f>
        <v>148.99196852003919</v>
      </c>
    </row>
    <row r="33" spans="3:22" x14ac:dyDescent="0.2">
      <c r="C33" s="87" t="s">
        <v>143</v>
      </c>
      <c r="D33" s="56">
        <f>0*Deflactores!$A$5</f>
        <v>0</v>
      </c>
      <c r="E33" s="56">
        <f>0*Deflactores!$B$5</f>
        <v>0</v>
      </c>
      <c r="F33" s="56">
        <f>0*Deflactores!$C$5</f>
        <v>0</v>
      </c>
      <c r="G33" s="56">
        <f>0*Deflactores!$D$5</f>
        <v>0</v>
      </c>
      <c r="H33" s="56">
        <f>0*Deflactores!$E$5</f>
        <v>0</v>
      </c>
      <c r="I33" s="56">
        <f>0*Deflactores!$F$5</f>
        <v>0</v>
      </c>
      <c r="J33" s="56">
        <f>0*Deflactores!$G$5</f>
        <v>0</v>
      </c>
      <c r="K33" s="56">
        <f>0*Deflactores!$H$5</f>
        <v>0</v>
      </c>
      <c r="L33" s="56">
        <f>0*Deflactores!$I$5</f>
        <v>0</v>
      </c>
      <c r="M33" s="56">
        <f>0*Deflactores!$J$5</f>
        <v>0</v>
      </c>
      <c r="N33" s="56">
        <f>0*Deflactores!$K$5</f>
        <v>0</v>
      </c>
      <c r="O33" s="56">
        <f>0*Deflactores!$L$5</f>
        <v>0</v>
      </c>
      <c r="P33" s="56">
        <f>0*Deflactores!$M$5</f>
        <v>0</v>
      </c>
      <c r="Q33" s="56">
        <f>0*Deflactores!$N$5</f>
        <v>0</v>
      </c>
      <c r="R33" s="56">
        <f>0*Deflactores!$O$5</f>
        <v>0</v>
      </c>
      <c r="S33" s="56">
        <f>0*Deflactores!$P$5</f>
        <v>0</v>
      </c>
      <c r="T33" s="56">
        <f>0*Deflactores!$Q$5</f>
        <v>0</v>
      </c>
      <c r="U33" s="56">
        <f>0*Deflactores!$R$5</f>
        <v>0</v>
      </c>
      <c r="V33" s="56">
        <f>0*Deflactores!$S$5</f>
        <v>0</v>
      </c>
    </row>
    <row r="34" spans="3:22" x14ac:dyDescent="0.2">
      <c r="C34" s="88" t="s">
        <v>144</v>
      </c>
      <c r="D34" s="57">
        <f>0*Deflactores!$A$5</f>
        <v>0</v>
      </c>
      <c r="E34" s="57">
        <f>0*Deflactores!$B$5</f>
        <v>0</v>
      </c>
      <c r="F34" s="57">
        <f>0*Deflactores!$C$5</f>
        <v>0</v>
      </c>
      <c r="G34" s="57">
        <f>0*Deflactores!$D$5</f>
        <v>0</v>
      </c>
      <c r="H34" s="57">
        <f>0*Deflactores!$E$5</f>
        <v>0</v>
      </c>
      <c r="I34" s="57">
        <f>0*Deflactores!$F$5</f>
        <v>0</v>
      </c>
      <c r="J34" s="57">
        <f>0*Deflactores!$G$5</f>
        <v>0</v>
      </c>
      <c r="K34" s="57">
        <f>0*Deflactores!$H$5</f>
        <v>0</v>
      </c>
      <c r="L34" s="57">
        <f>0*Deflactores!$I$5</f>
        <v>0</v>
      </c>
      <c r="M34" s="57">
        <f>0*Deflactores!$J$5</f>
        <v>0</v>
      </c>
      <c r="N34" s="57">
        <f>0*Deflactores!$K$5</f>
        <v>0</v>
      </c>
      <c r="O34" s="57">
        <f>0*Deflactores!$L$5</f>
        <v>0</v>
      </c>
      <c r="P34" s="57">
        <f>0*Deflactores!$M$5</f>
        <v>0</v>
      </c>
      <c r="Q34" s="57">
        <f>0*Deflactores!$N$5</f>
        <v>0</v>
      </c>
      <c r="R34" s="57">
        <f>0*Deflactores!$O$5</f>
        <v>0</v>
      </c>
      <c r="S34" s="57">
        <f>0*Deflactores!$P$5</f>
        <v>0</v>
      </c>
      <c r="T34" s="57">
        <f>0*Deflactores!$Q$5</f>
        <v>0</v>
      </c>
      <c r="U34" s="57">
        <f>0*Deflactores!$R$5</f>
        <v>0</v>
      </c>
      <c r="V34" s="57">
        <f>0*Deflactores!$S$5</f>
        <v>0</v>
      </c>
    </row>
    <row r="35" spans="3:22" x14ac:dyDescent="0.2">
      <c r="C35" s="87" t="s">
        <v>145</v>
      </c>
      <c r="D35" s="56">
        <f>14.118407319*Deflactores!$A$5</f>
        <v>51.25771257245119</v>
      </c>
      <c r="E35" s="56">
        <f>14.591125569*Deflactores!$B$5</f>
        <v>49.210198541923639</v>
      </c>
      <c r="F35" s="56">
        <f>29.568428695*Deflactores!$C$5</f>
        <v>93.206008600055753</v>
      </c>
      <c r="G35" s="56">
        <f>15.196325395*Deflactores!$D$5</f>
        <v>44.982114622497079</v>
      </c>
      <c r="H35" s="56">
        <f>15.590637919*Deflactores!$E$5</f>
        <v>43.744668504748283</v>
      </c>
      <c r="I35" s="56">
        <f>11.65178481*Deflactores!$F$5</f>
        <v>31.179121178441179</v>
      </c>
      <c r="J35" s="56">
        <f>16.409502242*Deflactores!$G$5</f>
        <v>42.028335113364676</v>
      </c>
      <c r="K35" s="56">
        <f>17.532942188*Deflactores!$H$5</f>
        <v>42.486342946415924</v>
      </c>
      <c r="L35" s="56">
        <f>19.812*Deflactores!$I$5</f>
        <v>44.587233229844266</v>
      </c>
      <c r="M35" s="56">
        <f>21.73381516*Deflactores!$J$5</f>
        <v>47.952395108098614</v>
      </c>
      <c r="N35" s="56">
        <f>22.058290566*Deflactores!$K$5</f>
        <v>47.172360910295282</v>
      </c>
      <c r="O35" s="56">
        <f>23.647803244*Deflactores!$L$5</f>
        <v>48.75465228242637</v>
      </c>
      <c r="P35" s="56">
        <f>23.104685341*Deflactores!$M$5</f>
        <v>46.500299341410454</v>
      </c>
      <c r="Q35" s="56">
        <f>25.861749799*Deflactores!$N$5</f>
        <v>51.058607565403321</v>
      </c>
      <c r="R35" s="56">
        <f>35.046*Deflactores!$O$5</f>
        <v>66.748008593875738</v>
      </c>
      <c r="S35" s="56">
        <f>39.737043267*Deflactores!$P$5</f>
        <v>70.883664779892541</v>
      </c>
      <c r="T35" s="56">
        <f>40.230054*Deflactores!$Q$5</f>
        <v>67.861093470624979</v>
      </c>
      <c r="U35" s="56">
        <f>45.866804*Deflactores!$R$5</f>
        <v>74.329242829810781</v>
      </c>
      <c r="V35" s="56">
        <f>48.7242668*Deflactores!$S$5</f>
        <v>76.526353278039153</v>
      </c>
    </row>
    <row r="36" spans="3:22" x14ac:dyDescent="0.2">
      <c r="C36" s="88" t="s">
        <v>146</v>
      </c>
      <c r="D36" s="57">
        <f>50.6351*Deflactores!$A$5</f>
        <v>183.8337245295709</v>
      </c>
      <c r="E36" s="57">
        <f>53.045352745*Deflactores!$B$5</f>
        <v>178.90136905227973</v>
      </c>
      <c r="F36" s="57">
        <f>51.924564245*Deflactores!$C$5</f>
        <v>163.67732731066647</v>
      </c>
      <c r="G36" s="57">
        <f>36.78321958*Deflactores!$D$5</f>
        <v>108.88072980303794</v>
      </c>
      <c r="H36" s="57">
        <f>47.552715518*Deflactores!$E$5</f>
        <v>133.42480196403241</v>
      </c>
      <c r="I36" s="57">
        <f>43.246396689*Deflactores!$F$5</f>
        <v>115.7234419348385</v>
      </c>
      <c r="J36" s="57">
        <f>54.46192031*Deflactores!$G$5</f>
        <v>139.4889256206387</v>
      </c>
      <c r="K36" s="57">
        <f>53.161601715*Deflactores!$H$5</f>
        <v>128.82276219390812</v>
      </c>
      <c r="L36" s="57">
        <f>56.65*Deflactores!$I$5</f>
        <v>127.49176067386824</v>
      </c>
      <c r="M36" s="57">
        <f>71.452760131*Deflactores!$J$5</f>
        <v>157.64977111206409</v>
      </c>
      <c r="N36" s="57">
        <f>110.531394776*Deflactores!$K$5</f>
        <v>236.37492808842342</v>
      </c>
      <c r="O36" s="57">
        <f>109.3448*Deflactores!$L$5</f>
        <v>225.43606473231597</v>
      </c>
      <c r="P36" s="57">
        <f>176.736641177*Deflactores!$M$5</f>
        <v>355.6987077743189</v>
      </c>
      <c r="Q36" s="57">
        <f>176.643*Deflactores!$N$5</f>
        <v>348.74460105264353</v>
      </c>
      <c r="R36" s="57">
        <f>168.7503*Deflactores!$O$5</f>
        <v>321.39891783995637</v>
      </c>
      <c r="S36" s="57">
        <f>199.21776086*Deflactores!$P$5</f>
        <v>355.36828656620736</v>
      </c>
      <c r="T36" s="57">
        <f>284.762178929*Deflactores!$Q$5</f>
        <v>480.34419345297675</v>
      </c>
      <c r="U36" s="57">
        <f>264.567356854*Deflactores!$R$5</f>
        <v>428.74343964410889</v>
      </c>
      <c r="V36" s="57">
        <f>253.634*Deflactores!$S$5</f>
        <v>398.35766368724876</v>
      </c>
    </row>
    <row r="37" spans="3:22" x14ac:dyDescent="0.2">
      <c r="C37" s="90" t="s">
        <v>147</v>
      </c>
      <c r="D37" s="58">
        <f>150.996119206*Deflactores!$A$5</f>
        <v>548.20033895756217</v>
      </c>
      <c r="E37" s="58">
        <f>140.570892801*Deflactores!$B$5</f>
        <v>474.09101588773223</v>
      </c>
      <c r="F37" s="58">
        <f>172.479690304*Deflactores!$C$5</f>
        <v>543.69285779896859</v>
      </c>
      <c r="G37" s="58">
        <f>149.110067351*Deflactores!$D$5</f>
        <v>441.37552774158274</v>
      </c>
      <c r="H37" s="58">
        <f>147.33967978316*Deflactores!$E$5</f>
        <v>413.40998894312759</v>
      </c>
      <c r="I37" s="58">
        <f>138.035578*Deflactores!$F$5</f>
        <v>369.3707087436477</v>
      </c>
      <c r="J37" s="58">
        <f>167.89481956*Deflactores!$G$5</f>
        <v>430.01546519826331</v>
      </c>
      <c r="K37" s="58">
        <f>190.495341*Deflactores!$H$5</f>
        <v>461.613932256037</v>
      </c>
      <c r="L37" s="58">
        <f>175.663272745*Deflactores!$I$5</f>
        <v>395.33309669892293</v>
      </c>
      <c r="M37" s="58">
        <f>240.27052676623*Deflactores!$J$5</f>
        <v>530.12078861929751</v>
      </c>
      <c r="N37" s="58">
        <f>267.778177635*Deflactores!$K$5</f>
        <v>572.65220990286332</v>
      </c>
      <c r="O37" s="58">
        <f>320.447663252*Deflactores!$L$5</f>
        <v>660.66662663608383</v>
      </c>
      <c r="P37" s="58">
        <f>421.54627694*Deflactores!$M$5</f>
        <v>848.40056355074807</v>
      </c>
      <c r="Q37" s="58">
        <f>485.33078101742*Deflactores!$N$5</f>
        <v>958.18396202786437</v>
      </c>
      <c r="R37" s="58">
        <f>459.52079228952*Deflactores!$O$5</f>
        <v>875.19539441892005</v>
      </c>
      <c r="S37" s="58">
        <f>487.563746691*Deflactores!$P$5</f>
        <v>869.72513146125834</v>
      </c>
      <c r="T37" s="58">
        <f>510.20016665*Deflactores!$Q$5</f>
        <v>860.61880995148772</v>
      </c>
      <c r="U37" s="58">
        <f>559.363797995*Deflactores!$R$5</f>
        <v>906.47448580405955</v>
      </c>
      <c r="V37" s="58">
        <f>528.785330166*Deflactores!$S$5</f>
        <v>830.5104548957089</v>
      </c>
    </row>
    <row r="38" spans="3:22" ht="22.5" customHeight="1" x14ac:dyDescent="0.2">
      <c r="C38" s="89" t="s">
        <v>148</v>
      </c>
      <c r="D38" s="59">
        <f>0*Deflactores!$A$5</f>
        <v>0</v>
      </c>
      <c r="E38" s="59">
        <f>0*Deflactores!$B$5</f>
        <v>0</v>
      </c>
      <c r="F38" s="59">
        <f>0*Deflactores!$C$5</f>
        <v>0</v>
      </c>
      <c r="G38" s="59">
        <f>0*Deflactores!$D$5</f>
        <v>0</v>
      </c>
      <c r="H38" s="59">
        <f>0*Deflactores!$E$5</f>
        <v>0</v>
      </c>
      <c r="I38" s="59">
        <f>0*Deflactores!$F$5</f>
        <v>0</v>
      </c>
      <c r="J38" s="59">
        <f>0*Deflactores!$G$5</f>
        <v>0</v>
      </c>
      <c r="K38" s="59">
        <f>0*Deflactores!$H$5</f>
        <v>0</v>
      </c>
      <c r="L38" s="59">
        <f>0*Deflactores!$I$5</f>
        <v>0</v>
      </c>
      <c r="M38" s="59">
        <f>0*Deflactores!$J$5</f>
        <v>0</v>
      </c>
      <c r="N38" s="59">
        <f>0*Deflactores!$K$5</f>
        <v>0</v>
      </c>
      <c r="O38" s="59">
        <f>0*Deflactores!$L$5</f>
        <v>0</v>
      </c>
      <c r="P38" s="59">
        <f>0*Deflactores!$M$5</f>
        <v>0</v>
      </c>
      <c r="Q38" s="59">
        <f>0*Deflactores!$N$5</f>
        <v>0</v>
      </c>
      <c r="R38" s="59">
        <f>0*Deflactores!$O$5</f>
        <v>0</v>
      </c>
      <c r="S38" s="59">
        <f>0*Deflactores!$P$5</f>
        <v>0</v>
      </c>
      <c r="T38" s="59">
        <f>0*Deflactores!$Q$5</f>
        <v>0</v>
      </c>
      <c r="U38" s="59">
        <f>0*Deflactores!$R$5</f>
        <v>0</v>
      </c>
      <c r="V38" s="59">
        <f>0*Deflactores!$S$5</f>
        <v>0</v>
      </c>
    </row>
    <row r="39" spans="3:22" x14ac:dyDescent="0.2">
      <c r="C39" s="87" t="s">
        <v>149</v>
      </c>
      <c r="D39" s="56">
        <f>194.6180484*Deflactores!$A$5</f>
        <v>706.57233219739453</v>
      </c>
      <c r="E39" s="56">
        <f>182.98753486*Deflactores!$B$5</f>
        <v>617.14587257677329</v>
      </c>
      <c r="F39" s="56">
        <f>179.904192022*Deflactores!$C$5</f>
        <v>567.09647447799944</v>
      </c>
      <c r="G39" s="56">
        <f>188.224531983*Deflactores!$D$5</f>
        <v>557.15689499587563</v>
      </c>
      <c r="H39" s="56">
        <f>172.976522*Deflactores!$E$5</f>
        <v>485.34259170837316</v>
      </c>
      <c r="I39" s="56">
        <f>112.7781*Deflactores!$F$5</f>
        <v>301.78398447219149</v>
      </c>
      <c r="J39" s="56">
        <f>206.19*Deflactores!$G$5</f>
        <v>528.09782339677281</v>
      </c>
      <c r="K39" s="56">
        <f>208.84553*Deflactores!$H$5</f>
        <v>506.08065179607803</v>
      </c>
      <c r="L39" s="56">
        <f>265.14454512*Deflactores!$I$5</f>
        <v>596.71217811863539</v>
      </c>
      <c r="M39" s="56">
        <f>299.8972*Deflactores!$J$5</f>
        <v>661.67807724248962</v>
      </c>
      <c r="N39" s="56">
        <f>378.2163*Deflactores!$K$5</f>
        <v>808.82767195281463</v>
      </c>
      <c r="O39" s="56">
        <f>409.946884*Deflactores!$L$5</f>
        <v>845.18708048517374</v>
      </c>
      <c r="P39" s="56">
        <f>493.144092*Deflactores!$M$5</f>
        <v>992.49773619533562</v>
      </c>
      <c r="Q39" s="56">
        <f>393.677543896*Deflactores!$N$5</f>
        <v>777.23384447385456</v>
      </c>
      <c r="R39" s="56">
        <f>432.120506985*Deflactores!$O$5</f>
        <v>823.00928248087439</v>
      </c>
      <c r="S39" s="56">
        <f>438.191902309*Deflactores!$P$5</f>
        <v>781.65473218107252</v>
      </c>
      <c r="T39" s="56">
        <f>124.243350461*Deflactores!$Q$5</f>
        <v>209.57689041972296</v>
      </c>
      <c r="U39" s="56">
        <f>129.712778591*Deflactores!$R$5</f>
        <v>210.20545966141262</v>
      </c>
      <c r="V39" s="56">
        <f>286.041168955*Deflactores!$S$5</f>
        <v>449.25637644512722</v>
      </c>
    </row>
    <row r="40" spans="3:22" x14ac:dyDescent="0.2">
      <c r="C40" s="88" t="s">
        <v>150</v>
      </c>
      <c r="D40" s="57">
        <f>142.710372637*Deflactores!$A$5</f>
        <v>518.1184461147044</v>
      </c>
      <c r="E40" s="57">
        <f>160.298353562*Deflactores!$B$5</f>
        <v>540.62407779485068</v>
      </c>
      <c r="F40" s="57">
        <f>181.324006*Deflactores!$C$5</f>
        <v>571.5720316747985</v>
      </c>
      <c r="G40" s="57">
        <f>188.9558*Deflactores!$D$5</f>
        <v>559.32149603628784</v>
      </c>
      <c r="H40" s="57">
        <f>199.4742*Deflactores!$E$5</f>
        <v>559.69055272688604</v>
      </c>
      <c r="I40" s="57">
        <f>211.529189603*Deflactores!$F$5</f>
        <v>566.03295915223794</v>
      </c>
      <c r="J40" s="57">
        <f>228.06787497*Deflactores!$G$5</f>
        <v>584.13186070315874</v>
      </c>
      <c r="K40" s="57">
        <f>228.397213*Deflactores!$H$5</f>
        <v>553.45886705570217</v>
      </c>
      <c r="L40" s="57">
        <f>243.584963*Deflactores!$I$5</f>
        <v>548.19198246335486</v>
      </c>
      <c r="M40" s="57">
        <f>261.424799999999*Deflactores!$J$5</f>
        <v>576.7945116109845</v>
      </c>
      <c r="N40" s="57">
        <f>341.112878622*Deflactores!$K$5</f>
        <v>729.48081690015817</v>
      </c>
      <c r="O40" s="57">
        <f>247.9283*Deflactores!$L$5</f>
        <v>511.15352799376882</v>
      </c>
      <c r="P40" s="57">
        <f>327.28376181*Deflactores!$M$5</f>
        <v>658.68860229581423</v>
      </c>
      <c r="Q40" s="57">
        <f>360.11432*Deflactores!$N$5</f>
        <v>710.97028957696614</v>
      </c>
      <c r="R40" s="57">
        <f>382.9792823*Deflactores!$O$5</f>
        <v>729.41575147625304</v>
      </c>
      <c r="S40" s="57">
        <f>402.505630313*Deflactores!$P$5</f>
        <v>717.99690730437271</v>
      </c>
      <c r="T40" s="57">
        <f>508.907720429*Deflactores!$Q$5</f>
        <v>858.43867830639874</v>
      </c>
      <c r="U40" s="57">
        <f>731.092718978*Deflactores!$R$5</f>
        <v>1184.7690159537249</v>
      </c>
      <c r="V40" s="57">
        <f>701.717146668*Deflactores!$S$5</f>
        <v>1102.1172363166886</v>
      </c>
    </row>
    <row r="41" spans="3:22" x14ac:dyDescent="0.2">
      <c r="C41" s="87" t="s">
        <v>151</v>
      </c>
      <c r="D41" s="56">
        <f>26.718857568*Deflactores!$A$5</f>
        <v>97.004392247681011</v>
      </c>
      <c r="E41" s="56">
        <f>22.3197869*Deflactores!$B$5</f>
        <v>75.275970970737262</v>
      </c>
      <c r="F41" s="56">
        <f>11.013184*Deflactores!$C$5</f>
        <v>34.715910446454536</v>
      </c>
      <c r="G41" s="56">
        <f>14.6774*Deflactores!$D$5</f>
        <v>43.446061597066681</v>
      </c>
      <c r="H41" s="56">
        <f>26.7336*Deflactores!$E$5</f>
        <v>75.009917875993395</v>
      </c>
      <c r="I41" s="56">
        <f>8.85*Deflactores!$F$5</f>
        <v>23.681798705412618</v>
      </c>
      <c r="J41" s="56">
        <f>23.5783*Deflactores!$G$5</f>
        <v>60.389198842796098</v>
      </c>
      <c r="K41" s="56">
        <f>24.6393235*Deflactores!$H$5</f>
        <v>59.706735866908062</v>
      </c>
      <c r="L41" s="56">
        <f>0*Deflactores!$I$5</f>
        <v>0</v>
      </c>
      <c r="M41" s="56">
        <f>0*Deflactores!$J$5</f>
        <v>0</v>
      </c>
      <c r="N41" s="56">
        <f>0*Deflactores!$K$5</f>
        <v>0</v>
      </c>
      <c r="O41" s="56">
        <f>0*Deflactores!$L$5</f>
        <v>0</v>
      </c>
      <c r="P41" s="56">
        <f>0*Deflactores!$M$5</f>
        <v>0</v>
      </c>
      <c r="Q41" s="56">
        <f>0*Deflactores!$N$5</f>
        <v>0</v>
      </c>
      <c r="R41" s="56">
        <f>0*Deflactores!$O$5</f>
        <v>0</v>
      </c>
      <c r="S41" s="56">
        <f>0*Deflactores!$P$5</f>
        <v>0</v>
      </c>
      <c r="T41" s="56">
        <f>0*Deflactores!$Q$5</f>
        <v>0</v>
      </c>
      <c r="U41" s="56">
        <f>0*Deflactores!$R$5</f>
        <v>0</v>
      </c>
      <c r="V41" s="56">
        <f>0*Deflactores!$S$5</f>
        <v>0</v>
      </c>
    </row>
    <row r="42" spans="3:22" ht="21.75" customHeight="1" x14ac:dyDescent="0.2">
      <c r="C42" s="79" t="s">
        <v>179</v>
      </c>
      <c r="D42" s="44">
        <f t="shared" ref="D42:V42" si="0">+SUM(D13:D41)</f>
        <v>6543.9181044458892</v>
      </c>
      <c r="E42" s="44">
        <f t="shared" si="0"/>
        <v>6674.8996994454501</v>
      </c>
      <c r="F42" s="44">
        <f t="shared" si="0"/>
        <v>6648.9912918259433</v>
      </c>
      <c r="G42" s="44">
        <f t="shared" si="0"/>
        <v>6510.5624517877504</v>
      </c>
      <c r="H42" s="44">
        <f t="shared" si="0"/>
        <v>12641.87885961762</v>
      </c>
      <c r="I42" s="44">
        <f t="shared" si="0"/>
        <v>11577.547636037772</v>
      </c>
      <c r="J42" s="44">
        <f t="shared" si="0"/>
        <v>7010.5846976192042</v>
      </c>
      <c r="K42" s="44">
        <f t="shared" si="0"/>
        <v>6719.8559605050514</v>
      </c>
      <c r="L42" s="44">
        <f t="shared" si="0"/>
        <v>6609.9061372247143</v>
      </c>
      <c r="M42" s="44">
        <f t="shared" si="0"/>
        <v>8210.6781298838177</v>
      </c>
      <c r="N42" s="44">
        <f t="shared" si="0"/>
        <v>10958.375190854915</v>
      </c>
      <c r="O42" s="44">
        <f t="shared" si="0"/>
        <v>10449.660348995665</v>
      </c>
      <c r="P42" s="44">
        <f t="shared" si="0"/>
        <v>10090.958567322588</v>
      </c>
      <c r="Q42" s="44">
        <f t="shared" si="0"/>
        <v>10823.839175821226</v>
      </c>
      <c r="R42" s="44">
        <f t="shared" si="0"/>
        <v>10489.514629644582</v>
      </c>
      <c r="S42" s="44">
        <f t="shared" si="0"/>
        <v>10519.884907126174</v>
      </c>
      <c r="T42" s="44">
        <f t="shared" si="0"/>
        <v>9485.6364917591945</v>
      </c>
      <c r="U42" s="44">
        <f t="shared" si="0"/>
        <v>9559.5287114472376</v>
      </c>
      <c r="V42" s="44">
        <f t="shared" si="0"/>
        <v>9537.640894738819</v>
      </c>
    </row>
    <row r="43" spans="3:22" x14ac:dyDescent="0.2">
      <c r="C43" s="1" t="s">
        <v>52</v>
      </c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</row>
    <row r="44" spans="3:22" x14ac:dyDescent="0.2"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</row>
    <row r="45" spans="3:22" x14ac:dyDescent="0.2"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</row>
    <row r="46" spans="3:22" x14ac:dyDescent="0.2"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</row>
    <row r="48" spans="3:22" ht="15" customHeight="1" x14ac:dyDescent="0.2">
      <c r="D48" s="160" t="s">
        <v>195</v>
      </c>
      <c r="E48" s="158"/>
      <c r="F48" s="158"/>
      <c r="G48" s="158"/>
      <c r="H48" s="158"/>
      <c r="I48" s="158"/>
      <c r="J48" s="158"/>
      <c r="K48" s="158"/>
      <c r="L48" s="158"/>
      <c r="M48" s="158"/>
      <c r="N48" s="158"/>
      <c r="O48" s="158"/>
      <c r="P48" s="158"/>
      <c r="Q48" s="158"/>
      <c r="R48" s="158"/>
      <c r="S48" s="158"/>
      <c r="T48" s="158"/>
      <c r="U48" s="158"/>
      <c r="V48" s="158"/>
    </row>
    <row r="49" spans="3:22" ht="11.25" hidden="1" customHeight="1" x14ac:dyDescent="0.2">
      <c r="H49" s="27"/>
      <c r="I49" s="27"/>
      <c r="J49" s="27"/>
      <c r="L49" s="27"/>
      <c r="M49" s="27"/>
      <c r="N49" s="27"/>
      <c r="O49" s="27"/>
      <c r="P49" s="27"/>
      <c r="Q49" s="98"/>
      <c r="R49" s="28"/>
      <c r="S49" s="28"/>
      <c r="T49" s="28"/>
      <c r="U49" s="28"/>
      <c r="V49" s="28"/>
    </row>
    <row r="50" spans="3:22" ht="15.75" customHeight="1" x14ac:dyDescent="0.2"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</row>
    <row r="51" spans="3:22" ht="12" thickBot="1" x14ac:dyDescent="0.25">
      <c r="C51" s="177" t="s">
        <v>120</v>
      </c>
      <c r="D51" s="153">
        <v>2000</v>
      </c>
      <c r="E51" s="153">
        <v>2001</v>
      </c>
      <c r="F51" s="153">
        <v>2002</v>
      </c>
      <c r="G51" s="153">
        <v>2003</v>
      </c>
      <c r="H51" s="153">
        <v>2004</v>
      </c>
      <c r="I51" s="153">
        <v>2005</v>
      </c>
      <c r="J51" s="153">
        <v>2006</v>
      </c>
      <c r="K51" s="153">
        <v>2007</v>
      </c>
      <c r="L51" s="153">
        <v>2008</v>
      </c>
      <c r="M51" s="153">
        <v>2009</v>
      </c>
      <c r="N51" s="153">
        <v>2010</v>
      </c>
      <c r="O51" s="153">
        <v>2011</v>
      </c>
      <c r="P51" s="153">
        <v>2012</v>
      </c>
      <c r="Q51" s="153">
        <v>2013</v>
      </c>
      <c r="R51" s="153">
        <v>2014</v>
      </c>
      <c r="S51" s="153">
        <v>2015</v>
      </c>
      <c r="T51" s="153">
        <v>2016</v>
      </c>
      <c r="U51" s="153">
        <v>2017</v>
      </c>
      <c r="V51" s="153">
        <v>2018</v>
      </c>
    </row>
    <row r="52" spans="3:22" ht="12" customHeight="1" thickBot="1" x14ac:dyDescent="0.25">
      <c r="C52" s="156"/>
      <c r="D52" s="154"/>
      <c r="E52" s="154"/>
      <c r="F52" s="154"/>
      <c r="G52" s="154"/>
      <c r="H52" s="154"/>
      <c r="I52" s="154"/>
      <c r="J52" s="154"/>
      <c r="K52" s="154"/>
      <c r="L52" s="154"/>
      <c r="M52" s="154"/>
      <c r="N52" s="154"/>
      <c r="O52" s="154"/>
      <c r="P52" s="154"/>
      <c r="Q52" s="154"/>
      <c r="R52" s="154"/>
      <c r="S52" s="154"/>
      <c r="T52" s="154"/>
      <c r="U52" s="154"/>
      <c r="V52" s="154"/>
    </row>
    <row r="53" spans="3:22" x14ac:dyDescent="0.2">
      <c r="C53" s="87" t="s">
        <v>123</v>
      </c>
      <c r="D53" s="56">
        <f>13.0008627965*Deflactores!$A$5</f>
        <v>47.20040110473817</v>
      </c>
      <c r="E53" s="56">
        <f>6.2152110175*Deflactores!$B$5</f>
        <v>20.961492429407397</v>
      </c>
      <c r="F53" s="56">
        <f>10.31522884*Deflactores!$C$5</f>
        <v>32.515806568211794</v>
      </c>
      <c r="G53" s="56">
        <f>8.488113378*Deflactores!$D$5</f>
        <v>25.125369388547949</v>
      </c>
      <c r="H53" s="56">
        <f>4.2216881*Deflactores!$E$5</f>
        <v>11.845336119305241</v>
      </c>
      <c r="I53" s="56">
        <f>4.71331582*Deflactores!$F$5</f>
        <v>12.61240638240416</v>
      </c>
      <c r="J53" s="56">
        <f>10.719782407*Deflactores!$G$5</f>
        <v>27.455714420794987</v>
      </c>
      <c r="K53" s="56">
        <f>4.455188411*Deflactores!$H$5</f>
        <v>10.795944040139204</v>
      </c>
      <c r="L53" s="56">
        <f>7.059563816*Deflactores!$I$5</f>
        <v>15.887664968956258</v>
      </c>
      <c r="M53" s="56">
        <f>7.105833866*Deflactores!$J$5</f>
        <v>15.677953944416442</v>
      </c>
      <c r="N53" s="56">
        <f>6.892572608*Deflactores!$K$5</f>
        <v>14.739987293763861</v>
      </c>
      <c r="O53" s="56">
        <f>6.97533505461999*Deflactores!$L$5</f>
        <v>14.381041301487631</v>
      </c>
      <c r="P53" s="56">
        <f>8.21507906628*Deflactores!$M$5</f>
        <v>16.533600438933355</v>
      </c>
      <c r="Q53" s="56">
        <f>14.04360744063*Deflactores!$N$5</f>
        <v>27.726161094537829</v>
      </c>
      <c r="R53" s="56">
        <f>15.509285711*Deflactores!$O$5</f>
        <v>29.538718710343613</v>
      </c>
      <c r="S53" s="56">
        <f>13.33244315708*Deflactores!$P$5</f>
        <v>23.782656024341364</v>
      </c>
      <c r="T53" s="56">
        <f>11.53613854029*Deflactores!$Q$5</f>
        <v>19.459456250610522</v>
      </c>
      <c r="U53" s="56">
        <f>9.42877748669*Deflactores!$R$5</f>
        <v>15.27976292824837</v>
      </c>
      <c r="V53" s="56">
        <f>8.77285805789*Deflactores!$S$5</f>
        <v>13.778654438288696</v>
      </c>
    </row>
    <row r="54" spans="3:22" x14ac:dyDescent="0.2">
      <c r="C54" s="88" t="s">
        <v>124</v>
      </c>
      <c r="D54" s="57">
        <f>0*Deflactores!$A$5</f>
        <v>0</v>
      </c>
      <c r="E54" s="57">
        <f>0*Deflactores!$B$5</f>
        <v>0</v>
      </c>
      <c r="F54" s="57">
        <f>0*Deflactores!$C$5</f>
        <v>0</v>
      </c>
      <c r="G54" s="57">
        <f>0*Deflactores!$D$5</f>
        <v>0</v>
      </c>
      <c r="H54" s="57">
        <f>0*Deflactores!$E$5</f>
        <v>0</v>
      </c>
      <c r="I54" s="57">
        <f>0*Deflactores!$F$5</f>
        <v>0</v>
      </c>
      <c r="J54" s="57">
        <f>0*Deflactores!$G$5</f>
        <v>0</v>
      </c>
      <c r="K54" s="57">
        <f>0*Deflactores!$H$5</f>
        <v>0</v>
      </c>
      <c r="L54" s="57">
        <f>0*Deflactores!$I$5</f>
        <v>0</v>
      </c>
      <c r="M54" s="57">
        <f>0*Deflactores!$J$5</f>
        <v>0</v>
      </c>
      <c r="N54" s="57">
        <f>0*Deflactores!$K$5</f>
        <v>0</v>
      </c>
      <c r="O54" s="57">
        <f>0*Deflactores!$L$5</f>
        <v>0</v>
      </c>
      <c r="P54" s="57">
        <f>6.03270861587*Deflactores!$M$5</f>
        <v>12.141379652535859</v>
      </c>
      <c r="Q54" s="57">
        <f>18.50319104594*Deflactores!$N$5</f>
        <v>36.530674748035253</v>
      </c>
      <c r="R54" s="57">
        <f>19.17433019787*Deflactores!$O$5</f>
        <v>36.519099378794664</v>
      </c>
      <c r="S54" s="57">
        <f>28.8981754219899*Deflactores!$P$5</f>
        <v>51.54909401787279</v>
      </c>
      <c r="T54" s="57">
        <f>24.71670342217*Deflactores!$Q$5</f>
        <v>41.69277329872822</v>
      </c>
      <c r="U54" s="57">
        <f>24.0256407662599*Deflactores!$R$5</f>
        <v>38.934644032689377</v>
      </c>
      <c r="V54" s="57">
        <f>29.60087322288*Deflactores!$S$5</f>
        <v>46.491143538204341</v>
      </c>
    </row>
    <row r="55" spans="3:22" x14ac:dyDescent="0.2">
      <c r="C55" s="87" t="s">
        <v>125</v>
      </c>
      <c r="D55" s="56">
        <f>1.148768532*Deflactores!$A$5</f>
        <v>4.1706720804328929</v>
      </c>
      <c r="E55" s="56">
        <f>1.91698540897*Deflactores!$B$5</f>
        <v>6.4652471210176579</v>
      </c>
      <c r="F55" s="56">
        <f>1.712324405*Deflactores!$C$5</f>
        <v>5.3976125977063978</v>
      </c>
      <c r="G55" s="56">
        <f>1.56054195633999*Deflactores!$D$5</f>
        <v>4.619306005147652</v>
      </c>
      <c r="H55" s="56">
        <f>1.42537135136*Deflactores!$E$5</f>
        <v>3.9993486851118938</v>
      </c>
      <c r="I55" s="56">
        <f>1.4482425952*Deflactores!$F$5</f>
        <v>3.875366058319861</v>
      </c>
      <c r="J55" s="56">
        <f>1.905352336*Deflactores!$G$5</f>
        <v>4.8800253234664943</v>
      </c>
      <c r="K55" s="56">
        <f>1.49269298*Deflactores!$H$5</f>
        <v>3.6171376818542877</v>
      </c>
      <c r="L55" s="56">
        <f>2.42913708075*Deflactores!$I$5</f>
        <v>5.4668131216769273</v>
      </c>
      <c r="M55" s="56">
        <f>2.46792571398*Deflactores!$J$5</f>
        <v>5.4451069940085635</v>
      </c>
      <c r="N55" s="56">
        <f>0*Deflactores!$K$5</f>
        <v>0</v>
      </c>
      <c r="O55" s="56">
        <f>0*Deflactores!$L$5</f>
        <v>0</v>
      </c>
      <c r="P55" s="56">
        <f>0*Deflactores!$M$5</f>
        <v>0</v>
      </c>
      <c r="Q55" s="56">
        <f>0*Deflactores!$N$5</f>
        <v>0</v>
      </c>
      <c r="R55" s="56">
        <f>0*Deflactores!$O$5</f>
        <v>0</v>
      </c>
      <c r="S55" s="56">
        <f>0*Deflactores!$P$5</f>
        <v>0</v>
      </c>
      <c r="T55" s="56">
        <f>0*Deflactores!$Q$5</f>
        <v>0</v>
      </c>
      <c r="U55" s="56">
        <f>0*Deflactores!$R$5</f>
        <v>0</v>
      </c>
      <c r="V55" s="56">
        <f>0*Deflactores!$S$5</f>
        <v>0</v>
      </c>
    </row>
    <row r="56" spans="3:22" x14ac:dyDescent="0.2">
      <c r="C56" s="88" t="s">
        <v>126</v>
      </c>
      <c r="D56" s="57">
        <f>34.9093290123399*Deflactores!$A$5</f>
        <v>126.74038311698112</v>
      </c>
      <c r="E56" s="57">
        <f>35.495205958*Deflactores!$B$5</f>
        <v>119.71154138997396</v>
      </c>
      <c r="F56" s="57">
        <f>36.232747103*Deflactores!$C$5</f>
        <v>114.21336496845807</v>
      </c>
      <c r="G56" s="57">
        <f>36.525183768*Deflactores!$D$5</f>
        <v>108.11692696449697</v>
      </c>
      <c r="H56" s="57">
        <f>37.693249802*Deflactores!$E$5</f>
        <v>105.76082428581725</v>
      </c>
      <c r="I56" s="57">
        <f>44.52215717*Deflactores!$F$5</f>
        <v>119.13726147239358</v>
      </c>
      <c r="J56" s="57">
        <f>47.373209717*Deflactores!$G$5</f>
        <v>121.33318269007492</v>
      </c>
      <c r="K56" s="57">
        <f>52.968440133*Deflactores!$H$5</f>
        <v>128.35468734777413</v>
      </c>
      <c r="L56" s="57">
        <f>79.43650773058*Deflactores!$I$5</f>
        <v>178.77317268058235</v>
      </c>
      <c r="M56" s="57">
        <f>86.5386217296*Deflactores!$J$5</f>
        <v>190.93445631788779</v>
      </c>
      <c r="N56" s="57">
        <f>95.67924466188*Deflactores!$K$5</f>
        <v>204.61312934971912</v>
      </c>
      <c r="O56" s="57">
        <f>92.69010028519*Deflactores!$L$5</f>
        <v>191.09908699761627</v>
      </c>
      <c r="P56" s="57">
        <f>125.58575609036*Deflactores!$M$5</f>
        <v>252.75285791736073</v>
      </c>
      <c r="Q56" s="57">
        <f>153.01368452799*Deflactores!$N$5</f>
        <v>302.09346742474327</v>
      </c>
      <c r="R56" s="57">
        <f>165.379529074269*Deflactores!$O$5</f>
        <v>314.97900553274064</v>
      </c>
      <c r="S56" s="57">
        <f>169.82489390118*Deflactores!$P$5</f>
        <v>302.93675273441829</v>
      </c>
      <c r="T56" s="57">
        <f>178.49869965775*Deflactores!$Q$5</f>
        <v>301.09621383703796</v>
      </c>
      <c r="U56" s="57">
        <f>183.77990912226*Deflactores!$R$5</f>
        <v>297.82370475145859</v>
      </c>
      <c r="V56" s="57">
        <f>191.44967192432*Deflactores!$S$5</f>
        <v>300.69093268829249</v>
      </c>
    </row>
    <row r="57" spans="3:22" x14ac:dyDescent="0.2">
      <c r="C57" s="87" t="s">
        <v>127</v>
      </c>
      <c r="D57" s="56">
        <f>0*Deflactores!$A$5</f>
        <v>0</v>
      </c>
      <c r="E57" s="56">
        <f>0*Deflactores!$B$5</f>
        <v>0</v>
      </c>
      <c r="F57" s="56">
        <f>0*Deflactores!$C$5</f>
        <v>0</v>
      </c>
      <c r="G57" s="56">
        <f>0*Deflactores!$D$5</f>
        <v>0</v>
      </c>
      <c r="H57" s="56">
        <f>0*Deflactores!$E$5</f>
        <v>0</v>
      </c>
      <c r="I57" s="56">
        <f>0*Deflactores!$F$5</f>
        <v>0</v>
      </c>
      <c r="J57" s="56">
        <f>0*Deflactores!$G$5</f>
        <v>0</v>
      </c>
      <c r="K57" s="56">
        <f>0*Deflactores!$H$5</f>
        <v>0</v>
      </c>
      <c r="L57" s="56">
        <f>0*Deflactores!$I$5</f>
        <v>0</v>
      </c>
      <c r="M57" s="56">
        <f>0*Deflactores!$J$5</f>
        <v>0</v>
      </c>
      <c r="N57" s="56">
        <f>0*Deflactores!$K$5</f>
        <v>0</v>
      </c>
      <c r="O57" s="56">
        <f>0*Deflactores!$L$5</f>
        <v>0</v>
      </c>
      <c r="P57" s="56">
        <f>0*Deflactores!$M$5</f>
        <v>0</v>
      </c>
      <c r="Q57" s="56">
        <f>0*Deflactores!$N$5</f>
        <v>0</v>
      </c>
      <c r="R57" s="56">
        <f>0*Deflactores!$O$5</f>
        <v>0</v>
      </c>
      <c r="S57" s="56">
        <f>0*Deflactores!$P$5</f>
        <v>0</v>
      </c>
      <c r="T57" s="56">
        <f>0*Deflactores!$Q$5</f>
        <v>0</v>
      </c>
      <c r="U57" s="56">
        <f>0*Deflactores!$R$5</f>
        <v>0</v>
      </c>
      <c r="V57" s="56">
        <f>0*Deflactores!$S$5</f>
        <v>0</v>
      </c>
    </row>
    <row r="58" spans="3:22" x14ac:dyDescent="0.2">
      <c r="C58" s="88" t="s">
        <v>128</v>
      </c>
      <c r="D58" s="57">
        <f>0.548046022*Deflactores!$A$5</f>
        <v>1.9897134880325138</v>
      </c>
      <c r="E58" s="57">
        <f>0.593620052309999*Deflactores!$B$5</f>
        <v>2.0020498414944554</v>
      </c>
      <c r="F58" s="57">
        <f>0.477502175*Deflactores!$C$5</f>
        <v>1.5051889394826472</v>
      </c>
      <c r="G58" s="57">
        <f>0.591445001*Deflactores!$D$5</f>
        <v>1.7507157905843787</v>
      </c>
      <c r="H58" s="57">
        <f>0.5571688946*Deflactores!$E$5</f>
        <v>1.5633208032963768</v>
      </c>
      <c r="I58" s="57">
        <f>0.54787091*Deflactores!$F$5</f>
        <v>1.4660529499628512</v>
      </c>
      <c r="J58" s="57">
        <f>0.907625489*Deflactores!$G$5</f>
        <v>2.3246279897198288</v>
      </c>
      <c r="K58" s="57">
        <f>1.560274493*Deflactores!$H$5</f>
        <v>3.7809031986379371</v>
      </c>
      <c r="L58" s="57">
        <f>1.753603732*Deflactores!$I$5</f>
        <v>3.9465141626998443</v>
      </c>
      <c r="M58" s="57">
        <f>1.946914569*Deflactores!$J$5</f>
        <v>4.2955742453457733</v>
      </c>
      <c r="N58" s="57">
        <f>2.053266888*Deflactores!$K$5</f>
        <v>4.3909770068578231</v>
      </c>
      <c r="O58" s="57">
        <f>2.02325419107999*Deflactores!$L$5</f>
        <v>4.1713411409617853</v>
      </c>
      <c r="P58" s="57">
        <f>2.18459701351*Deflactores!$M$5</f>
        <v>4.3967019489463253</v>
      </c>
      <c r="Q58" s="57">
        <f>2.61333450013999*Deflactores!$N$5</f>
        <v>5.1594815399898692</v>
      </c>
      <c r="R58" s="57">
        <f>2.9814221768*Deflactores!$O$5</f>
        <v>5.6783653791878717</v>
      </c>
      <c r="S58" s="57">
        <f>2.48132282834*Deflactores!$P$5</f>
        <v>4.4262290576816259</v>
      </c>
      <c r="T58" s="57">
        <f>3.18838693534*Deflactores!$Q$5</f>
        <v>5.3782533784226896</v>
      </c>
      <c r="U58" s="57">
        <f>3.87721109110999*Deflactores!$R$5</f>
        <v>6.2831969869439792</v>
      </c>
      <c r="V58" s="57">
        <f>3.12049097132999*Deflactores!$S$5</f>
        <v>4.9010443903268825</v>
      </c>
    </row>
    <row r="59" spans="3:22" x14ac:dyDescent="0.2">
      <c r="C59" s="87" t="s">
        <v>129</v>
      </c>
      <c r="D59" s="56">
        <f>590.542366529879*Deflactores!$A$5</f>
        <v>2143.9989795950764</v>
      </c>
      <c r="E59" s="56">
        <f>721.73101603201*Deflactores!$B$5</f>
        <v>2434.1183567261701</v>
      </c>
      <c r="F59" s="56">
        <f>792.23395295389*Deflactores!$C$5</f>
        <v>2497.2907892384183</v>
      </c>
      <c r="G59" s="56">
        <f>915.579159514049*Deflactores!$D$5</f>
        <v>2710.174047258909</v>
      </c>
      <c r="H59" s="56">
        <f>923.06455706839*Deflactores!$E$5</f>
        <v>2589.9615697077893</v>
      </c>
      <c r="I59" s="56">
        <f>1099.4662577268*Deflactores!$F$5</f>
        <v>2942.0721580654676</v>
      </c>
      <c r="J59" s="56">
        <f>1020.14100772899*Deflactores!$G$5</f>
        <v>2612.8049165307239</v>
      </c>
      <c r="K59" s="56">
        <f>1058.50892634213*Deflactores!$H$5</f>
        <v>2565.0100692851406</v>
      </c>
      <c r="L59" s="56">
        <f>1101.96726936946*Deflactores!$I$5</f>
        <v>2479.9955406334916</v>
      </c>
      <c r="M59" s="56">
        <f>1352.22964772239*Deflactores!$J$5</f>
        <v>2983.4913873662044</v>
      </c>
      <c r="N59" s="56">
        <f>1633.55501694836*Deflactores!$K$5</f>
        <v>3493.4097270931543</v>
      </c>
      <c r="O59" s="56">
        <f>1636.54587504943*Deflactores!$L$5</f>
        <v>3374.064992803023</v>
      </c>
      <c r="P59" s="56">
        <f>1734.94464889148*Deflactores!$M$5</f>
        <v>3491.7353049197745</v>
      </c>
      <c r="Q59" s="56">
        <f>1755.02569808628*Deflactores!$N$5</f>
        <v>3464.9306053239416</v>
      </c>
      <c r="R59" s="56">
        <f>1761.31995290837*Deflactores!$O$5</f>
        <v>3354.5796768045625</v>
      </c>
      <c r="S59" s="56">
        <f>1853.93516098161*Deflactores!$P$5</f>
        <v>3307.0834584165023</v>
      </c>
      <c r="T59" s="56">
        <f>2055.17996746918*Deflactores!$Q$5</f>
        <v>3466.7306156581849</v>
      </c>
      <c r="U59" s="56">
        <f>2080.43855404872*Deflactores!$R$5</f>
        <v>3371.4453371634036</v>
      </c>
      <c r="V59" s="56">
        <f>1945.7785345533*Deflactores!$S$5</f>
        <v>3056.0405587478463</v>
      </c>
    </row>
    <row r="60" spans="3:22" x14ac:dyDescent="0.2">
      <c r="C60" s="88" t="s">
        <v>130</v>
      </c>
      <c r="D60" s="57">
        <f>1.086122563*Deflactores!$A$5</f>
        <v>3.943232185813665</v>
      </c>
      <c r="E60" s="57">
        <f>0.95494697185*Deflactores!$B$5</f>
        <v>3.2206651816901557</v>
      </c>
      <c r="F60" s="57">
        <f>2.38157127242*Deflactores!$C$5</f>
        <v>7.5072218002697033</v>
      </c>
      <c r="G60" s="57">
        <f>1.21193142806*Deflactores!$D$5</f>
        <v>3.5873960970550467</v>
      </c>
      <c r="H60" s="57">
        <f>1.65873509171*Deflactores!$E$5</f>
        <v>4.6541275027379587</v>
      </c>
      <c r="I60" s="57">
        <f>1.93867034288*Deflactores!$F$5</f>
        <v>5.1877063069194831</v>
      </c>
      <c r="J60" s="57">
        <f>3.188602067*Deflactores!$G$5</f>
        <v>8.1667094003644731</v>
      </c>
      <c r="K60" s="57">
        <f>3.2174077565*Deflactores!$H$5</f>
        <v>7.7965174284710681</v>
      </c>
      <c r="L60" s="57">
        <f>3.71449344318*Deflactores!$I$5</f>
        <v>8.3595288452349052</v>
      </c>
      <c r="M60" s="57">
        <f>3.7576092141*Deflactores!$J$5</f>
        <v>8.2905997115489924</v>
      </c>
      <c r="N60" s="57">
        <f>3.59107803142*Deflactores!$K$5</f>
        <v>7.679635393700206</v>
      </c>
      <c r="O60" s="57">
        <f>2.28565558297*Deflactores!$L$5</f>
        <v>4.7123338280211255</v>
      </c>
      <c r="P60" s="57">
        <f>0*Deflactores!$M$5</f>
        <v>0</v>
      </c>
      <c r="Q60" s="57">
        <f>0*Deflactores!$N$5</f>
        <v>0</v>
      </c>
      <c r="R60" s="57">
        <f>0*Deflactores!$O$5</f>
        <v>0</v>
      </c>
      <c r="S60" s="57">
        <f>0*Deflactores!$P$5</f>
        <v>0</v>
      </c>
      <c r="T60" s="57">
        <f>0*Deflactores!$Q$5</f>
        <v>0</v>
      </c>
      <c r="U60" s="57">
        <f>0*Deflactores!$R$5</f>
        <v>0</v>
      </c>
      <c r="V60" s="57">
        <f>0*Deflactores!$S$5</f>
        <v>0</v>
      </c>
    </row>
    <row r="61" spans="3:22" x14ac:dyDescent="0.2">
      <c r="C61" s="87" t="s">
        <v>131</v>
      </c>
      <c r="D61" s="56">
        <f>52.9180932555599*Deflactores!$A$5</f>
        <v>192.12226653394075</v>
      </c>
      <c r="E61" s="56">
        <f>55.37833529448*Deflactores!$B$5</f>
        <v>186.76961293187938</v>
      </c>
      <c r="F61" s="56">
        <f>64.20793460099*Deflactores!$C$5</f>
        <v>202.39713670086491</v>
      </c>
      <c r="G61" s="56">
        <f>68.49021540718*Deflactores!$D$5</f>
        <v>202.73550610984967</v>
      </c>
      <c r="H61" s="56">
        <f>77.00757460572*Deflactores!$E$5</f>
        <v>216.07010829085837</v>
      </c>
      <c r="I61" s="56">
        <f>49.7213808053599*Deflactores!$F$5</f>
        <v>133.04991317375141</v>
      </c>
      <c r="J61" s="56">
        <f>69.14970693639*Deflactores!$G$5</f>
        <v>177.10756933717582</v>
      </c>
      <c r="K61" s="56">
        <f>43.7329320427099*Deflactores!$H$5</f>
        <v>105.97493158282207</v>
      </c>
      <c r="L61" s="56">
        <f>28.11040905304*Deflactores!$I$5</f>
        <v>63.262939866455696</v>
      </c>
      <c r="M61" s="56">
        <f>30.87121988599*Deflactores!$J$5</f>
        <v>68.112704674441687</v>
      </c>
      <c r="N61" s="56">
        <f>7.69419012478*Deflactores!$K$5</f>
        <v>16.4542720294925</v>
      </c>
      <c r="O61" s="56">
        <f>6.68543805828*Deflactores!$L$5</f>
        <v>13.783360954250215</v>
      </c>
      <c r="P61" s="56">
        <f>10.58889329093*Deflactores!$M$5</f>
        <v>21.31111938792527</v>
      </c>
      <c r="Q61" s="56">
        <f>9.80170356101*Deflactores!$N$5</f>
        <v>19.351410460763844</v>
      </c>
      <c r="R61" s="56">
        <f>12.19280220884*Deflactores!$O$5</f>
        <v>23.222201295984689</v>
      </c>
      <c r="S61" s="56">
        <f>10.6255889731399*Deflactores!$P$5</f>
        <v>18.954120008381633</v>
      </c>
      <c r="T61" s="56">
        <f>12.3921487153699*Deflactores!$Q$5</f>
        <v>20.903396308530979</v>
      </c>
      <c r="U61" s="56">
        <f>12.61989795355*Deflactores!$R$5</f>
        <v>20.451118841348748</v>
      </c>
      <c r="V61" s="56">
        <f>12.4311881314999*Deflactores!$S$5</f>
        <v>19.524429141680358</v>
      </c>
    </row>
    <row r="62" spans="3:22" x14ac:dyDescent="0.2">
      <c r="C62" s="88" t="s">
        <v>132</v>
      </c>
      <c r="D62" s="57">
        <f>19.7757457674699*Deflactores!$A$5</f>
        <v>71.797014319787834</v>
      </c>
      <c r="E62" s="57">
        <f>22.04053040414*Deflactores!$B$5</f>
        <v>74.334147288910486</v>
      </c>
      <c r="F62" s="57">
        <f>23.9674553016999*Deflactores!$C$5</f>
        <v>75.550543047606908</v>
      </c>
      <c r="G62" s="57">
        <f>24.7794280022599*Deflactores!$D$5</f>
        <v>73.34872356999621</v>
      </c>
      <c r="H62" s="57">
        <f>24.58611119*Deflactores!$E$5</f>
        <v>68.984430875450457</v>
      </c>
      <c r="I62" s="57">
        <f>24.7541381655999*Deflactores!$F$5</f>
        <v>66.239832447876708</v>
      </c>
      <c r="J62" s="57">
        <f>33.80148631182*Deflactores!$G$5</f>
        <v>86.573021721945537</v>
      </c>
      <c r="K62" s="57">
        <f>36.05476126153*Deflactores!$H$5</f>
        <v>87.368961545823296</v>
      </c>
      <c r="L62" s="57">
        <f>34.02272821917*Deflactores!$I$5</f>
        <v>76.568711802126828</v>
      </c>
      <c r="M62" s="57">
        <f>31.5364446608499*Deflactores!$J$5</f>
        <v>69.580423112504349</v>
      </c>
      <c r="N62" s="57">
        <f>38.5224961921699*Deflactores!$K$5</f>
        <v>82.381591996230597</v>
      </c>
      <c r="O62" s="57">
        <f>35.97763529815*Deflactores!$L$5</f>
        <v>74.175054689289283</v>
      </c>
      <c r="P62" s="57">
        <f>35.4092651679799*Deflactores!$M$5</f>
        <v>71.264395315031791</v>
      </c>
      <c r="Q62" s="57">
        <f>37.8074362151799*Deflactores!$N$5</f>
        <v>74.642863061011084</v>
      </c>
      <c r="R62" s="57">
        <f>41.8370145102499*Deflactores!$O$5</f>
        <v>79.682057983001329</v>
      </c>
      <c r="S62" s="57">
        <f>42.1844268372681*Deflactores!$P$5</f>
        <v>75.249352368097377</v>
      </c>
      <c r="T62" s="57">
        <f>45.5754365184099*Deflactores!$Q$5</f>
        <v>76.877822673077915</v>
      </c>
      <c r="U62" s="57">
        <f>47.09963159212*Deflactores!$R$5</f>
        <v>76.327096036717862</v>
      </c>
      <c r="V62" s="57">
        <f>52.73272959378*Deflactores!$S$5</f>
        <v>82.822046574314342</v>
      </c>
    </row>
    <row r="63" spans="3:22" x14ac:dyDescent="0.2">
      <c r="C63" s="87" t="s">
        <v>133</v>
      </c>
      <c r="D63" s="56">
        <f>0.11853800175*Deflactores!$A$5</f>
        <v>0.43035922433243523</v>
      </c>
      <c r="E63" s="56">
        <f>0.214188289*Deflactores!$B$5</f>
        <v>0.72237389618786574</v>
      </c>
      <c r="F63" s="56">
        <f>0.260938646*Deflactores!$C$5</f>
        <v>0.82253439755070834</v>
      </c>
      <c r="G63" s="56">
        <f>0.07390113754*Deflactores!$D$5</f>
        <v>0.21875218864758991</v>
      </c>
      <c r="H63" s="56">
        <f>0.28628364463*Deflactores!$E$5</f>
        <v>0.80326303501722096</v>
      </c>
      <c r="I63" s="56">
        <f>0.22612981675*Deflactores!$F$5</f>
        <v>0.60510291543111216</v>
      </c>
      <c r="J63" s="56">
        <f>0.2395643486*Deflactores!$G$5</f>
        <v>0.61357685173444743</v>
      </c>
      <c r="K63" s="56">
        <f>0.57475618138*Deflactores!$H$5</f>
        <v>1.3927661410642365</v>
      </c>
      <c r="L63" s="56">
        <f>0.107645627*Deflactores!$I$5</f>
        <v>0.24225826151937316</v>
      </c>
      <c r="M63" s="56">
        <f>0.15916067675*Deflactores!$J$5</f>
        <v>0.35116410078037885</v>
      </c>
      <c r="N63" s="56">
        <f>0.35240037628*Deflactores!$K$5</f>
        <v>0.75361949218436186</v>
      </c>
      <c r="O63" s="56">
        <f>0.679652571*Deflactores!$L$5</f>
        <v>1.4012390254629481</v>
      </c>
      <c r="P63" s="56">
        <f>0.872187725779999*Deflactores!$M$5</f>
        <v>1.7553578303316817</v>
      </c>
      <c r="Q63" s="56">
        <f>0.181817714*Deflactores!$N$5</f>
        <v>0.35896098986788971</v>
      </c>
      <c r="R63" s="56">
        <f>0.66065344801*Deflactores!$O$5</f>
        <v>1.258269189788995</v>
      </c>
      <c r="S63" s="56">
        <f>1.50038977266*Deflactores!$P$5</f>
        <v>2.6764227265175657</v>
      </c>
      <c r="T63" s="56">
        <f>1.16710580212*Deflactores!$Q$5</f>
        <v>1.968704191343468</v>
      </c>
      <c r="U63" s="56">
        <f>1.16787325233*Deflactores!$R$5</f>
        <v>1.8925917438432693</v>
      </c>
      <c r="V63" s="56">
        <f>4.78542563892*Deflactores!$S$5</f>
        <v>7.515991457254275</v>
      </c>
    </row>
    <row r="64" spans="3:22" x14ac:dyDescent="0.2">
      <c r="C64" s="88" t="s">
        <v>134</v>
      </c>
      <c r="D64" s="57">
        <f>87.7763483381999*Deflactores!$A$5</f>
        <v>318.67722272921941</v>
      </c>
      <c r="E64" s="57">
        <f>98.73897613753*Deflactores!$B$5</f>
        <v>333.00821081804452</v>
      </c>
      <c r="F64" s="57">
        <f>106.63319613198*Deflactores!$C$5</f>
        <v>336.13063102705263</v>
      </c>
      <c r="G64" s="57">
        <f>95.4810111711799*Deflactores!$D$5</f>
        <v>282.63002253078156</v>
      </c>
      <c r="H64" s="57">
        <f>106.72409089831*Deflactores!$E$5</f>
        <v>299.44958006674324</v>
      </c>
      <c r="I64" s="57">
        <f>99.93120736489*Deflactores!$F$5</f>
        <v>267.40686296092338</v>
      </c>
      <c r="J64" s="57">
        <f>112.881500996709*Deflactores!$G$5</f>
        <v>289.11428768670964</v>
      </c>
      <c r="K64" s="57">
        <f>130.89860444591*Deflactores!$H$5</f>
        <v>317.19736140478147</v>
      </c>
      <c r="L64" s="57">
        <f>135.50108573929*Deflactores!$I$5</f>
        <v>304.94743149378399</v>
      </c>
      <c r="M64" s="57">
        <f>143.33258236126*Deflactores!$J$5</f>
        <v>316.24179053021936</v>
      </c>
      <c r="N64" s="57">
        <f>152.341496823849*Deflactores!$K$5</f>
        <v>325.78717051021044</v>
      </c>
      <c r="O64" s="57">
        <f>160.73850049252*Deflactores!$L$5</f>
        <v>331.39440560508717</v>
      </c>
      <c r="P64" s="57">
        <f>150.59069713122*Deflactores!$M$5</f>
        <v>303.07759622275523</v>
      </c>
      <c r="Q64" s="57">
        <f>155.11208905466*Deflactores!$N$5</f>
        <v>306.23632759752451</v>
      </c>
      <c r="R64" s="57">
        <f>142.827688284862*Deflactores!$O$5</f>
        <v>272.02715759519987</v>
      </c>
      <c r="S64" s="57">
        <f>143.72790038354*Deflactores!$P$5</f>
        <v>256.38445824592407</v>
      </c>
      <c r="T64" s="57">
        <f>151.78158632031*Deflactores!$Q$5</f>
        <v>256.02909746037847</v>
      </c>
      <c r="U64" s="57">
        <f>155.57855353852*Deflactores!$R$5</f>
        <v>252.12212486126938</v>
      </c>
      <c r="V64" s="57">
        <f>175.11499510111*Deflactores!$S$5</f>
        <v>275.03568261779651</v>
      </c>
    </row>
    <row r="65" spans="3:22" x14ac:dyDescent="0.2">
      <c r="C65" s="87" t="s">
        <v>135</v>
      </c>
      <c r="D65" s="56"/>
      <c r="E65" s="56"/>
      <c r="F65" s="56"/>
      <c r="G65" s="56"/>
      <c r="H65" s="56"/>
      <c r="I65" s="56"/>
      <c r="J65" s="56"/>
      <c r="K65" s="56"/>
      <c r="L65" s="56"/>
      <c r="M65" s="56"/>
      <c r="N65" s="56"/>
      <c r="O65" s="56"/>
      <c r="P65" s="56"/>
      <c r="Q65" s="56"/>
      <c r="R65" s="56">
        <f>0*Deflactores!$O$5</f>
        <v>0</v>
      </c>
      <c r="S65" s="56"/>
      <c r="T65" s="56"/>
      <c r="U65" s="56"/>
      <c r="V65" s="56"/>
    </row>
    <row r="66" spans="3:22" x14ac:dyDescent="0.2">
      <c r="C66" s="88" t="s">
        <v>136</v>
      </c>
      <c r="D66" s="57">
        <f>117.74786918309*Deflactores!$A$5</f>
        <v>427.49060132888286</v>
      </c>
      <c r="E66" s="57">
        <f>128.27804213386*Deflactores!$B$5</f>
        <v>432.63200581236094</v>
      </c>
      <c r="F66" s="57">
        <f>140.64878817679*Deflactores!$C$5</f>
        <v>443.35504925258618</v>
      </c>
      <c r="G66" s="57">
        <f>133.31566642653*Deflactores!$D$5</f>
        <v>394.62307053163471</v>
      </c>
      <c r="H66" s="57">
        <f>136.62008344084*Deflactores!$E$5</f>
        <v>383.33263156136002</v>
      </c>
      <c r="I66" s="57">
        <f>143.07687272364*Deflactores!$F$5</f>
        <v>382.86075697640496</v>
      </c>
      <c r="J66" s="57">
        <f>148.93366923304*Deflactores!$G$5</f>
        <v>381.45179956575652</v>
      </c>
      <c r="K66" s="57">
        <f>151.79142300904*Deflactores!$H$5</f>
        <v>367.82545594090118</v>
      </c>
      <c r="L66" s="57">
        <f>190.52418564332*Deflactores!$I$5</f>
        <v>428.77782663057013</v>
      </c>
      <c r="M66" s="57">
        <f>222.65100746948*Deflactores!$J$5</f>
        <v>491.24596868029681</v>
      </c>
      <c r="N66" s="57">
        <f>243.12928624626*Deflactores!$K$5</f>
        <v>519.93976615527129</v>
      </c>
      <c r="O66" s="57">
        <f>244.71811273415*Deflactores!$L$5</f>
        <v>504.53508812038649</v>
      </c>
      <c r="P66" s="57">
        <f>259.79584487137*Deflactores!$M$5</f>
        <v>522.86297674593106</v>
      </c>
      <c r="Q66" s="57">
        <f>289.855268426039*Deflactores!$N$5</f>
        <v>572.25850982063196</v>
      </c>
      <c r="R66" s="57">
        <f>310.42840631089*Deflactores!$O$5</f>
        <v>591.2366013873891</v>
      </c>
      <c r="S66" s="57">
        <f>319.70712612475*Deflactores!$P$5</f>
        <v>570.29942071179426</v>
      </c>
      <c r="T66" s="57">
        <f>358.25737999448*Deflactores!$Q$5</f>
        <v>604.31779560491304</v>
      </c>
      <c r="U66" s="57">
        <f>394.30136130085*Deflactores!$R$5</f>
        <v>638.9832967707066</v>
      </c>
      <c r="V66" s="57">
        <f>562.6196854812*Deflactores!$S$5</f>
        <v>883.65070713210991</v>
      </c>
    </row>
    <row r="67" spans="3:22" x14ac:dyDescent="0.2">
      <c r="C67" s="87" t="s">
        <v>137</v>
      </c>
      <c r="D67" s="56">
        <f>4.5078332671*Deflactores!$A$5</f>
        <v>16.365955217809326</v>
      </c>
      <c r="E67" s="56">
        <f>4.61580152747999*Deflactores!$B$5</f>
        <v>15.56730551891015</v>
      </c>
      <c r="F67" s="56">
        <f>4.91296241201*Deflactores!$C$5</f>
        <v>15.486707851438458</v>
      </c>
      <c r="G67" s="56">
        <f>4.83266192136999*Deflactores!$D$5</f>
        <v>14.304994584438605</v>
      </c>
      <c r="H67" s="56">
        <f>5.27745976275*Deflactores!$E$5</f>
        <v>14.807651172970985</v>
      </c>
      <c r="I67" s="56">
        <f>5.26098378802999*Deflactores!$F$5</f>
        <v>14.077916278029988</v>
      </c>
      <c r="J67" s="56">
        <f>5.55759823812*Deflactores!$G$5</f>
        <v>14.234228298486402</v>
      </c>
      <c r="K67" s="56">
        <f>5.57295568325999*Deflactores!$H$5</f>
        <v>13.504550682099222</v>
      </c>
      <c r="L67" s="56">
        <f>5.88174071844*Deflactores!$I$5</f>
        <v>13.236954634088232</v>
      </c>
      <c r="M67" s="56">
        <f>6.41395252529999*Deflactores!$J$5</f>
        <v>14.151421802087876</v>
      </c>
      <c r="N67" s="56">
        <f>6.53008129081999*Deflactores!$K$5</f>
        <v>13.964788001248396</v>
      </c>
      <c r="O67" s="56">
        <f>6.78414635823*Deflactores!$L$5</f>
        <v>13.986867757474009</v>
      </c>
      <c r="P67" s="56">
        <f>7.695256233792*Deflactores!$M$5</f>
        <v>15.487409289456931</v>
      </c>
      <c r="Q67" s="56">
        <f>5.03690573002999*Deflactores!$N$5</f>
        <v>9.9443152536986084</v>
      </c>
      <c r="R67" s="56">
        <f>6.749330007256*Deflactores!$O$5</f>
        <v>12.854657801952488</v>
      </c>
      <c r="S67" s="56">
        <f>4.39523717445*Deflactores!$P$5</f>
        <v>7.840304483865963</v>
      </c>
      <c r="T67" s="56">
        <f>4.01964320318999*Deflactores!$Q$5</f>
        <v>6.7804379067012492</v>
      </c>
      <c r="U67" s="56">
        <f>3.76640886752999*Deflactores!$R$5</f>
        <v>6.103636942111538</v>
      </c>
      <c r="V67" s="56">
        <f>3.53890756901999*Deflactores!$S$5</f>
        <v>5.5582096690503811</v>
      </c>
    </row>
    <row r="68" spans="3:22" x14ac:dyDescent="0.2">
      <c r="C68" s="88" t="s">
        <v>138</v>
      </c>
      <c r="D68" s="57">
        <f>9.59272877161*Deflactores!$A$5</f>
        <v>34.826969009383646</v>
      </c>
      <c r="E68" s="57">
        <f>11.05506636049*Deflactores!$B$5</f>
        <v>37.284444433106096</v>
      </c>
      <c r="F68" s="57">
        <f>13.1907290012199*Deflactores!$C$5</f>
        <v>41.579997821683598</v>
      </c>
      <c r="G68" s="57">
        <f>12.81520900258*Deflactores!$D$5</f>
        <v>37.933854749844933</v>
      </c>
      <c r="H68" s="57">
        <f>30.9243657788*Deflactores!$E$5</f>
        <v>86.768491240796919</v>
      </c>
      <c r="I68" s="57">
        <f>14.6039545667799*Deflactores!$F$5</f>
        <v>39.078860152934794</v>
      </c>
      <c r="J68" s="57">
        <f>21.7493999121499*Deflactores!$G$5</f>
        <v>55.704984498726049</v>
      </c>
      <c r="K68" s="57">
        <f>29.1816290065399*Deflactores!$H$5</f>
        <v>70.713784623980459</v>
      </c>
      <c r="L68" s="57">
        <f>42.9728264043799*Deflactores!$I$5</f>
        <v>96.711055594472882</v>
      </c>
      <c r="M68" s="57">
        <f>40.82868291893*Deflactores!$J$5</f>
        <v>90.082349585594258</v>
      </c>
      <c r="N68" s="57">
        <f>39.85871563107*Deflactores!$K$5</f>
        <v>85.239140065903058</v>
      </c>
      <c r="O68" s="57">
        <f>27.3897004709599*Deflactores!$L$5</f>
        <v>56.469318050515994</v>
      </c>
      <c r="P68" s="57">
        <f>17.7940853175437*Deflactores!$M$5</f>
        <v>35.812229492001663</v>
      </c>
      <c r="Q68" s="57">
        <f>19.48107961143*Deflactores!$N$5</f>
        <v>38.461310876530312</v>
      </c>
      <c r="R68" s="57">
        <f>43.7024991075*Deflactores!$O$5</f>
        <v>83.235027849148466</v>
      </c>
      <c r="S68" s="57">
        <f>0*Deflactores!$P$5</f>
        <v>0</v>
      </c>
      <c r="T68" s="57">
        <f>0*Deflactores!$Q$5</f>
        <v>0</v>
      </c>
      <c r="U68" s="57">
        <f>0*Deflactores!$R$5</f>
        <v>0</v>
      </c>
      <c r="V68" s="57">
        <f>0*Deflactores!$S$5</f>
        <v>0</v>
      </c>
    </row>
    <row r="69" spans="3:22" x14ac:dyDescent="0.2">
      <c r="C69" s="87" t="s">
        <v>139</v>
      </c>
      <c r="D69" s="56">
        <f>102.55123962816*Deflactores!$A$5</f>
        <v>372.31833917518048</v>
      </c>
      <c r="E69" s="56">
        <f>174.67592811742*Deflactores!$B$5</f>
        <v>589.11405172302511</v>
      </c>
      <c r="F69" s="56">
        <f>97.29121159141*Deflactores!$C$5</f>
        <v>306.68269855787833</v>
      </c>
      <c r="G69" s="56">
        <f>111.545779226089*Deflactores!$D$5</f>
        <v>330.18278408638196</v>
      </c>
      <c r="H69" s="56">
        <f>108.67582002527*Deflactores!$E$5</f>
        <v>304.92579881503957</v>
      </c>
      <c r="I69" s="56">
        <f>117.16215306297*Deflactores!$F$5</f>
        <v>313.51531352881335</v>
      </c>
      <c r="J69" s="56">
        <f>196.406322783269*Deflactores!$G$5</f>
        <v>503.03967972844629</v>
      </c>
      <c r="K69" s="56">
        <f>153.41640543269*Deflactores!$H$5</f>
        <v>371.76316130676639</v>
      </c>
      <c r="L69" s="56">
        <f>162.49332213999*Deflactores!$I$5</f>
        <v>365.6939053375707</v>
      </c>
      <c r="M69" s="56">
        <f>404.44420697131*Deflactores!$J$5</f>
        <v>892.34532773443675</v>
      </c>
      <c r="N69" s="56">
        <f>427.25907949093*Deflactores!$K$5</f>
        <v>913.70722675186516</v>
      </c>
      <c r="O69" s="56">
        <f>539.579295183109*Deflactores!$L$5</f>
        <v>1112.4500928907162</v>
      </c>
      <c r="P69" s="56">
        <f>490.07052372571*Deflactores!$M$5</f>
        <v>986.31189801180801</v>
      </c>
      <c r="Q69" s="56">
        <f>627.21410869598*Deflactores!$N$5</f>
        <v>1238.3028713946715</v>
      </c>
      <c r="R69" s="56">
        <f>514.29028430218*Deflactores!$O$5</f>
        <v>979.50842653508846</v>
      </c>
      <c r="S69" s="56">
        <f>449.21095882546*Deflactores!$P$5</f>
        <v>801.31072679182637</v>
      </c>
      <c r="T69" s="56">
        <f>451.902826277439*Deflactores!$Q$5</f>
        <v>762.2813514904276</v>
      </c>
      <c r="U69" s="56">
        <f>421.62922813503*Deflactores!$R$5</f>
        <v>683.26934839833916</v>
      </c>
      <c r="V69" s="56">
        <f>435.302915238199*Deflactores!$S$5</f>
        <v>683.68693594130684</v>
      </c>
    </row>
    <row r="70" spans="3:22" x14ac:dyDescent="0.2">
      <c r="C70" s="88" t="s">
        <v>140</v>
      </c>
      <c r="D70" s="57">
        <f>12.63487507648*Deflactores!$A$5</f>
        <v>45.871661046885762</v>
      </c>
      <c r="E70" s="57">
        <f>4.12644405256*Deflactores!$B$5</f>
        <v>13.916892849585317</v>
      </c>
      <c r="F70" s="57">
        <f>6.83168130509*Deflactores!$C$5</f>
        <v>21.534920000085538</v>
      </c>
      <c r="G70" s="57">
        <f>8.13255849516*Deflactores!$D$5</f>
        <v>24.072903737887447</v>
      </c>
      <c r="H70" s="57">
        <f>2271.49701887493*Deflactores!$E$5</f>
        <v>6373.432865060161</v>
      </c>
      <c r="I70" s="57">
        <f>2038.09985672244*Deflactores!$F$5</f>
        <v>5453.7706834385453</v>
      </c>
      <c r="J70" s="57">
        <f>125.423832132199*Deflactores!$G$5</f>
        <v>321.23794922690968</v>
      </c>
      <c r="K70" s="57">
        <f>58.1438666441199*Deflactores!$H$5</f>
        <v>140.89593360796587</v>
      </c>
      <c r="L70" s="57">
        <f>69.05527608789*Deflactores!$I$5</f>
        <v>155.41003940450429</v>
      </c>
      <c r="M70" s="57">
        <f>63.21166557083*Deflactores!$J$5</f>
        <v>139.46703515138546</v>
      </c>
      <c r="N70" s="57">
        <f>906.70772851146*Deflactores!$K$5</f>
        <v>1939.0235195932828</v>
      </c>
      <c r="O70" s="57">
        <f>668.08263248572*Deflactores!$L$5</f>
        <v>1377.3852948067656</v>
      </c>
      <c r="P70" s="57">
        <f>110.652397138715*Deflactores!$M$5</f>
        <v>222.69810273781374</v>
      </c>
      <c r="Q70" s="57">
        <f>195.529212528351*Deflactores!$N$5</f>
        <v>386.03147148393833</v>
      </c>
      <c r="R70" s="57">
        <f>340.063572865398*Deflactores!$O$5</f>
        <v>647.67922970049858</v>
      </c>
      <c r="S70" s="57">
        <f>620.91321596456*Deflactores!$P$5</f>
        <v>1107.5963544169269</v>
      </c>
      <c r="T70" s="57">
        <f>413.2186443378*Deflactores!$Q$5</f>
        <v>697.02787491193476</v>
      </c>
      <c r="U70" s="57">
        <f>520.153405450799*Deflactores!$R$5</f>
        <v>842.93226060628649</v>
      </c>
      <c r="V70" s="57">
        <f>420.37260581885*Deflactores!$S$5</f>
        <v>660.23738588721483</v>
      </c>
    </row>
    <row r="71" spans="3:22" x14ac:dyDescent="0.2">
      <c r="C71" s="87" t="s">
        <v>141</v>
      </c>
      <c r="D71" s="56">
        <f>9.12766304758*Deflactores!$A$5</f>
        <v>33.138520399635141</v>
      </c>
      <c r="E71" s="56">
        <f>8.38083977937*Deflactores!$B$5</f>
        <v>28.265316992890117</v>
      </c>
      <c r="F71" s="56">
        <f>10.83871057821*Deflactores!$C$5</f>
        <v>34.165932920777294</v>
      </c>
      <c r="G71" s="56">
        <f>11.92827706617*Deflactores!$D$5</f>
        <v>35.308478352003732</v>
      </c>
      <c r="H71" s="56">
        <f>14.09637140133*Deflactores!$E$5</f>
        <v>39.552011744144643</v>
      </c>
      <c r="I71" s="56">
        <f>14.4622732668*Deflactores!$F$5</f>
        <v>38.699733822263028</v>
      </c>
      <c r="J71" s="56">
        <f>24.6572096128*Deflactores!$G$5</f>
        <v>63.152523049409098</v>
      </c>
      <c r="K71" s="56">
        <f>19.24574008798*Deflactores!$H$5</f>
        <v>46.636845366155676</v>
      </c>
      <c r="L71" s="56">
        <f>25.3006627846*Deflactores!$I$5</f>
        <v>56.939559481455746</v>
      </c>
      <c r="M71" s="56">
        <f>26.7567468123799*Deflactores!$J$5</f>
        <v>59.034738517330759</v>
      </c>
      <c r="N71" s="56">
        <f>26.5961454703399*Deflactores!$K$5</f>
        <v>56.876708972335187</v>
      </c>
      <c r="O71" s="56">
        <f>24.16688493318*Deflactores!$L$5</f>
        <v>49.824842481533629</v>
      </c>
      <c r="P71" s="56">
        <f>22.87418363546*Deflactores!$M$5</f>
        <v>46.036393508107651</v>
      </c>
      <c r="Q71" s="56">
        <f>22.65695975556*Deflactores!$N$5</f>
        <v>44.731420950836274</v>
      </c>
      <c r="R71" s="56">
        <f>27.88881954315*Deflactores!$O$5</f>
        <v>53.116565843155449</v>
      </c>
      <c r="S71" s="56">
        <f>28.51771076153*Deflactores!$P$5</f>
        <v>50.870414195838023</v>
      </c>
      <c r="T71" s="56">
        <f>31.3254946883299*Deflactores!$Q$5</f>
        <v>52.840652986901816</v>
      </c>
      <c r="U71" s="56">
        <f>18.49309151377*Deflactores!$R$5</f>
        <v>29.968896237045936</v>
      </c>
      <c r="V71" s="56">
        <f>18.15825791927*Deflactores!$S$5</f>
        <v>28.519367282583882</v>
      </c>
    </row>
    <row r="72" spans="3:22" x14ac:dyDescent="0.2">
      <c r="C72" s="88" t="s">
        <v>142</v>
      </c>
      <c r="D72" s="57">
        <f>17.3119521128*Deflactores!$A$5</f>
        <v>62.852065775985395</v>
      </c>
      <c r="E72" s="57">
        <f>19.32297623409*Deflactores!$B$5</f>
        <v>65.16889272207186</v>
      </c>
      <c r="F72" s="57">
        <f>19.61576524128*Deflactores!$C$5</f>
        <v>61.833085641259785</v>
      </c>
      <c r="G72" s="57">
        <f>18.96296971418*Deflactores!$D$5</f>
        <v>56.131627554306228</v>
      </c>
      <c r="H72" s="57">
        <f>28.32106883313*Deflactores!$E$5</f>
        <v>79.464084423101923</v>
      </c>
      <c r="I72" s="57">
        <f>23.42672434268*Deflactores!$F$5</f>
        <v>62.687793244128528</v>
      </c>
      <c r="J72" s="57">
        <f>30.2866363212*Deflactores!$G$5</f>
        <v>77.570719817815416</v>
      </c>
      <c r="K72" s="57">
        <f>32.08803951389*Deflactores!$H$5</f>
        <v>77.756684340085044</v>
      </c>
      <c r="L72" s="57">
        <f>33.39956864715*Deflactores!$I$5</f>
        <v>75.166280892725169</v>
      </c>
      <c r="M72" s="57">
        <f>30.9719133424899*Deflactores!$J$5</f>
        <v>68.334869645264192</v>
      </c>
      <c r="N72" s="57">
        <f>50.23652760472*Deflactores!$K$5</f>
        <v>107.43242337656783</v>
      </c>
      <c r="O72" s="57">
        <f>42.8853853055399*Deflactores!$L$5</f>
        <v>88.416755966538915</v>
      </c>
      <c r="P72" s="57">
        <f>48.5560282848399*Deflactores!$M$5</f>
        <v>97.723462438520471</v>
      </c>
      <c r="Q72" s="57">
        <f>46.4910747908*Deflactores!$N$5</f>
        <v>91.786888415766029</v>
      </c>
      <c r="R72" s="57">
        <f>93.14793099778*Deflactores!$O$5</f>
        <v>177.40794666271654</v>
      </c>
      <c r="S72" s="57">
        <f>97.34066631463*Deflactores!$P$5</f>
        <v>173.6380614465009</v>
      </c>
      <c r="T72" s="57">
        <f>96.15349394247*Deflactores!$Q$5</f>
        <v>162.19419541313886</v>
      </c>
      <c r="U72" s="57">
        <f>99.0644508454599*Deflactores!$R$5</f>
        <v>160.53845004535401</v>
      </c>
      <c r="V72" s="57">
        <f>89.69967658078*Deflactores!$S$5</f>
        <v>140.88234856612812</v>
      </c>
    </row>
    <row r="73" spans="3:22" x14ac:dyDescent="0.2">
      <c r="C73" s="87" t="s">
        <v>143</v>
      </c>
      <c r="D73" s="56">
        <f>0*Deflactores!$A$5</f>
        <v>0</v>
      </c>
      <c r="E73" s="56">
        <f>0*Deflactores!$B$5</f>
        <v>0</v>
      </c>
      <c r="F73" s="56">
        <f>0*Deflactores!$C$5</f>
        <v>0</v>
      </c>
      <c r="G73" s="56">
        <f>0*Deflactores!$D$5</f>
        <v>0</v>
      </c>
      <c r="H73" s="56">
        <f>0*Deflactores!$E$5</f>
        <v>0</v>
      </c>
      <c r="I73" s="56">
        <f>0*Deflactores!$F$5</f>
        <v>0</v>
      </c>
      <c r="J73" s="56">
        <f>0*Deflactores!$G$5</f>
        <v>0</v>
      </c>
      <c r="K73" s="56">
        <f>0*Deflactores!$H$5</f>
        <v>0</v>
      </c>
      <c r="L73" s="56">
        <f>0*Deflactores!$I$5</f>
        <v>0</v>
      </c>
      <c r="M73" s="56">
        <f>0*Deflactores!$J$5</f>
        <v>0</v>
      </c>
      <c r="N73" s="56">
        <f>0*Deflactores!$K$5</f>
        <v>0</v>
      </c>
      <c r="O73" s="56">
        <f>0*Deflactores!$L$5</f>
        <v>0</v>
      </c>
      <c r="P73" s="56">
        <f>0*Deflactores!$M$5</f>
        <v>0</v>
      </c>
      <c r="Q73" s="56">
        <f>0*Deflactores!$N$5</f>
        <v>0</v>
      </c>
      <c r="R73" s="56">
        <f>0*Deflactores!$O$5</f>
        <v>0</v>
      </c>
      <c r="S73" s="56">
        <f>0*Deflactores!$P$5</f>
        <v>0</v>
      </c>
      <c r="T73" s="56">
        <f>0*Deflactores!$Q$5</f>
        <v>0</v>
      </c>
      <c r="U73" s="56">
        <f>0*Deflactores!$R$5</f>
        <v>0</v>
      </c>
      <c r="V73" s="56">
        <f>0*Deflactores!$S$5</f>
        <v>0</v>
      </c>
    </row>
    <row r="74" spans="3:22" x14ac:dyDescent="0.2">
      <c r="C74" s="88" t="s">
        <v>144</v>
      </c>
      <c r="D74" s="57">
        <f>0*Deflactores!$A$5</f>
        <v>0</v>
      </c>
      <c r="E74" s="57">
        <f>0*Deflactores!$B$5</f>
        <v>0</v>
      </c>
      <c r="F74" s="57">
        <f>0*Deflactores!$C$5</f>
        <v>0</v>
      </c>
      <c r="G74" s="57">
        <f>0*Deflactores!$D$5</f>
        <v>0</v>
      </c>
      <c r="H74" s="57">
        <f>0*Deflactores!$E$5</f>
        <v>0</v>
      </c>
      <c r="I74" s="57">
        <f>0*Deflactores!$F$5</f>
        <v>0</v>
      </c>
      <c r="J74" s="57">
        <f>0*Deflactores!$G$5</f>
        <v>0</v>
      </c>
      <c r="K74" s="57">
        <f>0*Deflactores!$H$5</f>
        <v>0</v>
      </c>
      <c r="L74" s="57">
        <f>0*Deflactores!$I$5</f>
        <v>0</v>
      </c>
      <c r="M74" s="57">
        <f>0*Deflactores!$J$5</f>
        <v>0</v>
      </c>
      <c r="N74" s="57">
        <f>0*Deflactores!$K$5</f>
        <v>0</v>
      </c>
      <c r="O74" s="57">
        <f>0*Deflactores!$L$5</f>
        <v>0</v>
      </c>
      <c r="P74" s="57">
        <f>0*Deflactores!$M$5</f>
        <v>0</v>
      </c>
      <c r="Q74" s="57">
        <f>0*Deflactores!$N$5</f>
        <v>0</v>
      </c>
      <c r="R74" s="57">
        <f>0*Deflactores!$O$5</f>
        <v>0</v>
      </c>
      <c r="S74" s="57">
        <f>0*Deflactores!$P$5</f>
        <v>0</v>
      </c>
      <c r="T74" s="57">
        <f>0*Deflactores!$Q$5</f>
        <v>0</v>
      </c>
      <c r="U74" s="57">
        <f>0*Deflactores!$R$5</f>
        <v>0</v>
      </c>
      <c r="V74" s="57">
        <f>0*Deflactores!$S$5</f>
        <v>0</v>
      </c>
    </row>
    <row r="75" spans="3:22" x14ac:dyDescent="0.2">
      <c r="C75" s="87" t="s">
        <v>145</v>
      </c>
      <c r="D75" s="56">
        <f>13.3973125682999*Deflactores!$A$5</f>
        <v>48.639735442754173</v>
      </c>
      <c r="E75" s="56">
        <f>13.96122486604*Deflactores!$B$5</f>
        <v>47.085788159203361</v>
      </c>
      <c r="F75" s="56">
        <f>28.878024793*Deflactores!$C$5</f>
        <v>91.029707901391802</v>
      </c>
      <c r="G75" s="56">
        <f>14.164391076*Deflactores!$D$5</f>
        <v>41.927521711804374</v>
      </c>
      <c r="H75" s="56">
        <f>15.2725196755*Deflactores!$E$5</f>
        <v>42.852083019823304</v>
      </c>
      <c r="I75" s="56">
        <f>11.372307505*Deflactores!$F$5</f>
        <v>30.43126521462861</v>
      </c>
      <c r="J75" s="56">
        <f>11.197813476*Deflactores!$G$5</f>
        <v>28.680056857649017</v>
      </c>
      <c r="K75" s="56">
        <f>14.42968728701*Deflactores!$H$5</f>
        <v>34.96644408632352</v>
      </c>
      <c r="L75" s="56">
        <f>13.989468594*Deflactores!$I$5</f>
        <v>31.483530131347646</v>
      </c>
      <c r="M75" s="56">
        <f>19.3520031614199*Deflactores!$J$5</f>
        <v>42.697285078483226</v>
      </c>
      <c r="N75" s="56">
        <f>20.350714035*Deflactores!$K$5</f>
        <v>43.52065380446723</v>
      </c>
      <c r="O75" s="56">
        <f>22.5574617961499*Deflactores!$L$5</f>
        <v>46.506696410561759</v>
      </c>
      <c r="P75" s="56">
        <f>21.05356411425*Deflactores!$M$5</f>
        <v>42.372229661095652</v>
      </c>
      <c r="Q75" s="56">
        <f>24.10146468264*Deflactores!$N$5</f>
        <v>47.583293340419182</v>
      </c>
      <c r="R75" s="56">
        <f>32.97458032322*Deflactores!$O$5</f>
        <v>62.802818318602256</v>
      </c>
      <c r="S75" s="56">
        <f>38.01722526375*Deflactores!$P$5</f>
        <v>67.815821961148245</v>
      </c>
      <c r="T75" s="56">
        <f>39.65486432048*Deflactores!$Q$5</f>
        <v>66.890848672911162</v>
      </c>
      <c r="U75" s="56">
        <f>45.54391112425*Deflactores!$R$5</f>
        <v>73.805980232974136</v>
      </c>
      <c r="V75" s="56">
        <f>46.36684528019*Deflactores!$S$5</f>
        <v>72.823786079013956</v>
      </c>
    </row>
    <row r="76" spans="3:22" x14ac:dyDescent="0.2">
      <c r="C76" s="88" t="s">
        <v>146</v>
      </c>
      <c r="D76" s="57">
        <f>49.5838456009899*Deflactores!$A$5</f>
        <v>180.01708327482623</v>
      </c>
      <c r="E76" s="57">
        <f>51.02347983731*Deflactores!$B$5</f>
        <v>172.08237714220047</v>
      </c>
      <c r="F76" s="57">
        <f>50.7217821404399*Deflactores!$C$5</f>
        <v>159.88590097759996</v>
      </c>
      <c r="G76" s="57">
        <f>36.44044648111*Deflactores!$D$5</f>
        <v>107.86609906679089</v>
      </c>
      <c r="H76" s="57">
        <f>37.52025352999*Deflactores!$E$5</f>
        <v>105.27542627895238</v>
      </c>
      <c r="I76" s="57">
        <f>39.76813289218*Deflactores!$F$5</f>
        <v>106.41592294267856</v>
      </c>
      <c r="J76" s="57">
        <f>51.32883668642*Deflactores!$G$5</f>
        <v>131.46441113335672</v>
      </c>
      <c r="K76" s="57">
        <f>48.85579763615*Deflactores!$H$5</f>
        <v>118.38881067610153</v>
      </c>
      <c r="L76" s="57">
        <f>47.63051427145*Deflactores!$I$5</f>
        <v>107.19325906917862</v>
      </c>
      <c r="M76" s="57">
        <f>69.18777689529*Deflactores!$J$5</f>
        <v>152.65242618056399</v>
      </c>
      <c r="N76" s="57">
        <f>108.948383400749*Deflactores!$K$5</f>
        <v>232.98960755803091</v>
      </c>
      <c r="O76" s="57">
        <f>103.97432006514*Deflactores!$L$5</f>
        <v>214.36375162516592</v>
      </c>
      <c r="P76" s="57">
        <f>170.75912669424*Deflactores!$M$5</f>
        <v>343.66841137929663</v>
      </c>
      <c r="Q76" s="57">
        <f>174.86956880037*Deflactores!$N$5</f>
        <v>345.24333264003008</v>
      </c>
      <c r="R76" s="57">
        <f>165.839718686391*Deflactores!$O$5</f>
        <v>315.85547474990477</v>
      </c>
      <c r="S76" s="57">
        <f>196.203212143966*Deflactores!$P$5</f>
        <v>349.99087941454184</v>
      </c>
      <c r="T76" s="57">
        <f>282.82947349313*Deflactores!$Q$5</f>
        <v>477.08405603842698</v>
      </c>
      <c r="U76" s="57">
        <f>262.157086986611*Deflactores!$R$5</f>
        <v>424.83748765629355</v>
      </c>
      <c r="V76" s="57">
        <f>206.790945890165*Deflactores!$S$5</f>
        <v>324.7859438264681</v>
      </c>
    </row>
    <row r="77" spans="3:22" x14ac:dyDescent="0.2">
      <c r="C77" s="90" t="s">
        <v>147</v>
      </c>
      <c r="D77" s="58">
        <f>113.571641551619*Deflactores!$A$5</f>
        <v>412.32855997858195</v>
      </c>
      <c r="E77" s="58">
        <f>113.70600655136*Deflactores!$B$5</f>
        <v>383.48619037929245</v>
      </c>
      <c r="F77" s="58">
        <f>152.289238686*Deflactores!$C$5</f>
        <v>480.04823783766028</v>
      </c>
      <c r="G77" s="58">
        <f>131.94324648064*Deflactores!$D$5</f>
        <v>390.56061795105649</v>
      </c>
      <c r="H77" s="58">
        <f>118.04696540818*Deflactores!$E$5</f>
        <v>331.21963300033724</v>
      </c>
      <c r="I77" s="58">
        <f>119.82983621475*Deflactores!$F$5</f>
        <v>320.65379210624553</v>
      </c>
      <c r="J77" s="58">
        <f>145.63143382432*Deflactores!$G$5</f>
        <v>372.99405024867622</v>
      </c>
      <c r="K77" s="58">
        <f>145.50076507744*Deflactores!$H$5</f>
        <v>352.58174798962119</v>
      </c>
      <c r="L77" s="58">
        <f>158.3825274178*Deflactores!$I$5</f>
        <v>356.44249391831477</v>
      </c>
      <c r="M77" s="58">
        <f>212.286442432589*Deflactores!$J$5</f>
        <v>468.37811441201836</v>
      </c>
      <c r="N77" s="58">
        <f>241.22768452792*Deflactores!$K$5</f>
        <v>515.87312997162087</v>
      </c>
      <c r="O77" s="58">
        <f>262.86277379776*Deflactores!$L$5</f>
        <v>541.94391767681634</v>
      </c>
      <c r="P77" s="58">
        <f>378.879071458829*Deflactores!$M$5</f>
        <v>762.5288973647049</v>
      </c>
      <c r="Q77" s="58">
        <f>369.66311651395*Deflactores!$N$5</f>
        <v>729.82238805123541</v>
      </c>
      <c r="R77" s="58">
        <f>387.25292522937*Deflactores!$O$5</f>
        <v>737.55525826666405</v>
      </c>
      <c r="S77" s="58">
        <f>442.09207778766*Deflactores!$P$5</f>
        <v>788.61193655469742</v>
      </c>
      <c r="T77" s="58">
        <f>474.49511602292*Deflactores!$Q$5</f>
        <v>800.39060896578496</v>
      </c>
      <c r="U77" s="58">
        <f>524.128403218719*Deflactores!$R$5</f>
        <v>849.37392535231231</v>
      </c>
      <c r="V77" s="58">
        <f>467.0484806235*Deflactores!$S$5</f>
        <v>733.5465338631916</v>
      </c>
    </row>
    <row r="78" spans="3:22" ht="22.5" customHeight="1" x14ac:dyDescent="0.2">
      <c r="C78" s="89" t="s">
        <v>148</v>
      </c>
      <c r="D78" s="59">
        <f>0*Deflactores!$A$5</f>
        <v>0</v>
      </c>
      <c r="E78" s="59">
        <f>0*Deflactores!$B$5</f>
        <v>0</v>
      </c>
      <c r="F78" s="59">
        <f>0*Deflactores!$C$5</f>
        <v>0</v>
      </c>
      <c r="G78" s="59">
        <f>0*Deflactores!$D$5</f>
        <v>0</v>
      </c>
      <c r="H78" s="59">
        <f>0*Deflactores!$E$5</f>
        <v>0</v>
      </c>
      <c r="I78" s="59">
        <f>0*Deflactores!$F$5</f>
        <v>0</v>
      </c>
      <c r="J78" s="59">
        <f>0*Deflactores!$G$5</f>
        <v>0</v>
      </c>
      <c r="K78" s="59">
        <f>0*Deflactores!$H$5</f>
        <v>0</v>
      </c>
      <c r="L78" s="59">
        <f>0*Deflactores!$I$5</f>
        <v>0</v>
      </c>
      <c r="M78" s="59">
        <f>0*Deflactores!$J$5</f>
        <v>0</v>
      </c>
      <c r="N78" s="59">
        <f>0*Deflactores!$K$5</f>
        <v>0</v>
      </c>
      <c r="O78" s="59">
        <f>0*Deflactores!$L$5</f>
        <v>0</v>
      </c>
      <c r="P78" s="59">
        <f>0*Deflactores!$M$5</f>
        <v>0</v>
      </c>
      <c r="Q78" s="59">
        <f>0*Deflactores!$N$5</f>
        <v>0</v>
      </c>
      <c r="R78" s="59">
        <f>0*Deflactores!$O$5</f>
        <v>0</v>
      </c>
      <c r="S78" s="59">
        <f>0*Deflactores!$P$5</f>
        <v>0</v>
      </c>
      <c r="T78" s="59">
        <f>0*Deflactores!$Q$5</f>
        <v>0</v>
      </c>
      <c r="U78" s="59">
        <f>0*Deflactores!$R$5</f>
        <v>0</v>
      </c>
      <c r="V78" s="59">
        <f>0*Deflactores!$S$5</f>
        <v>0</v>
      </c>
    </row>
    <row r="79" spans="3:22" x14ac:dyDescent="0.2">
      <c r="C79" s="87" t="s">
        <v>149</v>
      </c>
      <c r="D79" s="56">
        <f>69.74150272766*Deflactores!$A$5</f>
        <v>253.20064936605175</v>
      </c>
      <c r="E79" s="56">
        <f>69.13731330351*Deflactores!$B$5</f>
        <v>233.17330100628274</v>
      </c>
      <c r="F79" s="56">
        <f>76.2752722339*Deflactores!$C$5</f>
        <v>240.43596476287078</v>
      </c>
      <c r="G79" s="56">
        <f>104.3576307356*Deflactores!$D$5</f>
        <v>308.90539557842777</v>
      </c>
      <c r="H79" s="56">
        <f>85.50583473293*Deflactores!$E$5</f>
        <v>239.91477545992095</v>
      </c>
      <c r="I79" s="56">
        <f>6.09644239402*Deflactores!$F$5</f>
        <v>16.313527863765586</v>
      </c>
      <c r="J79" s="56">
        <f>95.4813949722899*Deflactores!$G$5</f>
        <v>244.54879897062835</v>
      </c>
      <c r="K79" s="56">
        <f>100.27310952088*Deflactores!$H$5</f>
        <v>242.98475827539363</v>
      </c>
      <c r="L79" s="56">
        <f>152.68230219825*Deflactores!$I$5</f>
        <v>343.61404291252455</v>
      </c>
      <c r="M79" s="56">
        <f>184.718313219889*Deflactores!$J$5</f>
        <v>407.5531826332894</v>
      </c>
      <c r="N79" s="56">
        <f>258.06001506735*Deflactores!$K$5</f>
        <v>551.86960797573488</v>
      </c>
      <c r="O79" s="56">
        <f>285.8359323766*Deflactores!$L$5</f>
        <v>589.3076557282385</v>
      </c>
      <c r="P79" s="56">
        <f>485.57987456694*Deflactores!$M$5</f>
        <v>977.27405451651032</v>
      </c>
      <c r="Q79" s="56">
        <f>297.902283987*Deflactores!$N$5</f>
        <v>588.14565639010675</v>
      </c>
      <c r="R79" s="56">
        <f>354.72007051411*Deflactores!$O$5</f>
        <v>675.59374294059296</v>
      </c>
      <c r="S79" s="56">
        <f>374.25294026015*Deflactores!$P$5</f>
        <v>667.59924189730543</v>
      </c>
      <c r="T79" s="56">
        <f>114.05856782854*Deflactores!$Q$5</f>
        <v>192.3969361944722</v>
      </c>
      <c r="U79" s="56">
        <f>126.2342094265*Deflactores!$R$5</f>
        <v>204.56828005481933</v>
      </c>
      <c r="V79" s="56">
        <f>223.75610027383*Deflactores!$S$5</f>
        <v>351.43142221016376</v>
      </c>
    </row>
    <row r="80" spans="3:22" x14ac:dyDescent="0.2">
      <c r="C80" s="88" t="s">
        <v>150</v>
      </c>
      <c r="D80" s="57">
        <f>139.4940030023*Deflactores!$A$5</f>
        <v>506.4412259766832</v>
      </c>
      <c r="E80" s="57">
        <f>154.994164648709*Deflactores!$B$5</f>
        <v>522.73510903143483</v>
      </c>
      <c r="F80" s="57">
        <f>171.58627863092*Deflactores!$C$5</f>
        <v>540.87663320538491</v>
      </c>
      <c r="G80" s="57">
        <f>182.30855052279*Deflactores!$D$5</f>
        <v>539.64520389749384</v>
      </c>
      <c r="H80" s="57">
        <f>197.28998762879*Deflactores!$E$5</f>
        <v>553.56202568270976</v>
      </c>
      <c r="I80" s="57">
        <f>209.63606482804*Deflactores!$F$5</f>
        <v>560.96712866129644</v>
      </c>
      <c r="J80" s="57">
        <f>212.97684624607*Deflactores!$G$5</f>
        <v>545.48042551267622</v>
      </c>
      <c r="K80" s="57">
        <f>204.22763107631*Deflactores!$H$5</f>
        <v>494.89042283963619</v>
      </c>
      <c r="L80" s="57">
        <f>208.68190149354*Deflactores!$I$5</f>
        <v>469.64206605793737</v>
      </c>
      <c r="M80" s="57">
        <f>229.102127644069*Deflactores!$J$5</f>
        <v>505.47939531176348</v>
      </c>
      <c r="N80" s="57">
        <f>324.36220657933*Deflactores!$K$5</f>
        <v>693.65896820691603</v>
      </c>
      <c r="O80" s="57">
        <f>217.59143298586*Deflactores!$L$5</f>
        <v>448.6080396305789</v>
      </c>
      <c r="P80" s="57">
        <f>317.91832381292*Deflactores!$M$5</f>
        <v>639.83979895137577</v>
      </c>
      <c r="Q80" s="57">
        <f>325.12017421989*Deflactores!$N$5</f>
        <v>641.88167916351904</v>
      </c>
      <c r="R80" s="57">
        <f>366.309511257572*Deflactores!$O$5</f>
        <v>697.66679237113624</v>
      </c>
      <c r="S80" s="57">
        <f>391.763118331339*Deflactores!$P$5</f>
        <v>698.83421789425233</v>
      </c>
      <c r="T80" s="57">
        <f>485.10032091312*Deflactores!$Q$5</f>
        <v>818.27974230696793</v>
      </c>
      <c r="U80" s="57">
        <f>660.81048765885*Deflactores!$R$5</f>
        <v>1070.8734622469083</v>
      </c>
      <c r="V80" s="57">
        <f>674.0742277688*Deflactores!$S$5</f>
        <v>1058.7012566365927</v>
      </c>
    </row>
    <row r="81" spans="3:22" x14ac:dyDescent="0.2">
      <c r="C81" s="87" t="s">
        <v>151</v>
      </c>
      <c r="D81" s="56">
        <f>23.78600105*Deflactores!$A$5</f>
        <v>86.356483243556028</v>
      </c>
      <c r="E81" s="56">
        <f>17.14503132068*Deflactores!$B$5</f>
        <v>57.823530563720972</v>
      </c>
      <c r="F81" s="56">
        <f>6.14762940545*Deflactores!$C$5</f>
        <v>19.378642170837491</v>
      </c>
      <c r="G81" s="56">
        <f>11.26058101111*Deflactores!$D$5</f>
        <v>33.332054466557047</v>
      </c>
      <c r="H81" s="56">
        <f>22.9284455457*Deflactores!$E$5</f>
        <v>64.333304059578353</v>
      </c>
      <c r="I81" s="56">
        <f>8.57041686506*Deflactores!$F$5</f>
        <v>22.933659550262643</v>
      </c>
      <c r="J81" s="56">
        <f>23.46058260405*Deflactores!$G$5</f>
        <v>60.087698767248639</v>
      </c>
      <c r="K81" s="56">
        <f>13.86999891267*Deflactores!$H$5</f>
        <v>33.610190699963404</v>
      </c>
      <c r="L81" s="56">
        <f>0*Deflactores!$I$5</f>
        <v>0</v>
      </c>
      <c r="M81" s="56">
        <f>0*Deflactores!$J$5</f>
        <v>0</v>
      </c>
      <c r="N81" s="56">
        <f>0*Deflactores!$K$5</f>
        <v>0</v>
      </c>
      <c r="O81" s="56">
        <f>0*Deflactores!$L$5</f>
        <v>0</v>
      </c>
      <c r="P81" s="56">
        <f>0*Deflactores!$M$5</f>
        <v>0</v>
      </c>
      <c r="Q81" s="56">
        <f>0*Deflactores!$N$5</f>
        <v>0</v>
      </c>
      <c r="R81" s="56">
        <f>0*Deflactores!$O$5</f>
        <v>0</v>
      </c>
      <c r="S81" s="56">
        <f>0*Deflactores!$P$5</f>
        <v>0</v>
      </c>
      <c r="T81" s="56">
        <f>0*Deflactores!$Q$5</f>
        <v>0</v>
      </c>
      <c r="U81" s="56">
        <f>0*Deflactores!$R$5</f>
        <v>0</v>
      </c>
      <c r="V81" s="56">
        <f>0*Deflactores!$S$5</f>
        <v>0</v>
      </c>
    </row>
    <row r="82" spans="3:22" x14ac:dyDescent="0.2">
      <c r="C82" s="79" t="s">
        <v>179</v>
      </c>
      <c r="D82" s="44">
        <f t="shared" ref="D82:V82" si="1">+SUM(D53:D81)</f>
        <v>5390.9180936145704</v>
      </c>
      <c r="E82" s="44">
        <f t="shared" si="1"/>
        <v>5779.6489039588605</v>
      </c>
      <c r="F82" s="44">
        <f t="shared" si="1"/>
        <v>5729.6243081870734</v>
      </c>
      <c r="G82" s="44">
        <f t="shared" si="1"/>
        <v>5727.1013721726449</v>
      </c>
      <c r="H82" s="44">
        <f t="shared" si="1"/>
        <v>11922.532690891027</v>
      </c>
      <c r="I82" s="44">
        <f t="shared" si="1"/>
        <v>10914.059016513449</v>
      </c>
      <c r="J82" s="44">
        <f t="shared" si="1"/>
        <v>6130.0209576284942</v>
      </c>
      <c r="K82" s="44">
        <f t="shared" si="1"/>
        <v>5597.8080700915016</v>
      </c>
      <c r="L82" s="44">
        <f t="shared" si="1"/>
        <v>5637.7615899012171</v>
      </c>
      <c r="M82" s="44">
        <f t="shared" si="1"/>
        <v>6993.8432757298715</v>
      </c>
      <c r="N82" s="44">
        <f t="shared" si="1"/>
        <v>9824.3056505985569</v>
      </c>
      <c r="O82" s="44">
        <f t="shared" si="1"/>
        <v>9052.9811774904938</v>
      </c>
      <c r="P82" s="44">
        <f t="shared" si="1"/>
        <v>8867.5841777302176</v>
      </c>
      <c r="Q82" s="44">
        <f t="shared" si="1"/>
        <v>8971.2230900217983</v>
      </c>
      <c r="R82" s="44">
        <f t="shared" si="1"/>
        <v>9151.9970942964537</v>
      </c>
      <c r="S82" s="44">
        <f t="shared" si="1"/>
        <v>9327.4499233684364</v>
      </c>
      <c r="T82" s="44">
        <f t="shared" si="1"/>
        <v>8830.6208335488955</v>
      </c>
      <c r="U82" s="44">
        <f t="shared" si="1"/>
        <v>9065.8146018890748</v>
      </c>
      <c r="V82" s="44">
        <f t="shared" si="1"/>
        <v>8750.6243806878265</v>
      </c>
    </row>
    <row r="83" spans="3:22" x14ac:dyDescent="0.2">
      <c r="C83" s="1" t="s">
        <v>52</v>
      </c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</row>
    <row r="84" spans="3:22" x14ac:dyDescent="0.2"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</row>
    <row r="85" spans="3:22" x14ac:dyDescent="0.2"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</row>
    <row r="86" spans="3:22" x14ac:dyDescent="0.2"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</row>
    <row r="87" spans="3:22" ht="17.25" customHeight="1" x14ac:dyDescent="0.2">
      <c r="D87" s="160" t="s">
        <v>196</v>
      </c>
      <c r="E87" s="158"/>
      <c r="F87" s="158"/>
      <c r="G87" s="158"/>
      <c r="H87" s="158"/>
      <c r="I87" s="158"/>
      <c r="J87" s="158"/>
      <c r="K87" s="158"/>
      <c r="L87" s="158"/>
      <c r="M87" s="158"/>
      <c r="N87" s="158"/>
      <c r="O87" s="158"/>
      <c r="P87" s="158"/>
      <c r="Q87" s="158"/>
      <c r="R87" s="158"/>
      <c r="S87" s="158"/>
      <c r="T87" s="158"/>
      <c r="U87" s="158"/>
      <c r="V87" s="158"/>
    </row>
    <row r="88" spans="3:22" ht="11.25" hidden="1" customHeight="1" x14ac:dyDescent="0.2">
      <c r="H88" s="27"/>
      <c r="I88" s="27"/>
      <c r="J88" s="27"/>
      <c r="L88" s="175"/>
      <c r="M88" s="158"/>
      <c r="N88" s="158"/>
      <c r="O88" s="158"/>
      <c r="P88" s="158"/>
      <c r="Q88" s="158"/>
      <c r="R88" s="28"/>
      <c r="S88" s="28"/>
      <c r="T88" s="28"/>
      <c r="U88" s="28"/>
      <c r="V88" s="28"/>
    </row>
    <row r="89" spans="3:22" x14ac:dyDescent="0.2"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</row>
    <row r="90" spans="3:22" ht="12" thickBot="1" x14ac:dyDescent="0.25">
      <c r="C90" s="177" t="s">
        <v>120</v>
      </c>
      <c r="D90" s="153">
        <v>2000</v>
      </c>
      <c r="E90" s="153">
        <v>2001</v>
      </c>
      <c r="F90" s="153">
        <v>2002</v>
      </c>
      <c r="G90" s="153">
        <v>2003</v>
      </c>
      <c r="H90" s="153">
        <v>2004</v>
      </c>
      <c r="I90" s="153">
        <v>2005</v>
      </c>
      <c r="J90" s="153">
        <v>2006</v>
      </c>
      <c r="K90" s="153">
        <v>2007</v>
      </c>
      <c r="L90" s="153">
        <v>2008</v>
      </c>
      <c r="M90" s="153">
        <v>2009</v>
      </c>
      <c r="N90" s="153">
        <v>2010</v>
      </c>
      <c r="O90" s="153">
        <v>2011</v>
      </c>
      <c r="P90" s="153">
        <v>2012</v>
      </c>
      <c r="Q90" s="153">
        <v>2013</v>
      </c>
      <c r="R90" s="153">
        <v>2014</v>
      </c>
      <c r="S90" s="153">
        <v>2015</v>
      </c>
      <c r="T90" s="153">
        <v>2016</v>
      </c>
      <c r="U90" s="153">
        <v>2017</v>
      </c>
      <c r="V90" s="153">
        <v>2018</v>
      </c>
    </row>
    <row r="91" spans="3:22" ht="12" customHeight="1" thickBot="1" x14ac:dyDescent="0.25">
      <c r="C91" s="156"/>
      <c r="D91" s="154"/>
      <c r="E91" s="154"/>
      <c r="F91" s="154"/>
      <c r="G91" s="154"/>
      <c r="H91" s="154"/>
      <c r="I91" s="154"/>
      <c r="J91" s="154"/>
      <c r="K91" s="154"/>
      <c r="L91" s="154"/>
      <c r="M91" s="154"/>
      <c r="N91" s="154"/>
      <c r="O91" s="154"/>
      <c r="P91" s="154"/>
      <c r="Q91" s="154"/>
      <c r="R91" s="154"/>
      <c r="S91" s="154"/>
      <c r="T91" s="154"/>
      <c r="U91" s="154"/>
      <c r="V91" s="154"/>
    </row>
    <row r="92" spans="3:22" x14ac:dyDescent="0.2">
      <c r="C92" s="87" t="s">
        <v>123</v>
      </c>
      <c r="D92" s="60">
        <f t="shared" ref="D92:V92" si="2">+IFERROR(IF(D53&gt;0,+((D53/D13)*100)," "),"")</f>
        <v>94.203305657212383</v>
      </c>
      <c r="E92" s="60">
        <f t="shared" si="2"/>
        <v>87.471264132040488</v>
      </c>
      <c r="F92" s="60">
        <f t="shared" si="2"/>
        <v>91.128019172591834</v>
      </c>
      <c r="G92" s="60">
        <f t="shared" si="2"/>
        <v>75.908749904757613</v>
      </c>
      <c r="H92" s="60">
        <f t="shared" si="2"/>
        <v>75.500079225500087</v>
      </c>
      <c r="I92" s="60">
        <f t="shared" si="2"/>
        <v>83.140460037748483</v>
      </c>
      <c r="J92" s="60">
        <f t="shared" si="2"/>
        <v>88.128568013195974</v>
      </c>
      <c r="K92" s="60">
        <f t="shared" si="2"/>
        <v>85.170590357299901</v>
      </c>
      <c r="L92" s="60">
        <f t="shared" si="2"/>
        <v>93.158667405647918</v>
      </c>
      <c r="M92" s="60">
        <f t="shared" si="2"/>
        <v>90.494815032729676</v>
      </c>
      <c r="N92" s="60">
        <f t="shared" si="2"/>
        <v>89.027171025949031</v>
      </c>
      <c r="O92" s="60">
        <f t="shared" si="2"/>
        <v>87.849461022153235</v>
      </c>
      <c r="P92" s="60">
        <f t="shared" si="2"/>
        <v>96.934893491583665</v>
      </c>
      <c r="Q92" s="60">
        <f t="shared" si="2"/>
        <v>86.581579005279067</v>
      </c>
      <c r="R92" s="60">
        <f t="shared" si="2"/>
        <v>93.246326541790197</v>
      </c>
      <c r="S92" s="60">
        <f t="shared" si="2"/>
        <v>87.390457924678472</v>
      </c>
      <c r="T92" s="60">
        <f t="shared" si="2"/>
        <v>83.637026672497115</v>
      </c>
      <c r="U92" s="60">
        <f t="shared" si="2"/>
        <v>96.625681544715164</v>
      </c>
      <c r="V92" s="60">
        <f t="shared" si="2"/>
        <v>86.903002059336288</v>
      </c>
    </row>
    <row r="93" spans="3:22" x14ac:dyDescent="0.2">
      <c r="C93" s="88" t="s">
        <v>124</v>
      </c>
      <c r="D93" s="62" t="str">
        <f t="shared" ref="D93:V93" si="3">+IFERROR(IF(D54&gt;0,+((D54/D14)*100)," "),"")</f>
        <v xml:space="preserve"> </v>
      </c>
      <c r="E93" s="62" t="str">
        <f t="shared" si="3"/>
        <v xml:space="preserve"> </v>
      </c>
      <c r="F93" s="62" t="str">
        <f t="shared" si="3"/>
        <v xml:space="preserve"> </v>
      </c>
      <c r="G93" s="62" t="str">
        <f t="shared" si="3"/>
        <v xml:space="preserve"> </v>
      </c>
      <c r="H93" s="62" t="str">
        <f t="shared" si="3"/>
        <v xml:space="preserve"> </v>
      </c>
      <c r="I93" s="62" t="str">
        <f t="shared" si="3"/>
        <v xml:space="preserve"> </v>
      </c>
      <c r="J93" s="62" t="str">
        <f t="shared" si="3"/>
        <v xml:space="preserve"> </v>
      </c>
      <c r="K93" s="62" t="str">
        <f t="shared" si="3"/>
        <v xml:space="preserve"> </v>
      </c>
      <c r="L93" s="62" t="str">
        <f t="shared" si="3"/>
        <v xml:space="preserve"> </v>
      </c>
      <c r="M93" s="62" t="str">
        <f t="shared" si="3"/>
        <v xml:space="preserve"> </v>
      </c>
      <c r="N93" s="62" t="str">
        <f t="shared" si="3"/>
        <v xml:space="preserve"> </v>
      </c>
      <c r="O93" s="62" t="str">
        <f t="shared" si="3"/>
        <v xml:space="preserve"> </v>
      </c>
      <c r="P93" s="62">
        <f t="shared" si="3"/>
        <v>81.655503734028159</v>
      </c>
      <c r="Q93" s="62">
        <f t="shared" si="3"/>
        <v>87.647612421551131</v>
      </c>
      <c r="R93" s="62">
        <f t="shared" si="3"/>
        <v>69.758201796917632</v>
      </c>
      <c r="S93" s="62">
        <f t="shared" si="3"/>
        <v>96.939605972279097</v>
      </c>
      <c r="T93" s="62">
        <f t="shared" si="3"/>
        <v>91.865283484474787</v>
      </c>
      <c r="U93" s="62">
        <f t="shared" si="3"/>
        <v>97.191158466917827</v>
      </c>
      <c r="V93" s="62">
        <f t="shared" si="3"/>
        <v>96.952595420991955</v>
      </c>
    </row>
    <row r="94" spans="3:22" x14ac:dyDescent="0.2">
      <c r="C94" s="87" t="s">
        <v>125</v>
      </c>
      <c r="D94" s="60">
        <f t="shared" ref="D94:V94" si="4">+IFERROR(IF(D55&gt;0,+((D55/D15)*100)," "),"")</f>
        <v>75.769773989220496</v>
      </c>
      <c r="E94" s="60">
        <f t="shared" si="4"/>
        <v>83.177590345454917</v>
      </c>
      <c r="F94" s="60">
        <f t="shared" si="4"/>
        <v>98.601044729947233</v>
      </c>
      <c r="G94" s="60">
        <f t="shared" si="4"/>
        <v>88.9210462043756</v>
      </c>
      <c r="H94" s="60">
        <f t="shared" si="4"/>
        <v>75.163696514785926</v>
      </c>
      <c r="I94" s="60">
        <f t="shared" si="4"/>
        <v>75.766181241757877</v>
      </c>
      <c r="J94" s="60">
        <f t="shared" si="4"/>
        <v>81.730376640734022</v>
      </c>
      <c r="K94" s="60">
        <f t="shared" si="4"/>
        <v>53.193195694963734</v>
      </c>
      <c r="L94" s="60">
        <f t="shared" si="4"/>
        <v>88.222403650571721</v>
      </c>
      <c r="M94" s="60">
        <f t="shared" si="4"/>
        <v>79.514917505851557</v>
      </c>
      <c r="N94" s="60" t="str">
        <f t="shared" si="4"/>
        <v xml:space="preserve"> </v>
      </c>
      <c r="O94" s="60" t="str">
        <f t="shared" si="4"/>
        <v xml:space="preserve"> </v>
      </c>
      <c r="P94" s="60" t="str">
        <f t="shared" si="4"/>
        <v xml:space="preserve"> </v>
      </c>
      <c r="Q94" s="60" t="str">
        <f t="shared" si="4"/>
        <v xml:space="preserve"> </v>
      </c>
      <c r="R94" s="60" t="str">
        <f t="shared" si="4"/>
        <v xml:space="preserve"> </v>
      </c>
      <c r="S94" s="60" t="str">
        <f t="shared" si="4"/>
        <v xml:space="preserve"> </v>
      </c>
      <c r="T94" s="60" t="str">
        <f t="shared" si="4"/>
        <v xml:space="preserve"> </v>
      </c>
      <c r="U94" s="60" t="str">
        <f t="shared" si="4"/>
        <v xml:space="preserve"> </v>
      </c>
      <c r="V94" s="60" t="str">
        <f t="shared" si="4"/>
        <v xml:space="preserve"> </v>
      </c>
    </row>
    <row r="95" spans="3:22" x14ac:dyDescent="0.2">
      <c r="C95" s="88" t="s">
        <v>126</v>
      </c>
      <c r="D95" s="62">
        <f t="shared" ref="D95:V95" si="5">+IFERROR(IF(D56&gt;0,+((D56/D16)*100)," "),"")</f>
        <v>95.013070743735469</v>
      </c>
      <c r="E95" s="62">
        <f t="shared" si="5"/>
        <v>92.799103167689935</v>
      </c>
      <c r="F95" s="62">
        <f t="shared" si="5"/>
        <v>87.01846174888324</v>
      </c>
      <c r="G95" s="62">
        <f t="shared" si="5"/>
        <v>89.034540032180757</v>
      </c>
      <c r="H95" s="62">
        <f t="shared" si="5"/>
        <v>91.868207181626971</v>
      </c>
      <c r="I95" s="62">
        <f t="shared" si="5"/>
        <v>92.928541518385472</v>
      </c>
      <c r="J95" s="62">
        <f t="shared" si="5"/>
        <v>91.939863170846735</v>
      </c>
      <c r="K95" s="62">
        <f t="shared" si="5"/>
        <v>94.329343287624923</v>
      </c>
      <c r="L95" s="62">
        <f t="shared" si="5"/>
        <v>93.606093479586505</v>
      </c>
      <c r="M95" s="62">
        <f t="shared" si="5"/>
        <v>95.461503966889083</v>
      </c>
      <c r="N95" s="62">
        <f t="shared" si="5"/>
        <v>93.000278635505623</v>
      </c>
      <c r="O95" s="62">
        <f t="shared" si="5"/>
        <v>88.072544832183453</v>
      </c>
      <c r="P95" s="62">
        <f t="shared" si="5"/>
        <v>92.967582421285883</v>
      </c>
      <c r="Q95" s="62">
        <f t="shared" si="5"/>
        <v>95.876726448986332</v>
      </c>
      <c r="R95" s="62">
        <f t="shared" si="5"/>
        <v>95.659180250132465</v>
      </c>
      <c r="S95" s="62">
        <f t="shared" si="5"/>
        <v>95.740211005786932</v>
      </c>
      <c r="T95" s="62">
        <f t="shared" si="5"/>
        <v>95.351611722365419</v>
      </c>
      <c r="U95" s="62">
        <f t="shared" si="5"/>
        <v>96.696201506321145</v>
      </c>
      <c r="V95" s="62">
        <f t="shared" si="5"/>
        <v>94.909590832914105</v>
      </c>
    </row>
    <row r="96" spans="3:22" x14ac:dyDescent="0.2">
      <c r="C96" s="87" t="s">
        <v>127</v>
      </c>
      <c r="D96" s="60" t="str">
        <f t="shared" ref="D96:V96" si="6">+IFERROR(IF(D57&gt;0,+((D57/D17)*100)," "),"")</f>
        <v xml:space="preserve"> </v>
      </c>
      <c r="E96" s="60" t="str">
        <f t="shared" si="6"/>
        <v xml:space="preserve"> </v>
      </c>
      <c r="F96" s="60" t="str">
        <f t="shared" si="6"/>
        <v xml:space="preserve"> </v>
      </c>
      <c r="G96" s="60" t="str">
        <f t="shared" si="6"/>
        <v xml:space="preserve"> </v>
      </c>
      <c r="H96" s="60" t="str">
        <f t="shared" si="6"/>
        <v xml:space="preserve"> </v>
      </c>
      <c r="I96" s="60" t="str">
        <f t="shared" si="6"/>
        <v xml:space="preserve"> </v>
      </c>
      <c r="J96" s="60" t="str">
        <f t="shared" si="6"/>
        <v xml:space="preserve"> </v>
      </c>
      <c r="K96" s="60" t="str">
        <f t="shared" si="6"/>
        <v xml:space="preserve"> </v>
      </c>
      <c r="L96" s="60" t="str">
        <f t="shared" si="6"/>
        <v xml:space="preserve"> </v>
      </c>
      <c r="M96" s="60" t="str">
        <f t="shared" si="6"/>
        <v xml:space="preserve"> </v>
      </c>
      <c r="N96" s="60" t="str">
        <f t="shared" si="6"/>
        <v xml:space="preserve"> </v>
      </c>
      <c r="O96" s="60" t="str">
        <f t="shared" si="6"/>
        <v xml:space="preserve"> </v>
      </c>
      <c r="P96" s="60" t="str">
        <f t="shared" si="6"/>
        <v xml:space="preserve"> </v>
      </c>
      <c r="Q96" s="60" t="str">
        <f t="shared" si="6"/>
        <v xml:space="preserve"> </v>
      </c>
      <c r="R96" s="60" t="str">
        <f t="shared" si="6"/>
        <v xml:space="preserve"> </v>
      </c>
      <c r="S96" s="60" t="str">
        <f t="shared" si="6"/>
        <v xml:space="preserve"> </v>
      </c>
      <c r="T96" s="60" t="str">
        <f t="shared" si="6"/>
        <v xml:space="preserve"> </v>
      </c>
      <c r="U96" s="60" t="str">
        <f t="shared" si="6"/>
        <v xml:space="preserve"> </v>
      </c>
      <c r="V96" s="60" t="str">
        <f t="shared" si="6"/>
        <v xml:space="preserve"> </v>
      </c>
    </row>
    <row r="97" spans="3:22" x14ac:dyDescent="0.2">
      <c r="C97" s="88" t="s">
        <v>128</v>
      </c>
      <c r="D97" s="62">
        <f t="shared" ref="D97:V97" si="7">+IFERROR(IF(D58&gt;0,+((D58/D18)*100)," "),"")</f>
        <v>86.486610677927331</v>
      </c>
      <c r="E97" s="62">
        <f t="shared" si="7"/>
        <v>90.925323898270577</v>
      </c>
      <c r="F97" s="62">
        <f t="shared" si="7"/>
        <v>77.627957766161387</v>
      </c>
      <c r="G97" s="62">
        <f t="shared" si="7"/>
        <v>86.812465205825418</v>
      </c>
      <c r="H97" s="62">
        <f t="shared" si="7"/>
        <v>85.832911558562685</v>
      </c>
      <c r="I97" s="62">
        <f t="shared" si="7"/>
        <v>88.107833645520287</v>
      </c>
      <c r="J97" s="62">
        <f t="shared" si="7"/>
        <v>35.952556799879424</v>
      </c>
      <c r="K97" s="62">
        <f t="shared" si="7"/>
        <v>59.143608145043657</v>
      </c>
      <c r="L97" s="62">
        <f t="shared" si="7"/>
        <v>85.226291016673343</v>
      </c>
      <c r="M97" s="62">
        <f t="shared" si="7"/>
        <v>68.129292887563736</v>
      </c>
      <c r="N97" s="62">
        <f t="shared" si="7"/>
        <v>81.993306132326509</v>
      </c>
      <c r="O97" s="62">
        <f t="shared" si="7"/>
        <v>82.696847994576217</v>
      </c>
      <c r="P97" s="62">
        <f t="shared" si="7"/>
        <v>86.884615128946081</v>
      </c>
      <c r="Q97" s="62">
        <f t="shared" si="7"/>
        <v>81.299652575795704</v>
      </c>
      <c r="R97" s="62">
        <f t="shared" si="7"/>
        <v>88.698826030086224</v>
      </c>
      <c r="S97" s="62">
        <f t="shared" si="7"/>
        <v>94.701135518454734</v>
      </c>
      <c r="T97" s="62">
        <f t="shared" si="7"/>
        <v>95.724453440741215</v>
      </c>
      <c r="U97" s="62">
        <f t="shared" si="7"/>
        <v>96.911394891974069</v>
      </c>
      <c r="V97" s="62">
        <f t="shared" si="7"/>
        <v>96.375099774691279</v>
      </c>
    </row>
    <row r="98" spans="3:22" x14ac:dyDescent="0.2">
      <c r="C98" s="87" t="s">
        <v>129</v>
      </c>
      <c r="D98" s="60">
        <f t="shared" ref="D98:V98" si="8">+IFERROR(IF(D59&gt;0,+((D59/D19)*100)," "),"")</f>
        <v>87.225546420586738</v>
      </c>
      <c r="E98" s="60">
        <f t="shared" si="8"/>
        <v>90.291401615743808</v>
      </c>
      <c r="F98" s="60">
        <f t="shared" si="8"/>
        <v>89.25523334939723</v>
      </c>
      <c r="G98" s="60">
        <f t="shared" si="8"/>
        <v>91.054827148363344</v>
      </c>
      <c r="H98" s="60">
        <f t="shared" si="8"/>
        <v>93.308584033000869</v>
      </c>
      <c r="I98" s="60">
        <f t="shared" si="8"/>
        <v>94.212008623357818</v>
      </c>
      <c r="J98" s="60">
        <f t="shared" si="8"/>
        <v>93.529162185493959</v>
      </c>
      <c r="K98" s="60">
        <f t="shared" si="8"/>
        <v>92.390753081775117</v>
      </c>
      <c r="L98" s="60">
        <f t="shared" si="8"/>
        <v>92.357814865027848</v>
      </c>
      <c r="M98" s="60">
        <f t="shared" si="8"/>
        <v>91.251740130334014</v>
      </c>
      <c r="N98" s="60">
        <f t="shared" si="8"/>
        <v>95.500212235991128</v>
      </c>
      <c r="O98" s="60">
        <f t="shared" si="8"/>
        <v>87.428186264023935</v>
      </c>
      <c r="P98" s="60">
        <f t="shared" si="8"/>
        <v>86.277911953746539</v>
      </c>
      <c r="Q98" s="60">
        <f t="shared" si="8"/>
        <v>84.719978464840153</v>
      </c>
      <c r="R98" s="60">
        <f t="shared" si="8"/>
        <v>91.374114127934391</v>
      </c>
      <c r="S98" s="60">
        <f t="shared" si="8"/>
        <v>87.347624067063876</v>
      </c>
      <c r="T98" s="60">
        <f t="shared" si="8"/>
        <v>94.446161546173684</v>
      </c>
      <c r="U98" s="60">
        <f t="shared" si="8"/>
        <v>97.926552445848316</v>
      </c>
      <c r="V98" s="60">
        <f t="shared" si="8"/>
        <v>97.1902375359507</v>
      </c>
    </row>
    <row r="99" spans="3:22" x14ac:dyDescent="0.2">
      <c r="C99" s="88" t="s">
        <v>130</v>
      </c>
      <c r="D99" s="62">
        <f t="shared" ref="D99:V99" si="9">+IFERROR(IF(D60&gt;0,+((D60/D20)*100)," "),"")</f>
        <v>97.200525772236375</v>
      </c>
      <c r="E99" s="62">
        <f t="shared" si="9"/>
        <v>88.490333339819898</v>
      </c>
      <c r="F99" s="62">
        <f t="shared" si="9"/>
        <v>86.626058219529156</v>
      </c>
      <c r="G99" s="62">
        <f t="shared" si="9"/>
        <v>82.482878665884002</v>
      </c>
      <c r="H99" s="62">
        <f t="shared" si="9"/>
        <v>91.036692151141565</v>
      </c>
      <c r="I99" s="62">
        <f t="shared" si="9"/>
        <v>97.463229846949801</v>
      </c>
      <c r="J99" s="62">
        <f t="shared" si="9"/>
        <v>95.424558116289447</v>
      </c>
      <c r="K99" s="62">
        <f t="shared" si="9"/>
        <v>92.140305559719209</v>
      </c>
      <c r="L99" s="62">
        <f t="shared" si="9"/>
        <v>95.800510628945247</v>
      </c>
      <c r="M99" s="62">
        <f t="shared" si="9"/>
        <v>96.595065083591948</v>
      </c>
      <c r="N99" s="62">
        <f t="shared" si="9"/>
        <v>96.34714466023415</v>
      </c>
      <c r="O99" s="62">
        <f t="shared" si="9"/>
        <v>75.001163463350366</v>
      </c>
      <c r="P99" s="62" t="str">
        <f t="shared" si="9"/>
        <v xml:space="preserve"> </v>
      </c>
      <c r="Q99" s="62" t="str">
        <f t="shared" si="9"/>
        <v xml:space="preserve"> </v>
      </c>
      <c r="R99" s="62" t="str">
        <f t="shared" si="9"/>
        <v xml:space="preserve"> </v>
      </c>
      <c r="S99" s="62" t="str">
        <f t="shared" si="9"/>
        <v xml:space="preserve"> </v>
      </c>
      <c r="T99" s="62" t="str">
        <f t="shared" si="9"/>
        <v xml:space="preserve"> </v>
      </c>
      <c r="U99" s="62" t="str">
        <f t="shared" si="9"/>
        <v xml:space="preserve"> </v>
      </c>
      <c r="V99" s="62" t="str">
        <f t="shared" si="9"/>
        <v xml:space="preserve"> </v>
      </c>
    </row>
    <row r="100" spans="3:22" x14ac:dyDescent="0.2">
      <c r="C100" s="87" t="s">
        <v>131</v>
      </c>
      <c r="D100" s="60">
        <f t="shared" ref="D100:V100" si="10">+IFERROR(IF(D61&gt;0,+((D61/D21)*100)," "),"")</f>
        <v>92.076885101159263</v>
      </c>
      <c r="E100" s="60">
        <f t="shared" si="10"/>
        <v>93.094173027694595</v>
      </c>
      <c r="F100" s="60">
        <f t="shared" si="10"/>
        <v>93.129731337432744</v>
      </c>
      <c r="G100" s="60">
        <f t="shared" si="10"/>
        <v>90.842407082518378</v>
      </c>
      <c r="H100" s="60">
        <f t="shared" si="10"/>
        <v>91.365266315811084</v>
      </c>
      <c r="I100" s="60">
        <f t="shared" si="10"/>
        <v>92.290304698855579</v>
      </c>
      <c r="J100" s="60">
        <f t="shared" si="10"/>
        <v>82.905113713485505</v>
      </c>
      <c r="K100" s="60">
        <f t="shared" si="10"/>
        <v>85.682414934705946</v>
      </c>
      <c r="L100" s="60">
        <f t="shared" si="10"/>
        <v>88.860234254829763</v>
      </c>
      <c r="M100" s="60">
        <f t="shared" si="10"/>
        <v>93.642395621996684</v>
      </c>
      <c r="N100" s="60">
        <f t="shared" si="10"/>
        <v>88.70215537158856</v>
      </c>
      <c r="O100" s="60">
        <f t="shared" si="10"/>
        <v>94.611740770411487</v>
      </c>
      <c r="P100" s="60">
        <f t="shared" si="10"/>
        <v>95.838753881994137</v>
      </c>
      <c r="Q100" s="60">
        <f t="shared" si="10"/>
        <v>84.901420417346131</v>
      </c>
      <c r="R100" s="60">
        <f t="shared" si="10"/>
        <v>91.238913914443955</v>
      </c>
      <c r="S100" s="60">
        <f t="shared" si="10"/>
        <v>91.458390482337009</v>
      </c>
      <c r="T100" s="60">
        <f t="shared" si="10"/>
        <v>92.117666952714444</v>
      </c>
      <c r="U100" s="60">
        <f t="shared" si="10"/>
        <v>88.073980158435333</v>
      </c>
      <c r="V100" s="60">
        <f t="shared" si="10"/>
        <v>88.991790352174291</v>
      </c>
    </row>
    <row r="101" spans="3:22" x14ac:dyDescent="0.2">
      <c r="C101" s="88" t="s">
        <v>132</v>
      </c>
      <c r="D101" s="62">
        <f t="shared" ref="D101:V101" si="11">+IFERROR(IF(D62&gt;0,+((D62/D22)*100)," "),"")</f>
        <v>83.265277749522724</v>
      </c>
      <c r="E101" s="62">
        <f t="shared" si="11"/>
        <v>87.792084788331266</v>
      </c>
      <c r="F101" s="62">
        <f t="shared" si="11"/>
        <v>83.324651288977719</v>
      </c>
      <c r="G101" s="62">
        <f t="shared" si="11"/>
        <v>86.026074703323474</v>
      </c>
      <c r="H101" s="62">
        <f t="shared" si="11"/>
        <v>81.836949918116815</v>
      </c>
      <c r="I101" s="62">
        <f t="shared" si="11"/>
        <v>93.666686212676382</v>
      </c>
      <c r="J101" s="62">
        <f t="shared" si="11"/>
        <v>74.560783638686374</v>
      </c>
      <c r="K101" s="62">
        <f t="shared" si="11"/>
        <v>53.506547084759838</v>
      </c>
      <c r="L101" s="62">
        <f t="shared" si="11"/>
        <v>55.814359166408359</v>
      </c>
      <c r="M101" s="62">
        <f t="shared" si="11"/>
        <v>36.803667828765811</v>
      </c>
      <c r="N101" s="62">
        <f t="shared" si="11"/>
        <v>67.49821850328847</v>
      </c>
      <c r="O101" s="62">
        <f t="shared" si="11"/>
        <v>62.398841799555193</v>
      </c>
      <c r="P101" s="62">
        <f t="shared" si="11"/>
        <v>64.644230584384118</v>
      </c>
      <c r="Q101" s="62">
        <f t="shared" si="11"/>
        <v>45.55831849988359</v>
      </c>
      <c r="R101" s="62">
        <f t="shared" si="11"/>
        <v>51.903463375777783</v>
      </c>
      <c r="S101" s="62">
        <f t="shared" si="11"/>
        <v>53.648075970951638</v>
      </c>
      <c r="T101" s="62">
        <f t="shared" si="11"/>
        <v>76.269740443762061</v>
      </c>
      <c r="U101" s="62">
        <f t="shared" si="11"/>
        <v>79.43576335300051</v>
      </c>
      <c r="V101" s="62">
        <f t="shared" si="11"/>
        <v>82.568537657639055</v>
      </c>
    </row>
    <row r="102" spans="3:22" x14ac:dyDescent="0.2">
      <c r="C102" s="87" t="s">
        <v>133</v>
      </c>
      <c r="D102" s="60">
        <f t="shared" ref="D102:V102" si="12">+IFERROR(IF(D63&gt;0,+((D63/D23)*100)," "),"")</f>
        <v>52.553481328482711</v>
      </c>
      <c r="E102" s="60">
        <f t="shared" si="12"/>
        <v>63.907002755798558</v>
      </c>
      <c r="F102" s="60">
        <f t="shared" si="12"/>
        <v>86.798313787478406</v>
      </c>
      <c r="G102" s="60">
        <f t="shared" si="12"/>
        <v>34.140608885384026</v>
      </c>
      <c r="H102" s="60">
        <f t="shared" si="12"/>
        <v>95.747806882061937</v>
      </c>
      <c r="I102" s="60">
        <f t="shared" si="12"/>
        <v>98.344466675607109</v>
      </c>
      <c r="J102" s="60">
        <f t="shared" si="12"/>
        <v>99.818478583333331</v>
      </c>
      <c r="K102" s="60">
        <f t="shared" si="12"/>
        <v>62.978497907043476</v>
      </c>
      <c r="L102" s="60">
        <f t="shared" si="12"/>
        <v>41.562018146718145</v>
      </c>
      <c r="M102" s="60">
        <f t="shared" si="12"/>
        <v>55.072898529411773</v>
      </c>
      <c r="N102" s="60">
        <f t="shared" si="12"/>
        <v>51.166891628692966</v>
      </c>
      <c r="O102" s="60">
        <f t="shared" si="12"/>
        <v>56.280372856519314</v>
      </c>
      <c r="P102" s="60">
        <f t="shared" si="12"/>
        <v>50.900885209197796</v>
      </c>
      <c r="Q102" s="60">
        <f t="shared" si="12"/>
        <v>25.789746666666669</v>
      </c>
      <c r="R102" s="60">
        <f t="shared" si="12"/>
        <v>91.270268277789512</v>
      </c>
      <c r="S102" s="60">
        <f t="shared" si="12"/>
        <v>48.851568399085245</v>
      </c>
      <c r="T102" s="60">
        <f t="shared" si="12"/>
        <v>91.890358572245518</v>
      </c>
      <c r="U102" s="60">
        <f t="shared" si="12"/>
        <v>99.355214242864761</v>
      </c>
      <c r="V102" s="60">
        <f t="shared" si="12"/>
        <v>92.956985993006995</v>
      </c>
    </row>
    <row r="103" spans="3:22" x14ac:dyDescent="0.2">
      <c r="C103" s="88" t="s">
        <v>134</v>
      </c>
      <c r="D103" s="62">
        <f t="shared" ref="D103:V103" si="13">+IFERROR(IF(D64&gt;0,+((D64/D24)*100)," "),"")</f>
        <v>70.761105361669266</v>
      </c>
      <c r="E103" s="62">
        <f t="shared" si="13"/>
        <v>89.605139799463132</v>
      </c>
      <c r="F103" s="62">
        <f t="shared" si="13"/>
        <v>95.067794039189195</v>
      </c>
      <c r="G103" s="62">
        <f t="shared" si="13"/>
        <v>90.786643520125409</v>
      </c>
      <c r="H103" s="62">
        <f t="shared" si="13"/>
        <v>96.880565578378892</v>
      </c>
      <c r="I103" s="62">
        <f t="shared" si="13"/>
        <v>89.071774588640011</v>
      </c>
      <c r="J103" s="62">
        <f t="shared" si="13"/>
        <v>97.645405326403733</v>
      </c>
      <c r="K103" s="62">
        <f t="shared" si="13"/>
        <v>88.723679789905589</v>
      </c>
      <c r="L103" s="62">
        <f t="shared" si="13"/>
        <v>91.748472105166883</v>
      </c>
      <c r="M103" s="62">
        <f t="shared" si="13"/>
        <v>89.380703681712077</v>
      </c>
      <c r="N103" s="62">
        <f t="shared" si="13"/>
        <v>92.708811367532306</v>
      </c>
      <c r="O103" s="62">
        <f t="shared" si="13"/>
        <v>93.048920860927467</v>
      </c>
      <c r="P103" s="62">
        <f t="shared" si="13"/>
        <v>89.154634552176375</v>
      </c>
      <c r="Q103" s="62">
        <f t="shared" si="13"/>
        <v>77.43882522039307</v>
      </c>
      <c r="R103" s="62">
        <f t="shared" si="13"/>
        <v>70.68613042965768</v>
      </c>
      <c r="S103" s="62">
        <f t="shared" si="13"/>
        <v>70.303390677212576</v>
      </c>
      <c r="T103" s="62">
        <f t="shared" si="13"/>
        <v>77.870855442690143</v>
      </c>
      <c r="U103" s="62">
        <f t="shared" si="13"/>
        <v>75.642941879647623</v>
      </c>
      <c r="V103" s="62">
        <f t="shared" si="13"/>
        <v>79.657261317199655</v>
      </c>
    </row>
    <row r="104" spans="3:22" x14ac:dyDescent="0.2">
      <c r="C104" s="87" t="s">
        <v>135</v>
      </c>
      <c r="D104" s="60" t="str">
        <f t="shared" ref="D104:V104" si="14">+IFERROR(IF(D65&gt;0,+((D65/D25)*100)," "),"")</f>
        <v xml:space="preserve"> </v>
      </c>
      <c r="E104" s="60" t="str">
        <f t="shared" si="14"/>
        <v xml:space="preserve"> </v>
      </c>
      <c r="F104" s="60" t="str">
        <f t="shared" si="14"/>
        <v xml:space="preserve"> </v>
      </c>
      <c r="G104" s="60" t="str">
        <f t="shared" si="14"/>
        <v xml:space="preserve"> </v>
      </c>
      <c r="H104" s="60" t="str">
        <f t="shared" si="14"/>
        <v xml:space="preserve"> </v>
      </c>
      <c r="I104" s="60" t="str">
        <f t="shared" si="14"/>
        <v xml:space="preserve"> </v>
      </c>
      <c r="J104" s="60" t="str">
        <f t="shared" si="14"/>
        <v xml:space="preserve"> </v>
      </c>
      <c r="K104" s="60" t="str">
        <f t="shared" si="14"/>
        <v xml:space="preserve"> </v>
      </c>
      <c r="L104" s="60" t="str">
        <f t="shared" si="14"/>
        <v xml:space="preserve"> </v>
      </c>
      <c r="M104" s="60" t="str">
        <f t="shared" si="14"/>
        <v xml:space="preserve"> </v>
      </c>
      <c r="N104" s="60" t="str">
        <f t="shared" si="14"/>
        <v xml:space="preserve"> </v>
      </c>
      <c r="O104" s="60" t="str">
        <f t="shared" si="14"/>
        <v xml:space="preserve"> </v>
      </c>
      <c r="P104" s="60" t="str">
        <f t="shared" si="14"/>
        <v xml:space="preserve"> </v>
      </c>
      <c r="Q104" s="60" t="str">
        <f t="shared" si="14"/>
        <v xml:space="preserve"> </v>
      </c>
      <c r="R104" s="60" t="str">
        <f t="shared" si="14"/>
        <v xml:space="preserve"> </v>
      </c>
      <c r="S104" s="60" t="str">
        <f t="shared" si="14"/>
        <v xml:space="preserve"> </v>
      </c>
      <c r="T104" s="60" t="str">
        <f t="shared" si="14"/>
        <v xml:space="preserve"> </v>
      </c>
      <c r="U104" s="60" t="str">
        <f t="shared" si="14"/>
        <v xml:space="preserve"> </v>
      </c>
      <c r="V104" s="60" t="str">
        <f t="shared" si="14"/>
        <v xml:space="preserve"> </v>
      </c>
    </row>
    <row r="105" spans="3:22" x14ac:dyDescent="0.2">
      <c r="C105" s="88" t="s">
        <v>136</v>
      </c>
      <c r="D105" s="62">
        <f t="shared" ref="D105:V105" si="15">+IFERROR(IF(D66&gt;0,+((D66/D26)*100)," "),"")</f>
        <v>97.039165649265342</v>
      </c>
      <c r="E105" s="62">
        <f t="shared" si="15"/>
        <v>99.052863910195583</v>
      </c>
      <c r="F105" s="62">
        <f t="shared" si="15"/>
        <v>95.818569811133543</v>
      </c>
      <c r="G105" s="62">
        <f t="shared" si="15"/>
        <v>98.264930565323382</v>
      </c>
      <c r="H105" s="62">
        <f t="shared" si="15"/>
        <v>96.555676547897079</v>
      </c>
      <c r="I105" s="62">
        <f t="shared" si="15"/>
        <v>97.227393518070016</v>
      </c>
      <c r="J105" s="62">
        <f t="shared" si="15"/>
        <v>73.058920183896731</v>
      </c>
      <c r="K105" s="62">
        <f t="shared" si="15"/>
        <v>71.301830803332848</v>
      </c>
      <c r="L105" s="62">
        <f t="shared" si="15"/>
        <v>73.846862368899025</v>
      </c>
      <c r="M105" s="62">
        <f t="shared" si="15"/>
        <v>74.995063777339269</v>
      </c>
      <c r="N105" s="62">
        <f t="shared" si="15"/>
        <v>79.496297011285861</v>
      </c>
      <c r="O105" s="62">
        <f t="shared" si="15"/>
        <v>78.686593943293559</v>
      </c>
      <c r="P105" s="62">
        <f t="shared" si="15"/>
        <v>80.360733068738639</v>
      </c>
      <c r="Q105" s="62">
        <f t="shared" si="15"/>
        <v>82.45492933929701</v>
      </c>
      <c r="R105" s="62">
        <f t="shared" si="15"/>
        <v>84.161756440728041</v>
      </c>
      <c r="S105" s="62">
        <f t="shared" si="15"/>
        <v>86.413707228944006</v>
      </c>
      <c r="T105" s="62">
        <f t="shared" si="15"/>
        <v>88.281025454894134</v>
      </c>
      <c r="U105" s="62">
        <f t="shared" si="15"/>
        <v>98.43530150250298</v>
      </c>
      <c r="V105" s="62">
        <f t="shared" si="15"/>
        <v>87.784429126953484</v>
      </c>
    </row>
    <row r="106" spans="3:22" x14ac:dyDescent="0.2">
      <c r="C106" s="87" t="s">
        <v>137</v>
      </c>
      <c r="D106" s="60">
        <f t="shared" ref="D106:V106" si="16">+IFERROR(IF(D67&gt;0,+((D67/D27)*100)," "),"")</f>
        <v>86.875545215401274</v>
      </c>
      <c r="E106" s="60">
        <f t="shared" si="16"/>
        <v>84.99694457059303</v>
      </c>
      <c r="F106" s="60">
        <f t="shared" si="16"/>
        <v>99.095508597858256</v>
      </c>
      <c r="G106" s="60">
        <f t="shared" si="16"/>
        <v>91.561991483454932</v>
      </c>
      <c r="H106" s="60">
        <f t="shared" si="16"/>
        <v>94.038006173069576</v>
      </c>
      <c r="I106" s="60">
        <f t="shared" si="16"/>
        <v>96.116793414070429</v>
      </c>
      <c r="J106" s="60">
        <f t="shared" si="16"/>
        <v>96.700661405903332</v>
      </c>
      <c r="K106" s="60">
        <f t="shared" si="16"/>
        <v>91.518772696376132</v>
      </c>
      <c r="L106" s="60">
        <f t="shared" si="16"/>
        <v>90.664067553102939</v>
      </c>
      <c r="M106" s="60">
        <f t="shared" si="16"/>
        <v>94.832205712300123</v>
      </c>
      <c r="N106" s="60">
        <f t="shared" si="16"/>
        <v>94.105535938117981</v>
      </c>
      <c r="O106" s="60">
        <f t="shared" si="16"/>
        <v>94.908080494790823</v>
      </c>
      <c r="P106" s="60">
        <f t="shared" si="16"/>
        <v>94.350238703360276</v>
      </c>
      <c r="Q106" s="60">
        <f t="shared" si="16"/>
        <v>85.62671239681066</v>
      </c>
      <c r="R106" s="60">
        <f t="shared" si="16"/>
        <v>92.608809100658604</v>
      </c>
      <c r="S106" s="60">
        <f t="shared" si="16"/>
        <v>66.311393973366464</v>
      </c>
      <c r="T106" s="60">
        <f t="shared" si="16"/>
        <v>75.030463264975083</v>
      </c>
      <c r="U106" s="60">
        <f t="shared" si="16"/>
        <v>98.146348989220783</v>
      </c>
      <c r="V106" s="60">
        <f t="shared" si="16"/>
        <v>71.70756414794468</v>
      </c>
    </row>
    <row r="107" spans="3:22" x14ac:dyDescent="0.2">
      <c r="C107" s="88" t="s">
        <v>138</v>
      </c>
      <c r="D107" s="62">
        <f t="shared" ref="D107:V107" si="17">+IFERROR(IF(D68&gt;0,+((D68/D28)*100)," "),"")</f>
        <v>89.434185262638707</v>
      </c>
      <c r="E107" s="62">
        <f t="shared" si="17"/>
        <v>83.172710730885484</v>
      </c>
      <c r="F107" s="62">
        <f t="shared" si="17"/>
        <v>95.963166355515597</v>
      </c>
      <c r="G107" s="62">
        <f t="shared" si="17"/>
        <v>95.31540071368984</v>
      </c>
      <c r="H107" s="62">
        <f t="shared" si="17"/>
        <v>96.348414536175454</v>
      </c>
      <c r="I107" s="62">
        <f t="shared" si="17"/>
        <v>89.694963216815509</v>
      </c>
      <c r="J107" s="62">
        <f t="shared" si="17"/>
        <v>97.041889352640027</v>
      </c>
      <c r="K107" s="62">
        <f t="shared" si="17"/>
        <v>95.979571788382771</v>
      </c>
      <c r="L107" s="62">
        <f t="shared" si="17"/>
        <v>96.082339640871766</v>
      </c>
      <c r="M107" s="62">
        <f t="shared" si="17"/>
        <v>87.442322547568509</v>
      </c>
      <c r="N107" s="62">
        <f t="shared" si="17"/>
        <v>82.150101131908656</v>
      </c>
      <c r="O107" s="62">
        <f t="shared" si="17"/>
        <v>80.581754470092676</v>
      </c>
      <c r="P107" s="62">
        <f t="shared" si="17"/>
        <v>87.452105003671022</v>
      </c>
      <c r="Q107" s="62">
        <f t="shared" si="17"/>
        <v>95.671537990570016</v>
      </c>
      <c r="R107" s="62">
        <f t="shared" si="17"/>
        <v>81.256331602629075</v>
      </c>
      <c r="S107" s="62" t="str">
        <f t="shared" si="17"/>
        <v xml:space="preserve"> </v>
      </c>
      <c r="T107" s="62" t="str">
        <f t="shared" si="17"/>
        <v xml:space="preserve"> </v>
      </c>
      <c r="U107" s="62" t="str">
        <f t="shared" si="17"/>
        <v xml:space="preserve"> </v>
      </c>
      <c r="V107" s="62" t="str">
        <f t="shared" si="17"/>
        <v xml:space="preserve"> </v>
      </c>
    </row>
    <row r="108" spans="3:22" x14ac:dyDescent="0.2">
      <c r="C108" s="87" t="s">
        <v>139</v>
      </c>
      <c r="D108" s="60">
        <f t="shared" ref="D108:V108" si="18">+IFERROR(IF(D69&gt;0,+((D69/D29)*100)," "),"")</f>
        <v>95.860669548345882</v>
      </c>
      <c r="E108" s="60">
        <f t="shared" si="18"/>
        <v>97.000534876083023</v>
      </c>
      <c r="F108" s="60">
        <f t="shared" si="18"/>
        <v>81.928833824895804</v>
      </c>
      <c r="G108" s="60">
        <f t="shared" si="18"/>
        <v>82.237667841573654</v>
      </c>
      <c r="H108" s="60">
        <f t="shared" si="18"/>
        <v>86.121902492810719</v>
      </c>
      <c r="I108" s="60">
        <f t="shared" si="18"/>
        <v>88.240241181214742</v>
      </c>
      <c r="J108" s="60">
        <f t="shared" si="18"/>
        <v>96.287856063404334</v>
      </c>
      <c r="K108" s="60">
        <f t="shared" si="18"/>
        <v>89.131854647675468</v>
      </c>
      <c r="L108" s="60">
        <f t="shared" si="18"/>
        <v>84.797072636548549</v>
      </c>
      <c r="M108" s="60">
        <f t="shared" si="18"/>
        <v>88.614068881106206</v>
      </c>
      <c r="N108" s="60">
        <f t="shared" si="18"/>
        <v>73.685059920314274</v>
      </c>
      <c r="O108" s="60">
        <f t="shared" si="18"/>
        <v>87.482840393683475</v>
      </c>
      <c r="P108" s="60">
        <f t="shared" si="18"/>
        <v>83.658181574272888</v>
      </c>
      <c r="Q108" s="60">
        <f t="shared" si="18"/>
        <v>86.768921055713733</v>
      </c>
      <c r="R108" s="60">
        <f t="shared" si="18"/>
        <v>79.219010956520648</v>
      </c>
      <c r="S108" s="60">
        <f t="shared" si="18"/>
        <v>89.282955512552746</v>
      </c>
      <c r="T108" s="60">
        <f t="shared" si="18"/>
        <v>94.197013502777992</v>
      </c>
      <c r="U108" s="60">
        <f t="shared" si="18"/>
        <v>91.981238604540209</v>
      </c>
      <c r="V108" s="60">
        <f t="shared" si="18"/>
        <v>93.58487091988188</v>
      </c>
    </row>
    <row r="109" spans="3:22" x14ac:dyDescent="0.2">
      <c r="C109" s="88" t="s">
        <v>140</v>
      </c>
      <c r="D109" s="62">
        <f t="shared" ref="D109:V109" si="19">+IFERROR(IF(D70&gt;0,+((D70/D30)*100)," "),"")</f>
        <v>88.498434849535627</v>
      </c>
      <c r="E109" s="62">
        <f t="shared" si="19"/>
        <v>90.293112553940446</v>
      </c>
      <c r="F109" s="62">
        <f t="shared" si="19"/>
        <v>72.761376620320178</v>
      </c>
      <c r="G109" s="62">
        <f t="shared" si="19"/>
        <v>82.789081404318438</v>
      </c>
      <c r="H109" s="62">
        <f t="shared" si="19"/>
        <v>99.631699038192082</v>
      </c>
      <c r="I109" s="62">
        <f t="shared" si="19"/>
        <v>99.861786386086365</v>
      </c>
      <c r="J109" s="62">
        <f t="shared" si="19"/>
        <v>97.028413590453283</v>
      </c>
      <c r="K109" s="62">
        <f t="shared" si="19"/>
        <v>72.403022071167385</v>
      </c>
      <c r="L109" s="62">
        <f t="shared" si="19"/>
        <v>93.305457902104976</v>
      </c>
      <c r="M109" s="62">
        <f t="shared" si="19"/>
        <v>81.267729771450973</v>
      </c>
      <c r="N109" s="62">
        <f t="shared" si="19"/>
        <v>98.708181658161806</v>
      </c>
      <c r="O109" s="62">
        <f t="shared" si="19"/>
        <v>97.475070695077619</v>
      </c>
      <c r="P109" s="62">
        <f t="shared" si="19"/>
        <v>72.368824082953083</v>
      </c>
      <c r="Q109" s="62">
        <f t="shared" si="19"/>
        <v>73.311881317987371</v>
      </c>
      <c r="R109" s="62">
        <f t="shared" si="19"/>
        <v>91.836299421177515</v>
      </c>
      <c r="S109" s="62">
        <f t="shared" si="19"/>
        <v>93.194497658264311</v>
      </c>
      <c r="T109" s="62">
        <f t="shared" si="19"/>
        <v>93.002236359435955</v>
      </c>
      <c r="U109" s="62">
        <f t="shared" si="19"/>
        <v>96.286923751783718</v>
      </c>
      <c r="V109" s="62">
        <f t="shared" si="19"/>
        <v>88.3876204942176</v>
      </c>
    </row>
    <row r="110" spans="3:22" x14ac:dyDescent="0.2">
      <c r="C110" s="87" t="s">
        <v>141</v>
      </c>
      <c r="D110" s="60">
        <f t="shared" ref="D110:V110" si="20">+IFERROR(IF(D71&gt;0,+((D71/D31)*100)," "),"")</f>
        <v>99.384158631498522</v>
      </c>
      <c r="E110" s="60">
        <f t="shared" si="20"/>
        <v>99.979838429871705</v>
      </c>
      <c r="F110" s="60">
        <f t="shared" si="20"/>
        <v>99.937331130946106</v>
      </c>
      <c r="G110" s="60">
        <f t="shared" si="20"/>
        <v>99.980985053861048</v>
      </c>
      <c r="H110" s="60">
        <f t="shared" si="20"/>
        <v>98.736464000824313</v>
      </c>
      <c r="I110" s="60">
        <f t="shared" si="20"/>
        <v>99.30842973149511</v>
      </c>
      <c r="J110" s="60">
        <f t="shared" si="20"/>
        <v>98.970916384061042</v>
      </c>
      <c r="K110" s="60">
        <f t="shared" si="20"/>
        <v>95.490283625651188</v>
      </c>
      <c r="L110" s="60">
        <f t="shared" si="20"/>
        <v>98.684229599032676</v>
      </c>
      <c r="M110" s="60">
        <f t="shared" si="20"/>
        <v>96.024893067417125</v>
      </c>
      <c r="N110" s="60">
        <f t="shared" si="20"/>
        <v>86.425721292218682</v>
      </c>
      <c r="O110" s="60">
        <f t="shared" si="20"/>
        <v>95.02593669748839</v>
      </c>
      <c r="P110" s="60">
        <f t="shared" si="20"/>
        <v>87.323191225311135</v>
      </c>
      <c r="Q110" s="60">
        <f t="shared" si="20"/>
        <v>83.973758406137634</v>
      </c>
      <c r="R110" s="60">
        <f t="shared" si="20"/>
        <v>93.574082482720428</v>
      </c>
      <c r="S110" s="60">
        <f t="shared" si="20"/>
        <v>90.975160899010106</v>
      </c>
      <c r="T110" s="60">
        <f t="shared" si="20"/>
        <v>73.597280843719346</v>
      </c>
      <c r="U110" s="60">
        <f t="shared" si="20"/>
        <v>76.10340844728573</v>
      </c>
      <c r="V110" s="60">
        <f t="shared" si="20"/>
        <v>83.206973923246125</v>
      </c>
    </row>
    <row r="111" spans="3:22" x14ac:dyDescent="0.2">
      <c r="C111" s="88" t="s">
        <v>142</v>
      </c>
      <c r="D111" s="62">
        <f t="shared" ref="D111:V111" si="21">+IFERROR(IF(D72&gt;0,+((D72/D32)*100)," "),"")</f>
        <v>92.928536061629146</v>
      </c>
      <c r="E111" s="62">
        <f t="shared" si="21"/>
        <v>95.508636471998798</v>
      </c>
      <c r="F111" s="62">
        <f t="shared" si="21"/>
        <v>86.106758219467835</v>
      </c>
      <c r="G111" s="62">
        <f t="shared" si="21"/>
        <v>80.655378901069739</v>
      </c>
      <c r="H111" s="62">
        <f t="shared" si="21"/>
        <v>90.449046922005053</v>
      </c>
      <c r="I111" s="62">
        <f t="shared" si="21"/>
        <v>91.935069863208369</v>
      </c>
      <c r="J111" s="62">
        <f t="shared" si="21"/>
        <v>70.043486561629308</v>
      </c>
      <c r="K111" s="62">
        <f t="shared" si="21"/>
        <v>71.013939623945163</v>
      </c>
      <c r="L111" s="62">
        <f t="shared" si="21"/>
        <v>81.651906934826656</v>
      </c>
      <c r="M111" s="62">
        <f t="shared" si="21"/>
        <v>69.325401574791755</v>
      </c>
      <c r="N111" s="62">
        <f t="shared" si="21"/>
        <v>89.82113560110956</v>
      </c>
      <c r="O111" s="62">
        <f t="shared" si="21"/>
        <v>89.00869218658643</v>
      </c>
      <c r="P111" s="62">
        <f t="shared" si="21"/>
        <v>88.896920153833818</v>
      </c>
      <c r="Q111" s="62">
        <f t="shared" si="21"/>
        <v>58.697026326137681</v>
      </c>
      <c r="R111" s="62">
        <f t="shared" si="21"/>
        <v>88.568075798252352</v>
      </c>
      <c r="S111" s="62">
        <f t="shared" si="21"/>
        <v>90.516702620753989</v>
      </c>
      <c r="T111" s="62">
        <f t="shared" si="21"/>
        <v>95.601707942377999</v>
      </c>
      <c r="U111" s="62">
        <f t="shared" si="21"/>
        <v>92.109409351621196</v>
      </c>
      <c r="V111" s="62">
        <f t="shared" si="21"/>
        <v>94.557008653241368</v>
      </c>
    </row>
    <row r="112" spans="3:22" x14ac:dyDescent="0.2">
      <c r="C112" s="87" t="s">
        <v>143</v>
      </c>
      <c r="D112" s="60" t="str">
        <f t="shared" ref="D112:V112" si="22">+IFERROR(IF(D73&gt;0,+((D73/D33)*100)," "),"")</f>
        <v xml:space="preserve"> </v>
      </c>
      <c r="E112" s="60" t="str">
        <f t="shared" si="22"/>
        <v xml:space="preserve"> </v>
      </c>
      <c r="F112" s="60" t="str">
        <f t="shared" si="22"/>
        <v xml:space="preserve"> </v>
      </c>
      <c r="G112" s="60" t="str">
        <f t="shared" si="22"/>
        <v xml:space="preserve"> </v>
      </c>
      <c r="H112" s="60" t="str">
        <f t="shared" si="22"/>
        <v xml:space="preserve"> </v>
      </c>
      <c r="I112" s="60" t="str">
        <f t="shared" si="22"/>
        <v xml:space="preserve"> </v>
      </c>
      <c r="J112" s="60" t="str">
        <f t="shared" si="22"/>
        <v xml:space="preserve"> </v>
      </c>
      <c r="K112" s="60" t="str">
        <f t="shared" si="22"/>
        <v xml:space="preserve"> </v>
      </c>
      <c r="L112" s="60" t="str">
        <f t="shared" si="22"/>
        <v xml:space="preserve"> </v>
      </c>
      <c r="M112" s="60" t="str">
        <f t="shared" si="22"/>
        <v xml:space="preserve"> </v>
      </c>
      <c r="N112" s="60" t="str">
        <f t="shared" si="22"/>
        <v xml:space="preserve"> </v>
      </c>
      <c r="O112" s="60" t="str">
        <f t="shared" si="22"/>
        <v xml:space="preserve"> </v>
      </c>
      <c r="P112" s="60" t="str">
        <f t="shared" si="22"/>
        <v xml:space="preserve"> </v>
      </c>
      <c r="Q112" s="60" t="str">
        <f t="shared" si="22"/>
        <v xml:space="preserve"> </v>
      </c>
      <c r="R112" s="60" t="str">
        <f t="shared" si="22"/>
        <v xml:space="preserve"> </v>
      </c>
      <c r="S112" s="60" t="str">
        <f t="shared" si="22"/>
        <v xml:space="preserve"> </v>
      </c>
      <c r="T112" s="60" t="str">
        <f t="shared" si="22"/>
        <v xml:space="preserve"> </v>
      </c>
      <c r="U112" s="60" t="str">
        <f t="shared" si="22"/>
        <v xml:space="preserve"> </v>
      </c>
      <c r="V112" s="60" t="str">
        <f t="shared" si="22"/>
        <v xml:space="preserve"> </v>
      </c>
    </row>
    <row r="113" spans="3:22" x14ac:dyDescent="0.2">
      <c r="C113" s="88" t="s">
        <v>144</v>
      </c>
      <c r="D113" s="62" t="str">
        <f t="shared" ref="D113:V113" si="23">+IFERROR(IF(D74&gt;0,+((D74/D34)*100)," "),"")</f>
        <v xml:space="preserve"> </v>
      </c>
      <c r="E113" s="62" t="str">
        <f t="shared" si="23"/>
        <v xml:space="preserve"> </v>
      </c>
      <c r="F113" s="62" t="str">
        <f t="shared" si="23"/>
        <v xml:space="preserve"> </v>
      </c>
      <c r="G113" s="62" t="str">
        <f t="shared" si="23"/>
        <v xml:space="preserve"> </v>
      </c>
      <c r="H113" s="62" t="str">
        <f t="shared" si="23"/>
        <v xml:space="preserve"> </v>
      </c>
      <c r="I113" s="62" t="str">
        <f t="shared" si="23"/>
        <v xml:space="preserve"> </v>
      </c>
      <c r="J113" s="62" t="str">
        <f t="shared" si="23"/>
        <v xml:space="preserve"> </v>
      </c>
      <c r="K113" s="62" t="str">
        <f t="shared" si="23"/>
        <v xml:space="preserve"> </v>
      </c>
      <c r="L113" s="62" t="str">
        <f t="shared" si="23"/>
        <v xml:space="preserve"> </v>
      </c>
      <c r="M113" s="62" t="str">
        <f t="shared" si="23"/>
        <v xml:space="preserve"> </v>
      </c>
      <c r="N113" s="62" t="str">
        <f t="shared" si="23"/>
        <v xml:space="preserve"> </v>
      </c>
      <c r="O113" s="62" t="str">
        <f t="shared" si="23"/>
        <v xml:space="preserve"> </v>
      </c>
      <c r="P113" s="62" t="str">
        <f t="shared" si="23"/>
        <v xml:space="preserve"> </v>
      </c>
      <c r="Q113" s="62" t="str">
        <f t="shared" si="23"/>
        <v xml:space="preserve"> </v>
      </c>
      <c r="R113" s="62" t="str">
        <f t="shared" si="23"/>
        <v xml:space="preserve"> </v>
      </c>
      <c r="S113" s="62" t="str">
        <f t="shared" si="23"/>
        <v xml:space="preserve"> </v>
      </c>
      <c r="T113" s="62" t="str">
        <f t="shared" si="23"/>
        <v xml:space="preserve"> </v>
      </c>
      <c r="U113" s="62" t="str">
        <f t="shared" si="23"/>
        <v xml:space="preserve"> </v>
      </c>
      <c r="V113" s="62" t="str">
        <f t="shared" si="23"/>
        <v xml:space="preserve"> </v>
      </c>
    </row>
    <row r="114" spans="3:22" x14ac:dyDescent="0.2">
      <c r="C114" s="87" t="s">
        <v>145</v>
      </c>
      <c r="D114" s="60">
        <f t="shared" ref="D114:V114" si="24">+IFERROR(IF(D75&gt;0,+((D75/D35)*100)," "),"")</f>
        <v>94.892520562643938</v>
      </c>
      <c r="E114" s="60">
        <f t="shared" si="24"/>
        <v>95.682987580490192</v>
      </c>
      <c r="F114" s="60">
        <f t="shared" si="24"/>
        <v>97.66506394667924</v>
      </c>
      <c r="G114" s="60">
        <f t="shared" si="24"/>
        <v>93.209316777728816</v>
      </c>
      <c r="H114" s="60">
        <f t="shared" si="24"/>
        <v>97.959555951765651</v>
      </c>
      <c r="I114" s="60">
        <f t="shared" si="24"/>
        <v>97.601420644499512</v>
      </c>
      <c r="J114" s="60">
        <f t="shared" si="24"/>
        <v>68.239811975157181</v>
      </c>
      <c r="K114" s="60">
        <f t="shared" si="24"/>
        <v>82.300432707101777</v>
      </c>
      <c r="L114" s="60">
        <f t="shared" si="24"/>
        <v>70.611087189582079</v>
      </c>
      <c r="M114" s="60">
        <f t="shared" si="24"/>
        <v>89.04098529850522</v>
      </c>
      <c r="N114" s="60">
        <f t="shared" si="24"/>
        <v>92.258799357589339</v>
      </c>
      <c r="O114" s="60">
        <f t="shared" si="24"/>
        <v>95.389248478601317</v>
      </c>
      <c r="P114" s="60">
        <f t="shared" si="24"/>
        <v>91.122487943559136</v>
      </c>
      <c r="Q114" s="60">
        <f t="shared" si="24"/>
        <v>93.193480216763746</v>
      </c>
      <c r="R114" s="60">
        <f t="shared" si="24"/>
        <v>94.089426248987067</v>
      </c>
      <c r="S114" s="60">
        <f t="shared" si="24"/>
        <v>95.672003093702145</v>
      </c>
      <c r="T114" s="60">
        <f t="shared" si="24"/>
        <v>98.570248800759728</v>
      </c>
      <c r="U114" s="60">
        <f t="shared" si="24"/>
        <v>99.296020547344014</v>
      </c>
      <c r="V114" s="60">
        <f t="shared" si="24"/>
        <v>95.161709606659485</v>
      </c>
    </row>
    <row r="115" spans="3:22" x14ac:dyDescent="0.2">
      <c r="C115" s="88" t="s">
        <v>146</v>
      </c>
      <c r="D115" s="62">
        <f t="shared" ref="D115:V115" si="25">+IFERROR(IF(D76&gt;0,+((D76/D36)*100)," "),"")</f>
        <v>97.923862303007013</v>
      </c>
      <c r="E115" s="62">
        <f t="shared" si="25"/>
        <v>96.188407083633564</v>
      </c>
      <c r="F115" s="62">
        <f t="shared" si="25"/>
        <v>97.683597114296589</v>
      </c>
      <c r="G115" s="62">
        <f t="shared" si="25"/>
        <v>99.068126436989829</v>
      </c>
      <c r="H115" s="62">
        <f t="shared" si="25"/>
        <v>78.902441472112272</v>
      </c>
      <c r="I115" s="62">
        <f t="shared" si="25"/>
        <v>91.957101485625685</v>
      </c>
      <c r="J115" s="62">
        <f t="shared" si="25"/>
        <v>94.247203172884227</v>
      </c>
      <c r="K115" s="62">
        <f t="shared" si="25"/>
        <v>91.900537342848565</v>
      </c>
      <c r="L115" s="62">
        <f t="shared" si="25"/>
        <v>84.078577707766982</v>
      </c>
      <c r="M115" s="62">
        <f t="shared" si="25"/>
        <v>96.8300969317946</v>
      </c>
      <c r="N115" s="62">
        <f t="shared" si="25"/>
        <v>98.567817425574802</v>
      </c>
      <c r="O115" s="62">
        <f t="shared" si="25"/>
        <v>95.088490778839059</v>
      </c>
      <c r="P115" s="62">
        <f t="shared" si="25"/>
        <v>96.617840848987512</v>
      </c>
      <c r="Q115" s="62">
        <f t="shared" si="25"/>
        <v>98.996036525857235</v>
      </c>
      <c r="R115" s="62">
        <f t="shared" si="25"/>
        <v>98.275214139702854</v>
      </c>
      <c r="S115" s="62">
        <f t="shared" si="25"/>
        <v>98.486807249002041</v>
      </c>
      <c r="T115" s="62">
        <f t="shared" si="25"/>
        <v>99.321291386679604</v>
      </c>
      <c r="U115" s="62">
        <f t="shared" si="25"/>
        <v>99.0889768503379</v>
      </c>
      <c r="V115" s="62">
        <f t="shared" si="25"/>
        <v>81.531240247823646</v>
      </c>
    </row>
    <row r="116" spans="3:22" x14ac:dyDescent="0.2">
      <c r="C116" s="90" t="s">
        <v>147</v>
      </c>
      <c r="D116" s="61">
        <f t="shared" ref="D116:V116" si="26">+IFERROR(IF(D77&gt;0,+((D77/D37)*100)," "),"")</f>
        <v>75.214940720877877</v>
      </c>
      <c r="E116" s="61">
        <f t="shared" si="26"/>
        <v>80.888727591940793</v>
      </c>
      <c r="F116" s="61">
        <f t="shared" si="26"/>
        <v>88.294012134174281</v>
      </c>
      <c r="G116" s="61">
        <f t="shared" si="26"/>
        <v>88.487148335900159</v>
      </c>
      <c r="H116" s="61">
        <f t="shared" si="26"/>
        <v>80.118923552643722</v>
      </c>
      <c r="I116" s="61">
        <f t="shared" si="26"/>
        <v>86.810833808911227</v>
      </c>
      <c r="J116" s="61">
        <f t="shared" si="26"/>
        <v>86.739682740643588</v>
      </c>
      <c r="K116" s="61">
        <f t="shared" si="26"/>
        <v>76.380222379002973</v>
      </c>
      <c r="L116" s="61">
        <f t="shared" si="26"/>
        <v>90.162573509440719</v>
      </c>
      <c r="M116" s="61">
        <f t="shared" si="26"/>
        <v>88.353093194460769</v>
      </c>
      <c r="N116" s="61">
        <f t="shared" si="26"/>
        <v>90.08489289845339</v>
      </c>
      <c r="O116" s="61">
        <f t="shared" si="26"/>
        <v>82.029861329038539</v>
      </c>
      <c r="P116" s="61">
        <f t="shared" si="26"/>
        <v>89.878405334073463</v>
      </c>
      <c r="Q116" s="61">
        <f t="shared" si="26"/>
        <v>76.167251485473301</v>
      </c>
      <c r="R116" s="61">
        <f t="shared" si="26"/>
        <v>84.273210641877156</v>
      </c>
      <c r="S116" s="61">
        <f t="shared" si="26"/>
        <v>90.673697703746981</v>
      </c>
      <c r="T116" s="61">
        <f t="shared" si="26"/>
        <v>93.001756377007638</v>
      </c>
      <c r="U116" s="61">
        <f t="shared" si="26"/>
        <v>93.700808864896175</v>
      </c>
      <c r="V116" s="61">
        <f t="shared" si="26"/>
        <v>88.324780204640106</v>
      </c>
    </row>
    <row r="117" spans="3:22" ht="22.5" customHeight="1" x14ac:dyDescent="0.2">
      <c r="C117" s="89" t="s">
        <v>148</v>
      </c>
      <c r="D117" s="63" t="str">
        <f t="shared" ref="D117:V117" si="27">+IFERROR(IF(D78&gt;0,+((D78/D38)*100)," "),"")</f>
        <v xml:space="preserve"> </v>
      </c>
      <c r="E117" s="63" t="str">
        <f t="shared" si="27"/>
        <v xml:space="preserve"> </v>
      </c>
      <c r="F117" s="63" t="str">
        <f t="shared" si="27"/>
        <v xml:space="preserve"> </v>
      </c>
      <c r="G117" s="63" t="str">
        <f t="shared" si="27"/>
        <v xml:space="preserve"> </v>
      </c>
      <c r="H117" s="63" t="str">
        <f t="shared" si="27"/>
        <v xml:space="preserve"> </v>
      </c>
      <c r="I117" s="63" t="str">
        <f t="shared" si="27"/>
        <v xml:space="preserve"> </v>
      </c>
      <c r="J117" s="63" t="str">
        <f t="shared" si="27"/>
        <v xml:space="preserve"> </v>
      </c>
      <c r="K117" s="63" t="str">
        <f t="shared" si="27"/>
        <v xml:space="preserve"> </v>
      </c>
      <c r="L117" s="63" t="str">
        <f t="shared" si="27"/>
        <v xml:space="preserve"> </v>
      </c>
      <c r="M117" s="63" t="str">
        <f t="shared" si="27"/>
        <v xml:space="preserve"> </v>
      </c>
      <c r="N117" s="63" t="str">
        <f t="shared" si="27"/>
        <v xml:space="preserve"> </v>
      </c>
      <c r="O117" s="63" t="str">
        <f t="shared" si="27"/>
        <v xml:space="preserve"> </v>
      </c>
      <c r="P117" s="63" t="str">
        <f t="shared" si="27"/>
        <v xml:space="preserve"> </v>
      </c>
      <c r="Q117" s="63" t="str">
        <f t="shared" si="27"/>
        <v xml:space="preserve"> </v>
      </c>
      <c r="R117" s="63" t="str">
        <f t="shared" si="27"/>
        <v xml:space="preserve"> </v>
      </c>
      <c r="S117" s="63" t="str">
        <f t="shared" si="27"/>
        <v xml:space="preserve"> </v>
      </c>
      <c r="T117" s="63" t="str">
        <f t="shared" si="27"/>
        <v xml:space="preserve"> </v>
      </c>
      <c r="U117" s="63" t="str">
        <f t="shared" si="27"/>
        <v xml:space="preserve"> </v>
      </c>
      <c r="V117" s="63" t="str">
        <f t="shared" si="27"/>
        <v xml:space="preserve"> </v>
      </c>
    </row>
    <row r="118" spans="3:22" x14ac:dyDescent="0.2">
      <c r="C118" s="87" t="s">
        <v>149</v>
      </c>
      <c r="D118" s="60">
        <f t="shared" ref="D118:V118" si="28">+IFERROR(IF(D79&gt;0,+((D79/D39)*100)," "),"")</f>
        <v>35.835064271284729</v>
      </c>
      <c r="E118" s="60">
        <f t="shared" si="28"/>
        <v>37.782526201254932</v>
      </c>
      <c r="F118" s="60">
        <f t="shared" si="28"/>
        <v>42.397718127975864</v>
      </c>
      <c r="G118" s="60">
        <f t="shared" si="28"/>
        <v>55.443161226733892</v>
      </c>
      <c r="H118" s="60">
        <f t="shared" si="28"/>
        <v>49.43204646751424</v>
      </c>
      <c r="I118" s="60">
        <f t="shared" si="28"/>
        <v>5.4056970227553043</v>
      </c>
      <c r="J118" s="60">
        <f t="shared" si="28"/>
        <v>46.307480950720162</v>
      </c>
      <c r="K118" s="60">
        <f t="shared" si="28"/>
        <v>48.013050373105905</v>
      </c>
      <c r="L118" s="60">
        <f t="shared" si="28"/>
        <v>57.58455340997061</v>
      </c>
      <c r="M118" s="60">
        <f t="shared" si="28"/>
        <v>61.5938772418979</v>
      </c>
      <c r="N118" s="60">
        <f t="shared" si="28"/>
        <v>68.230802074725489</v>
      </c>
      <c r="O118" s="60">
        <f t="shared" si="28"/>
        <v>69.72511404101806</v>
      </c>
      <c r="P118" s="60">
        <f t="shared" si="28"/>
        <v>98.466124291911825</v>
      </c>
      <c r="Q118" s="60">
        <f t="shared" si="28"/>
        <v>75.671647673583962</v>
      </c>
      <c r="R118" s="60">
        <f t="shared" si="28"/>
        <v>82.088228811233705</v>
      </c>
      <c r="S118" s="60">
        <f t="shared" si="28"/>
        <v>85.408456497728238</v>
      </c>
      <c r="T118" s="60">
        <f t="shared" si="28"/>
        <v>91.802553138924722</v>
      </c>
      <c r="U118" s="60">
        <f t="shared" si="28"/>
        <v>97.318252525089804</v>
      </c>
      <c r="V118" s="60">
        <f t="shared" si="28"/>
        <v>78.225138392240069</v>
      </c>
    </row>
    <row r="119" spans="3:22" x14ac:dyDescent="0.2">
      <c r="C119" s="88" t="s">
        <v>150</v>
      </c>
      <c r="D119" s="62">
        <f t="shared" ref="D119:V119" si="29">+IFERROR(IF(D80&gt;0,+((D80/D40)*100)," "),"")</f>
        <v>97.746225747107246</v>
      </c>
      <c r="E119" s="62">
        <f t="shared" si="29"/>
        <v>96.691052156540437</v>
      </c>
      <c r="F119" s="62">
        <f t="shared" si="29"/>
        <v>94.629653522501599</v>
      </c>
      <c r="G119" s="62">
        <f t="shared" si="29"/>
        <v>96.48211408318241</v>
      </c>
      <c r="H119" s="62">
        <f t="shared" si="29"/>
        <v>98.905015099090505</v>
      </c>
      <c r="I119" s="62">
        <f t="shared" si="29"/>
        <v>99.105029060758454</v>
      </c>
      <c r="J119" s="62">
        <f t="shared" si="29"/>
        <v>93.383097586227322</v>
      </c>
      <c r="K119" s="62">
        <f t="shared" si="29"/>
        <v>89.417742184231471</v>
      </c>
      <c r="L119" s="62">
        <f t="shared" si="29"/>
        <v>85.67109353689456</v>
      </c>
      <c r="M119" s="62">
        <f t="shared" si="29"/>
        <v>87.635957890785363</v>
      </c>
      <c r="N119" s="62">
        <f t="shared" si="29"/>
        <v>95.089404976341555</v>
      </c>
      <c r="O119" s="62">
        <f t="shared" si="29"/>
        <v>87.763854705517673</v>
      </c>
      <c r="P119" s="62">
        <f t="shared" si="29"/>
        <v>97.138434872147144</v>
      </c>
      <c r="Q119" s="62">
        <f t="shared" si="29"/>
        <v>90.282489799319819</v>
      </c>
      <c r="R119" s="62">
        <f t="shared" si="29"/>
        <v>95.647343913144098</v>
      </c>
      <c r="S119" s="62">
        <f t="shared" si="29"/>
        <v>97.331090257468617</v>
      </c>
      <c r="T119" s="62">
        <f t="shared" si="29"/>
        <v>95.321863166899718</v>
      </c>
      <c r="U119" s="62">
        <f t="shared" si="29"/>
        <v>90.386687010452235</v>
      </c>
      <c r="V119" s="62">
        <f t="shared" si="29"/>
        <v>96.0606750126517</v>
      </c>
    </row>
    <row r="120" spans="3:22" x14ac:dyDescent="0.2">
      <c r="C120" s="87" t="s">
        <v>151</v>
      </c>
      <c r="D120" s="60">
        <f t="shared" ref="D120:V120" si="30">+IFERROR(IF(D81&gt;0,+((D81/D41)*100)," "),"")</f>
        <v>89.023271258751137</v>
      </c>
      <c r="E120" s="60">
        <f t="shared" si="30"/>
        <v>76.815389848905781</v>
      </c>
      <c r="F120" s="60">
        <f t="shared" si="30"/>
        <v>55.8206364794232</v>
      </c>
      <c r="G120" s="60">
        <f t="shared" si="30"/>
        <v>76.720543223663583</v>
      </c>
      <c r="H120" s="60">
        <f t="shared" si="30"/>
        <v>85.766397139554726</v>
      </c>
      <c r="I120" s="60">
        <f t="shared" si="30"/>
        <v>96.840868531751426</v>
      </c>
      <c r="J120" s="60">
        <f t="shared" si="30"/>
        <v>99.50073840798531</v>
      </c>
      <c r="K120" s="60">
        <f t="shared" si="30"/>
        <v>56.29212552312972</v>
      </c>
      <c r="L120" s="60" t="str">
        <f t="shared" si="30"/>
        <v xml:space="preserve"> </v>
      </c>
      <c r="M120" s="60" t="str">
        <f t="shared" si="30"/>
        <v xml:space="preserve"> </v>
      </c>
      <c r="N120" s="60" t="str">
        <f t="shared" si="30"/>
        <v xml:space="preserve"> </v>
      </c>
      <c r="O120" s="60" t="str">
        <f t="shared" si="30"/>
        <v xml:space="preserve"> </v>
      </c>
      <c r="P120" s="60" t="str">
        <f t="shared" si="30"/>
        <v xml:space="preserve"> </v>
      </c>
      <c r="Q120" s="60" t="str">
        <f t="shared" si="30"/>
        <v xml:space="preserve"> </v>
      </c>
      <c r="R120" s="60" t="str">
        <f t="shared" si="30"/>
        <v xml:space="preserve"> </v>
      </c>
      <c r="S120" s="60" t="str">
        <f t="shared" si="30"/>
        <v xml:space="preserve"> </v>
      </c>
      <c r="T120" s="60" t="str">
        <f t="shared" si="30"/>
        <v xml:space="preserve"> </v>
      </c>
      <c r="U120" s="60" t="str">
        <f t="shared" si="30"/>
        <v xml:space="preserve"> </v>
      </c>
      <c r="V120" s="60" t="str">
        <f t="shared" si="30"/>
        <v xml:space="preserve"> </v>
      </c>
    </row>
    <row r="121" spans="3:22" x14ac:dyDescent="0.2">
      <c r="C121" s="91" t="s">
        <v>179</v>
      </c>
      <c r="D121" s="64">
        <f t="shared" ref="D121:V121" si="31">+IFERROR(IF(D82&gt;0,+((D82/D42)*100)," "),"")</f>
        <v>82.380586180502789</v>
      </c>
      <c r="E121" s="64">
        <f t="shared" si="31"/>
        <v>86.587801528149299</v>
      </c>
      <c r="F121" s="64">
        <f t="shared" si="31"/>
        <v>86.172835197286091</v>
      </c>
      <c r="G121" s="64">
        <f t="shared" si="31"/>
        <v>87.966307282714524</v>
      </c>
      <c r="H121" s="64">
        <f t="shared" si="31"/>
        <v>94.309815995592032</v>
      </c>
      <c r="I121" s="64">
        <f t="shared" si="31"/>
        <v>94.269178237202297</v>
      </c>
      <c r="J121" s="64">
        <f t="shared" si="31"/>
        <v>87.439510711713538</v>
      </c>
      <c r="K121" s="64">
        <f t="shared" si="31"/>
        <v>83.302500871920188</v>
      </c>
      <c r="L121" s="64">
        <f t="shared" si="31"/>
        <v>85.292611920028421</v>
      </c>
      <c r="M121" s="64">
        <f t="shared" si="31"/>
        <v>85.179849521501524</v>
      </c>
      <c r="N121" s="64">
        <f t="shared" si="31"/>
        <v>89.651115968334679</v>
      </c>
      <c r="O121" s="64">
        <f t="shared" si="31"/>
        <v>86.634214655221697</v>
      </c>
      <c r="P121" s="64">
        <f t="shared" si="31"/>
        <v>87.876529455249113</v>
      </c>
      <c r="Q121" s="64">
        <f t="shared" si="31"/>
        <v>82.883928191229188</v>
      </c>
      <c r="R121" s="64">
        <f t="shared" si="31"/>
        <v>87.249004529073744</v>
      </c>
      <c r="S121" s="64">
        <f t="shared" si="31"/>
        <v>88.664942684401609</v>
      </c>
      <c r="T121" s="64">
        <f t="shared" si="31"/>
        <v>93.09465781469325</v>
      </c>
      <c r="U121" s="64">
        <f t="shared" si="31"/>
        <v>94.835371863395778</v>
      </c>
      <c r="V121" s="64">
        <f t="shared" si="31"/>
        <v>91.748310481209998</v>
      </c>
    </row>
    <row r="122" spans="3:22" x14ac:dyDescent="0.2">
      <c r="C122" s="1" t="s">
        <v>52</v>
      </c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</row>
    <row r="123" spans="3:22" x14ac:dyDescent="0.2"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</row>
    <row r="127" spans="3:22" ht="18" customHeight="1" x14ac:dyDescent="0.2">
      <c r="D127" s="160" t="s">
        <v>197</v>
      </c>
      <c r="E127" s="158"/>
      <c r="F127" s="158"/>
      <c r="G127" s="158"/>
      <c r="H127" s="158"/>
      <c r="I127" s="158"/>
      <c r="J127" s="158"/>
      <c r="K127" s="158"/>
      <c r="L127" s="158"/>
      <c r="M127" s="158"/>
      <c r="N127" s="158"/>
      <c r="O127" s="158"/>
      <c r="P127" s="158"/>
      <c r="Q127" s="158"/>
      <c r="R127" s="158"/>
      <c r="S127" s="158"/>
      <c r="T127" s="158"/>
      <c r="U127" s="158"/>
      <c r="V127" s="158"/>
    </row>
    <row r="128" spans="3:22" ht="15.75" customHeight="1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</row>
    <row r="129" spans="3:22" x14ac:dyDescent="0.2">
      <c r="C129" s="177" t="s">
        <v>120</v>
      </c>
      <c r="D129" s="153">
        <v>2000</v>
      </c>
      <c r="E129" s="153">
        <v>2001</v>
      </c>
      <c r="F129" s="153">
        <v>2002</v>
      </c>
      <c r="G129" s="153">
        <v>2003</v>
      </c>
      <c r="H129" s="153">
        <v>2004</v>
      </c>
      <c r="I129" s="153">
        <v>2005</v>
      </c>
      <c r="J129" s="153">
        <v>2006</v>
      </c>
      <c r="K129" s="153">
        <v>2007</v>
      </c>
      <c r="L129" s="153">
        <v>2008</v>
      </c>
      <c r="M129" s="153">
        <v>2009</v>
      </c>
      <c r="N129" s="153">
        <v>2010</v>
      </c>
      <c r="O129" s="153">
        <v>2011</v>
      </c>
      <c r="P129" s="153">
        <v>2012</v>
      </c>
      <c r="Q129" s="153">
        <v>2013</v>
      </c>
      <c r="R129" s="153">
        <v>2014</v>
      </c>
      <c r="S129" s="153">
        <v>2015</v>
      </c>
      <c r="T129" s="153">
        <v>2016</v>
      </c>
      <c r="U129" s="153">
        <v>2017</v>
      </c>
      <c r="V129" s="153">
        <v>2018</v>
      </c>
    </row>
    <row r="130" spans="3:22" ht="12" customHeight="1" thickBot="1" x14ac:dyDescent="0.25">
      <c r="C130" s="156"/>
      <c r="D130" s="154"/>
      <c r="E130" s="154"/>
      <c r="F130" s="154"/>
      <c r="G130" s="154"/>
      <c r="H130" s="154"/>
      <c r="I130" s="154"/>
      <c r="J130" s="154"/>
      <c r="K130" s="154"/>
      <c r="L130" s="154"/>
      <c r="M130" s="154"/>
      <c r="N130" s="154"/>
      <c r="O130" s="154"/>
      <c r="P130" s="154"/>
      <c r="Q130" s="154"/>
      <c r="R130" s="154"/>
      <c r="S130" s="154"/>
      <c r="T130" s="154"/>
      <c r="U130" s="154"/>
      <c r="V130" s="154"/>
    </row>
    <row r="131" spans="3:22" x14ac:dyDescent="0.2">
      <c r="C131" s="87" t="s">
        <v>123</v>
      </c>
      <c r="D131" s="56">
        <f>13.0008627965*Deflactores!$A$5</f>
        <v>47.20040110473817</v>
      </c>
      <c r="E131" s="56">
        <f>6.2108111525*Deflactores!$B$5</f>
        <v>20.946653393913955</v>
      </c>
      <c r="F131" s="56">
        <f>10.232396557*Deflactores!$C$5</f>
        <v>32.254701503708795</v>
      </c>
      <c r="G131" s="56">
        <f>6.720237807*Deflactores!$D$5</f>
        <v>19.892342356947299</v>
      </c>
      <c r="H131" s="56">
        <f>3.565409289*Deflactores!$E$5</f>
        <v>10.003929809759779</v>
      </c>
      <c r="I131" s="56">
        <f>4.161543158*Deflactores!$F$5</f>
        <v>11.135912697360807</v>
      </c>
      <c r="J131" s="56">
        <f>9.243334006*Deflactores!$G$5</f>
        <v>23.674206166632583</v>
      </c>
      <c r="K131" s="56">
        <f>4.366631139*Deflactores!$H$5</f>
        <v>10.581349445105053</v>
      </c>
      <c r="L131" s="56">
        <f>6.861907301*Deflactores!$I$5</f>
        <v>15.442835717305581</v>
      </c>
      <c r="M131" s="56">
        <f>6.700588564*Deflactores!$J$5</f>
        <v>14.783841120959231</v>
      </c>
      <c r="N131" s="56">
        <f>6.301943622*Deflactores!$K$5</f>
        <v>13.476908289146047</v>
      </c>
      <c r="O131" s="56">
        <f>6.35911938220999*Deflactores!$L$5</f>
        <v>13.110590066362702</v>
      </c>
      <c r="P131" s="56">
        <f>6.72191644227999*Deflactores!$M$5</f>
        <v>13.528473645096602</v>
      </c>
      <c r="Q131" s="56">
        <f>13.4286374848699*Deflactores!$N$5</f>
        <v>26.512031738260379</v>
      </c>
      <c r="R131" s="56">
        <f>15.257690275*Deflactores!$O$5</f>
        <v>29.059534371922453</v>
      </c>
      <c r="S131" s="56">
        <f>12.29004669063*Deflactores!$P$5</f>
        <v>21.923210136555642</v>
      </c>
      <c r="T131" s="56">
        <f>10.40732299559*Deflactores!$Q$5</f>
        <v>17.55534105379818</v>
      </c>
      <c r="U131" s="56">
        <f>8.49586499069*Deflactores!$R$5</f>
        <v>13.767935780794431</v>
      </c>
      <c r="V131" s="56">
        <f>8.67340538489*Deflactores!$S$5</f>
        <v>13.622454029574833</v>
      </c>
    </row>
    <row r="132" spans="3:22" x14ac:dyDescent="0.2">
      <c r="C132" s="88" t="s">
        <v>124</v>
      </c>
      <c r="D132" s="57">
        <f>0*Deflactores!$A$5</f>
        <v>0</v>
      </c>
      <c r="E132" s="57">
        <f>0*Deflactores!$B$5</f>
        <v>0</v>
      </c>
      <c r="F132" s="57">
        <f>0*Deflactores!$C$5</f>
        <v>0</v>
      </c>
      <c r="G132" s="57">
        <f>0*Deflactores!$D$5</f>
        <v>0</v>
      </c>
      <c r="H132" s="57">
        <f>0*Deflactores!$E$5</f>
        <v>0</v>
      </c>
      <c r="I132" s="57">
        <f>0*Deflactores!$F$5</f>
        <v>0</v>
      </c>
      <c r="J132" s="57">
        <f>0*Deflactores!$G$5</f>
        <v>0</v>
      </c>
      <c r="K132" s="57">
        <f>0*Deflactores!$H$5</f>
        <v>0</v>
      </c>
      <c r="L132" s="57">
        <f>0*Deflactores!$I$5</f>
        <v>0</v>
      </c>
      <c r="M132" s="57">
        <f>0*Deflactores!$J$5</f>
        <v>0</v>
      </c>
      <c r="N132" s="57">
        <f>0*Deflactores!$K$5</f>
        <v>0</v>
      </c>
      <c r="O132" s="57">
        <f>0*Deflactores!$L$5</f>
        <v>0</v>
      </c>
      <c r="P132" s="57">
        <f>6.03270861587*Deflactores!$M$5</f>
        <v>12.141379652535859</v>
      </c>
      <c r="Q132" s="57">
        <f>18.2636217670899*Deflactores!$N$5</f>
        <v>36.057695390930547</v>
      </c>
      <c r="R132" s="57">
        <f>19.03676991407*Deflactores!$O$5</f>
        <v>36.257104429149678</v>
      </c>
      <c r="S132" s="57">
        <f>20.5824654609899*Deflactores!$P$5</f>
        <v>36.715378451222918</v>
      </c>
      <c r="T132" s="57">
        <f>24.71670342217*Deflactores!$Q$5</f>
        <v>41.69277329872822</v>
      </c>
      <c r="U132" s="57">
        <f>23.93643085685*Deflactores!$R$5</f>
        <v>38.790075315423749</v>
      </c>
      <c r="V132" s="57">
        <f>29.580885968*Deflactores!$S$5</f>
        <v>46.459751547550411</v>
      </c>
    </row>
    <row r="133" spans="3:22" x14ac:dyDescent="0.2">
      <c r="C133" s="87" t="s">
        <v>125</v>
      </c>
      <c r="D133" s="56">
        <f>1.142020384*Deflactores!$A$5</f>
        <v>4.146172530110749</v>
      </c>
      <c r="E133" s="56">
        <f>1.450197159*Deflactores!$B$5</f>
        <v>4.8909516803106063</v>
      </c>
      <c r="F133" s="56">
        <f>1.580813496*Deflactores!$C$5</f>
        <v>4.9830620971812243</v>
      </c>
      <c r="G133" s="56">
        <f>1.37947261233999*Deflactores!$D$5</f>
        <v>4.0833289334071221</v>
      </c>
      <c r="H133" s="56">
        <f>1.24617780736*Deflactores!$E$5</f>
        <v>3.4965621909865909</v>
      </c>
      <c r="I133" s="56">
        <f>1.3048335992*Deflactores!$F$5</f>
        <v>3.491616569526943</v>
      </c>
      <c r="J133" s="56">
        <f>1.620271431*Deflactores!$G$5</f>
        <v>4.1498705854943223</v>
      </c>
      <c r="K133" s="56">
        <f>1.484490528*Deflactores!$H$5</f>
        <v>3.5972612580951293</v>
      </c>
      <c r="L133" s="56">
        <f>2.40729585875*Deflactores!$I$5</f>
        <v>5.4176590908199316</v>
      </c>
      <c r="M133" s="56">
        <f>2.35587657498*Deflactores!$J$5</f>
        <v>5.1978874172662772</v>
      </c>
      <c r="N133" s="56">
        <f>0*Deflactores!$K$5</f>
        <v>0</v>
      </c>
      <c r="O133" s="56">
        <f>0*Deflactores!$L$5</f>
        <v>0</v>
      </c>
      <c r="P133" s="56">
        <f>0*Deflactores!$M$5</f>
        <v>0</v>
      </c>
      <c r="Q133" s="56">
        <f>0*Deflactores!$N$5</f>
        <v>0</v>
      </c>
      <c r="R133" s="56">
        <f>0*Deflactores!$O$5</f>
        <v>0</v>
      </c>
      <c r="S133" s="56">
        <f>0*Deflactores!$P$5</f>
        <v>0</v>
      </c>
      <c r="T133" s="56">
        <f>0*Deflactores!$Q$5</f>
        <v>0</v>
      </c>
      <c r="U133" s="56">
        <f>0*Deflactores!$R$5</f>
        <v>0</v>
      </c>
      <c r="V133" s="56">
        <f>0*Deflactores!$S$5</f>
        <v>0</v>
      </c>
    </row>
    <row r="134" spans="3:22" x14ac:dyDescent="0.2">
      <c r="C134" s="88" t="s">
        <v>126</v>
      </c>
      <c r="D134" s="57">
        <f>34.78256845738*Deflactores!$A$5</f>
        <v>126.28017142703257</v>
      </c>
      <c r="E134" s="57">
        <f>33.863014091*Deflactores!$B$5</f>
        <v>114.20679225641634</v>
      </c>
      <c r="F134" s="57">
        <f>35.82978882*Deflactores!$C$5</f>
        <v>112.94315431309398</v>
      </c>
      <c r="G134" s="57">
        <f>35.938030937*Deflactores!$D$5</f>
        <v>106.37891627714649</v>
      </c>
      <c r="H134" s="57">
        <f>37.021865181*Deflactores!$E$5</f>
        <v>103.87703365214223</v>
      </c>
      <c r="I134" s="57">
        <f>43.693344752*Deflactores!$F$5</f>
        <v>116.91943448396168</v>
      </c>
      <c r="J134" s="57">
        <f>46.712220501*Deflactores!$G$5</f>
        <v>119.64024430189731</v>
      </c>
      <c r="K134" s="57">
        <f>52.678314629*Deflactores!$H$5</f>
        <v>127.65164666422687</v>
      </c>
      <c r="L134" s="57">
        <f>77.9895869442*Deflactores!$I$5</f>
        <v>175.51685355240576</v>
      </c>
      <c r="M134" s="57">
        <f>84.50183509925*Deflactores!$J$5</f>
        <v>186.44059288294011</v>
      </c>
      <c r="N134" s="57">
        <f>93.12798555105*Deflactores!$K$5</f>
        <v>199.15718002347106</v>
      </c>
      <c r="O134" s="57">
        <f>88.03175220133*Deflactores!$L$5</f>
        <v>181.49497541500125</v>
      </c>
      <c r="P134" s="57">
        <f>121.50110127926*Deflactores!$M$5</f>
        <v>244.53211530090832</v>
      </c>
      <c r="Q134" s="57">
        <f>151.213907731959*Deflactores!$N$5</f>
        <v>298.54018515080304</v>
      </c>
      <c r="R134" s="57">
        <f>163.95893337882*Deflactores!$O$5</f>
        <v>312.2733634141465</v>
      </c>
      <c r="S134" s="57">
        <f>168.73622050411*Deflactores!$P$5</f>
        <v>300.99475721114339</v>
      </c>
      <c r="T134" s="57">
        <f>177.91869879972*Deflactores!$Q$5</f>
        <v>300.11785341923155</v>
      </c>
      <c r="U134" s="57">
        <f>182.69927446507*Deflactores!$R$5</f>
        <v>296.07248712041144</v>
      </c>
      <c r="V134" s="57">
        <f>190.35190609966*Deflactores!$S$5</f>
        <v>298.96678123703884</v>
      </c>
    </row>
    <row r="135" spans="3:22" x14ac:dyDescent="0.2">
      <c r="C135" s="87" t="s">
        <v>127</v>
      </c>
      <c r="D135" s="56">
        <f>0*Deflactores!$A$5</f>
        <v>0</v>
      </c>
      <c r="E135" s="56">
        <f>0*Deflactores!$B$5</f>
        <v>0</v>
      </c>
      <c r="F135" s="56">
        <f>0*Deflactores!$C$5</f>
        <v>0</v>
      </c>
      <c r="G135" s="56">
        <f>0*Deflactores!$D$5</f>
        <v>0</v>
      </c>
      <c r="H135" s="56">
        <f>0*Deflactores!$E$5</f>
        <v>0</v>
      </c>
      <c r="I135" s="56">
        <f>0*Deflactores!$F$5</f>
        <v>0</v>
      </c>
      <c r="J135" s="56">
        <f>0*Deflactores!$G$5</f>
        <v>0</v>
      </c>
      <c r="K135" s="56">
        <f>0*Deflactores!$H$5</f>
        <v>0</v>
      </c>
      <c r="L135" s="56">
        <f>0*Deflactores!$I$5</f>
        <v>0</v>
      </c>
      <c r="M135" s="56">
        <f>0*Deflactores!$J$5</f>
        <v>0</v>
      </c>
      <c r="N135" s="56">
        <f>0*Deflactores!$K$5</f>
        <v>0</v>
      </c>
      <c r="O135" s="56">
        <f>0*Deflactores!$L$5</f>
        <v>0</v>
      </c>
      <c r="P135" s="56">
        <f>0*Deflactores!$M$5</f>
        <v>0</v>
      </c>
      <c r="Q135" s="56">
        <f>0*Deflactores!$N$5</f>
        <v>0</v>
      </c>
      <c r="R135" s="56">
        <f>0*Deflactores!$O$5</f>
        <v>0</v>
      </c>
      <c r="S135" s="56">
        <f>0*Deflactores!$P$5</f>
        <v>0</v>
      </c>
      <c r="T135" s="56">
        <f>0*Deflactores!$Q$5</f>
        <v>0</v>
      </c>
      <c r="U135" s="56">
        <f>0*Deflactores!$R$5</f>
        <v>0</v>
      </c>
      <c r="V135" s="56">
        <f>0*Deflactores!$S$5</f>
        <v>0</v>
      </c>
    </row>
    <row r="136" spans="3:22" x14ac:dyDescent="0.2">
      <c r="C136" s="88" t="s">
        <v>128</v>
      </c>
      <c r="D136" s="57">
        <f>0.548046022*Deflactores!$A$5</f>
        <v>1.9897134880325138</v>
      </c>
      <c r="E136" s="57">
        <f>0.56435017131*Deflactores!$B$5</f>
        <v>1.9033339029263834</v>
      </c>
      <c r="F136" s="57">
        <f>0.454821245*Deflactores!$C$5</f>
        <v>1.4336937992287204</v>
      </c>
      <c r="G136" s="57">
        <f>0.348353344*Deflactores!$D$5</f>
        <v>1.0311486258443701</v>
      </c>
      <c r="H136" s="57">
        <f>0.3700221456*Deflactores!$E$5</f>
        <v>1.0382189736419665</v>
      </c>
      <c r="I136" s="57">
        <f>0.456210892*Deflactores!$F$5</f>
        <v>1.2207790408543204</v>
      </c>
      <c r="J136" s="57">
        <f>0.633191742*Deflactores!$G$5</f>
        <v>1.6217429591299815</v>
      </c>
      <c r="K136" s="57">
        <f>1.476623301*Deflactores!$H$5</f>
        <v>3.5781971614492125</v>
      </c>
      <c r="L136" s="57">
        <f>1.653544256*Deflactores!$I$5</f>
        <v>3.7213286593045285</v>
      </c>
      <c r="M136" s="57">
        <f>1.904305053*Deflactores!$J$5</f>
        <v>4.2015627553448223</v>
      </c>
      <c r="N136" s="57">
        <f>1.84380936*Deflactores!$K$5</f>
        <v>3.9430453742305902</v>
      </c>
      <c r="O136" s="57">
        <f>1.973905398*Deflactores!$L$5</f>
        <v>4.0695987836549694</v>
      </c>
      <c r="P136" s="57">
        <f>2.16432807751*Deflactores!$M$5</f>
        <v>4.3559088553628618</v>
      </c>
      <c r="Q136" s="57">
        <f>2.61248560814*Deflactores!$N$5</f>
        <v>5.1578055805582856</v>
      </c>
      <c r="R136" s="57">
        <f>2.9797408368*Deflactores!$O$5</f>
        <v>5.6751631279532297</v>
      </c>
      <c r="S136" s="57">
        <f>2.47292278584*Deflactores!$P$5</f>
        <v>4.4112449081890199</v>
      </c>
      <c r="T136" s="57">
        <f>3.16605114786*Deflactores!$Q$5</f>
        <v>5.340576795589361</v>
      </c>
      <c r="U136" s="57">
        <f>3.85653374331*Deflactores!$R$5</f>
        <v>6.249688404011061</v>
      </c>
      <c r="V136" s="57">
        <f>3.04639749769999*Deflactores!$S$5</f>
        <v>4.7846731504705549</v>
      </c>
    </row>
    <row r="137" spans="3:22" x14ac:dyDescent="0.2">
      <c r="C137" s="87" t="s">
        <v>129</v>
      </c>
      <c r="D137" s="56">
        <f>549.44089330236*Deflactores!$A$5</f>
        <v>1994.7776507724366</v>
      </c>
      <c r="E137" s="56">
        <f>628.47252468291*Deflactores!$B$5</f>
        <v>2119.5936921752914</v>
      </c>
      <c r="F137" s="56">
        <f>683.69258506765*Deflactores!$C$5</f>
        <v>2155.1451928991232</v>
      </c>
      <c r="G137" s="56">
        <f>805.06685792243*Deflactores!$D$5</f>
        <v>2383.0504243977011</v>
      </c>
      <c r="H137" s="56">
        <f>833.2368543326*Deflactores!$E$5</f>
        <v>2337.9203704229658</v>
      </c>
      <c r="I137" s="56">
        <f>960.39803717015*Deflactores!$F$5</f>
        <v>2569.9381913375005</v>
      </c>
      <c r="J137" s="56">
        <f>811.938553248719*Deflactores!$G$5</f>
        <v>2079.5527557232322</v>
      </c>
      <c r="K137" s="56">
        <f>1045.50041570477*Deflactores!$H$5</f>
        <v>2533.4874623983596</v>
      </c>
      <c r="L137" s="56">
        <f>1077.31250016008*Deflactores!$I$5</f>
        <v>2424.5095753111309</v>
      </c>
      <c r="M137" s="56">
        <f>1291.28479881298*Deflactores!$J$5</f>
        <v>2849.025742324462</v>
      </c>
      <c r="N137" s="56">
        <f>1526.55347206616*Deflactores!$K$5</f>
        <v>3264.5834960649722</v>
      </c>
      <c r="O137" s="56">
        <f>1569.82954681771*Deflactores!$L$5</f>
        <v>3236.5160056545856</v>
      </c>
      <c r="P137" s="56">
        <f>1623.59101085546*Deflactores!$M$5</f>
        <v>3267.6258905300651</v>
      </c>
      <c r="Q137" s="56">
        <f>1714.53009180139*Deflactores!$N$5</f>
        <v>3384.9805135670708</v>
      </c>
      <c r="R137" s="56">
        <f>1735.79029411972*Deflactores!$O$5</f>
        <v>3305.9563279423951</v>
      </c>
      <c r="S137" s="56">
        <f>1829.70342732472*Deflactores!$P$5</f>
        <v>3263.8584485930601</v>
      </c>
      <c r="T137" s="56">
        <f>1985.9772176538*Deflactores!$Q$5</f>
        <v>3349.9976310679631</v>
      </c>
      <c r="U137" s="56">
        <f>2032.23225224483*Deflactores!$R$5</f>
        <v>3293.3248316948188</v>
      </c>
      <c r="V137" s="56">
        <f>1847.80597133876*Deflactores!$S$5</f>
        <v>2902.1648110657711</v>
      </c>
    </row>
    <row r="138" spans="3:22" x14ac:dyDescent="0.2">
      <c r="C138" s="88" t="s">
        <v>130</v>
      </c>
      <c r="D138" s="57">
        <f>1.086122563*Deflactores!$A$5</f>
        <v>3.943232185813665</v>
      </c>
      <c r="E138" s="57">
        <f>0.94531819185*Deflactores!$B$5</f>
        <v>3.1881910471022663</v>
      </c>
      <c r="F138" s="57">
        <f>2.30047678542*Deflactores!$C$5</f>
        <v>7.2515946402773546</v>
      </c>
      <c r="G138" s="57">
        <f>1.09919273606*Deflactores!$D$5</f>
        <v>3.253682213328724</v>
      </c>
      <c r="H138" s="57">
        <f>1.50317809371*Deflactores!$E$5</f>
        <v>4.217661121666346</v>
      </c>
      <c r="I138" s="57">
        <f>1.82544255088*Deflactores!$F$5</f>
        <v>4.8847189873711967</v>
      </c>
      <c r="J138" s="57">
        <f>3.06298045*Deflactores!$G$5</f>
        <v>7.8449648807016228</v>
      </c>
      <c r="K138" s="57">
        <f>3.1610623455*Deflactores!$H$5</f>
        <v>7.6599795656563936</v>
      </c>
      <c r="L138" s="57">
        <f>3.61707288817*Deflactores!$I$5</f>
        <v>8.1402822771139807</v>
      </c>
      <c r="M138" s="57">
        <f>3.6520750171*Deflactores!$J$5</f>
        <v>8.0577543746992646</v>
      </c>
      <c r="N138" s="57">
        <f>3.07543908342*Deflactores!$K$5</f>
        <v>6.5769249873030242</v>
      </c>
      <c r="O138" s="57">
        <f>2.21670079597*Deflactores!$L$5</f>
        <v>4.5701698126702803</v>
      </c>
      <c r="P138" s="57">
        <f>0*Deflactores!$M$5</f>
        <v>0</v>
      </c>
      <c r="Q138" s="57">
        <f>0*Deflactores!$N$5</f>
        <v>0</v>
      </c>
      <c r="R138" s="57">
        <f>0*Deflactores!$O$5</f>
        <v>0</v>
      </c>
      <c r="S138" s="57">
        <f>0*Deflactores!$P$5</f>
        <v>0</v>
      </c>
      <c r="T138" s="57">
        <f>0*Deflactores!$Q$5</f>
        <v>0</v>
      </c>
      <c r="U138" s="57">
        <f>0*Deflactores!$R$5</f>
        <v>0</v>
      </c>
      <c r="V138" s="57">
        <f>0*Deflactores!$S$5</f>
        <v>0</v>
      </c>
    </row>
    <row r="139" spans="3:22" x14ac:dyDescent="0.2">
      <c r="C139" s="87" t="s">
        <v>131</v>
      </c>
      <c r="D139" s="56">
        <f>50.93921756575*Deflactores!$A$5</f>
        <v>184.93784133405413</v>
      </c>
      <c r="E139" s="56">
        <f>52.92865061608*Deflactores!$B$5</f>
        <v>178.50777810501108</v>
      </c>
      <c r="F139" s="56">
        <f>60.51754341359*Deflactores!$C$5</f>
        <v>190.76423471955201</v>
      </c>
      <c r="G139" s="56">
        <f>61.47385354166*Deflactores!$D$5</f>
        <v>181.96661721967214</v>
      </c>
      <c r="H139" s="56">
        <f>72.64292566264*Deflactores!$E$5</f>
        <v>203.82364845088276</v>
      </c>
      <c r="I139" s="56">
        <f>46.1072116235499*Deflactores!$F$5</f>
        <v>123.37872367647115</v>
      </c>
      <c r="J139" s="56">
        <f>66.95660012156*Deflactores!$G$5</f>
        <v>171.49054166663723</v>
      </c>
      <c r="K139" s="56">
        <f>42.3024342707*Deflactores!$H$5</f>
        <v>102.50850716448949</v>
      </c>
      <c r="L139" s="56">
        <f>27.64685814579*Deflactores!$I$5</f>
        <v>62.219710893335275</v>
      </c>
      <c r="M139" s="56">
        <f>30.17318342239*Deflactores!$J$5</f>
        <v>66.572592178959923</v>
      </c>
      <c r="N139" s="56">
        <f>7.37278000978*Deflactores!$K$5</f>
        <v>15.766926203684523</v>
      </c>
      <c r="O139" s="56">
        <f>5.95808503909*Deflactores!$L$5</f>
        <v>12.283777962490548</v>
      </c>
      <c r="P139" s="56">
        <f>9.31478348293*Deflactores!$M$5</f>
        <v>18.746856486638652</v>
      </c>
      <c r="Q139" s="56">
        <f>9.30215857733*Deflactores!$N$5</f>
        <v>18.365163533111286</v>
      </c>
      <c r="R139" s="56">
        <f>11.61456271141*Deflactores!$O$5</f>
        <v>22.120896298445</v>
      </c>
      <c r="S139" s="56">
        <f>10.4426586876399*Deflactores!$P$5</f>
        <v>18.627805618346468</v>
      </c>
      <c r="T139" s="56">
        <f>12.05952430535*Deflactores!$Q$5</f>
        <v>20.342316868295278</v>
      </c>
      <c r="U139" s="56">
        <f>11.71691488562*Deflactores!$R$5</f>
        <v>18.98779369387659</v>
      </c>
      <c r="V139" s="56">
        <f>11.8743464992399*Deflactores!$S$5</f>
        <v>18.649853447290457</v>
      </c>
    </row>
    <row r="140" spans="3:22" x14ac:dyDescent="0.2">
      <c r="C140" s="88" t="s">
        <v>132</v>
      </c>
      <c r="D140" s="57">
        <f>19.6415490109699*Deflactores!$A$5</f>
        <v>71.309805060456213</v>
      </c>
      <c r="E140" s="57">
        <f>21.56018409126*Deflactores!$B$5</f>
        <v>72.714125768711483</v>
      </c>
      <c r="F140" s="57">
        <f>23.5931752716799*Deflactores!$C$5</f>
        <v>74.370732376680976</v>
      </c>
      <c r="G140" s="57">
        <f>24.07535957402*Deflactores!$D$5</f>
        <v>71.264635086895623</v>
      </c>
      <c r="H140" s="57">
        <f>23.77465908421*Deflactores!$E$5</f>
        <v>66.707634790538222</v>
      </c>
      <c r="I140" s="57">
        <f>23.92921742028*Deflactores!$F$5</f>
        <v>64.032419223177854</v>
      </c>
      <c r="J140" s="57">
        <f>30.75024060682*Deflactores!$G$5</f>
        <v>78.7581120975251</v>
      </c>
      <c r="K140" s="57">
        <f>33.59838010153*Deflactores!$H$5</f>
        <v>81.416586225593051</v>
      </c>
      <c r="L140" s="57">
        <f>33.87985430917*Deflactores!$I$5</f>
        <v>76.247171707859238</v>
      </c>
      <c r="M140" s="57">
        <f>31.19692915285*Deflactores!$J$5</f>
        <v>68.831333195935002</v>
      </c>
      <c r="N140" s="57">
        <f>37.06830293718*Deflactores!$K$5</f>
        <v>79.271753142106732</v>
      </c>
      <c r="O140" s="57">
        <f>34.49242288753*Deflactores!$L$5</f>
        <v>71.112993748652244</v>
      </c>
      <c r="P140" s="57">
        <f>35.0820067259799*Deflactores!$M$5</f>
        <v>70.605757671176946</v>
      </c>
      <c r="Q140" s="57">
        <f>37.4991955384799*Deflactores!$N$5</f>
        <v>74.034306413853059</v>
      </c>
      <c r="R140" s="57">
        <f>41.6387507901499*Deflactores!$O$5</f>
        <v>79.304448313050727</v>
      </c>
      <c r="S140" s="57">
        <f>41.96898184225*Deflactores!$P$5</f>
        <v>74.86503764435821</v>
      </c>
      <c r="T140" s="57">
        <f>45.2600572990799*Deflactores!$Q$5</f>
        <v>76.345832865615904</v>
      </c>
      <c r="U140" s="57">
        <f>46.8351143898*Deflactores!$R$5</f>
        <v>75.898433874778135</v>
      </c>
      <c r="V140" s="57">
        <f>51.45172034783*Deflactores!$S$5</f>
        <v>80.810092930960508</v>
      </c>
    </row>
    <row r="141" spans="3:22" x14ac:dyDescent="0.2">
      <c r="C141" s="87" t="s">
        <v>133</v>
      </c>
      <c r="D141" s="56">
        <f>0.11853800175*Deflactores!$A$5</f>
        <v>0.43035922433243523</v>
      </c>
      <c r="E141" s="56">
        <f>0.119989148*Deflactores!$B$5</f>
        <v>0.40467678576498856</v>
      </c>
      <c r="F141" s="56">
        <f>0.242199602199999*Deflactores!$C$5</f>
        <v>0.7634649253242366</v>
      </c>
      <c r="G141" s="56">
        <f>0.04953657048*Deflactores!$D$5</f>
        <v>0.14663148053344016</v>
      </c>
      <c r="H141" s="56">
        <f>0.24597413263*Deflactores!$E$5</f>
        <v>0.69016142562898408</v>
      </c>
      <c r="I141" s="56">
        <f>0.1816645484*Deflactores!$F$5</f>
        <v>0.48611788329022459</v>
      </c>
      <c r="J141" s="56">
        <f>0.1834553816*Deflactores!$G$5</f>
        <v>0.46986947821613251</v>
      </c>
      <c r="K141" s="56">
        <f>0.54330925028*Deflactores!$H$5</f>
        <v>1.3165630095532372</v>
      </c>
      <c r="L141" s="56">
        <f>0.105111591*Deflactores!$I$5</f>
        <v>0.23655537164733492</v>
      </c>
      <c r="M141" s="56">
        <f>0.15829475675*Deflactores!$J$5</f>
        <v>0.3492535785059267</v>
      </c>
      <c r="N141" s="56">
        <f>0.30036242628*Deflactores!$K$5</f>
        <v>0.64233466931528682</v>
      </c>
      <c r="O141" s="56">
        <f>0.554878806*Deflactores!$L$5</f>
        <v>1.1439930790307924</v>
      </c>
      <c r="P141" s="56">
        <f>0.78852863678*Deflactores!$M$5</f>
        <v>1.5869862371368406</v>
      </c>
      <c r="Q141" s="56">
        <f>0.17378052012*Deflactores!$N$5</f>
        <v>0.34309323415006709</v>
      </c>
      <c r="R141" s="56">
        <f>0.204217786*Deflactores!$O$5</f>
        <v>0.38894968141728808</v>
      </c>
      <c r="S141" s="56">
        <f>1.24114537564*Deflactores!$P$5</f>
        <v>2.2139778281652083</v>
      </c>
      <c r="T141" s="56">
        <f>1.00797869602*Deflactores!$Q$5</f>
        <v>1.7002844815224927</v>
      </c>
      <c r="U141" s="56">
        <f>1.15886890333*Deflactores!$R$5</f>
        <v>1.8779997865892744</v>
      </c>
      <c r="V141" s="56">
        <f>4.29314120341*Deflactores!$S$5</f>
        <v>6.7428093223695225</v>
      </c>
    </row>
    <row r="142" spans="3:22" x14ac:dyDescent="0.2">
      <c r="C142" s="88" t="s">
        <v>134</v>
      </c>
      <c r="D142" s="57">
        <f>86.2606444680999*Deflactores!$A$5</f>
        <v>313.17437020746343</v>
      </c>
      <c r="E142" s="57">
        <f>96.34249405995*Deflactores!$B$5</f>
        <v>324.92580769690159</v>
      </c>
      <c r="F142" s="57">
        <f>102.66718447449*Deflactores!$C$5</f>
        <v>323.62891439987038</v>
      </c>
      <c r="G142" s="57">
        <f>91.96977400453*Deflactores!$D$5</f>
        <v>272.23653143398093</v>
      </c>
      <c r="H142" s="57">
        <f>102.569899620489*Deflactores!$E$5</f>
        <v>287.79362850801112</v>
      </c>
      <c r="I142" s="57">
        <f>96.0105563433799*Deflactores!$F$5</f>
        <v>256.91555581001126</v>
      </c>
      <c r="J142" s="57">
        <f>108.33358076991*Deflactores!$G$5</f>
        <v>277.46606627560965</v>
      </c>
      <c r="K142" s="57">
        <f>125.92866533774*Deflactores!$H$5</f>
        <v>305.15405828381216</v>
      </c>
      <c r="L142" s="57">
        <f>131.72339922581*Deflactores!$I$5</f>
        <v>296.44568560009481</v>
      </c>
      <c r="M142" s="57">
        <f>140.526915085829*Deflactores!$J$5</f>
        <v>310.05150756595907</v>
      </c>
      <c r="N142" s="57">
        <f>147.46797014061*Deflactores!$K$5</f>
        <v>315.3649775973081</v>
      </c>
      <c r="O142" s="57">
        <f>157.218552466519*Deflactores!$L$5</f>
        <v>324.13733228249708</v>
      </c>
      <c r="P142" s="57">
        <f>150.51532185305*Deflactores!$M$5</f>
        <v>302.9258965589807</v>
      </c>
      <c r="Q142" s="57">
        <f>154.89390792146*Deflactores!$N$5</f>
        <v>305.80557465370532</v>
      </c>
      <c r="R142" s="57">
        <f>141.55918205986*Deflactores!$O$5</f>
        <v>269.61118246514741</v>
      </c>
      <c r="S142" s="57">
        <f>143.50531526554*Deflactores!$P$5</f>
        <v>255.9874068401792</v>
      </c>
      <c r="T142" s="57">
        <f>145.33957904277*Deflactores!$Q$5</f>
        <v>245.16255330909325</v>
      </c>
      <c r="U142" s="57">
        <f>154.2196955167*Deflactores!$R$5</f>
        <v>249.92003360862631</v>
      </c>
      <c r="V142" s="57">
        <f>172.10899203511*Deflactores!$S$5</f>
        <v>270.31445297820375</v>
      </c>
    </row>
    <row r="143" spans="3:22" x14ac:dyDescent="0.2">
      <c r="C143" s="87" t="s">
        <v>135</v>
      </c>
      <c r="D143" s="56"/>
      <c r="E143" s="56"/>
      <c r="F143" s="56"/>
      <c r="G143" s="56"/>
      <c r="H143" s="56"/>
      <c r="I143" s="56"/>
      <c r="J143" s="56"/>
      <c r="K143" s="56"/>
      <c r="L143" s="56"/>
      <c r="M143" s="56"/>
      <c r="N143" s="56"/>
      <c r="O143" s="56"/>
      <c r="P143" s="56"/>
      <c r="Q143" s="56"/>
      <c r="R143" s="56">
        <f>0*Deflactores!$O$5</f>
        <v>0</v>
      </c>
      <c r="S143" s="56"/>
      <c r="T143" s="56"/>
      <c r="U143" s="56"/>
      <c r="V143" s="56"/>
    </row>
    <row r="144" spans="3:22" x14ac:dyDescent="0.2">
      <c r="C144" s="88" t="s">
        <v>136</v>
      </c>
      <c r="D144" s="57">
        <f>117.74627788809*Deflactores!$A$5</f>
        <v>427.48482403829445</v>
      </c>
      <c r="E144" s="57">
        <f>126.68671888513*Deflactores!$B$5</f>
        <v>427.26509065259035</v>
      </c>
      <c r="F144" s="57">
        <f>132.464164451749*Deflactores!$C$5</f>
        <v>417.55536550295943</v>
      </c>
      <c r="G144" s="57">
        <f>129.62224547488*Deflactores!$D$5</f>
        <v>383.69030354502388</v>
      </c>
      <c r="H144" s="57">
        <f>131.87221947001*Deflactores!$E$5</f>
        <v>370.01093577260184</v>
      </c>
      <c r="I144" s="57">
        <f>133.82089467806*Deflactores!$F$5</f>
        <v>358.09259777898751</v>
      </c>
      <c r="J144" s="57">
        <f>140.10611820687*Deflactores!$G$5</f>
        <v>358.84250482379849</v>
      </c>
      <c r="K144" s="57">
        <f>151.77268476194*Deflactores!$H$5</f>
        <v>367.7800488675208</v>
      </c>
      <c r="L144" s="57">
        <f>190.52418564332*Deflactores!$I$5</f>
        <v>428.77782663057013</v>
      </c>
      <c r="M144" s="57">
        <f>222.33527634359*Deflactores!$J$5</f>
        <v>490.54935542647354</v>
      </c>
      <c r="N144" s="57">
        <f>242.70484489649*Deflactores!$K$5</f>
        <v>519.03208473378049</v>
      </c>
      <c r="O144" s="57">
        <f>241.67272588769*Deflactores!$L$5</f>
        <v>498.25641710673517</v>
      </c>
      <c r="P144" s="57">
        <f>256.893890142239*Deflactores!$M$5</f>
        <v>517.0225265693449</v>
      </c>
      <c r="Q144" s="57">
        <f>288.45957145233*Deflactores!$N$5</f>
        <v>569.50299851089119</v>
      </c>
      <c r="R144" s="57">
        <f>309.24451232807*Deflactores!$O$5</f>
        <v>588.981777277947</v>
      </c>
      <c r="S144" s="57">
        <f>318.565119857*Deflactores!$P$5</f>
        <v>568.26228903806077</v>
      </c>
      <c r="T144" s="57">
        <f>353.752269937759*Deflactores!$Q$5</f>
        <v>596.71845967922445</v>
      </c>
      <c r="U144" s="57">
        <f>392.8975795678*Deflactores!$R$5</f>
        <v>636.70840459997839</v>
      </c>
      <c r="V144" s="57">
        <f>551.254785161279*Deflactores!$S$5</f>
        <v>865.80099006151909</v>
      </c>
    </row>
    <row r="145" spans="3:22" x14ac:dyDescent="0.2">
      <c r="C145" s="87" t="s">
        <v>137</v>
      </c>
      <c r="D145" s="56">
        <f>4.5078332671*Deflactores!$A$5</f>
        <v>16.365955217809326</v>
      </c>
      <c r="E145" s="56">
        <f>4.47122043335*Deflactores!$B$5</f>
        <v>15.079689651724314</v>
      </c>
      <c r="F145" s="56">
        <f>4.74438806344*Deflactores!$C$5</f>
        <v>14.955325465697374</v>
      </c>
      <c r="G145" s="56">
        <f>4.36456790811*Deflactores!$D$5</f>
        <v>12.919405765348596</v>
      </c>
      <c r="H145" s="56">
        <f>4.84394266447999*Deflactores!$E$5</f>
        <v>13.591276201434326</v>
      </c>
      <c r="I145" s="56">
        <f>4.83842261689*Deflactores!$F$5</f>
        <v>12.94718084349206</v>
      </c>
      <c r="J145" s="56">
        <f>5.15602589249*Deflactores!$G$5</f>
        <v>13.205713425488005</v>
      </c>
      <c r="K145" s="56">
        <f>5.56480890334999*Deflactores!$H$5</f>
        <v>13.484809164591558</v>
      </c>
      <c r="L145" s="56">
        <f>5.81771033*Deflactores!$I$5</f>
        <v>13.092853187330116</v>
      </c>
      <c r="M145" s="56">
        <f>6.36064189028999*Deflactores!$J$5</f>
        <v>14.033799902083498</v>
      </c>
      <c r="N145" s="56">
        <f>6.51829769768999*Deflactores!$K$5</f>
        <v>13.939588409907204</v>
      </c>
      <c r="O145" s="56">
        <f>6.77842556307*Deflactores!$L$5</f>
        <v>13.975073199817768</v>
      </c>
      <c r="P145" s="56">
        <f>6.42902805603*Deflactores!$M$5</f>
        <v>12.939008892244974</v>
      </c>
      <c r="Q145" s="56">
        <f>5.0010172017*Deflactores!$N$5</f>
        <v>9.8734608722919912</v>
      </c>
      <c r="R145" s="56">
        <f>6.66539946355*Deflactores!$O$5</f>
        <v>12.694805132530108</v>
      </c>
      <c r="S145" s="56">
        <f>4.34024714596*Deflactores!$P$5</f>
        <v>7.7422122649876925</v>
      </c>
      <c r="T145" s="56">
        <f>3.90054584611*Deflactores!$Q$5</f>
        <v>6.5795414107405543</v>
      </c>
      <c r="U145" s="56">
        <f>3.75367659487*Deflactores!$R$5</f>
        <v>6.0830037149453338</v>
      </c>
      <c r="V145" s="56">
        <f>3.38910064195999*Deflactores!$S$5</f>
        <v>5.3229228484041444</v>
      </c>
    </row>
    <row r="146" spans="3:22" x14ac:dyDescent="0.2">
      <c r="C146" s="88" t="s">
        <v>138</v>
      </c>
      <c r="D146" s="57">
        <f>9.35723963612*Deflactores!$A$5</f>
        <v>33.972011778858267</v>
      </c>
      <c r="E146" s="57">
        <f>10.66577344772*Deflactores!$B$5</f>
        <v>35.971510661288214</v>
      </c>
      <c r="F146" s="57">
        <f>11.81337163959*Deflactores!$C$5</f>
        <v>37.238272956366856</v>
      </c>
      <c r="G146" s="57">
        <f>10.09069647933*Deflactores!$D$5</f>
        <v>29.869119925754902</v>
      </c>
      <c r="H146" s="57">
        <f>23.46113309673*Deflactores!$E$5</f>
        <v>65.82793439205598</v>
      </c>
      <c r="I146" s="57">
        <f>12.4002738851599*Deflactores!$F$5</f>
        <v>33.1820101740499</v>
      </c>
      <c r="J146" s="57">
        <f>18.25726310012*Deflactores!$G$5</f>
        <v>46.760856027720003</v>
      </c>
      <c r="K146" s="57">
        <f>27.66227771337*Deflactores!$H$5</f>
        <v>67.032047730906243</v>
      </c>
      <c r="L146" s="57">
        <f>40.8275358499099*Deflactores!$I$5</f>
        <v>91.883043768411099</v>
      </c>
      <c r="M146" s="57">
        <f>36.7539459267199*Deflactores!$J$5</f>
        <v>81.092055117108316</v>
      </c>
      <c r="N146" s="57">
        <f>36.28214472793*Deflactores!$K$5</f>
        <v>77.590528630698131</v>
      </c>
      <c r="O146" s="57">
        <f>25.02982180841*Deflactores!$L$5</f>
        <v>51.603958573604324</v>
      </c>
      <c r="P146" s="57">
        <f>15.71966475119*Deflactores!$M$5</f>
        <v>31.637267752780232</v>
      </c>
      <c r="Q146" s="57">
        <f>18.67323709319*Deflactores!$N$5</f>
        <v>36.866395047785488</v>
      </c>
      <c r="R146" s="57">
        <f>43.65698847451*Deflactores!$O$5</f>
        <v>83.148349080617692</v>
      </c>
      <c r="S146" s="57">
        <f>0*Deflactores!$P$5</f>
        <v>0</v>
      </c>
      <c r="T146" s="57">
        <f>0*Deflactores!$Q$5</f>
        <v>0</v>
      </c>
      <c r="U146" s="57">
        <f>0*Deflactores!$R$5</f>
        <v>0</v>
      </c>
      <c r="V146" s="57">
        <f>0*Deflactores!$S$5</f>
        <v>0</v>
      </c>
    </row>
    <row r="147" spans="3:22" x14ac:dyDescent="0.2">
      <c r="C147" s="87" t="s">
        <v>139</v>
      </c>
      <c r="D147" s="56">
        <f>102.55123962816*Deflactores!$A$5</f>
        <v>372.31833917518048</v>
      </c>
      <c r="E147" s="56">
        <f>106.30411177096*Deflactores!$B$5</f>
        <v>358.52247459140369</v>
      </c>
      <c r="F147" s="56">
        <f>93.476578061*Deflactores!$C$5</f>
        <v>294.65815814996756</v>
      </c>
      <c r="G147" s="56">
        <f>92.74585122647*Deflactores!$D$5</f>
        <v>274.53377064450086</v>
      </c>
      <c r="H147" s="56">
        <f>100.63998468576*Deflactores!$E$5</f>
        <v>282.37861665918882</v>
      </c>
      <c r="I147" s="56">
        <f>108.69621889717*Deflactores!$F$5</f>
        <v>290.86124022172282</v>
      </c>
      <c r="J147" s="56">
        <f>141.85244263827*Deflactores!$G$5</f>
        <v>363.31522479647873</v>
      </c>
      <c r="K147" s="56">
        <f>141.88206475798*Deflactores!$H$5</f>
        <v>343.8128065795417</v>
      </c>
      <c r="L147" s="56">
        <f>159.04615517641*Deflactores!$I$5</f>
        <v>357.93599915004017</v>
      </c>
      <c r="M147" s="56">
        <f>324.29228340972*Deflactores!$J$5</f>
        <v>715.50216057742477</v>
      </c>
      <c r="N147" s="56">
        <f>418.53571975256*Deflactores!$K$5</f>
        <v>895.05204253904117</v>
      </c>
      <c r="O147" s="56">
        <f>523.9446689753*Deflactores!$L$5</f>
        <v>1080.2161996845539</v>
      </c>
      <c r="P147" s="56">
        <f>471.96886133333*Deflactores!$M$5</f>
        <v>949.88064143333645</v>
      </c>
      <c r="Q147" s="56">
        <f>621.56921692252*Deflactores!$N$5</f>
        <v>1227.1582150566301</v>
      </c>
      <c r="R147" s="56">
        <f>511.59819548789*Deflactores!$O$5</f>
        <v>974.38112049982885</v>
      </c>
      <c r="S147" s="56">
        <f>446.14124979185*Deflactores!$P$5</f>
        <v>795.83492365649533</v>
      </c>
      <c r="T147" s="56">
        <f>446.547472256379*Deflactores!$Q$5</f>
        <v>753.24780209992878</v>
      </c>
      <c r="U147" s="56">
        <f>413.99995671323*Deflactores!$R$5</f>
        <v>670.90576692609375</v>
      </c>
      <c r="V147" s="56">
        <f>412.781097241419*Deflactores!$S$5</f>
        <v>648.31415942401543</v>
      </c>
    </row>
    <row r="148" spans="3:22" x14ac:dyDescent="0.2">
      <c r="C148" s="88" t="s">
        <v>140</v>
      </c>
      <c r="D148" s="57">
        <f>12.60497172547*Deflactores!$A$5</f>
        <v>45.763095162902452</v>
      </c>
      <c r="E148" s="57">
        <f>4.06406607692*Deflactores!$B$5</f>
        <v>13.706516168816467</v>
      </c>
      <c r="F148" s="57">
        <f>6.30790246083*Deflactores!$C$5</f>
        <v>19.88385710573295</v>
      </c>
      <c r="G148" s="57">
        <f>6.17293251281*Deflactores!$D$5</f>
        <v>18.272282978325784</v>
      </c>
      <c r="H148" s="57">
        <f>2044.14721301285*Deflactores!$E$5</f>
        <v>5735.5281209614368</v>
      </c>
      <c r="I148" s="57">
        <f>2030.74588164562*Deflactores!$F$5</f>
        <v>5434.0921119748309</v>
      </c>
      <c r="J148" s="57">
        <f>66.63353946593*Deflactores!$G$5</f>
        <v>170.66311245540808</v>
      </c>
      <c r="K148" s="57">
        <f>54.46943074883*Deflactores!$H$5</f>
        <v>131.99193210565352</v>
      </c>
      <c r="L148" s="57">
        <f>64.96474105786*Deflactores!$I$5</f>
        <v>146.2042227570787</v>
      </c>
      <c r="M148" s="57">
        <f>60.37656446647*Deflactores!$J$5</f>
        <v>133.21181086946157</v>
      </c>
      <c r="N148" s="57">
        <f>898.20775496612*Deflactores!$K$5</f>
        <v>1920.8460539093926</v>
      </c>
      <c r="O148" s="57">
        <f>660.34152773478*Deflactores!$L$5</f>
        <v>1361.4254668887252</v>
      </c>
      <c r="P148" s="57">
        <f>102.87831623141*Deflactores!$M$5</f>
        <v>207.0520515599369</v>
      </c>
      <c r="Q148" s="57">
        <f>193.299225188439*Deflactores!$N$5</f>
        <v>381.62882860983603</v>
      </c>
      <c r="R148" s="57">
        <f>335.45308861681*Deflactores!$O$5</f>
        <v>638.8981807292414</v>
      </c>
      <c r="S148" s="57">
        <f>614.148972476199*Deflactores!$P$5</f>
        <v>1095.5301731286795</v>
      </c>
      <c r="T148" s="57">
        <f>406.40124746328*Deflactores!$Q$5</f>
        <v>685.52811389923147</v>
      </c>
      <c r="U148" s="57">
        <f>511.162602779489*Deflactores!$R$5</f>
        <v>828.36225579429401</v>
      </c>
      <c r="V148" s="57">
        <f>413.49769092247*Deflactores!$S$5</f>
        <v>649.43964175129213</v>
      </c>
    </row>
    <row r="149" spans="3:22" x14ac:dyDescent="0.2">
      <c r="C149" s="87" t="s">
        <v>141</v>
      </c>
      <c r="D149" s="56">
        <f>3.68286305779999*Deflactores!$A$5</f>
        <v>13.370852093661046</v>
      </c>
      <c r="E149" s="56">
        <f>4.65984997451*Deflactores!$B$5</f>
        <v>15.715863819882866</v>
      </c>
      <c r="F149" s="56">
        <f>8.73294708119*Deflactores!$C$5</f>
        <v>27.528116192757565</v>
      </c>
      <c r="G149" s="56">
        <f>7.00293782235*Deflactores!$D$5</f>
        <v>20.729152846569971</v>
      </c>
      <c r="H149" s="56">
        <f>11.5302862065499*Deflactores!$E$5</f>
        <v>32.352014746985347</v>
      </c>
      <c r="I149" s="56">
        <f>7.84926038442999*Deflactores!$F$5</f>
        <v>21.003910102874656</v>
      </c>
      <c r="J149" s="56">
        <f>19.31458441802*Deflactores!$G$5</f>
        <v>49.468887875113175</v>
      </c>
      <c r="K149" s="56">
        <f>17.38573732418*Deflactores!$H$5</f>
        <v>42.129631776061551</v>
      </c>
      <c r="L149" s="56">
        <f>21.63227983905*Deflactores!$I$5</f>
        <v>48.683803072732701</v>
      </c>
      <c r="M149" s="56">
        <f>23.8207994123799*Deflactores!$J$5</f>
        <v>52.557012048003642</v>
      </c>
      <c r="N149" s="56">
        <f>22.64513221534*Deflactores!$K$5</f>
        <v>48.427340574155942</v>
      </c>
      <c r="O149" s="56">
        <f>18.67731597018*Deflactores!$L$5</f>
        <v>38.507003644246616</v>
      </c>
      <c r="P149" s="56">
        <f>15.22244569346*Deflactores!$M$5</f>
        <v>30.636568774133231</v>
      </c>
      <c r="Q149" s="56">
        <f>17.64322537876*Deflactores!$N$5</f>
        <v>34.832852680250745</v>
      </c>
      <c r="R149" s="56">
        <f>19.1866576131199*Deflactores!$O$5</f>
        <v>36.54257796177248</v>
      </c>
      <c r="S149" s="56">
        <f>25.75848466228*Deflactores!$P$5</f>
        <v>45.948456199189792</v>
      </c>
      <c r="T149" s="56">
        <f>30.56911467293*Deflactores!$Q$5</f>
        <v>51.564771653897253</v>
      </c>
      <c r="U149" s="56">
        <f>18.02254502016*Deflactores!$R$5</f>
        <v>29.206354234201047</v>
      </c>
      <c r="V149" s="56">
        <f>17.11967456132*Deflactores!$S$5</f>
        <v>26.888167837645824</v>
      </c>
    </row>
    <row r="150" spans="3:22" x14ac:dyDescent="0.2">
      <c r="C150" s="88" t="s">
        <v>142</v>
      </c>
      <c r="D150" s="57">
        <f>17.22165053223*Deflactores!$A$5</f>
        <v>62.524220548325331</v>
      </c>
      <c r="E150" s="57">
        <f>18.94254193214*Deflactores!$B$5</f>
        <v>63.885835603374154</v>
      </c>
      <c r="F150" s="57">
        <f>18.99309764326*Deflactores!$C$5</f>
        <v>59.870304253899761</v>
      </c>
      <c r="G150" s="57">
        <f>16.74985254325*Deflactores!$D$5</f>
        <v>49.580656338031496</v>
      </c>
      <c r="H150" s="57">
        <f>24.92397690263*Deflactores!$E$5</f>
        <v>69.932424387640737</v>
      </c>
      <c r="I150" s="57">
        <f>20.24847018144*Deflactores!$F$5</f>
        <v>54.183072873379857</v>
      </c>
      <c r="J150" s="57">
        <f>28.14798078324*Deflactores!$G$5</f>
        <v>72.0931538127127</v>
      </c>
      <c r="K150" s="57">
        <f>31.95433530678*Deflactores!$H$5</f>
        <v>77.432688359504994</v>
      </c>
      <c r="L150" s="57">
        <f>32.62324038455*Deflactores!$I$5</f>
        <v>73.41914131532431</v>
      </c>
      <c r="M150" s="57">
        <f>30.19427197852*Deflactores!$J$5</f>
        <v>66.619120907043794</v>
      </c>
      <c r="N150" s="57">
        <f>49.96133893636*Deflactores!$K$5</f>
        <v>106.84392359488888</v>
      </c>
      <c r="O150" s="57">
        <f>42.20770327055*Deflactores!$L$5</f>
        <v>87.019579593195957</v>
      </c>
      <c r="P150" s="57">
        <f>47.9008944943399*Deflactores!$M$5</f>
        <v>96.404945569872027</v>
      </c>
      <c r="Q150" s="57">
        <f>45.4857780928399*Deflactores!$N$5</f>
        <v>89.802140671051362</v>
      </c>
      <c r="R150" s="57">
        <f>91.76871503878*Deflactores!$O$5</f>
        <v>174.78111567817788</v>
      </c>
      <c r="S150" s="57">
        <f>97.18413576413*Deflactores!$P$5</f>
        <v>173.35883938674922</v>
      </c>
      <c r="T150" s="57">
        <f>94.22100748016*Deflactores!$Q$5</f>
        <v>158.93442736884199</v>
      </c>
      <c r="U150" s="57">
        <f>97.94357677056*Deflactores!$R$5</f>
        <v>158.7220226070072</v>
      </c>
      <c r="V150" s="57">
        <f>88.34259957086*Deflactores!$S$5</f>
        <v>138.75092286170599</v>
      </c>
    </row>
    <row r="151" spans="3:22" x14ac:dyDescent="0.2">
      <c r="C151" s="87" t="s">
        <v>143</v>
      </c>
      <c r="D151" s="56">
        <f>0*Deflactores!$A$5</f>
        <v>0</v>
      </c>
      <c r="E151" s="56">
        <f>0*Deflactores!$B$5</f>
        <v>0</v>
      </c>
      <c r="F151" s="56">
        <f>0*Deflactores!$C$5</f>
        <v>0</v>
      </c>
      <c r="G151" s="56">
        <f>0*Deflactores!$D$5</f>
        <v>0</v>
      </c>
      <c r="H151" s="56">
        <f>0*Deflactores!$E$5</f>
        <v>0</v>
      </c>
      <c r="I151" s="56">
        <f>0*Deflactores!$F$5</f>
        <v>0</v>
      </c>
      <c r="J151" s="56">
        <f>0*Deflactores!$G$5</f>
        <v>0</v>
      </c>
      <c r="K151" s="56">
        <f>0*Deflactores!$H$5</f>
        <v>0</v>
      </c>
      <c r="L151" s="56">
        <f>0*Deflactores!$I$5</f>
        <v>0</v>
      </c>
      <c r="M151" s="56">
        <f>0*Deflactores!$J$5</f>
        <v>0</v>
      </c>
      <c r="N151" s="56">
        <f>0*Deflactores!$K$5</f>
        <v>0</v>
      </c>
      <c r="O151" s="56">
        <f>0*Deflactores!$L$5</f>
        <v>0</v>
      </c>
      <c r="P151" s="56">
        <f>0*Deflactores!$M$5</f>
        <v>0</v>
      </c>
      <c r="Q151" s="56">
        <f>0*Deflactores!$N$5</f>
        <v>0</v>
      </c>
      <c r="R151" s="56">
        <f>0*Deflactores!$O$5</f>
        <v>0</v>
      </c>
      <c r="S151" s="56">
        <f>0*Deflactores!$P$5</f>
        <v>0</v>
      </c>
      <c r="T151" s="56">
        <f>0*Deflactores!$Q$5</f>
        <v>0</v>
      </c>
      <c r="U151" s="56">
        <f>0*Deflactores!$R$5</f>
        <v>0</v>
      </c>
      <c r="V151" s="56">
        <f>0*Deflactores!$S$5</f>
        <v>0</v>
      </c>
    </row>
    <row r="152" spans="3:22" x14ac:dyDescent="0.2">
      <c r="C152" s="88" t="s">
        <v>144</v>
      </c>
      <c r="D152" s="57">
        <f>0*Deflactores!$A$5</f>
        <v>0</v>
      </c>
      <c r="E152" s="57">
        <f>0*Deflactores!$B$5</f>
        <v>0</v>
      </c>
      <c r="F152" s="57">
        <f>0*Deflactores!$C$5</f>
        <v>0</v>
      </c>
      <c r="G152" s="57">
        <f>0*Deflactores!$D$5</f>
        <v>0</v>
      </c>
      <c r="H152" s="57">
        <f>0*Deflactores!$E$5</f>
        <v>0</v>
      </c>
      <c r="I152" s="57">
        <f>0*Deflactores!$F$5</f>
        <v>0</v>
      </c>
      <c r="J152" s="57">
        <f>0*Deflactores!$G$5</f>
        <v>0</v>
      </c>
      <c r="K152" s="57">
        <f>0*Deflactores!$H$5</f>
        <v>0</v>
      </c>
      <c r="L152" s="57">
        <f>0*Deflactores!$I$5</f>
        <v>0</v>
      </c>
      <c r="M152" s="57">
        <f>0*Deflactores!$J$5</f>
        <v>0</v>
      </c>
      <c r="N152" s="57">
        <f>0*Deflactores!$K$5</f>
        <v>0</v>
      </c>
      <c r="O152" s="57">
        <f>0*Deflactores!$L$5</f>
        <v>0</v>
      </c>
      <c r="P152" s="57">
        <f>0*Deflactores!$M$5</f>
        <v>0</v>
      </c>
      <c r="Q152" s="57">
        <f>0*Deflactores!$N$5</f>
        <v>0</v>
      </c>
      <c r="R152" s="57">
        <f>0*Deflactores!$O$5</f>
        <v>0</v>
      </c>
      <c r="S152" s="57">
        <f>0*Deflactores!$P$5</f>
        <v>0</v>
      </c>
      <c r="T152" s="57">
        <f>0*Deflactores!$Q$5</f>
        <v>0</v>
      </c>
      <c r="U152" s="57">
        <f>0*Deflactores!$R$5</f>
        <v>0</v>
      </c>
      <c r="V152" s="57">
        <f>0*Deflactores!$S$5</f>
        <v>0</v>
      </c>
    </row>
    <row r="153" spans="3:22" x14ac:dyDescent="0.2">
      <c r="C153" s="87" t="s">
        <v>145</v>
      </c>
      <c r="D153" s="56">
        <f>13.00652892102*Deflactores!$A$5</f>
        <v>47.220972304837701</v>
      </c>
      <c r="E153" s="56">
        <f>9.27698911604*Deflactores!$B$5</f>
        <v>31.287680591380223</v>
      </c>
      <c r="F153" s="56">
        <f>25.427017716*Deflactores!$C$5</f>
        <v>80.151395813333266</v>
      </c>
      <c r="G153" s="56">
        <f>10.968440966*Deflactores!$D$5</f>
        <v>32.467300872949259</v>
      </c>
      <c r="H153" s="56">
        <f>8.2390841915*Deflactores!$E$5</f>
        <v>23.1174637376863</v>
      </c>
      <c r="I153" s="56">
        <f>9.336895824*Deflactores!$F$5</f>
        <v>24.984687846031154</v>
      </c>
      <c r="J153" s="56">
        <f>10.031553347*Deflactores!$G$5</f>
        <v>25.693008816331105</v>
      </c>
      <c r="K153" s="56">
        <f>13.46616842401*Deflactores!$H$5</f>
        <v>32.631616741898888</v>
      </c>
      <c r="L153" s="56">
        <f>13.075460292*Deflactores!$I$5</f>
        <v>29.426539351250337</v>
      </c>
      <c r="M153" s="56">
        <f>16.38129422342*Deflactores!$J$5</f>
        <v>36.142862502537696</v>
      </c>
      <c r="N153" s="56">
        <f>18.210493336*Deflactores!$K$5</f>
        <v>38.943723287624366</v>
      </c>
      <c r="O153" s="56">
        <f>19.6997337326*Deflactores!$L$5</f>
        <v>40.614921321835162</v>
      </c>
      <c r="P153" s="56">
        <f>19.57989425293*Deflactores!$M$5</f>
        <v>39.406333840813986</v>
      </c>
      <c r="Q153" s="56">
        <f>23.92098267468*Deflactores!$N$5</f>
        <v>47.226969422329077</v>
      </c>
      <c r="R153" s="56">
        <f>31.6759424825*Deflactores!$O$5</f>
        <v>60.329455031701876</v>
      </c>
      <c r="S153" s="56">
        <f>37.67632410975*Deflactores!$P$5</f>
        <v>67.207716245761972</v>
      </c>
      <c r="T153" s="56">
        <f>39.03914198448*Deflactores!$Q$5</f>
        <v>65.85223234405295</v>
      </c>
      <c r="U153" s="56">
        <f>45.24820019225*Deflactores!$R$5</f>
        <v>73.326767212767678</v>
      </c>
      <c r="V153" s="56">
        <f>45.17899147719*Deflactores!$S$5</f>
        <v>70.958142412293043</v>
      </c>
    </row>
    <row r="154" spans="3:22" x14ac:dyDescent="0.2">
      <c r="C154" s="88" t="s">
        <v>146</v>
      </c>
      <c r="D154" s="57">
        <f>49.5838456009899*Deflactores!$A$5</f>
        <v>180.01708327482623</v>
      </c>
      <c r="E154" s="57">
        <f>48.36097547662*Deflactores!$B$5</f>
        <v>163.10278419793443</v>
      </c>
      <c r="F154" s="57">
        <f>48.76536937633*Deflactores!$C$5</f>
        <v>153.71886968899716</v>
      </c>
      <c r="G154" s="57">
        <f>32.39578010862*Deflactores!$D$5</f>
        <v>95.893622718201584</v>
      </c>
      <c r="H154" s="57">
        <f>37.06276060604*Deflactores!$E$5</f>
        <v>103.9917792334988</v>
      </c>
      <c r="I154" s="57">
        <f>37.8432745915799*Deflactores!$F$5</f>
        <v>101.26517641033345</v>
      </c>
      <c r="J154" s="57">
        <f>40.95944962869*Deflactores!$G$5</f>
        <v>104.90613607081305</v>
      </c>
      <c r="K154" s="57">
        <f>46.4481464477399*Deflactores!$H$5</f>
        <v>112.5545192611587</v>
      </c>
      <c r="L154" s="57">
        <f>45.83616691122*Deflactores!$I$5</f>
        <v>103.15505069819486</v>
      </c>
      <c r="M154" s="57">
        <f>68.023351037*Deflactores!$J$5</f>
        <v>150.08329561514103</v>
      </c>
      <c r="N154" s="57">
        <f>96.5582501318499*Deflactores!$K$5</f>
        <v>206.49291070210808</v>
      </c>
      <c r="O154" s="57">
        <f>103.434896049781*Deflactores!$L$5</f>
        <v>213.25162167253316</v>
      </c>
      <c r="P154" s="57">
        <f>170.0919545743*Deflactores!$M$5</f>
        <v>342.32566626800957</v>
      </c>
      <c r="Q154" s="57">
        <f>174.815352800301*Deflactores!$N$5</f>
        <v>345.13629450483808</v>
      </c>
      <c r="R154" s="57">
        <f>165.668589327782*Deflactores!$O$5</f>
        <v>315.5295447179725</v>
      </c>
      <c r="S154" s="57">
        <f>196.203212143144*Deflactores!$P$5</f>
        <v>349.9908794130755</v>
      </c>
      <c r="T154" s="57">
        <f>282.72132708883*Deflactores!$Q$5</f>
        <v>476.90163189227201</v>
      </c>
      <c r="U154" s="57">
        <f>254.26872161178*Deflactores!$R$5</f>
        <v>412.05403264434017</v>
      </c>
      <c r="V154" s="57">
        <f>206.59059805675*Deflactores!$S$5</f>
        <v>324.47127743771892</v>
      </c>
    </row>
    <row r="155" spans="3:22" x14ac:dyDescent="0.2">
      <c r="C155" s="90" t="s">
        <v>147</v>
      </c>
      <c r="D155" s="58">
        <f>113.564679373899*Deflactores!$A$5</f>
        <v>412.30328338070609</v>
      </c>
      <c r="E155" s="58">
        <f>107.63989642728*Deflactores!$B$5</f>
        <v>363.02755734433532</v>
      </c>
      <c r="F155" s="58">
        <f>141.59585363107*Deflactores!$C$5</f>
        <v>446.34040203500734</v>
      </c>
      <c r="G155" s="58">
        <f>125.13348178635*Deflactores!$D$5</f>
        <v>370.40327016673137</v>
      </c>
      <c r="H155" s="58">
        <f>109.646382982789*Deflactores!$E$5</f>
        <v>307.6490327879045</v>
      </c>
      <c r="I155" s="58">
        <f>110.95551011417*Deflactores!$F$5</f>
        <v>296.90689895820879</v>
      </c>
      <c r="J155" s="58">
        <f>120.74079162872*Deflactores!$G$5</f>
        <v>309.24365514491643</v>
      </c>
      <c r="K155" s="58">
        <f>139.62695357622*Deflactores!$H$5</f>
        <v>338.34815461051113</v>
      </c>
      <c r="L155" s="58">
        <f>151.69963781615*Deflactores!$I$5</f>
        <v>341.40254049018688</v>
      </c>
      <c r="M155" s="58">
        <f>200.241019922999*Deflactores!$J$5</f>
        <v>441.80170087524999</v>
      </c>
      <c r="N155" s="58">
        <f>232.143702938469*Deflactores!$K$5</f>
        <v>496.44674437941376</v>
      </c>
      <c r="O155" s="58">
        <f>259.006015962149*Deflactores!$L$5</f>
        <v>533.99244390681838</v>
      </c>
      <c r="P155" s="58">
        <f>375.723908165439*Deflactores!$M$5</f>
        <v>756.17884171805588</v>
      </c>
      <c r="Q155" s="58">
        <f>365.26569431637*Deflactores!$N$5</f>
        <v>721.14059907598551</v>
      </c>
      <c r="R155" s="58">
        <f>384.196076185609*Deflactores!$O$5</f>
        <v>731.73323617446692</v>
      </c>
      <c r="S155" s="58">
        <f>440.061145386899*Deflactores!$P$5</f>
        <v>784.98912218174883</v>
      </c>
      <c r="T155" s="58">
        <f>468.27988305298*Deflactores!$Q$5</f>
        <v>789.90659356986203</v>
      </c>
      <c r="U155" s="58">
        <f>516.67739303392*Deflactores!$R$5</f>
        <v>837.29922432554542</v>
      </c>
      <c r="V155" s="58">
        <f>453.65427874095*Deflactores!$S$5</f>
        <v>712.50959493194443</v>
      </c>
    </row>
    <row r="156" spans="3:22" ht="22.5" customHeight="1" x14ac:dyDescent="0.2">
      <c r="C156" s="89" t="s">
        <v>148</v>
      </c>
      <c r="D156" s="59">
        <f>0*Deflactores!$A$5</f>
        <v>0</v>
      </c>
      <c r="E156" s="59">
        <f>0*Deflactores!$B$5</f>
        <v>0</v>
      </c>
      <c r="F156" s="59">
        <f>0*Deflactores!$C$5</f>
        <v>0</v>
      </c>
      <c r="G156" s="59">
        <f>0*Deflactores!$D$5</f>
        <v>0</v>
      </c>
      <c r="H156" s="59">
        <f>0*Deflactores!$E$5</f>
        <v>0</v>
      </c>
      <c r="I156" s="59">
        <f>0*Deflactores!$F$5</f>
        <v>0</v>
      </c>
      <c r="J156" s="59">
        <f>0*Deflactores!$G$5</f>
        <v>0</v>
      </c>
      <c r="K156" s="59">
        <f>0*Deflactores!$H$5</f>
        <v>0</v>
      </c>
      <c r="L156" s="59">
        <f>0*Deflactores!$I$5</f>
        <v>0</v>
      </c>
      <c r="M156" s="59">
        <f>0*Deflactores!$J$5</f>
        <v>0</v>
      </c>
      <c r="N156" s="59">
        <f>0*Deflactores!$K$5</f>
        <v>0</v>
      </c>
      <c r="O156" s="59">
        <f>0*Deflactores!$L$5</f>
        <v>0</v>
      </c>
      <c r="P156" s="59">
        <f>0*Deflactores!$M$5</f>
        <v>0</v>
      </c>
      <c r="Q156" s="59">
        <f>0*Deflactores!$N$5</f>
        <v>0</v>
      </c>
      <c r="R156" s="59">
        <f>0*Deflactores!$O$5</f>
        <v>0</v>
      </c>
      <c r="S156" s="59">
        <f>0*Deflactores!$P$5</f>
        <v>0</v>
      </c>
      <c r="T156" s="59">
        <f>0*Deflactores!$Q$5</f>
        <v>0</v>
      </c>
      <c r="U156" s="59">
        <f>0*Deflactores!$R$5</f>
        <v>0</v>
      </c>
      <c r="V156" s="59">
        <f>0*Deflactores!$S$5</f>
        <v>0</v>
      </c>
    </row>
    <row r="157" spans="3:22" x14ac:dyDescent="0.2">
      <c r="C157" s="87" t="s">
        <v>149</v>
      </c>
      <c r="D157" s="56">
        <f>69.74150272766*Deflactores!$A$5</f>
        <v>253.20064936605175</v>
      </c>
      <c r="E157" s="56">
        <f>68.54247504151*Deflactores!$B$5</f>
        <v>231.16714261672411</v>
      </c>
      <c r="F157" s="56">
        <f>75.5738525470999*Deflactores!$C$5</f>
        <v>238.22493995548243</v>
      </c>
      <c r="G157" s="56">
        <f>103.76577780613*Deflactores!$D$5</f>
        <v>307.15347229295776</v>
      </c>
      <c r="H157" s="56">
        <f>84.7999092439299*Deflactores!$E$5</f>
        <v>237.93406904714948</v>
      </c>
      <c r="I157" s="56">
        <f>4.99242209502*Deflactores!$F$5</f>
        <v>13.359269503583954</v>
      </c>
      <c r="J157" s="56">
        <f>93.93236958229*Deflactores!$G$5</f>
        <v>240.58140512589637</v>
      </c>
      <c r="K157" s="56">
        <f>100.27310952088*Deflactores!$H$5</f>
        <v>242.98475827539363</v>
      </c>
      <c r="L157" s="56">
        <f>152.68230219825*Deflactores!$I$5</f>
        <v>343.61404291252455</v>
      </c>
      <c r="M157" s="56">
        <f>184.718313219889*Deflactores!$J$5</f>
        <v>407.5531826332894</v>
      </c>
      <c r="N157" s="56">
        <f>258.06001506735*Deflactores!$K$5</f>
        <v>551.86960797573488</v>
      </c>
      <c r="O157" s="56">
        <f>285.8359323766*Deflactores!$L$5</f>
        <v>589.3076557282385</v>
      </c>
      <c r="P157" s="56">
        <f>485.57987456694*Deflactores!$M$5</f>
        <v>977.27405451651032</v>
      </c>
      <c r="Q157" s="56">
        <f>288.31607343336*Deflactores!$N$5</f>
        <v>569.21969173180821</v>
      </c>
      <c r="R157" s="56">
        <f>354.72007051411*Deflactores!$O$5</f>
        <v>675.59374294059296</v>
      </c>
      <c r="S157" s="56">
        <f>374.24055469931*Deflactores!$P$5</f>
        <v>667.57714830728173</v>
      </c>
      <c r="T157" s="56">
        <f>113.86016685395*Deflactores!$Q$5</f>
        <v>192.06226830957911</v>
      </c>
      <c r="U157" s="56">
        <f>126.10859003357*Deflactores!$R$5</f>
        <v>204.36470811287134</v>
      </c>
      <c r="V157" s="56">
        <f>223.636854998239*Deflactores!$S$5</f>
        <v>351.24413553176038</v>
      </c>
    </row>
    <row r="158" spans="3:22" x14ac:dyDescent="0.2">
      <c r="C158" s="88" t="s">
        <v>150</v>
      </c>
      <c r="D158" s="57">
        <f>138.1014029793*Deflactores!$A$5</f>
        <v>501.38530925077458</v>
      </c>
      <c r="E158" s="57">
        <f>146.797651983049*Deflactores!$B$5</f>
        <v>495.09145579021583</v>
      </c>
      <c r="F158" s="57">
        <f>166.10434492459*Deflactores!$C$5</f>
        <v>523.59640619543461</v>
      </c>
      <c r="G158" s="57">
        <f>178.357939662009*Deflactores!$D$5</f>
        <v>527.95113800002343</v>
      </c>
      <c r="H158" s="57">
        <f>190.155387893039*Deflactores!$E$5</f>
        <v>533.54355678002685</v>
      </c>
      <c r="I158" s="57">
        <f>202.22967489844*Deflactores!$F$5</f>
        <v>541.14829979727585</v>
      </c>
      <c r="J158" s="57">
        <f>206.54492000981*Deflactores!$G$5</f>
        <v>529.00685140327471</v>
      </c>
      <c r="K158" s="57">
        <f>198.84377995393*Deflactores!$H$5</f>
        <v>481.84411591036121</v>
      </c>
      <c r="L158" s="57">
        <f>203.05706540428*Deflactores!$I$5</f>
        <v>456.98327953504815</v>
      </c>
      <c r="M158" s="57">
        <f>219.50525574687*Deflactores!$J$5</f>
        <v>484.30534052071806</v>
      </c>
      <c r="N158" s="57">
        <f>317.8784348814*Deflactores!$K$5</f>
        <v>679.79321475337565</v>
      </c>
      <c r="O158" s="57">
        <f>211.198828465619*Deflactores!$L$5</f>
        <v>435.42841328864819</v>
      </c>
      <c r="P158" s="57">
        <f>310.049219576547*Deflactores!$M$5</f>
        <v>624.00250460438122</v>
      </c>
      <c r="Q158" s="57">
        <f>322.541509147539*Deflactores!$N$5</f>
        <v>636.79064514628976</v>
      </c>
      <c r="R158" s="57">
        <f>361.78055088874*Deflactores!$O$5</f>
        <v>689.0410123785515</v>
      </c>
      <c r="S158" s="57">
        <f>389.547685867189*Deflactores!$P$5</f>
        <v>694.88228893275061</v>
      </c>
      <c r="T158" s="57">
        <f>480.95370920935*Deflactores!$Q$5</f>
        <v>811.28513065628692</v>
      </c>
      <c r="U158" s="57">
        <f>657.367360899749*Deflactores!$R$5</f>
        <v>1065.2937186708998</v>
      </c>
      <c r="V158" s="57">
        <f>664.92201046888*Deflactores!$S$5</f>
        <v>1044.3267804182854</v>
      </c>
    </row>
    <row r="159" spans="3:22" x14ac:dyDescent="0.2">
      <c r="C159" s="87" t="s">
        <v>151</v>
      </c>
      <c r="D159" s="56">
        <f>23.412490534*Deflactores!$A$5</f>
        <v>85.000431230086292</v>
      </c>
      <c r="E159" s="56">
        <f>16.78039614854*Deflactores!$B$5</f>
        <v>56.593757772614239</v>
      </c>
      <c r="F159" s="56">
        <f>5.84070218009*Deflactores!$C$5</f>
        <v>18.411141939371593</v>
      </c>
      <c r="G159" s="56">
        <f>6.86572750265999*Deflactores!$D$5</f>
        <v>20.323001348279714</v>
      </c>
      <c r="H159" s="56">
        <f>11.78665927104*Deflactores!$E$5</f>
        <v>33.071353800199994</v>
      </c>
      <c r="I159" s="56">
        <f>7.23139535564*Deflactores!$F$5</f>
        <v>19.350559228420586</v>
      </c>
      <c r="J159" s="56">
        <f>10.67626502224*Deflactores!$G$5</f>
        <v>27.344256851700095</v>
      </c>
      <c r="K159" s="56">
        <f>13.86999891267*Deflactores!$H$5</f>
        <v>33.610190699963404</v>
      </c>
      <c r="L159" s="56">
        <f>0*Deflactores!$I$5</f>
        <v>0</v>
      </c>
      <c r="M159" s="56">
        <f>0*Deflactores!$J$5</f>
        <v>0</v>
      </c>
      <c r="N159" s="56">
        <f>0*Deflactores!$K$5</f>
        <v>0</v>
      </c>
      <c r="O159" s="56">
        <f>0*Deflactores!$L$5</f>
        <v>0</v>
      </c>
      <c r="P159" s="56">
        <f>0*Deflactores!$M$5</f>
        <v>0</v>
      </c>
      <c r="Q159" s="56">
        <f>0*Deflactores!$N$5</f>
        <v>0</v>
      </c>
      <c r="R159" s="56">
        <f>0*Deflactores!$O$5</f>
        <v>0</v>
      </c>
      <c r="S159" s="56">
        <f>0*Deflactores!$P$5</f>
        <v>0</v>
      </c>
      <c r="T159" s="56">
        <f>0*Deflactores!$Q$5</f>
        <v>0</v>
      </c>
      <c r="U159" s="56">
        <f>0*Deflactores!$R$5</f>
        <v>0</v>
      </c>
      <c r="V159" s="56">
        <f>0*Deflactores!$S$5</f>
        <v>0</v>
      </c>
    </row>
    <row r="160" spans="3:22" x14ac:dyDescent="0.2">
      <c r="C160" s="79" t="s">
        <v>179</v>
      </c>
      <c r="D160" s="44">
        <f t="shared" ref="D160:V160" si="32">+SUM(D131:D159)</f>
        <v>5199.116744156785</v>
      </c>
      <c r="E160" s="44">
        <f t="shared" si="32"/>
        <v>5111.699362274635</v>
      </c>
      <c r="F160" s="44">
        <f t="shared" si="32"/>
        <v>5235.6713009290479</v>
      </c>
      <c r="G160" s="44">
        <f t="shared" si="32"/>
        <v>5187.0907554681544</v>
      </c>
      <c r="H160" s="44">
        <f t="shared" si="32"/>
        <v>10828.497427854032</v>
      </c>
      <c r="I160" s="44">
        <f t="shared" si="32"/>
        <v>10353.780485422716</v>
      </c>
      <c r="J160" s="44">
        <f t="shared" si="32"/>
        <v>5075.7931407647275</v>
      </c>
      <c r="K160" s="44">
        <f t="shared" si="32"/>
        <v>5462.5889312594081</v>
      </c>
      <c r="L160" s="44">
        <f t="shared" si="32"/>
        <v>5502.4760010497084</v>
      </c>
      <c r="M160" s="44">
        <f t="shared" si="32"/>
        <v>6586.9637643895658</v>
      </c>
      <c r="N160" s="44">
        <f t="shared" si="32"/>
        <v>9454.0613098416597</v>
      </c>
      <c r="O160" s="44">
        <f t="shared" si="32"/>
        <v>8792.0381914138979</v>
      </c>
      <c r="P160" s="44">
        <f t="shared" si="32"/>
        <v>8520.809676437324</v>
      </c>
      <c r="Q160" s="44">
        <f t="shared" si="32"/>
        <v>8818.97546059243</v>
      </c>
      <c r="R160" s="44">
        <f t="shared" si="32"/>
        <v>9042.3018876470287</v>
      </c>
      <c r="S160" s="44">
        <f t="shared" si="32"/>
        <v>9230.921315986001</v>
      </c>
      <c r="T160" s="44">
        <f t="shared" si="32"/>
        <v>8646.8361360437539</v>
      </c>
      <c r="U160" s="44">
        <f t="shared" si="32"/>
        <v>8917.2155381222747</v>
      </c>
      <c r="V160" s="44">
        <f t="shared" si="32"/>
        <v>8480.5424152258147</v>
      </c>
    </row>
    <row r="161" spans="2:22" x14ac:dyDescent="0.2">
      <c r="C161" s="1" t="s">
        <v>52</v>
      </c>
      <c r="D161" s="12"/>
      <c r="E161" s="12"/>
      <c r="F161" s="12"/>
      <c r="G161" s="12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</row>
    <row r="162" spans="2:22" x14ac:dyDescent="0.2">
      <c r="B162" s="9"/>
    </row>
    <row r="163" spans="2:22" x14ac:dyDescent="0.2"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</row>
    <row r="164" spans="2:22" x14ac:dyDescent="0.2">
      <c r="D164" s="11"/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</row>
    <row r="165" spans="2:22" ht="18" customHeight="1" x14ac:dyDescent="0.2">
      <c r="D165" s="160" t="s">
        <v>198</v>
      </c>
      <c r="E165" s="158"/>
      <c r="F165" s="158"/>
      <c r="G165" s="158"/>
      <c r="H165" s="158"/>
      <c r="I165" s="158"/>
      <c r="J165" s="158"/>
      <c r="K165" s="158"/>
      <c r="L165" s="158"/>
      <c r="M165" s="158"/>
      <c r="N165" s="158"/>
      <c r="O165" s="158"/>
      <c r="P165" s="158"/>
      <c r="Q165" s="158"/>
      <c r="R165" s="158"/>
      <c r="S165" s="158"/>
      <c r="T165" s="158"/>
      <c r="U165" s="158"/>
      <c r="V165" s="158"/>
    </row>
    <row r="166" spans="2:22" ht="0.75" customHeight="1" x14ac:dyDescent="0.2">
      <c r="H166" s="27"/>
      <c r="I166" s="27"/>
      <c r="J166" s="27"/>
      <c r="L166" s="175"/>
      <c r="M166" s="158"/>
      <c r="N166" s="158"/>
      <c r="O166" s="158"/>
      <c r="P166" s="158"/>
      <c r="Q166" s="158"/>
      <c r="R166" s="28"/>
      <c r="S166" s="28"/>
      <c r="T166" s="28"/>
      <c r="U166" s="28"/>
      <c r="V166" s="28"/>
    </row>
    <row r="167" spans="2:22" x14ac:dyDescent="0.2"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</row>
    <row r="168" spans="2:22" x14ac:dyDescent="0.2">
      <c r="C168" s="177" t="s">
        <v>120</v>
      </c>
      <c r="D168" s="153">
        <v>2000</v>
      </c>
      <c r="E168" s="153">
        <v>2001</v>
      </c>
      <c r="F168" s="153">
        <v>2002</v>
      </c>
      <c r="G168" s="153">
        <v>2003</v>
      </c>
      <c r="H168" s="153">
        <v>2004</v>
      </c>
      <c r="I168" s="153">
        <v>2005</v>
      </c>
      <c r="J168" s="153">
        <v>2006</v>
      </c>
      <c r="K168" s="153">
        <v>2007</v>
      </c>
      <c r="L168" s="153">
        <v>2008</v>
      </c>
      <c r="M168" s="153">
        <v>2009</v>
      </c>
      <c r="N168" s="153">
        <v>2010</v>
      </c>
      <c r="O168" s="153">
        <v>2011</v>
      </c>
      <c r="P168" s="153">
        <v>2012</v>
      </c>
      <c r="Q168" s="153">
        <v>2013</v>
      </c>
      <c r="R168" s="153">
        <v>2014</v>
      </c>
      <c r="S168" s="153">
        <v>2015</v>
      </c>
      <c r="T168" s="153">
        <v>2016</v>
      </c>
      <c r="U168" s="153">
        <v>2017</v>
      </c>
      <c r="V168" s="153">
        <v>2018</v>
      </c>
    </row>
    <row r="169" spans="2:22" ht="12" customHeight="1" thickBot="1" x14ac:dyDescent="0.25">
      <c r="C169" s="156"/>
      <c r="D169" s="154"/>
      <c r="E169" s="154"/>
      <c r="F169" s="154"/>
      <c r="G169" s="154"/>
      <c r="H169" s="154"/>
      <c r="I169" s="154"/>
      <c r="J169" s="154"/>
      <c r="K169" s="154"/>
      <c r="L169" s="154"/>
      <c r="M169" s="154"/>
      <c r="N169" s="154"/>
      <c r="O169" s="154"/>
      <c r="P169" s="154"/>
      <c r="Q169" s="154"/>
      <c r="R169" s="154"/>
      <c r="S169" s="154"/>
      <c r="T169" s="154"/>
      <c r="U169" s="154"/>
      <c r="V169" s="154"/>
    </row>
    <row r="170" spans="2:22" x14ac:dyDescent="0.2">
      <c r="C170" s="87" t="s">
        <v>123</v>
      </c>
      <c r="D170" s="60">
        <f t="shared" ref="D170:V170" si="33">+IFERROR(IF(D131&gt;0,+((D131/D13)*100)," "),"")</f>
        <v>94.203305657212383</v>
      </c>
      <c r="E170" s="60">
        <f t="shared" si="33"/>
        <v>87.409341575834972</v>
      </c>
      <c r="F170" s="60">
        <f t="shared" si="33"/>
        <v>90.396252384824322</v>
      </c>
      <c r="G170" s="60">
        <f t="shared" si="33"/>
        <v>60.098731988457168</v>
      </c>
      <c r="H170" s="60">
        <f t="shared" si="33"/>
        <v>63.763280804859548</v>
      </c>
      <c r="I170" s="60">
        <f t="shared" si="33"/>
        <v>73.407474872554729</v>
      </c>
      <c r="J170" s="60">
        <f t="shared" si="33"/>
        <v>75.99051535640541</v>
      </c>
      <c r="K170" s="60">
        <f t="shared" si="33"/>
        <v>83.477626010820316</v>
      </c>
      <c r="L170" s="60">
        <f t="shared" si="33"/>
        <v>90.550373462655045</v>
      </c>
      <c r="M170" s="60">
        <f t="shared" si="33"/>
        <v>85.333900868546394</v>
      </c>
      <c r="N170" s="60">
        <f t="shared" si="33"/>
        <v>81.398375402022708</v>
      </c>
      <c r="O170" s="60">
        <f t="shared" si="33"/>
        <v>80.088656090099491</v>
      </c>
      <c r="P170" s="60">
        <f t="shared" si="33"/>
        <v>79.316126982426198</v>
      </c>
      <c r="Q170" s="60">
        <f t="shared" si="33"/>
        <v>82.79016928127389</v>
      </c>
      <c r="R170" s="60">
        <f t="shared" si="33"/>
        <v>91.733661766710256</v>
      </c>
      <c r="S170" s="60">
        <f t="shared" si="33"/>
        <v>80.557838916379353</v>
      </c>
      <c r="T170" s="60">
        <f t="shared" si="33"/>
        <v>75.453111795723288</v>
      </c>
      <c r="U170" s="60">
        <f t="shared" si="33"/>
        <v>87.065236844982792</v>
      </c>
      <c r="V170" s="60">
        <f t="shared" si="33"/>
        <v>85.91783442189201</v>
      </c>
    </row>
    <row r="171" spans="2:22" x14ac:dyDescent="0.2">
      <c r="C171" s="88" t="s">
        <v>124</v>
      </c>
      <c r="D171" s="62" t="str">
        <f t="shared" ref="D171:V171" si="34">+IFERROR(IF(D132&gt;0,+((D132/D14)*100)," "),"")</f>
        <v xml:space="preserve"> </v>
      </c>
      <c r="E171" s="62" t="str">
        <f t="shared" si="34"/>
        <v xml:space="preserve"> </v>
      </c>
      <c r="F171" s="62" t="str">
        <f t="shared" si="34"/>
        <v xml:space="preserve"> </v>
      </c>
      <c r="G171" s="62" t="str">
        <f t="shared" si="34"/>
        <v xml:space="preserve"> </v>
      </c>
      <c r="H171" s="62" t="str">
        <f t="shared" si="34"/>
        <v xml:space="preserve"> </v>
      </c>
      <c r="I171" s="62" t="str">
        <f t="shared" si="34"/>
        <v xml:space="preserve"> </v>
      </c>
      <c r="J171" s="62" t="str">
        <f t="shared" si="34"/>
        <v xml:space="preserve"> </v>
      </c>
      <c r="K171" s="62" t="str">
        <f t="shared" si="34"/>
        <v xml:space="preserve"> </v>
      </c>
      <c r="L171" s="62" t="str">
        <f t="shared" si="34"/>
        <v xml:space="preserve"> </v>
      </c>
      <c r="M171" s="62" t="str">
        <f t="shared" si="34"/>
        <v xml:space="preserve"> </v>
      </c>
      <c r="N171" s="62" t="str">
        <f t="shared" si="34"/>
        <v xml:space="preserve"> </v>
      </c>
      <c r="O171" s="62" t="str">
        <f t="shared" si="34"/>
        <v xml:space="preserve"> </v>
      </c>
      <c r="P171" s="62">
        <f t="shared" si="34"/>
        <v>81.655503734028159</v>
      </c>
      <c r="Q171" s="62">
        <f t="shared" si="34"/>
        <v>86.512798688685791</v>
      </c>
      <c r="R171" s="62">
        <f t="shared" si="34"/>
        <v>69.257743218310935</v>
      </c>
      <c r="S171" s="62">
        <f t="shared" si="34"/>
        <v>69.04436223361445</v>
      </c>
      <c r="T171" s="62">
        <f t="shared" si="34"/>
        <v>91.865283484474787</v>
      </c>
      <c r="U171" s="62">
        <f t="shared" si="34"/>
        <v>96.830276751977124</v>
      </c>
      <c r="V171" s="62">
        <f t="shared" si="34"/>
        <v>96.887130587526869</v>
      </c>
    </row>
    <row r="172" spans="2:22" x14ac:dyDescent="0.2">
      <c r="C172" s="87" t="s">
        <v>125</v>
      </c>
      <c r="D172" s="60">
        <f t="shared" ref="D172:V172" si="35">+IFERROR(IF(D133&gt;0,+((D133/D15)*100)," "),"")</f>
        <v>75.324683760368529</v>
      </c>
      <c r="E172" s="60">
        <f t="shared" si="35"/>
        <v>62.923747174609957</v>
      </c>
      <c r="F172" s="60">
        <f t="shared" si="35"/>
        <v>91.02823143421837</v>
      </c>
      <c r="G172" s="60">
        <f t="shared" si="35"/>
        <v>78.603556540860183</v>
      </c>
      <c r="H172" s="60">
        <f t="shared" si="35"/>
        <v>65.714335023288427</v>
      </c>
      <c r="I172" s="60">
        <f t="shared" si="35"/>
        <v>68.263603967310289</v>
      </c>
      <c r="J172" s="60">
        <f t="shared" si="35"/>
        <v>69.501788101752467</v>
      </c>
      <c r="K172" s="60">
        <f t="shared" si="35"/>
        <v>52.900895375835454</v>
      </c>
      <c r="L172" s="60">
        <f t="shared" si="35"/>
        <v>87.429165130285824</v>
      </c>
      <c r="M172" s="60">
        <f t="shared" si="35"/>
        <v>75.904769115356302</v>
      </c>
      <c r="N172" s="60" t="str">
        <f t="shared" si="35"/>
        <v xml:space="preserve"> </v>
      </c>
      <c r="O172" s="60" t="str">
        <f t="shared" si="35"/>
        <v xml:space="preserve"> </v>
      </c>
      <c r="P172" s="60" t="str">
        <f t="shared" si="35"/>
        <v xml:space="preserve"> </v>
      </c>
      <c r="Q172" s="60" t="str">
        <f t="shared" si="35"/>
        <v xml:space="preserve"> </v>
      </c>
      <c r="R172" s="60" t="str">
        <f t="shared" si="35"/>
        <v xml:space="preserve"> </v>
      </c>
      <c r="S172" s="60" t="str">
        <f t="shared" si="35"/>
        <v xml:space="preserve"> </v>
      </c>
      <c r="T172" s="60" t="str">
        <f t="shared" si="35"/>
        <v xml:space="preserve"> </v>
      </c>
      <c r="U172" s="60" t="str">
        <f t="shared" si="35"/>
        <v xml:space="preserve"> </v>
      </c>
      <c r="V172" s="60" t="str">
        <f t="shared" si="35"/>
        <v xml:space="preserve"> </v>
      </c>
    </row>
    <row r="173" spans="2:22" x14ac:dyDescent="0.2">
      <c r="C173" s="88" t="s">
        <v>126</v>
      </c>
      <c r="D173" s="62">
        <f t="shared" ref="D173:V173" si="36">+IFERROR(IF(D134&gt;0,+((D134/D16)*100)," "),"")</f>
        <v>94.668065270509018</v>
      </c>
      <c r="E173" s="62">
        <f t="shared" si="36"/>
        <v>88.53188066912432</v>
      </c>
      <c r="F173" s="62">
        <f t="shared" si="36"/>
        <v>86.050696046880262</v>
      </c>
      <c r="G173" s="62">
        <f t="shared" si="36"/>
        <v>87.603284201444126</v>
      </c>
      <c r="H173" s="62">
        <f t="shared" si="36"/>
        <v>90.231869063142085</v>
      </c>
      <c r="I173" s="62">
        <f t="shared" si="36"/>
        <v>91.198608961367228</v>
      </c>
      <c r="J173" s="62">
        <f t="shared" si="36"/>
        <v>90.657044074579389</v>
      </c>
      <c r="K173" s="62">
        <f t="shared" si="36"/>
        <v>93.812670563365074</v>
      </c>
      <c r="L173" s="62">
        <f t="shared" si="36"/>
        <v>91.901076400451956</v>
      </c>
      <c r="M173" s="62">
        <f t="shared" si="36"/>
        <v>93.214706974900977</v>
      </c>
      <c r="N173" s="62">
        <f t="shared" si="36"/>
        <v>90.520453371238119</v>
      </c>
      <c r="O173" s="62">
        <f t="shared" si="36"/>
        <v>83.646262314445906</v>
      </c>
      <c r="P173" s="62">
        <f t="shared" si="36"/>
        <v>89.943828019232413</v>
      </c>
      <c r="Q173" s="62">
        <f t="shared" si="36"/>
        <v>94.749005695940042</v>
      </c>
      <c r="R173" s="62">
        <f t="shared" si="36"/>
        <v>94.837476255362432</v>
      </c>
      <c r="S173" s="62">
        <f t="shared" si="36"/>
        <v>95.126462229871208</v>
      </c>
      <c r="T173" s="62">
        <f t="shared" si="36"/>
        <v>95.041783041710872</v>
      </c>
      <c r="U173" s="62">
        <f t="shared" si="36"/>
        <v>96.127623215770114</v>
      </c>
      <c r="V173" s="62">
        <f t="shared" si="36"/>
        <v>94.365382508075484</v>
      </c>
    </row>
    <row r="174" spans="2:22" x14ac:dyDescent="0.2">
      <c r="C174" s="87" t="s">
        <v>127</v>
      </c>
      <c r="D174" s="60" t="str">
        <f t="shared" ref="D174:V174" si="37">+IFERROR(IF(D135&gt;0,+((D135/D17)*100)," "),"")</f>
        <v xml:space="preserve"> </v>
      </c>
      <c r="E174" s="60" t="str">
        <f t="shared" si="37"/>
        <v xml:space="preserve"> </v>
      </c>
      <c r="F174" s="60" t="str">
        <f t="shared" si="37"/>
        <v xml:space="preserve"> </v>
      </c>
      <c r="G174" s="60" t="str">
        <f t="shared" si="37"/>
        <v xml:space="preserve"> </v>
      </c>
      <c r="H174" s="60" t="str">
        <f t="shared" si="37"/>
        <v xml:space="preserve"> </v>
      </c>
      <c r="I174" s="60" t="str">
        <f t="shared" si="37"/>
        <v xml:space="preserve"> </v>
      </c>
      <c r="J174" s="60" t="str">
        <f t="shared" si="37"/>
        <v xml:space="preserve"> </v>
      </c>
      <c r="K174" s="60" t="str">
        <f t="shared" si="37"/>
        <v xml:space="preserve"> </v>
      </c>
      <c r="L174" s="60" t="str">
        <f t="shared" si="37"/>
        <v xml:space="preserve"> </v>
      </c>
      <c r="M174" s="60" t="str">
        <f t="shared" si="37"/>
        <v xml:space="preserve"> </v>
      </c>
      <c r="N174" s="60" t="str">
        <f t="shared" si="37"/>
        <v xml:space="preserve"> </v>
      </c>
      <c r="O174" s="60" t="str">
        <f t="shared" si="37"/>
        <v xml:space="preserve"> </v>
      </c>
      <c r="P174" s="60" t="str">
        <f t="shared" si="37"/>
        <v xml:space="preserve"> </v>
      </c>
      <c r="Q174" s="60" t="str">
        <f t="shared" si="37"/>
        <v xml:space="preserve"> </v>
      </c>
      <c r="R174" s="60" t="str">
        <f t="shared" si="37"/>
        <v xml:space="preserve"> </v>
      </c>
      <c r="S174" s="60" t="str">
        <f t="shared" si="37"/>
        <v xml:space="preserve"> </v>
      </c>
      <c r="T174" s="60" t="str">
        <f t="shared" si="37"/>
        <v xml:space="preserve"> </v>
      </c>
      <c r="U174" s="60" t="str">
        <f t="shared" si="37"/>
        <v xml:space="preserve"> </v>
      </c>
      <c r="V174" s="60" t="str">
        <f t="shared" si="37"/>
        <v xml:space="preserve"> </v>
      </c>
    </row>
    <row r="175" spans="2:22" x14ac:dyDescent="0.2">
      <c r="C175" s="88" t="s">
        <v>128</v>
      </c>
      <c r="D175" s="62">
        <f t="shared" ref="D175:V175" si="38">+IFERROR(IF(D136&gt;0,+((D136/D18)*100)," "),"")</f>
        <v>86.486610677927331</v>
      </c>
      <c r="E175" s="62">
        <f t="shared" si="38"/>
        <v>86.442029575526021</v>
      </c>
      <c r="F175" s="62">
        <f t="shared" si="38"/>
        <v>73.940698590562334</v>
      </c>
      <c r="G175" s="62">
        <f t="shared" si="38"/>
        <v>51.131402757993612</v>
      </c>
      <c r="H175" s="62">
        <f t="shared" si="38"/>
        <v>57.002604427146728</v>
      </c>
      <c r="I175" s="62">
        <f t="shared" si="38"/>
        <v>73.367197721102627</v>
      </c>
      <c r="J175" s="62">
        <f t="shared" si="38"/>
        <v>25.081779153813077</v>
      </c>
      <c r="K175" s="62">
        <f t="shared" si="38"/>
        <v>55.972734466912065</v>
      </c>
      <c r="L175" s="62">
        <f t="shared" si="38"/>
        <v>80.363334885286747</v>
      </c>
      <c r="M175" s="62">
        <f t="shared" si="38"/>
        <v>66.638238148139621</v>
      </c>
      <c r="N175" s="62">
        <f t="shared" si="38"/>
        <v>73.629018315971123</v>
      </c>
      <c r="O175" s="62">
        <f t="shared" si="38"/>
        <v>80.679805520109198</v>
      </c>
      <c r="P175" s="62">
        <f t="shared" si="38"/>
        <v>86.078489929404697</v>
      </c>
      <c r="Q175" s="62">
        <f t="shared" si="38"/>
        <v>81.273243930186098</v>
      </c>
      <c r="R175" s="62">
        <f t="shared" si="38"/>
        <v>88.648805310002388</v>
      </c>
      <c r="S175" s="62">
        <f t="shared" si="38"/>
        <v>94.380542988507514</v>
      </c>
      <c r="T175" s="62">
        <f t="shared" si="38"/>
        <v>95.053869508473426</v>
      </c>
      <c r="U175" s="62">
        <f t="shared" si="38"/>
        <v>96.394561897619397</v>
      </c>
      <c r="V175" s="62">
        <f t="shared" si="38"/>
        <v>94.086752851289887</v>
      </c>
    </row>
    <row r="176" spans="2:22" x14ac:dyDescent="0.2">
      <c r="C176" s="87" t="s">
        <v>129</v>
      </c>
      <c r="D176" s="60">
        <f t="shared" ref="D176:V176" si="39">+IFERROR(IF(D137&gt;0,+((D137/D19)*100)," "),"")</f>
        <v>81.154689079684914</v>
      </c>
      <c r="E176" s="60">
        <f t="shared" si="39"/>
        <v>78.624395890017198</v>
      </c>
      <c r="F176" s="60">
        <f t="shared" si="39"/>
        <v>77.026667428147221</v>
      </c>
      <c r="G176" s="60">
        <f t="shared" si="39"/>
        <v>80.064320850105602</v>
      </c>
      <c r="H176" s="60">
        <f t="shared" si="39"/>
        <v>84.228291993802912</v>
      </c>
      <c r="I176" s="60">
        <f t="shared" si="39"/>
        <v>82.295411545238338</v>
      </c>
      <c r="J176" s="60">
        <f t="shared" si="39"/>
        <v>74.440623459015896</v>
      </c>
      <c r="K176" s="60">
        <f t="shared" si="39"/>
        <v>91.25531996038309</v>
      </c>
      <c r="L176" s="60">
        <f t="shared" si="39"/>
        <v>90.291455297485683</v>
      </c>
      <c r="M176" s="60">
        <f t="shared" si="39"/>
        <v>87.139033738833803</v>
      </c>
      <c r="N176" s="60">
        <f t="shared" si="39"/>
        <v>89.244732536924431</v>
      </c>
      <c r="O176" s="60">
        <f t="shared" si="39"/>
        <v>83.864040791280374</v>
      </c>
      <c r="P176" s="60">
        <f t="shared" si="39"/>
        <v>80.740352363969649</v>
      </c>
      <c r="Q176" s="60">
        <f t="shared" si="39"/>
        <v>82.765142762937018</v>
      </c>
      <c r="R176" s="60">
        <f t="shared" si="39"/>
        <v>90.049681305862876</v>
      </c>
      <c r="S176" s="60">
        <f t="shared" si="39"/>
        <v>86.205952876775555</v>
      </c>
      <c r="T176" s="60">
        <f t="shared" si="39"/>
        <v>91.265936849573805</v>
      </c>
      <c r="U176" s="60">
        <f t="shared" si="39"/>
        <v>95.657474643655021</v>
      </c>
      <c r="V176" s="60">
        <f t="shared" si="39"/>
        <v>92.296578508607652</v>
      </c>
    </row>
    <row r="177" spans="3:22" x14ac:dyDescent="0.2">
      <c r="C177" s="88" t="s">
        <v>130</v>
      </c>
      <c r="D177" s="62">
        <f t="shared" ref="D177:V177" si="40">+IFERROR(IF(D138&gt;0,+((D138/D20)*100)," "),"")</f>
        <v>97.200525772236375</v>
      </c>
      <c r="E177" s="62">
        <f t="shared" si="40"/>
        <v>87.59808070488549</v>
      </c>
      <c r="F177" s="62">
        <f t="shared" si="40"/>
        <v>83.676368729444476</v>
      </c>
      <c r="G177" s="62">
        <f t="shared" si="40"/>
        <v>74.809992529024044</v>
      </c>
      <c r="H177" s="62">
        <f t="shared" si="40"/>
        <v>82.499226096641763</v>
      </c>
      <c r="I177" s="62">
        <f t="shared" si="40"/>
        <v>91.770902444672259</v>
      </c>
      <c r="J177" s="62">
        <f t="shared" si="40"/>
        <v>91.665108978330025</v>
      </c>
      <c r="K177" s="62">
        <f t="shared" si="40"/>
        <v>90.526682488182999</v>
      </c>
      <c r="L177" s="62">
        <f t="shared" si="40"/>
        <v>93.287936826224168</v>
      </c>
      <c r="M177" s="62">
        <f t="shared" si="40"/>
        <v>93.882147894250508</v>
      </c>
      <c r="N177" s="62">
        <f t="shared" si="40"/>
        <v>82.512764042288595</v>
      </c>
      <c r="O177" s="62">
        <f t="shared" si="40"/>
        <v>72.738491304911079</v>
      </c>
      <c r="P177" s="62" t="str">
        <f t="shared" si="40"/>
        <v xml:space="preserve"> </v>
      </c>
      <c r="Q177" s="62" t="str">
        <f t="shared" si="40"/>
        <v xml:space="preserve"> </v>
      </c>
      <c r="R177" s="62" t="str">
        <f t="shared" si="40"/>
        <v xml:space="preserve"> </v>
      </c>
      <c r="S177" s="62" t="str">
        <f t="shared" si="40"/>
        <v xml:space="preserve"> </v>
      </c>
      <c r="T177" s="62" t="str">
        <f t="shared" si="40"/>
        <v xml:space="preserve"> </v>
      </c>
      <c r="U177" s="62" t="str">
        <f t="shared" si="40"/>
        <v xml:space="preserve"> </v>
      </c>
      <c r="V177" s="62" t="str">
        <f t="shared" si="40"/>
        <v xml:space="preserve"> </v>
      </c>
    </row>
    <row r="178" spans="3:22" x14ac:dyDescent="0.2">
      <c r="C178" s="87" t="s">
        <v>131</v>
      </c>
      <c r="D178" s="60">
        <f t="shared" ref="D178:V178" si="41">+IFERROR(IF(D139&gt;0,+((D139/D21)*100)," "),"")</f>
        <v>88.633663731860196</v>
      </c>
      <c r="E178" s="60">
        <f t="shared" si="41"/>
        <v>88.976111910444033</v>
      </c>
      <c r="F178" s="60">
        <f t="shared" si="41"/>
        <v>87.777041799163541</v>
      </c>
      <c r="G178" s="60">
        <f t="shared" si="41"/>
        <v>81.536213533023314</v>
      </c>
      <c r="H178" s="60">
        <f t="shared" si="41"/>
        <v>86.186849580817494</v>
      </c>
      <c r="I178" s="60">
        <f t="shared" si="41"/>
        <v>85.581867209394275</v>
      </c>
      <c r="J178" s="60">
        <f t="shared" si="41"/>
        <v>80.275749426568794</v>
      </c>
      <c r="K178" s="60">
        <f t="shared" si="41"/>
        <v>82.879755749979353</v>
      </c>
      <c r="L178" s="60">
        <f t="shared" si="41"/>
        <v>87.39489655271548</v>
      </c>
      <c r="M178" s="60">
        <f t="shared" si="41"/>
        <v>91.525025238694312</v>
      </c>
      <c r="N178" s="60">
        <f t="shared" si="41"/>
        <v>84.996792039467167</v>
      </c>
      <c r="O178" s="60">
        <f t="shared" si="41"/>
        <v>84.318303795858895</v>
      </c>
      <c r="P178" s="60">
        <f t="shared" si="41"/>
        <v>84.30694475401468</v>
      </c>
      <c r="Q178" s="60">
        <f t="shared" si="41"/>
        <v>80.574409463301151</v>
      </c>
      <c r="R178" s="60">
        <f t="shared" si="41"/>
        <v>86.911939456538249</v>
      </c>
      <c r="S178" s="60">
        <f t="shared" si="41"/>
        <v>89.883841577368358</v>
      </c>
      <c r="T178" s="60">
        <f t="shared" si="41"/>
        <v>89.645086504696323</v>
      </c>
      <c r="U178" s="60">
        <f t="shared" si="41"/>
        <v>81.772081910050659</v>
      </c>
      <c r="V178" s="60">
        <f t="shared" si="41"/>
        <v>85.005499317620917</v>
      </c>
    </row>
    <row r="179" spans="3:22" x14ac:dyDescent="0.2">
      <c r="C179" s="88" t="s">
        <v>132</v>
      </c>
      <c r="D179" s="62">
        <f t="shared" ref="D179:V179" si="42">+IFERROR(IF(D140&gt;0,+((D140/D22)*100)," "),"")</f>
        <v>82.700245697915449</v>
      </c>
      <c r="E179" s="62">
        <f t="shared" si="42"/>
        <v>85.878764035387761</v>
      </c>
      <c r="F179" s="62">
        <f t="shared" si="42"/>
        <v>82.023438765859652</v>
      </c>
      <c r="G179" s="62">
        <f t="shared" si="42"/>
        <v>83.581779249913765</v>
      </c>
      <c r="H179" s="62">
        <f t="shared" si="42"/>
        <v>79.135962973524443</v>
      </c>
      <c r="I179" s="62">
        <f t="shared" si="42"/>
        <v>90.545285173169248</v>
      </c>
      <c r="J179" s="62">
        <f t="shared" si="42"/>
        <v>67.83021360575205</v>
      </c>
      <c r="K179" s="62">
        <f t="shared" si="42"/>
        <v>49.861190144457652</v>
      </c>
      <c r="L179" s="62">
        <f t="shared" si="42"/>
        <v>55.579974208303916</v>
      </c>
      <c r="M179" s="62">
        <f t="shared" si="42"/>
        <v>36.407446374079925</v>
      </c>
      <c r="N179" s="62">
        <f t="shared" si="42"/>
        <v>64.950215030676844</v>
      </c>
      <c r="O179" s="62">
        <f t="shared" si="42"/>
        <v>59.822921134369658</v>
      </c>
      <c r="P179" s="62">
        <f t="shared" si="42"/>
        <v>64.046777627227996</v>
      </c>
      <c r="Q179" s="62">
        <f t="shared" si="42"/>
        <v>45.186885566854407</v>
      </c>
      <c r="R179" s="62">
        <f t="shared" si="42"/>
        <v>51.657495209659366</v>
      </c>
      <c r="S179" s="62">
        <f t="shared" si="42"/>
        <v>53.374083639495296</v>
      </c>
      <c r="T179" s="62">
        <f t="shared" si="42"/>
        <v>75.741958527950032</v>
      </c>
      <c r="U179" s="62">
        <f t="shared" si="42"/>
        <v>78.98964254109579</v>
      </c>
      <c r="V179" s="62">
        <f t="shared" si="42"/>
        <v>80.562742376818193</v>
      </c>
    </row>
    <row r="180" spans="3:22" x14ac:dyDescent="0.2">
      <c r="C180" s="87" t="s">
        <v>133</v>
      </c>
      <c r="D180" s="60">
        <f t="shared" ref="D180:V180" si="43">+IFERROR(IF(D141&gt;0,+((D141/D23)*100)," "),"")</f>
        <v>52.553481328482711</v>
      </c>
      <c r="E180" s="60">
        <f t="shared" si="43"/>
        <v>35.800962077352047</v>
      </c>
      <c r="F180" s="60">
        <f t="shared" si="43"/>
        <v>80.564981052894552</v>
      </c>
      <c r="G180" s="60">
        <f t="shared" si="43"/>
        <v>22.884744871018398</v>
      </c>
      <c r="H180" s="60">
        <f t="shared" si="43"/>
        <v>82.266256528480511</v>
      </c>
      <c r="I180" s="60">
        <f t="shared" si="43"/>
        <v>79.006401645894471</v>
      </c>
      <c r="J180" s="60">
        <f t="shared" si="43"/>
        <v>76.439742333333342</v>
      </c>
      <c r="K180" s="60">
        <f t="shared" si="43"/>
        <v>59.532722900832816</v>
      </c>
      <c r="L180" s="60">
        <f t="shared" si="43"/>
        <v>40.583625868725868</v>
      </c>
      <c r="M180" s="60">
        <f t="shared" si="43"/>
        <v>54.773272231833914</v>
      </c>
      <c r="N180" s="60">
        <f t="shared" si="43"/>
        <v>43.611223906835164</v>
      </c>
      <c r="O180" s="60">
        <f t="shared" si="43"/>
        <v>45.948161493617363</v>
      </c>
      <c r="P180" s="60">
        <f t="shared" si="43"/>
        <v>46.018539860796118</v>
      </c>
      <c r="Q180" s="60">
        <f t="shared" si="43"/>
        <v>24.64971916595745</v>
      </c>
      <c r="R180" s="60">
        <f t="shared" si="43"/>
        <v>28.212994530581909</v>
      </c>
      <c r="S180" s="60">
        <f t="shared" si="43"/>
        <v>40.410764799998056</v>
      </c>
      <c r="T180" s="60">
        <f t="shared" si="43"/>
        <v>79.361719941941345</v>
      </c>
      <c r="U180" s="60">
        <f t="shared" si="43"/>
        <v>98.589181608563337</v>
      </c>
      <c r="V180" s="60">
        <f t="shared" si="43"/>
        <v>83.394351270590533</v>
      </c>
    </row>
    <row r="181" spans="3:22" x14ac:dyDescent="0.2">
      <c r="C181" s="88" t="s">
        <v>134</v>
      </c>
      <c r="D181" s="62">
        <f t="shared" ref="D181:V181" si="44">+IFERROR(IF(D142&gt;0,+((D142/D24)*100)," "),"")</f>
        <v>69.539217196123886</v>
      </c>
      <c r="E181" s="62">
        <f t="shared" si="44"/>
        <v>87.430343989454272</v>
      </c>
      <c r="F181" s="62">
        <f t="shared" si="44"/>
        <v>91.531934728129798</v>
      </c>
      <c r="G181" s="62">
        <f t="shared" si="44"/>
        <v>87.448037937160251</v>
      </c>
      <c r="H181" s="62">
        <f t="shared" si="44"/>
        <v>93.109529469019634</v>
      </c>
      <c r="I181" s="62">
        <f t="shared" si="44"/>
        <v>85.577177122669994</v>
      </c>
      <c r="J181" s="62">
        <f t="shared" si="44"/>
        <v>93.71133721057592</v>
      </c>
      <c r="K181" s="62">
        <f t="shared" si="44"/>
        <v>85.355032065392876</v>
      </c>
      <c r="L181" s="62">
        <f t="shared" si="44"/>
        <v>89.190581415117705</v>
      </c>
      <c r="M181" s="62">
        <f t="shared" si="44"/>
        <v>87.631118826380856</v>
      </c>
      <c r="N181" s="62">
        <f t="shared" si="44"/>
        <v>89.742982126052055</v>
      </c>
      <c r="O181" s="62">
        <f t="shared" si="44"/>
        <v>91.01127982096277</v>
      </c>
      <c r="P181" s="62">
        <f t="shared" si="44"/>
        <v>89.110009913951487</v>
      </c>
      <c r="Q181" s="62">
        <f t="shared" si="44"/>
        <v>77.329899534824435</v>
      </c>
      <c r="R181" s="62">
        <f t="shared" si="44"/>
        <v>70.058340415353939</v>
      </c>
      <c r="S181" s="62">
        <f t="shared" si="44"/>
        <v>70.194514888531799</v>
      </c>
      <c r="T181" s="62">
        <f t="shared" si="44"/>
        <v>74.565812784805161</v>
      </c>
      <c r="U181" s="62">
        <f t="shared" si="44"/>
        <v>74.982259439623689</v>
      </c>
      <c r="V181" s="62">
        <f t="shared" si="44"/>
        <v>78.289874294686769</v>
      </c>
    </row>
    <row r="182" spans="3:22" x14ac:dyDescent="0.2">
      <c r="C182" s="87" t="s">
        <v>135</v>
      </c>
      <c r="D182" s="60" t="str">
        <f t="shared" ref="D182:V182" si="45">+IFERROR(IF(D143&gt;0,+((D143/D25)*100)," "),"")</f>
        <v xml:space="preserve"> </v>
      </c>
      <c r="E182" s="60" t="str">
        <f t="shared" si="45"/>
        <v xml:space="preserve"> </v>
      </c>
      <c r="F182" s="60" t="str">
        <f t="shared" si="45"/>
        <v xml:space="preserve"> </v>
      </c>
      <c r="G182" s="60" t="str">
        <f t="shared" si="45"/>
        <v xml:space="preserve"> </v>
      </c>
      <c r="H182" s="60" t="str">
        <f t="shared" si="45"/>
        <v xml:space="preserve"> </v>
      </c>
      <c r="I182" s="60" t="str">
        <f t="shared" si="45"/>
        <v xml:space="preserve"> </v>
      </c>
      <c r="J182" s="60" t="str">
        <f t="shared" si="45"/>
        <v xml:space="preserve"> </v>
      </c>
      <c r="K182" s="60" t="str">
        <f t="shared" si="45"/>
        <v xml:space="preserve"> </v>
      </c>
      <c r="L182" s="60" t="str">
        <f t="shared" si="45"/>
        <v xml:space="preserve"> </v>
      </c>
      <c r="M182" s="60" t="str">
        <f t="shared" si="45"/>
        <v xml:space="preserve"> </v>
      </c>
      <c r="N182" s="60" t="str">
        <f t="shared" si="45"/>
        <v xml:space="preserve"> </v>
      </c>
      <c r="O182" s="60" t="str">
        <f t="shared" si="45"/>
        <v xml:space="preserve"> </v>
      </c>
      <c r="P182" s="60" t="str">
        <f t="shared" si="45"/>
        <v xml:space="preserve"> </v>
      </c>
      <c r="Q182" s="60" t="str">
        <f t="shared" si="45"/>
        <v xml:space="preserve"> </v>
      </c>
      <c r="R182" s="60" t="str">
        <f t="shared" si="45"/>
        <v xml:space="preserve"> </v>
      </c>
      <c r="S182" s="60" t="str">
        <f t="shared" si="45"/>
        <v xml:space="preserve"> </v>
      </c>
      <c r="T182" s="60" t="str">
        <f t="shared" si="45"/>
        <v xml:space="preserve"> </v>
      </c>
      <c r="U182" s="60" t="str">
        <f t="shared" si="45"/>
        <v xml:space="preserve"> </v>
      </c>
      <c r="V182" s="60" t="str">
        <f t="shared" si="45"/>
        <v xml:space="preserve"> </v>
      </c>
    </row>
    <row r="183" spans="3:22" x14ac:dyDescent="0.2">
      <c r="C183" s="88" t="s">
        <v>136</v>
      </c>
      <c r="D183" s="62">
        <f t="shared" ref="D183:V183" si="46">+IFERROR(IF(D144&gt;0,+((D144/D26)*100)," "),"")</f>
        <v>97.037854220530605</v>
      </c>
      <c r="E183" s="62">
        <f t="shared" si="46"/>
        <v>97.824086774439962</v>
      </c>
      <c r="F183" s="62">
        <f t="shared" si="46"/>
        <v>90.242702788447644</v>
      </c>
      <c r="G183" s="62">
        <f t="shared" si="46"/>
        <v>95.542566696989823</v>
      </c>
      <c r="H183" s="62">
        <f t="shared" si="46"/>
        <v>93.200143405806827</v>
      </c>
      <c r="I183" s="62">
        <f t="shared" si="46"/>
        <v>90.9375256819838</v>
      </c>
      <c r="J183" s="62">
        <f t="shared" si="46"/>
        <v>68.72859414572541</v>
      </c>
      <c r="K183" s="62">
        <f t="shared" si="46"/>
        <v>71.293028782126456</v>
      </c>
      <c r="L183" s="62">
        <f t="shared" si="46"/>
        <v>73.846862368899025</v>
      </c>
      <c r="M183" s="62">
        <f t="shared" si="46"/>
        <v>74.888716735878631</v>
      </c>
      <c r="N183" s="62">
        <f t="shared" si="46"/>
        <v>79.357516874486507</v>
      </c>
      <c r="O183" s="62">
        <f t="shared" si="46"/>
        <v>77.707381103220825</v>
      </c>
      <c r="P183" s="62">
        <f t="shared" si="46"/>
        <v>79.463092810170536</v>
      </c>
      <c r="Q183" s="62">
        <f t="shared" si="46"/>
        <v>82.057896378774458</v>
      </c>
      <c r="R183" s="62">
        <f t="shared" si="46"/>
        <v>83.840785179696113</v>
      </c>
      <c r="S183" s="62">
        <f t="shared" si="46"/>
        <v>86.105034111546999</v>
      </c>
      <c r="T183" s="62">
        <f t="shared" si="46"/>
        <v>87.170885768167764</v>
      </c>
      <c r="U183" s="62">
        <f t="shared" si="46"/>
        <v>98.084854631914951</v>
      </c>
      <c r="V183" s="62">
        <f t="shared" si="46"/>
        <v>86.011186362054985</v>
      </c>
    </row>
    <row r="184" spans="3:22" x14ac:dyDescent="0.2">
      <c r="C184" s="87" t="s">
        <v>137</v>
      </c>
      <c r="D184" s="60">
        <f t="shared" ref="D184:V184" si="47">+IFERROR(IF(D145&gt;0,+((D145/D27)*100)," "),"")</f>
        <v>86.875545215401274</v>
      </c>
      <c r="E184" s="60">
        <f t="shared" si="47"/>
        <v>82.334578961811829</v>
      </c>
      <c r="F184" s="60">
        <f t="shared" si="47"/>
        <v>95.695327727908861</v>
      </c>
      <c r="G184" s="60">
        <f t="shared" si="47"/>
        <v>82.693251904126484</v>
      </c>
      <c r="H184" s="60">
        <f t="shared" si="47"/>
        <v>86.31325119701205</v>
      </c>
      <c r="I184" s="60">
        <f t="shared" si="47"/>
        <v>88.396711690252999</v>
      </c>
      <c r="J184" s="60">
        <f t="shared" si="47"/>
        <v>89.71341444040894</v>
      </c>
      <c r="K184" s="60">
        <f t="shared" si="47"/>
        <v>91.384986723336681</v>
      </c>
      <c r="L184" s="60">
        <f t="shared" si="47"/>
        <v>89.677071399944509</v>
      </c>
      <c r="M184" s="60">
        <f t="shared" si="47"/>
        <v>94.043992035011442</v>
      </c>
      <c r="N184" s="60">
        <f t="shared" si="47"/>
        <v>93.935721613090465</v>
      </c>
      <c r="O184" s="60">
        <f t="shared" si="47"/>
        <v>94.828048364163095</v>
      </c>
      <c r="P184" s="60">
        <f t="shared" si="47"/>
        <v>78.825228593866541</v>
      </c>
      <c r="Q184" s="60">
        <f t="shared" si="47"/>
        <v>85.016612296001639</v>
      </c>
      <c r="R184" s="60">
        <f t="shared" si="47"/>
        <v>91.45718254047749</v>
      </c>
      <c r="S184" s="60">
        <f t="shared" si="47"/>
        <v>65.481753774424675</v>
      </c>
      <c r="T184" s="60">
        <f t="shared" si="47"/>
        <v>72.807397827661092</v>
      </c>
      <c r="U184" s="60">
        <f t="shared" si="47"/>
        <v>97.814567146127146</v>
      </c>
      <c r="V184" s="60">
        <f t="shared" si="47"/>
        <v>68.672082259126597</v>
      </c>
    </row>
    <row r="185" spans="3:22" x14ac:dyDescent="0.2">
      <c r="C185" s="88" t="s">
        <v>138</v>
      </c>
      <c r="D185" s="62">
        <f t="shared" ref="D185:V185" si="48">+IFERROR(IF(D146&gt;0,+((D146/D28)*100)," "),"")</f>
        <v>87.238691209572039</v>
      </c>
      <c r="E185" s="62">
        <f t="shared" si="48"/>
        <v>80.24386835512901</v>
      </c>
      <c r="F185" s="62">
        <f t="shared" si="48"/>
        <v>85.942827554463705</v>
      </c>
      <c r="G185" s="62">
        <f t="shared" si="48"/>
        <v>75.051353295441828</v>
      </c>
      <c r="H185" s="62">
        <f t="shared" si="48"/>
        <v>73.095855651848467</v>
      </c>
      <c r="I185" s="62">
        <f t="shared" si="48"/>
        <v>76.160337593620653</v>
      </c>
      <c r="J185" s="62">
        <f t="shared" si="48"/>
        <v>81.46060639834684</v>
      </c>
      <c r="K185" s="62">
        <f t="shared" si="48"/>
        <v>90.982363219872369</v>
      </c>
      <c r="L185" s="62">
        <f t="shared" si="48"/>
        <v>91.285714588954491</v>
      </c>
      <c r="M185" s="62">
        <f t="shared" si="48"/>
        <v>78.715505004204985</v>
      </c>
      <c r="N185" s="62">
        <f t="shared" si="48"/>
        <v>74.778672907328286</v>
      </c>
      <c r="O185" s="62">
        <f t="shared" si="48"/>
        <v>73.638883255913882</v>
      </c>
      <c r="P185" s="62">
        <f t="shared" si="48"/>
        <v>77.257006916123984</v>
      </c>
      <c r="Q185" s="62">
        <f t="shared" si="48"/>
        <v>91.704225207306735</v>
      </c>
      <c r="R185" s="62">
        <f t="shared" si="48"/>
        <v>81.171713396320428</v>
      </c>
      <c r="S185" s="62" t="str">
        <f t="shared" si="48"/>
        <v xml:space="preserve"> </v>
      </c>
      <c r="T185" s="62" t="str">
        <f t="shared" si="48"/>
        <v xml:space="preserve"> </v>
      </c>
      <c r="U185" s="62" t="str">
        <f t="shared" si="48"/>
        <v xml:space="preserve"> </v>
      </c>
      <c r="V185" s="62" t="str">
        <f t="shared" si="48"/>
        <v xml:space="preserve"> </v>
      </c>
    </row>
    <row r="186" spans="3:22" x14ac:dyDescent="0.2">
      <c r="C186" s="87" t="s">
        <v>139</v>
      </c>
      <c r="D186" s="60">
        <f t="shared" ref="D186:V186" si="49">+IFERROR(IF(D147&gt;0,+((D147/D29)*100)," "),"")</f>
        <v>95.860669548345882</v>
      </c>
      <c r="E186" s="60">
        <f t="shared" si="49"/>
        <v>59.032494130378623</v>
      </c>
      <c r="F186" s="60">
        <f t="shared" si="49"/>
        <v>78.716534671624387</v>
      </c>
      <c r="G186" s="60">
        <f t="shared" si="49"/>
        <v>68.377329557105739</v>
      </c>
      <c r="H186" s="60">
        <f t="shared" si="49"/>
        <v>79.753775457775305</v>
      </c>
      <c r="I186" s="60">
        <f t="shared" si="49"/>
        <v>81.864154253100878</v>
      </c>
      <c r="J186" s="60">
        <f t="shared" si="49"/>
        <v>69.542911783283913</v>
      </c>
      <c r="K186" s="60">
        <f t="shared" si="49"/>
        <v>82.430634047600321</v>
      </c>
      <c r="L186" s="60">
        <f t="shared" si="49"/>
        <v>82.998169989034366</v>
      </c>
      <c r="M186" s="60">
        <f t="shared" si="49"/>
        <v>71.052714427230384</v>
      </c>
      <c r="N186" s="60">
        <f t="shared" si="49"/>
        <v>72.180630135477159</v>
      </c>
      <c r="O186" s="60">
        <f t="shared" si="49"/>
        <v>84.947973838641744</v>
      </c>
      <c r="P186" s="60">
        <f t="shared" si="49"/>
        <v>80.56811170492999</v>
      </c>
      <c r="Q186" s="60">
        <f t="shared" si="49"/>
        <v>85.988005636451675</v>
      </c>
      <c r="R186" s="60">
        <f t="shared" si="49"/>
        <v>78.804333448924851</v>
      </c>
      <c r="S186" s="60">
        <f t="shared" si="49"/>
        <v>88.672835279064003</v>
      </c>
      <c r="T186" s="60">
        <f t="shared" si="49"/>
        <v>93.080715206550408</v>
      </c>
      <c r="U186" s="60">
        <f t="shared" si="49"/>
        <v>90.316861971707112</v>
      </c>
      <c r="V186" s="60">
        <f t="shared" si="49"/>
        <v>88.742951979466838</v>
      </c>
    </row>
    <row r="187" spans="3:22" x14ac:dyDescent="0.2">
      <c r="C187" s="88" t="s">
        <v>140</v>
      </c>
      <c r="D187" s="62">
        <f t="shared" ref="D187:V187" si="50">+IFERROR(IF(D148&gt;0,+((D148/D30)*100)," "),"")</f>
        <v>88.288982856926097</v>
      </c>
      <c r="E187" s="62">
        <f t="shared" si="50"/>
        <v>88.928183936562164</v>
      </c>
      <c r="F187" s="62">
        <f t="shared" si="50"/>
        <v>67.18282749734469</v>
      </c>
      <c r="G187" s="62">
        <f t="shared" si="50"/>
        <v>62.840176632057123</v>
      </c>
      <c r="H187" s="62">
        <f t="shared" si="50"/>
        <v>89.659752235787167</v>
      </c>
      <c r="I187" s="62">
        <f t="shared" si="50"/>
        <v>99.501460033190682</v>
      </c>
      <c r="J187" s="62">
        <f t="shared" si="50"/>
        <v>51.547991449355926</v>
      </c>
      <c r="K187" s="62">
        <f t="shared" si="50"/>
        <v>67.827470451009191</v>
      </c>
      <c r="L187" s="62">
        <f t="shared" si="50"/>
        <v>87.778447285917139</v>
      </c>
      <c r="M187" s="62">
        <f t="shared" si="50"/>
        <v>77.622797647874833</v>
      </c>
      <c r="N187" s="62">
        <f t="shared" si="50"/>
        <v>97.782837242954926</v>
      </c>
      <c r="O187" s="62">
        <f t="shared" si="50"/>
        <v>96.345622485881719</v>
      </c>
      <c r="P187" s="62">
        <f t="shared" si="50"/>
        <v>67.284423671074805</v>
      </c>
      <c r="Q187" s="62">
        <f t="shared" si="50"/>
        <v>72.475768058540069</v>
      </c>
      <c r="R187" s="62">
        <f t="shared" si="50"/>
        <v>90.591209250647736</v>
      </c>
      <c r="S187" s="62">
        <f t="shared" si="50"/>
        <v>92.179234562347261</v>
      </c>
      <c r="T187" s="62">
        <f t="shared" si="50"/>
        <v>91.467859428074945</v>
      </c>
      <c r="U187" s="62">
        <f t="shared" si="50"/>
        <v>94.622613334495384</v>
      </c>
      <c r="V187" s="62">
        <f t="shared" si="50"/>
        <v>86.94209963871937</v>
      </c>
    </row>
    <row r="188" spans="3:22" x14ac:dyDescent="0.2">
      <c r="C188" s="87" t="s">
        <v>141</v>
      </c>
      <c r="D188" s="60">
        <f t="shared" ref="D188:V188" si="51">+IFERROR(IF(D149&gt;0,+((D149/D31)*100)," "),"")</f>
        <v>40.099885857587786</v>
      </c>
      <c r="E188" s="60">
        <f t="shared" si="51"/>
        <v>55.590019595145314</v>
      </c>
      <c r="F188" s="60">
        <f t="shared" si="51"/>
        <v>80.521333040894575</v>
      </c>
      <c r="G188" s="60">
        <f t="shared" si="51"/>
        <v>58.697548511446954</v>
      </c>
      <c r="H188" s="60">
        <f t="shared" si="51"/>
        <v>80.762605960055865</v>
      </c>
      <c r="I188" s="60">
        <f t="shared" si="51"/>
        <v>53.898699668523811</v>
      </c>
      <c r="J188" s="60">
        <f t="shared" si="51"/>
        <v>77.526295531689414</v>
      </c>
      <c r="K188" s="60">
        <f t="shared" si="51"/>
        <v>86.261634031100883</v>
      </c>
      <c r="L188" s="60">
        <f t="shared" si="51"/>
        <v>84.375847722326228</v>
      </c>
      <c r="M188" s="60">
        <f t="shared" si="51"/>
        <v>85.48833430287705</v>
      </c>
      <c r="N188" s="60">
        <f t="shared" si="51"/>
        <v>73.586673965631803</v>
      </c>
      <c r="O188" s="60">
        <f t="shared" si="51"/>
        <v>73.440555121961779</v>
      </c>
      <c r="P188" s="60">
        <f t="shared" si="51"/>
        <v>58.112348724273488</v>
      </c>
      <c r="Q188" s="60">
        <f t="shared" si="51"/>
        <v>65.391295277269194</v>
      </c>
      <c r="R188" s="60">
        <f t="shared" si="51"/>
        <v>64.376116001610171</v>
      </c>
      <c r="S188" s="60">
        <f t="shared" si="51"/>
        <v>82.172875174356477</v>
      </c>
      <c r="T188" s="60">
        <f t="shared" si="51"/>
        <v>71.820213538898727</v>
      </c>
      <c r="U188" s="60">
        <f t="shared" si="51"/>
        <v>74.166999276867898</v>
      </c>
      <c r="V188" s="60">
        <f t="shared" si="51"/>
        <v>78.447851172249457</v>
      </c>
    </row>
    <row r="189" spans="3:22" x14ac:dyDescent="0.2">
      <c r="C189" s="88" t="s">
        <v>142</v>
      </c>
      <c r="D189" s="62">
        <f t="shared" ref="D189:V189" si="52">+IFERROR(IF(D150&gt;0,+((D150/D32)*100)," "),"")</f>
        <v>92.443807728755772</v>
      </c>
      <c r="E189" s="62">
        <f t="shared" si="52"/>
        <v>93.628244910872795</v>
      </c>
      <c r="F189" s="62">
        <f t="shared" si="52"/>
        <v>83.37345224571088</v>
      </c>
      <c r="G189" s="62">
        <f t="shared" si="52"/>
        <v>71.242306652141068</v>
      </c>
      <c r="H189" s="62">
        <f t="shared" si="52"/>
        <v>79.599748499315496</v>
      </c>
      <c r="I189" s="62">
        <f t="shared" si="52"/>
        <v>79.462433310077458</v>
      </c>
      <c r="J189" s="62">
        <f t="shared" si="52"/>
        <v>65.097447363205703</v>
      </c>
      <c r="K189" s="62">
        <f t="shared" si="52"/>
        <v>70.71803926247037</v>
      </c>
      <c r="L189" s="62">
        <f t="shared" si="52"/>
        <v>79.754017662112958</v>
      </c>
      <c r="M189" s="62">
        <f t="shared" si="52"/>
        <v>67.584782606817853</v>
      </c>
      <c r="N189" s="62">
        <f t="shared" si="52"/>
        <v>89.329107989425452</v>
      </c>
      <c r="O189" s="62">
        <f t="shared" si="52"/>
        <v>87.602161938040339</v>
      </c>
      <c r="P189" s="62">
        <f t="shared" si="52"/>
        <v>87.697493876163151</v>
      </c>
      <c r="Q189" s="62">
        <f t="shared" si="52"/>
        <v>57.427795037954596</v>
      </c>
      <c r="R189" s="62">
        <f t="shared" si="52"/>
        <v>87.256672503617921</v>
      </c>
      <c r="S189" s="62">
        <f t="shared" si="52"/>
        <v>90.371145477710868</v>
      </c>
      <c r="T189" s="62">
        <f t="shared" si="52"/>
        <v>93.680311238032559</v>
      </c>
      <c r="U189" s="62">
        <f t="shared" si="52"/>
        <v>91.067228749846763</v>
      </c>
      <c r="V189" s="62">
        <f t="shared" si="52"/>
        <v>93.126444492237312</v>
      </c>
    </row>
    <row r="190" spans="3:22" x14ac:dyDescent="0.2">
      <c r="C190" s="87" t="s">
        <v>143</v>
      </c>
      <c r="D190" s="60" t="str">
        <f t="shared" ref="D190:V190" si="53">+IFERROR(IF(D151&gt;0,+((D151/D33)*100)," "),"")</f>
        <v xml:space="preserve"> </v>
      </c>
      <c r="E190" s="60" t="str">
        <f t="shared" si="53"/>
        <v xml:space="preserve"> </v>
      </c>
      <c r="F190" s="60" t="str">
        <f t="shared" si="53"/>
        <v xml:space="preserve"> </v>
      </c>
      <c r="G190" s="60" t="str">
        <f t="shared" si="53"/>
        <v xml:space="preserve"> </v>
      </c>
      <c r="H190" s="60" t="str">
        <f t="shared" si="53"/>
        <v xml:space="preserve"> </v>
      </c>
      <c r="I190" s="60" t="str">
        <f t="shared" si="53"/>
        <v xml:space="preserve"> </v>
      </c>
      <c r="J190" s="60" t="str">
        <f t="shared" si="53"/>
        <v xml:space="preserve"> </v>
      </c>
      <c r="K190" s="60" t="str">
        <f t="shared" si="53"/>
        <v xml:space="preserve"> </v>
      </c>
      <c r="L190" s="60" t="str">
        <f t="shared" si="53"/>
        <v xml:space="preserve"> </v>
      </c>
      <c r="M190" s="60" t="str">
        <f t="shared" si="53"/>
        <v xml:space="preserve"> </v>
      </c>
      <c r="N190" s="60" t="str">
        <f t="shared" si="53"/>
        <v xml:space="preserve"> </v>
      </c>
      <c r="O190" s="60" t="str">
        <f t="shared" si="53"/>
        <v xml:space="preserve"> </v>
      </c>
      <c r="P190" s="60" t="str">
        <f t="shared" si="53"/>
        <v xml:space="preserve"> </v>
      </c>
      <c r="Q190" s="60" t="str">
        <f t="shared" si="53"/>
        <v xml:space="preserve"> </v>
      </c>
      <c r="R190" s="60" t="str">
        <f t="shared" si="53"/>
        <v xml:space="preserve"> </v>
      </c>
      <c r="S190" s="60" t="str">
        <f t="shared" si="53"/>
        <v xml:space="preserve"> </v>
      </c>
      <c r="T190" s="60" t="str">
        <f t="shared" si="53"/>
        <v xml:space="preserve"> </v>
      </c>
      <c r="U190" s="60" t="str">
        <f t="shared" si="53"/>
        <v xml:space="preserve"> </v>
      </c>
      <c r="V190" s="60" t="str">
        <f t="shared" si="53"/>
        <v xml:space="preserve"> </v>
      </c>
    </row>
    <row r="191" spans="3:22" x14ac:dyDescent="0.2">
      <c r="C191" s="88" t="s">
        <v>144</v>
      </c>
      <c r="D191" s="62" t="str">
        <f t="shared" ref="D191:V191" si="54">+IFERROR(IF(D152&gt;0,+((D152/D34)*100)," "),"")</f>
        <v xml:space="preserve"> </v>
      </c>
      <c r="E191" s="62" t="str">
        <f t="shared" si="54"/>
        <v xml:space="preserve"> </v>
      </c>
      <c r="F191" s="62" t="str">
        <f t="shared" si="54"/>
        <v xml:space="preserve"> </v>
      </c>
      <c r="G191" s="62" t="str">
        <f t="shared" si="54"/>
        <v xml:space="preserve"> </v>
      </c>
      <c r="H191" s="62" t="str">
        <f t="shared" si="54"/>
        <v xml:space="preserve"> </v>
      </c>
      <c r="I191" s="62" t="str">
        <f t="shared" si="54"/>
        <v xml:space="preserve"> </v>
      </c>
      <c r="J191" s="62" t="str">
        <f t="shared" si="54"/>
        <v xml:space="preserve"> </v>
      </c>
      <c r="K191" s="62" t="str">
        <f t="shared" si="54"/>
        <v xml:space="preserve"> </v>
      </c>
      <c r="L191" s="62" t="str">
        <f t="shared" si="54"/>
        <v xml:space="preserve"> </v>
      </c>
      <c r="M191" s="62" t="str">
        <f t="shared" si="54"/>
        <v xml:space="preserve"> </v>
      </c>
      <c r="N191" s="62" t="str">
        <f t="shared" si="54"/>
        <v xml:space="preserve"> </v>
      </c>
      <c r="O191" s="62" t="str">
        <f t="shared" si="54"/>
        <v xml:space="preserve"> </v>
      </c>
      <c r="P191" s="62" t="str">
        <f t="shared" si="54"/>
        <v xml:space="preserve"> </v>
      </c>
      <c r="Q191" s="62" t="str">
        <f t="shared" si="54"/>
        <v xml:space="preserve"> </v>
      </c>
      <c r="R191" s="62" t="str">
        <f t="shared" si="54"/>
        <v xml:space="preserve"> </v>
      </c>
      <c r="S191" s="62" t="str">
        <f t="shared" si="54"/>
        <v xml:space="preserve"> </v>
      </c>
      <c r="T191" s="62" t="str">
        <f t="shared" si="54"/>
        <v xml:space="preserve"> </v>
      </c>
      <c r="U191" s="62" t="str">
        <f t="shared" si="54"/>
        <v xml:space="preserve"> </v>
      </c>
      <c r="V191" s="62" t="str">
        <f t="shared" si="54"/>
        <v xml:space="preserve"> </v>
      </c>
    </row>
    <row r="192" spans="3:22" x14ac:dyDescent="0.2">
      <c r="C192" s="87" t="s">
        <v>145</v>
      </c>
      <c r="D192" s="60">
        <f t="shared" ref="D192:V192" si="55">+IFERROR(IF(D153&gt;0,+((D153/D35)*100)," "),"")</f>
        <v>92.124618784133844</v>
      </c>
      <c r="E192" s="60">
        <f t="shared" si="55"/>
        <v>63.579667464103629</v>
      </c>
      <c r="F192" s="60">
        <f t="shared" si="55"/>
        <v>85.993807713900239</v>
      </c>
      <c r="G192" s="60">
        <f t="shared" si="55"/>
        <v>72.178244943405261</v>
      </c>
      <c r="H192" s="60">
        <f t="shared" si="55"/>
        <v>52.846357117043887</v>
      </c>
      <c r="I192" s="60">
        <f t="shared" si="55"/>
        <v>80.132751988233821</v>
      </c>
      <c r="J192" s="60">
        <f t="shared" si="55"/>
        <v>61.132587686446172</v>
      </c>
      <c r="K192" s="60">
        <f t="shared" si="55"/>
        <v>76.804955378376789</v>
      </c>
      <c r="L192" s="60">
        <f t="shared" si="55"/>
        <v>65.997679648697769</v>
      </c>
      <c r="M192" s="60">
        <f t="shared" si="55"/>
        <v>75.37238217415667</v>
      </c>
      <c r="N192" s="60">
        <f t="shared" si="55"/>
        <v>82.556231098293338</v>
      </c>
      <c r="O192" s="60">
        <f t="shared" si="55"/>
        <v>83.304709233819779</v>
      </c>
      <c r="P192" s="60">
        <f t="shared" si="55"/>
        <v>84.744258421839888</v>
      </c>
      <c r="Q192" s="60">
        <f t="shared" si="55"/>
        <v>92.495607840135236</v>
      </c>
      <c r="R192" s="60">
        <f t="shared" si="55"/>
        <v>90.383902535239415</v>
      </c>
      <c r="S192" s="60">
        <f t="shared" si="55"/>
        <v>94.814110492812276</v>
      </c>
      <c r="T192" s="60">
        <f t="shared" si="55"/>
        <v>97.039745421370782</v>
      </c>
      <c r="U192" s="60">
        <f t="shared" si="55"/>
        <v>98.651303876001478</v>
      </c>
      <c r="V192" s="60">
        <f t="shared" si="55"/>
        <v>92.723799544562866</v>
      </c>
    </row>
    <row r="193" spans="3:22" x14ac:dyDescent="0.2">
      <c r="C193" s="88" t="s">
        <v>146</v>
      </c>
      <c r="D193" s="62">
        <f t="shared" ref="D193:V193" si="56">+IFERROR(IF(D154&gt;0,+((D154/D36)*100)," "),"")</f>
        <v>97.923862303007013</v>
      </c>
      <c r="E193" s="62">
        <f t="shared" si="56"/>
        <v>91.169109024689163</v>
      </c>
      <c r="F193" s="62">
        <f t="shared" si="56"/>
        <v>93.91579897760198</v>
      </c>
      <c r="G193" s="62">
        <f t="shared" si="56"/>
        <v>88.072171165338759</v>
      </c>
      <c r="H193" s="62">
        <f t="shared" si="56"/>
        <v>77.940366185840077</v>
      </c>
      <c r="I193" s="62">
        <f t="shared" si="56"/>
        <v>87.506191241143512</v>
      </c>
      <c r="J193" s="62">
        <f t="shared" si="56"/>
        <v>75.207501673732295</v>
      </c>
      <c r="K193" s="62">
        <f t="shared" si="56"/>
        <v>87.371608358884629</v>
      </c>
      <c r="L193" s="62">
        <f t="shared" si="56"/>
        <v>80.911150770026481</v>
      </c>
      <c r="M193" s="62">
        <f t="shared" si="56"/>
        <v>95.200452595935275</v>
      </c>
      <c r="N193" s="62">
        <f t="shared" si="56"/>
        <v>87.358211960983851</v>
      </c>
      <c r="O193" s="62">
        <f t="shared" si="56"/>
        <v>94.595166893881569</v>
      </c>
      <c r="P193" s="62">
        <f t="shared" si="56"/>
        <v>96.240345771850784</v>
      </c>
      <c r="Q193" s="62">
        <f t="shared" si="56"/>
        <v>98.965344112306198</v>
      </c>
      <c r="R193" s="62">
        <f t="shared" si="56"/>
        <v>98.173804329700147</v>
      </c>
      <c r="S193" s="62">
        <f t="shared" si="56"/>
        <v>98.486807248589415</v>
      </c>
      <c r="T193" s="62">
        <f t="shared" si="56"/>
        <v>99.283313588958421</v>
      </c>
      <c r="U193" s="62">
        <f t="shared" si="56"/>
        <v>96.107367377184303</v>
      </c>
      <c r="V193" s="62">
        <f t="shared" si="56"/>
        <v>81.452249326490133</v>
      </c>
    </row>
    <row r="194" spans="3:22" x14ac:dyDescent="0.2">
      <c r="C194" s="90" t="s">
        <v>147</v>
      </c>
      <c r="D194" s="61">
        <f t="shared" ref="D194:V194" si="57">+IFERROR(IF(D155&gt;0,+((D155/D37)*100)," "),"")</f>
        <v>75.210329888654755</v>
      </c>
      <c r="E194" s="61">
        <f t="shared" si="57"/>
        <v>76.573388901826931</v>
      </c>
      <c r="F194" s="61">
        <f t="shared" si="57"/>
        <v>82.094218386816195</v>
      </c>
      <c r="G194" s="61">
        <f t="shared" si="57"/>
        <v>83.920210090033734</v>
      </c>
      <c r="H194" s="61">
        <f t="shared" si="57"/>
        <v>74.417416370224061</v>
      </c>
      <c r="I194" s="61">
        <f t="shared" si="57"/>
        <v>80.381820195783163</v>
      </c>
      <c r="J194" s="61">
        <f t="shared" si="57"/>
        <v>71.914542655421997</v>
      </c>
      <c r="K194" s="61">
        <f t="shared" si="57"/>
        <v>73.296781350794291</v>
      </c>
      <c r="L194" s="61">
        <f t="shared" si="57"/>
        <v>86.358198526998521</v>
      </c>
      <c r="M194" s="61">
        <f t="shared" si="57"/>
        <v>83.339818086727917</v>
      </c>
      <c r="N194" s="61">
        <f t="shared" si="57"/>
        <v>86.69253969414072</v>
      </c>
      <c r="O194" s="61">
        <f t="shared" si="57"/>
        <v>80.826308213228145</v>
      </c>
      <c r="P194" s="61">
        <f t="shared" si="57"/>
        <v>89.129931568323869</v>
      </c>
      <c r="Q194" s="61">
        <f t="shared" si="57"/>
        <v>75.261184454579137</v>
      </c>
      <c r="R194" s="61">
        <f t="shared" si="57"/>
        <v>83.607985238575907</v>
      </c>
      <c r="S194" s="61">
        <f t="shared" si="57"/>
        <v>90.257150654351989</v>
      </c>
      <c r="T194" s="61">
        <f t="shared" si="57"/>
        <v>91.783561367243209</v>
      </c>
      <c r="U194" s="61">
        <f t="shared" si="57"/>
        <v>92.368758022223389</v>
      </c>
      <c r="V194" s="61">
        <f t="shared" si="57"/>
        <v>85.791767067088585</v>
      </c>
    </row>
    <row r="195" spans="3:22" ht="22.5" customHeight="1" x14ac:dyDescent="0.2">
      <c r="C195" s="89" t="s">
        <v>148</v>
      </c>
      <c r="D195" s="63" t="str">
        <f t="shared" ref="D195:V195" si="58">+IFERROR(IF(D156&gt;0,+((D156/D38)*100)," "),"")</f>
        <v xml:space="preserve"> </v>
      </c>
      <c r="E195" s="63" t="str">
        <f t="shared" si="58"/>
        <v xml:space="preserve"> </v>
      </c>
      <c r="F195" s="63" t="str">
        <f t="shared" si="58"/>
        <v xml:space="preserve"> </v>
      </c>
      <c r="G195" s="63" t="str">
        <f t="shared" si="58"/>
        <v xml:space="preserve"> </v>
      </c>
      <c r="H195" s="63" t="str">
        <f t="shared" si="58"/>
        <v xml:space="preserve"> </v>
      </c>
      <c r="I195" s="63" t="str">
        <f t="shared" si="58"/>
        <v xml:space="preserve"> </v>
      </c>
      <c r="J195" s="63" t="str">
        <f t="shared" si="58"/>
        <v xml:space="preserve"> </v>
      </c>
      <c r="K195" s="63" t="str">
        <f t="shared" si="58"/>
        <v xml:space="preserve"> </v>
      </c>
      <c r="L195" s="63" t="str">
        <f t="shared" si="58"/>
        <v xml:space="preserve"> </v>
      </c>
      <c r="M195" s="63" t="str">
        <f t="shared" si="58"/>
        <v xml:space="preserve"> </v>
      </c>
      <c r="N195" s="63" t="str">
        <f t="shared" si="58"/>
        <v xml:space="preserve"> </v>
      </c>
      <c r="O195" s="63" t="str">
        <f t="shared" si="58"/>
        <v xml:space="preserve"> </v>
      </c>
      <c r="P195" s="63" t="str">
        <f t="shared" si="58"/>
        <v xml:space="preserve"> </v>
      </c>
      <c r="Q195" s="63" t="str">
        <f t="shared" si="58"/>
        <v xml:space="preserve"> </v>
      </c>
      <c r="R195" s="63" t="str">
        <f t="shared" si="58"/>
        <v xml:space="preserve"> </v>
      </c>
      <c r="S195" s="63" t="str">
        <f t="shared" si="58"/>
        <v xml:space="preserve"> </v>
      </c>
      <c r="T195" s="63" t="str">
        <f t="shared" si="58"/>
        <v xml:space="preserve"> </v>
      </c>
      <c r="U195" s="63" t="str">
        <f t="shared" si="58"/>
        <v xml:space="preserve"> </v>
      </c>
      <c r="V195" s="63" t="str">
        <f t="shared" si="58"/>
        <v xml:space="preserve"> </v>
      </c>
    </row>
    <row r="196" spans="3:22" x14ac:dyDescent="0.2">
      <c r="C196" s="87" t="s">
        <v>149</v>
      </c>
      <c r="D196" s="60">
        <f t="shared" ref="D196:V196" si="59">+IFERROR(IF(D157&gt;0,+((D157/D39)*100)," "),"")</f>
        <v>35.835064271284729</v>
      </c>
      <c r="E196" s="60">
        <f t="shared" si="59"/>
        <v>37.457455828316633</v>
      </c>
      <c r="F196" s="60">
        <f t="shared" si="59"/>
        <v>42.007833001388974</v>
      </c>
      <c r="G196" s="60">
        <f t="shared" si="59"/>
        <v>55.128721380219382</v>
      </c>
      <c r="H196" s="60">
        <f t="shared" si="59"/>
        <v>49.023941667603829</v>
      </c>
      <c r="I196" s="60">
        <f t="shared" si="59"/>
        <v>4.4267655644313928</v>
      </c>
      <c r="J196" s="60">
        <f t="shared" si="59"/>
        <v>45.556219788685191</v>
      </c>
      <c r="K196" s="60">
        <f t="shared" si="59"/>
        <v>48.013050373105905</v>
      </c>
      <c r="L196" s="60">
        <f t="shared" si="59"/>
        <v>57.58455340997061</v>
      </c>
      <c r="M196" s="60">
        <f t="shared" si="59"/>
        <v>61.5938772418979</v>
      </c>
      <c r="N196" s="60">
        <f t="shared" si="59"/>
        <v>68.230802074725489</v>
      </c>
      <c r="O196" s="60">
        <f t="shared" si="59"/>
        <v>69.72511404101806</v>
      </c>
      <c r="P196" s="60">
        <f t="shared" si="59"/>
        <v>98.466124291911825</v>
      </c>
      <c r="Q196" s="60">
        <f t="shared" si="59"/>
        <v>73.236606431766916</v>
      </c>
      <c r="R196" s="60">
        <f t="shared" si="59"/>
        <v>82.088228811233705</v>
      </c>
      <c r="S196" s="60">
        <f t="shared" si="59"/>
        <v>85.405629982501736</v>
      </c>
      <c r="T196" s="60">
        <f t="shared" si="59"/>
        <v>91.64286574007896</v>
      </c>
      <c r="U196" s="60">
        <f t="shared" si="59"/>
        <v>97.221408255547104</v>
      </c>
      <c r="V196" s="60">
        <f t="shared" si="59"/>
        <v>78.183450240836322</v>
      </c>
    </row>
    <row r="197" spans="3:22" x14ac:dyDescent="0.2">
      <c r="C197" s="88" t="s">
        <v>150</v>
      </c>
      <c r="D197" s="62">
        <f t="shared" ref="D197:V197" si="60">+IFERROR(IF(D158&gt;0,+((D158/D40)*100)," "),"")</f>
        <v>96.770403179155423</v>
      </c>
      <c r="E197" s="62">
        <f t="shared" si="60"/>
        <v>91.577766534121523</v>
      </c>
      <c r="F197" s="62">
        <f t="shared" si="60"/>
        <v>91.606372806803108</v>
      </c>
      <c r="G197" s="62">
        <f t="shared" si="60"/>
        <v>94.391354836426828</v>
      </c>
      <c r="H197" s="62">
        <f t="shared" si="60"/>
        <v>95.328312078975145</v>
      </c>
      <c r="I197" s="62">
        <f t="shared" si="60"/>
        <v>95.603673080763272</v>
      </c>
      <c r="J197" s="62">
        <f t="shared" si="60"/>
        <v>90.562916867173399</v>
      </c>
      <c r="K197" s="62">
        <f t="shared" si="60"/>
        <v>87.060510652522723</v>
      </c>
      <c r="L197" s="62">
        <f t="shared" si="60"/>
        <v>83.361904981088671</v>
      </c>
      <c r="M197" s="62">
        <f t="shared" si="60"/>
        <v>83.964970326790279</v>
      </c>
      <c r="N197" s="62">
        <f t="shared" si="60"/>
        <v>93.188634848833445</v>
      </c>
      <c r="O197" s="62">
        <f t="shared" si="60"/>
        <v>85.185446141331582</v>
      </c>
      <c r="P197" s="62">
        <f t="shared" si="60"/>
        <v>94.734067422673334</v>
      </c>
      <c r="Q197" s="62">
        <f t="shared" si="60"/>
        <v>89.566421337407235</v>
      </c>
      <c r="R197" s="62">
        <f t="shared" si="60"/>
        <v>94.46478376481619</v>
      </c>
      <c r="S197" s="62">
        <f t="shared" si="60"/>
        <v>96.780679953287958</v>
      </c>
      <c r="T197" s="62">
        <f t="shared" si="60"/>
        <v>94.507056957971614</v>
      </c>
      <c r="U197" s="62">
        <f t="shared" si="60"/>
        <v>89.915730773339902</v>
      </c>
      <c r="V197" s="62">
        <f t="shared" si="60"/>
        <v>94.756414835545016</v>
      </c>
    </row>
    <row r="198" spans="3:22" x14ac:dyDescent="0.2">
      <c r="C198" s="87" t="s">
        <v>151</v>
      </c>
      <c r="D198" s="60">
        <f t="shared" ref="D198:V198" si="61">+IFERROR(IF(D159&gt;0,+((D159/D41)*100)," "),"")</f>
        <v>87.625342791752104</v>
      </c>
      <c r="E198" s="60">
        <f t="shared" si="61"/>
        <v>75.181704125230695</v>
      </c>
      <c r="F198" s="60">
        <f t="shared" si="61"/>
        <v>53.033729211189055</v>
      </c>
      <c r="G198" s="60">
        <f t="shared" si="61"/>
        <v>46.777545768732807</v>
      </c>
      <c r="H198" s="60">
        <f t="shared" si="61"/>
        <v>44.089308103061313</v>
      </c>
      <c r="I198" s="60">
        <f t="shared" si="61"/>
        <v>81.710681984632771</v>
      </c>
      <c r="J198" s="60">
        <f t="shared" si="61"/>
        <v>45.280045729505524</v>
      </c>
      <c r="K198" s="60">
        <f t="shared" si="61"/>
        <v>56.29212552312972</v>
      </c>
      <c r="L198" s="60" t="str">
        <f t="shared" si="61"/>
        <v xml:space="preserve"> </v>
      </c>
      <c r="M198" s="60" t="str">
        <f t="shared" si="61"/>
        <v xml:space="preserve"> </v>
      </c>
      <c r="N198" s="60" t="str">
        <f t="shared" si="61"/>
        <v xml:space="preserve"> </v>
      </c>
      <c r="O198" s="60" t="str">
        <f t="shared" si="61"/>
        <v xml:space="preserve"> </v>
      </c>
      <c r="P198" s="60" t="str">
        <f t="shared" si="61"/>
        <v xml:space="preserve"> </v>
      </c>
      <c r="Q198" s="60" t="str">
        <f t="shared" si="61"/>
        <v xml:space="preserve"> </v>
      </c>
      <c r="R198" s="60" t="str">
        <f t="shared" si="61"/>
        <v xml:space="preserve"> </v>
      </c>
      <c r="S198" s="60" t="str">
        <f t="shared" si="61"/>
        <v xml:space="preserve"> </v>
      </c>
      <c r="T198" s="60" t="str">
        <f t="shared" si="61"/>
        <v xml:space="preserve"> </v>
      </c>
      <c r="U198" s="60" t="str">
        <f t="shared" si="61"/>
        <v xml:space="preserve"> </v>
      </c>
      <c r="V198" s="60" t="str">
        <f t="shared" si="61"/>
        <v xml:space="preserve"> </v>
      </c>
    </row>
    <row r="199" spans="3:22" x14ac:dyDescent="0.2">
      <c r="C199" s="91" t="s">
        <v>179</v>
      </c>
      <c r="D199" s="64">
        <f t="shared" ref="D199:V199" si="62">+IFERROR(IF(D160&gt;0,+((D160/D42)*100)," "),"")</f>
        <v>79.449599783721979</v>
      </c>
      <c r="E199" s="64">
        <f t="shared" si="62"/>
        <v>76.58091645480927</v>
      </c>
      <c r="F199" s="64">
        <f t="shared" si="62"/>
        <v>78.743843556625109</v>
      </c>
      <c r="G199" s="64">
        <f t="shared" si="62"/>
        <v>79.671929942762759</v>
      </c>
      <c r="H199" s="64">
        <f t="shared" si="62"/>
        <v>85.655760097843256</v>
      </c>
      <c r="I199" s="64">
        <f t="shared" si="62"/>
        <v>89.429824094994004</v>
      </c>
      <c r="J199" s="64">
        <f t="shared" si="62"/>
        <v>72.40185176692134</v>
      </c>
      <c r="K199" s="64">
        <f t="shared" si="62"/>
        <v>81.290268174868004</v>
      </c>
      <c r="L199" s="64">
        <f t="shared" si="62"/>
        <v>83.24590223848503</v>
      </c>
      <c r="M199" s="64">
        <f t="shared" si="62"/>
        <v>80.224357357469231</v>
      </c>
      <c r="N199" s="64">
        <f t="shared" si="62"/>
        <v>86.272473292677105</v>
      </c>
      <c r="O199" s="64">
        <f t="shared" si="62"/>
        <v>84.137071424134049</v>
      </c>
      <c r="P199" s="64">
        <f t="shared" si="62"/>
        <v>84.440042237713115</v>
      </c>
      <c r="Q199" s="64">
        <f t="shared" si="62"/>
        <v>81.477332740610649</v>
      </c>
      <c r="R199" s="64">
        <f t="shared" si="62"/>
        <v>86.203243971770036</v>
      </c>
      <c r="S199" s="64">
        <f t="shared" si="62"/>
        <v>87.747360332174082</v>
      </c>
      <c r="T199" s="64">
        <f t="shared" si="62"/>
        <v>91.157152643956337</v>
      </c>
      <c r="U199" s="64">
        <f t="shared" si="62"/>
        <v>93.280911719467795</v>
      </c>
      <c r="V199" s="64">
        <f t="shared" si="62"/>
        <v>88.916562374495314</v>
      </c>
    </row>
    <row r="200" spans="3:22" x14ac:dyDescent="0.2">
      <c r="C200" s="1" t="s">
        <v>52</v>
      </c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</row>
    <row r="204" spans="3:22" ht="18" customHeight="1" x14ac:dyDescent="0.2">
      <c r="D204" s="160" t="s">
        <v>199</v>
      </c>
      <c r="E204" s="158"/>
      <c r="F204" s="158"/>
      <c r="G204" s="158"/>
      <c r="H204" s="158"/>
      <c r="I204" s="158"/>
      <c r="J204" s="158"/>
      <c r="K204" s="158"/>
      <c r="L204" s="158"/>
      <c r="M204" s="158"/>
      <c r="N204" s="158"/>
      <c r="O204" s="158"/>
      <c r="P204" s="158"/>
      <c r="Q204" s="158"/>
      <c r="R204" s="158"/>
      <c r="S204" s="158"/>
      <c r="T204" s="158"/>
      <c r="U204" s="158"/>
      <c r="V204" s="158"/>
    </row>
    <row r="205" spans="3:22" ht="15.75" customHeight="1" x14ac:dyDescent="0.2"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</row>
    <row r="206" spans="3:22" x14ac:dyDescent="0.2">
      <c r="C206" s="177" t="s">
        <v>120</v>
      </c>
      <c r="D206" s="153">
        <v>2000</v>
      </c>
      <c r="E206" s="153">
        <v>2001</v>
      </c>
      <c r="F206" s="153">
        <v>2002</v>
      </c>
      <c r="G206" s="153">
        <v>2003</v>
      </c>
      <c r="H206" s="153">
        <v>2004</v>
      </c>
      <c r="I206" s="153">
        <v>2005</v>
      </c>
      <c r="J206" s="153">
        <v>2006</v>
      </c>
      <c r="K206" s="153">
        <v>2007</v>
      </c>
      <c r="L206" s="153">
        <v>2008</v>
      </c>
      <c r="M206" s="153">
        <v>2009</v>
      </c>
      <c r="N206" s="153">
        <v>2010</v>
      </c>
      <c r="O206" s="153">
        <v>2011</v>
      </c>
      <c r="P206" s="153">
        <v>2012</v>
      </c>
      <c r="Q206" s="153">
        <v>2013</v>
      </c>
      <c r="R206" s="153">
        <v>2014</v>
      </c>
      <c r="S206" s="153">
        <v>2015</v>
      </c>
      <c r="T206" s="153">
        <v>2016</v>
      </c>
      <c r="U206" s="153">
        <v>2017</v>
      </c>
      <c r="V206" s="153">
        <v>2018</v>
      </c>
    </row>
    <row r="207" spans="3:22" ht="12" customHeight="1" thickBot="1" x14ac:dyDescent="0.25">
      <c r="C207" s="156"/>
      <c r="D207" s="154"/>
      <c r="E207" s="154"/>
      <c r="F207" s="154"/>
      <c r="G207" s="154"/>
      <c r="H207" s="154"/>
      <c r="I207" s="154"/>
      <c r="J207" s="154"/>
      <c r="K207" s="154"/>
      <c r="L207" s="154"/>
      <c r="M207" s="154"/>
      <c r="N207" s="154"/>
      <c r="O207" s="154"/>
      <c r="P207" s="154"/>
      <c r="Q207" s="154"/>
      <c r="R207" s="154"/>
      <c r="S207" s="154"/>
      <c r="T207" s="154"/>
      <c r="U207" s="154"/>
      <c r="V207" s="154"/>
    </row>
    <row r="208" spans="3:22" x14ac:dyDescent="0.2">
      <c r="C208" s="87" t="s">
        <v>123</v>
      </c>
      <c r="D208" s="56">
        <f>12.6082097435*Deflactores!$A$5</f>
        <v>45.774850978819643</v>
      </c>
      <c r="E208" s="56">
        <f>5.6994505455*Deflactores!$B$5</f>
        <v>19.222032707319922</v>
      </c>
      <c r="F208" s="56">
        <f>9.103078749*Deflactores!$C$5</f>
        <v>28.694850339130568</v>
      </c>
      <c r="G208" s="56">
        <f>6.499478341*Deflactores!$D$5</f>
        <v>19.238879934585601</v>
      </c>
      <c r="H208" s="56">
        <f>3.381176139*Deflactores!$E$5</f>
        <v>9.4870030415154876</v>
      </c>
      <c r="I208" s="56">
        <f>4.126101823*Deflactores!$F$5</f>
        <v>11.041074893821699</v>
      </c>
      <c r="J208" s="56">
        <f>9.080679031*Deflactores!$G$5</f>
        <v>23.25761109285521</v>
      </c>
      <c r="K208" s="56">
        <f>4.089556098*Deflactores!$H$5</f>
        <v>9.9099330286478509</v>
      </c>
      <c r="L208" s="56">
        <f>6.144397663*Deflactores!$I$5</f>
        <v>13.828068426059513</v>
      </c>
      <c r="M208" s="56">
        <f>6.134787121*Deflactores!$J$5</f>
        <v>13.535485314685392</v>
      </c>
      <c r="N208" s="56">
        <f>6.193886111*Deflactores!$K$5</f>
        <v>13.24582384075198</v>
      </c>
      <c r="O208" s="56">
        <f>5.80756719420999*Deflactores!$L$5</f>
        <v>11.97345547233337</v>
      </c>
      <c r="P208" s="56">
        <f>6.28947374928*Deflactores!$M$5</f>
        <v>12.658143044366817</v>
      </c>
      <c r="Q208" s="56">
        <f>12.03369684887*Deflactores!$N$5</f>
        <v>23.758013658891787</v>
      </c>
      <c r="R208" s="56">
        <f>14.191024809*Deflactores!$O$5</f>
        <v>27.027981678566338</v>
      </c>
      <c r="S208" s="56">
        <f>11.53214578222*Deflactores!$P$5</f>
        <v>20.57125263012675</v>
      </c>
      <c r="T208" s="56">
        <f>10.17973956555*Deflactores!$Q$5</f>
        <v>17.171447449819674</v>
      </c>
      <c r="U208" s="56">
        <f>7.97963345122*Deflactores!$R$5</f>
        <v>12.931359082455634</v>
      </c>
      <c r="V208" s="56">
        <f>8.64939214389*Deflactores!$S$5</f>
        <v>13.584738823481331</v>
      </c>
    </row>
    <row r="209" spans="3:22" x14ac:dyDescent="0.2">
      <c r="C209" s="88" t="s">
        <v>124</v>
      </c>
      <c r="D209" s="57">
        <f>0*Deflactores!$A$5</f>
        <v>0</v>
      </c>
      <c r="E209" s="57">
        <f>0*Deflactores!$B$5</f>
        <v>0</v>
      </c>
      <c r="F209" s="57">
        <f>0*Deflactores!$C$5</f>
        <v>0</v>
      </c>
      <c r="G209" s="57">
        <f>0*Deflactores!$D$5</f>
        <v>0</v>
      </c>
      <c r="H209" s="57">
        <f>0*Deflactores!$E$5</f>
        <v>0</v>
      </c>
      <c r="I209" s="57">
        <f>0*Deflactores!$F$5</f>
        <v>0</v>
      </c>
      <c r="J209" s="57">
        <f>0*Deflactores!$G$5</f>
        <v>0</v>
      </c>
      <c r="K209" s="57">
        <f>0*Deflactores!$H$5</f>
        <v>0</v>
      </c>
      <c r="L209" s="57">
        <f>0*Deflactores!$I$5</f>
        <v>0</v>
      </c>
      <c r="M209" s="57">
        <f>0*Deflactores!$J$5</f>
        <v>0</v>
      </c>
      <c r="N209" s="57">
        <f>0*Deflactores!$K$5</f>
        <v>0</v>
      </c>
      <c r="O209" s="57">
        <f>0*Deflactores!$L$5</f>
        <v>0</v>
      </c>
      <c r="P209" s="57">
        <f>6.03270861587*Deflactores!$M$5</f>
        <v>12.141379652535859</v>
      </c>
      <c r="Q209" s="57">
        <f>18.2035166180899*Deflactores!$N$5</f>
        <v>35.93903036480885</v>
      </c>
      <c r="R209" s="57">
        <f>19.00120064863*Deflactores!$O$5</f>
        <v>36.189359818202149</v>
      </c>
      <c r="S209" s="57">
        <f>20.301550801*Deflactores!$P$5</f>
        <v>36.214277741321389</v>
      </c>
      <c r="T209" s="57">
        <f>24.515086158*Deflactores!$Q$5</f>
        <v>41.352680093555485</v>
      </c>
      <c r="U209" s="57">
        <f>23.65193715485*Deflactores!$R$5</f>
        <v>38.329040326818273</v>
      </c>
      <c r="V209" s="57">
        <f>29.578129214*Deflactores!$S$5</f>
        <v>46.45542178859538</v>
      </c>
    </row>
    <row r="210" spans="3:22" x14ac:dyDescent="0.2">
      <c r="C210" s="87" t="s">
        <v>125</v>
      </c>
      <c r="D210" s="56">
        <f>1.142020384*Deflactores!$A$5</f>
        <v>4.146172530110749</v>
      </c>
      <c r="E210" s="56">
        <f>1.450197159*Deflactores!$B$5</f>
        <v>4.8909516803106063</v>
      </c>
      <c r="F210" s="56">
        <f>1.580813496*Deflactores!$C$5</f>
        <v>4.9830620971812243</v>
      </c>
      <c r="G210" s="56">
        <f>1.37947261233999*Deflactores!$D$5</f>
        <v>4.0833289334071221</v>
      </c>
      <c r="H210" s="56">
        <f>1.24617780736*Deflactores!$E$5</f>
        <v>3.4965621909865909</v>
      </c>
      <c r="I210" s="56">
        <f>1.3048335992*Deflactores!$F$5</f>
        <v>3.491616569526943</v>
      </c>
      <c r="J210" s="56">
        <f>1.620271431*Deflactores!$G$5</f>
        <v>4.1498705854943223</v>
      </c>
      <c r="K210" s="56">
        <f>1.432982987*Deflactores!$H$5</f>
        <v>3.4724466646408509</v>
      </c>
      <c r="L210" s="56">
        <f>2.33281676875*Deflactores!$I$5</f>
        <v>5.2500426686224468</v>
      </c>
      <c r="M210" s="56">
        <f>2.34608966398*Deflactores!$J$5</f>
        <v>5.1762940697704574</v>
      </c>
      <c r="N210" s="56">
        <f>0*Deflactores!$K$5</f>
        <v>0</v>
      </c>
      <c r="O210" s="56">
        <f>0*Deflactores!$L$5</f>
        <v>0</v>
      </c>
      <c r="P210" s="56">
        <f>0*Deflactores!$M$5</f>
        <v>0</v>
      </c>
      <c r="Q210" s="56">
        <f>0*Deflactores!$N$5</f>
        <v>0</v>
      </c>
      <c r="R210" s="56">
        <f>0*Deflactores!$O$5</f>
        <v>0</v>
      </c>
      <c r="S210" s="56">
        <f>0*Deflactores!$P$5</f>
        <v>0</v>
      </c>
      <c r="T210" s="56">
        <f>0*Deflactores!$Q$5</f>
        <v>0</v>
      </c>
      <c r="U210" s="56">
        <f>0*Deflactores!$R$5</f>
        <v>0</v>
      </c>
      <c r="V210" s="56">
        <f>0*Deflactores!$S$5</f>
        <v>0</v>
      </c>
    </row>
    <row r="211" spans="3:22" x14ac:dyDescent="0.2">
      <c r="C211" s="88" t="s">
        <v>126</v>
      </c>
      <c r="D211" s="57">
        <f>34.50924641438*Deflactores!$A$5</f>
        <v>125.28785958878753</v>
      </c>
      <c r="E211" s="57">
        <f>33.423653107*Deflactores!$B$5</f>
        <v>112.72499832955504</v>
      </c>
      <c r="F211" s="57">
        <f>35.82978882*Deflactores!$C$5</f>
        <v>112.94315431309398</v>
      </c>
      <c r="G211" s="57">
        <f>35.938030937*Deflactores!$D$5</f>
        <v>106.37891627714649</v>
      </c>
      <c r="H211" s="57">
        <f>36.473777768*Deflactores!$E$5</f>
        <v>102.33919393590514</v>
      </c>
      <c r="I211" s="57">
        <f>43.440416327*Deflactores!$F$5</f>
        <v>116.24262091924676</v>
      </c>
      <c r="J211" s="57">
        <f>46.325863879*Deflactores!$G$5</f>
        <v>118.65070023509908</v>
      </c>
      <c r="K211" s="57">
        <f>51.412360131*Deflactores!$H$5</f>
        <v>124.58394836351621</v>
      </c>
      <c r="L211" s="57">
        <f>76.5782394062*Deflactores!$I$5</f>
        <v>172.34059260726278</v>
      </c>
      <c r="M211" s="57">
        <f>83.87282128425*Deflactores!$J$5</f>
        <v>185.05276848288511</v>
      </c>
      <c r="N211" s="57">
        <f>92.75336969705*Deflactores!$K$5</f>
        <v>198.35605202061279</v>
      </c>
      <c r="O211" s="57">
        <f>86.6944450143299*Deflactores!$L$5</f>
        <v>178.73785052588403</v>
      </c>
      <c r="P211" s="57">
        <f>119.35233845626*Deflactores!$M$5</f>
        <v>240.20753294851912</v>
      </c>
      <c r="Q211" s="57">
        <f>138.95179852356*Deflactores!$N$5</f>
        <v>274.33121913490055</v>
      </c>
      <c r="R211" s="57">
        <f>157.79805960078*Deflactores!$O$5</f>
        <v>300.53946922130285</v>
      </c>
      <c r="S211" s="57">
        <f>166.72101500427*Deflactores!$P$5</f>
        <v>297.39999677178571</v>
      </c>
      <c r="T211" s="57">
        <f>175.95718118851*Deflactores!$Q$5</f>
        <v>296.80911488364319</v>
      </c>
      <c r="U211" s="57">
        <f>180.78444063622*Deflactores!$R$5</f>
        <v>292.96941177547728</v>
      </c>
      <c r="V211" s="57">
        <f>187.347886535229*Deflactores!$S$5</f>
        <v>294.24866688581812</v>
      </c>
    </row>
    <row r="212" spans="3:22" x14ac:dyDescent="0.2">
      <c r="C212" s="87" t="s">
        <v>127</v>
      </c>
      <c r="D212" s="56">
        <f>0*Deflactores!$A$5</f>
        <v>0</v>
      </c>
      <c r="E212" s="56">
        <f>0*Deflactores!$B$5</f>
        <v>0</v>
      </c>
      <c r="F212" s="56">
        <f>0*Deflactores!$C$5</f>
        <v>0</v>
      </c>
      <c r="G212" s="56">
        <f>0*Deflactores!$D$5</f>
        <v>0</v>
      </c>
      <c r="H212" s="56">
        <f>0*Deflactores!$E$5</f>
        <v>0</v>
      </c>
      <c r="I212" s="56">
        <f>0*Deflactores!$F$5</f>
        <v>0</v>
      </c>
      <c r="J212" s="56">
        <f>0*Deflactores!$G$5</f>
        <v>0</v>
      </c>
      <c r="K212" s="56">
        <f>0*Deflactores!$H$5</f>
        <v>0</v>
      </c>
      <c r="L212" s="56">
        <f>0*Deflactores!$I$5</f>
        <v>0</v>
      </c>
      <c r="M212" s="56">
        <f>0*Deflactores!$J$5</f>
        <v>0</v>
      </c>
      <c r="N212" s="56">
        <f>0*Deflactores!$K$5</f>
        <v>0</v>
      </c>
      <c r="O212" s="56">
        <f>0*Deflactores!$L$5</f>
        <v>0</v>
      </c>
      <c r="P212" s="56">
        <f>0*Deflactores!$M$5</f>
        <v>0</v>
      </c>
      <c r="Q212" s="56">
        <f>0*Deflactores!$N$5</f>
        <v>0</v>
      </c>
      <c r="R212" s="56">
        <f>0*Deflactores!$O$5</f>
        <v>0</v>
      </c>
      <c r="S212" s="56">
        <f>0*Deflactores!$P$5</f>
        <v>0</v>
      </c>
      <c r="T212" s="56">
        <f>0*Deflactores!$Q$5</f>
        <v>0</v>
      </c>
      <c r="U212" s="56">
        <f>0*Deflactores!$R$5</f>
        <v>0</v>
      </c>
      <c r="V212" s="56">
        <f>0*Deflactores!$S$5</f>
        <v>0</v>
      </c>
    </row>
    <row r="213" spans="3:22" x14ac:dyDescent="0.2">
      <c r="C213" s="88" t="s">
        <v>128</v>
      </c>
      <c r="D213" s="57">
        <f>0.50575862*Deflactores!$A$5</f>
        <v>1.8361865746791441</v>
      </c>
      <c r="E213" s="57">
        <f>0.56435017131*Deflactores!$B$5</f>
        <v>1.9033339029263834</v>
      </c>
      <c r="F213" s="57">
        <f>0.437075431*Deflactores!$C$5</f>
        <v>1.3777551996717314</v>
      </c>
      <c r="G213" s="57">
        <f>0.30070527*Deflactores!$D$5</f>
        <v>0.89010721810283611</v>
      </c>
      <c r="H213" s="57">
        <f>0.3700221456*Deflactores!$E$5</f>
        <v>1.0382189736419665</v>
      </c>
      <c r="I213" s="57">
        <f>0.456210892*Deflactores!$F$5</f>
        <v>1.2207790408543204</v>
      </c>
      <c r="J213" s="57">
        <f>0.594173916*Deflactores!$G$5</f>
        <v>1.5218097471203109</v>
      </c>
      <c r="K213" s="57">
        <f>1.296826896*Deflactores!$H$5</f>
        <v>3.142509206657977</v>
      </c>
      <c r="L213" s="57">
        <f>1.49617337*Deflactores!$I$5</f>
        <v>3.3671628811060001</v>
      </c>
      <c r="M213" s="57">
        <f>1.89512047*Deflactores!$J$5</f>
        <v>4.1812983540109183</v>
      </c>
      <c r="N213" s="57">
        <f>1.84380936*Deflactores!$K$5</f>
        <v>3.9430453742305902</v>
      </c>
      <c r="O213" s="57">
        <f>1.81237722*Deflactores!$L$5</f>
        <v>3.7365763007229869</v>
      </c>
      <c r="P213" s="57">
        <f>2.01278819251*Deflactores!$M$5</f>
        <v>4.0509209314564316</v>
      </c>
      <c r="Q213" s="57">
        <f>2.42431394014*Deflactores!$N$5</f>
        <v>4.7863000395174824</v>
      </c>
      <c r="R213" s="57">
        <f>2.8592637408*Deflactores!$O$5</f>
        <v>5.4457045238565227</v>
      </c>
      <c r="S213" s="57">
        <f>2.38869962088*Deflactores!$P$5</f>
        <v>4.2610060856472316</v>
      </c>
      <c r="T213" s="57">
        <f>2.93212989186*Deflactores!$Q$5</f>
        <v>4.9459923831950343</v>
      </c>
      <c r="U213" s="57">
        <f>3.71425983083*Deflactores!$R$5</f>
        <v>6.0191270553486786</v>
      </c>
      <c r="V213" s="57">
        <f>3.03159534269999*Deflactores!$S$5</f>
        <v>4.761424879799681</v>
      </c>
    </row>
    <row r="214" spans="3:22" x14ac:dyDescent="0.2">
      <c r="C214" s="87" t="s">
        <v>129</v>
      </c>
      <c r="D214" s="56">
        <f>467.44202626371*Deflactores!$A$5</f>
        <v>1697.0759155152712</v>
      </c>
      <c r="E214" s="56">
        <f>604.7744822923*Deflactores!$B$5</f>
        <v>2039.6694008255893</v>
      </c>
      <c r="F214" s="56">
        <f>643.93354957902*Deflactores!$C$5</f>
        <v>2029.8162130636197</v>
      </c>
      <c r="G214" s="56">
        <f>765.05560261443*Deflactores!$D$5</f>
        <v>2264.6144982331675</v>
      </c>
      <c r="H214" s="56">
        <f>788.68645471203*Deflactores!$E$5</f>
        <v>2212.9195543382766</v>
      </c>
      <c r="I214" s="56">
        <f>904.74869904569*Deflactores!$F$5</f>
        <v>2421.0256011055335</v>
      </c>
      <c r="J214" s="56">
        <f>718.497046467749*Deflactores!$G$5</f>
        <v>1840.2285579156514</v>
      </c>
      <c r="K214" s="56">
        <f>949.249635101549*Deflactores!$H$5</f>
        <v>2300.2497302641868</v>
      </c>
      <c r="L214" s="56">
        <f>1036.83449187328*Deflactores!$I$5</f>
        <v>2333.4131490965578</v>
      </c>
      <c r="M214" s="56">
        <f>1237.69709224681*Deflactores!$J$5</f>
        <v>2730.7925255937353</v>
      </c>
      <c r="N214" s="56">
        <f>1468.42746233246*Deflactores!$K$5</f>
        <v>3140.2791624526576</v>
      </c>
      <c r="O214" s="56">
        <f>1435.37607462864*Deflactores!$L$5</f>
        <v>2959.3134165977685</v>
      </c>
      <c r="P214" s="56">
        <f>1487.43401062475*Deflactores!$M$5</f>
        <v>2993.5974337598132</v>
      </c>
      <c r="Q214" s="56">
        <f>1550.84508257122*Deflactores!$N$5</f>
        <v>3061.8187509029749</v>
      </c>
      <c r="R214" s="56">
        <f>1555.79008900623*Deflactores!$O$5</f>
        <v>2963.1310343906448</v>
      </c>
      <c r="S214" s="56">
        <f>1689.99746255371*Deflactores!$P$5</f>
        <v>3014.6483926751939</v>
      </c>
      <c r="T214" s="56">
        <f>1851.71456493836*Deflactores!$Q$5</f>
        <v>3123.5199229958698</v>
      </c>
      <c r="U214" s="56">
        <f>1888.51246366402*Deflactores!$R$5</f>
        <v>3060.4203750234519</v>
      </c>
      <c r="V214" s="56">
        <f>1679.42034290053*Deflactores!$S$5</f>
        <v>2637.6982744690904</v>
      </c>
    </row>
    <row r="215" spans="3:22" x14ac:dyDescent="0.2">
      <c r="C215" s="88" t="s">
        <v>130</v>
      </c>
      <c r="D215" s="57">
        <f>0.989630488*Deflactores!$A$5</f>
        <v>3.5929120020905816</v>
      </c>
      <c r="E215" s="57">
        <f>0.83378949585*Deflactores!$B$5</f>
        <v>2.8120480794245513</v>
      </c>
      <c r="F215" s="57">
        <f>1.54010826742*Deflactores!$C$5</f>
        <v>4.8547505144376926</v>
      </c>
      <c r="G215" s="57">
        <f>0.983742357059999*Deflactores!$D$5</f>
        <v>2.9119415591639033</v>
      </c>
      <c r="H215" s="57">
        <f>1.48043865177*Deflactores!$E$5</f>
        <v>4.1538581294593353</v>
      </c>
      <c r="I215" s="57">
        <f>1.694636206*Deflactores!$F$5</f>
        <v>4.5346930519091693</v>
      </c>
      <c r="J215" s="57">
        <f>3.02920409623*Deflactores!$G$5</f>
        <v>7.7584562289327863</v>
      </c>
      <c r="K215" s="57">
        <f>3.1189435935*Deflactores!$H$5</f>
        <v>7.5579161627911402</v>
      </c>
      <c r="L215" s="57">
        <f>3.44737295337*Deflactores!$I$5</f>
        <v>7.7583697709552411</v>
      </c>
      <c r="M215" s="57">
        <f>3.3488631271*Deflactores!$J$5</f>
        <v>7.3887629323908293</v>
      </c>
      <c r="N215" s="57">
        <f>3.07297644742*Deflactores!$K$5</f>
        <v>6.571658561337915</v>
      </c>
      <c r="O215" s="57">
        <f>2.08930841197*Deflactores!$L$5</f>
        <v>4.3075250620664285</v>
      </c>
      <c r="P215" s="57">
        <f>0*Deflactores!$M$5</f>
        <v>0</v>
      </c>
      <c r="Q215" s="57">
        <f>0*Deflactores!$N$5</f>
        <v>0</v>
      </c>
      <c r="R215" s="57">
        <f>0*Deflactores!$O$5</f>
        <v>0</v>
      </c>
      <c r="S215" s="57">
        <f>0*Deflactores!$P$5</f>
        <v>0</v>
      </c>
      <c r="T215" s="57">
        <f>0*Deflactores!$Q$5</f>
        <v>0</v>
      </c>
      <c r="U215" s="57">
        <f>0*Deflactores!$R$5</f>
        <v>0</v>
      </c>
      <c r="V215" s="57">
        <f>0*Deflactores!$S$5</f>
        <v>0</v>
      </c>
    </row>
    <row r="216" spans="3:22" x14ac:dyDescent="0.2">
      <c r="C216" s="87" t="s">
        <v>131</v>
      </c>
      <c r="D216" s="56">
        <f>49.68585955566*Deflactores!$A$5</f>
        <v>180.38745096919229</v>
      </c>
      <c r="E216" s="56">
        <f>52.48823874357*Deflactores!$B$5</f>
        <v>177.02243993942892</v>
      </c>
      <c r="F216" s="56">
        <f>58.84999644459*Deflactores!$C$5</f>
        <v>185.50777017296306</v>
      </c>
      <c r="G216" s="56">
        <f>60.52754329027*Deflactores!$D$5</f>
        <v>179.16547713547294</v>
      </c>
      <c r="H216" s="56">
        <f>70.79079810713*Deflactores!$E$5</f>
        <v>198.62689470897485</v>
      </c>
      <c r="I216" s="56">
        <f>45.91322633855*Deflactores!$F$5</f>
        <v>122.85963661758078</v>
      </c>
      <c r="J216" s="56">
        <f>66.6796259750599*Deflactores!$G$5</f>
        <v>170.78115011562176</v>
      </c>
      <c r="K216" s="56">
        <f>42.1491944836999*Deflactores!$H$5</f>
        <v>102.13717199018099</v>
      </c>
      <c r="L216" s="56">
        <f>27.26696899589*Deflactores!$I$5</f>
        <v>61.36476408695134</v>
      </c>
      <c r="M216" s="56">
        <f>29.6609502162*Deflactores!$J$5</f>
        <v>65.442426632327425</v>
      </c>
      <c r="N216" s="56">
        <f>7.29869181578*Deflactores!$K$5</f>
        <v>15.60848622774428</v>
      </c>
      <c r="O216" s="56">
        <f>5.66976045124*Deflactores!$L$5</f>
        <v>11.689339448263343</v>
      </c>
      <c r="P216" s="56">
        <f>8.84448758266*Deflactores!$M$5</f>
        <v>17.800342832856661</v>
      </c>
      <c r="Q216" s="56">
        <f>8.39705543843*Deflactores!$N$5</f>
        <v>16.578226982627115</v>
      </c>
      <c r="R216" s="56">
        <f>11.14250181288*Deflactores!$O$5</f>
        <v>21.221817233447194</v>
      </c>
      <c r="S216" s="56">
        <f>10.0504867117299*Deflactores!$P$5</f>
        <v>17.928242072823235</v>
      </c>
      <c r="T216" s="56">
        <f>11.9507252883499*Deflactores!$Q$5</f>
        <v>20.158791878193206</v>
      </c>
      <c r="U216" s="56">
        <f>11.05721038262*Deflactores!$R$5</f>
        <v>17.918712530091849</v>
      </c>
      <c r="V216" s="56">
        <f>11.8052603547599*Deflactores!$S$5</f>
        <v>18.541346720636252</v>
      </c>
    </row>
    <row r="217" spans="3:22" x14ac:dyDescent="0.2">
      <c r="C217" s="88" t="s">
        <v>132</v>
      </c>
      <c r="D217" s="57">
        <f>19.6132986696*Deflactores!$A$5</f>
        <v>71.207240525711327</v>
      </c>
      <c r="E217" s="57">
        <f>19.14075995399*Deflactores!$B$5</f>
        <v>64.554347992202452</v>
      </c>
      <c r="F217" s="57">
        <f>23.30623954141*Deflactores!$C$5</f>
        <v>73.466249611666086</v>
      </c>
      <c r="G217" s="57">
        <f>24.0441809363299*Deflactores!$D$5</f>
        <v>71.172344285146224</v>
      </c>
      <c r="H217" s="57">
        <f>23.3487703042699*Deflactores!$E$5</f>
        <v>65.512663577996179</v>
      </c>
      <c r="I217" s="57">
        <f>23.78670927328*Deflactores!$F$5</f>
        <v>63.651080324744477</v>
      </c>
      <c r="J217" s="57">
        <f>30.18958552318*Deflactores!$G$5</f>
        <v>77.322151433348267</v>
      </c>
      <c r="K217" s="57">
        <f>32.54820599553*Deflactores!$H$5</f>
        <v>78.871773338940201</v>
      </c>
      <c r="L217" s="57">
        <f>33.34835557517*Deflactores!$I$5</f>
        <v>75.051025028360684</v>
      </c>
      <c r="M217" s="57">
        <f>31.0637797348499*Deflactores!$J$5</f>
        <v>68.537559026358679</v>
      </c>
      <c r="N217" s="57">
        <f>32.60986443218*Deflactores!$K$5</f>
        <v>69.737239593790747</v>
      </c>
      <c r="O217" s="57">
        <f>30.82219993171*Deflactores!$L$5</f>
        <v>63.546098753643157</v>
      </c>
      <c r="P217" s="57">
        <f>33.81395881538*Deflactores!$M$5</f>
        <v>68.053694894649496</v>
      </c>
      <c r="Q217" s="57">
        <f>36.76324356908*Deflactores!$N$5</f>
        <v>72.581323414457216</v>
      </c>
      <c r="R217" s="57">
        <f>39.9176258071299*Deflactores!$O$5</f>
        <v>76.026423284295575</v>
      </c>
      <c r="S217" s="57">
        <f>41.13587161388*Deflactores!$P$5</f>
        <v>73.378920377009322</v>
      </c>
      <c r="T217" s="57">
        <f>44.8384191343399*Deflactores!$Q$5</f>
        <v>75.634602726372151</v>
      </c>
      <c r="U217" s="57">
        <f>45.9804248912299*Deflactores!$R$5</f>
        <v>74.513370653819777</v>
      </c>
      <c r="V217" s="57">
        <f>50.9001707147799*Deflactores!$S$5</f>
        <v>79.943828852684732</v>
      </c>
    </row>
    <row r="218" spans="3:22" x14ac:dyDescent="0.2">
      <c r="C218" s="87" t="s">
        <v>133</v>
      </c>
      <c r="D218" s="56">
        <f>0.11023688475*Deflactores!$A$5</f>
        <v>0.40022152823100093</v>
      </c>
      <c r="E218" s="56">
        <f>0.109448148*Deflactores!$B$5</f>
        <v>0.36912608747393355</v>
      </c>
      <c r="F218" s="56">
        <f>0.2248409222*Deflactores!$C$5</f>
        <v>0.70874665489956856</v>
      </c>
      <c r="G218" s="56">
        <f>0.0488681294799999*Deflactores!$D$5</f>
        <v>0.14465285156236837</v>
      </c>
      <c r="H218" s="56">
        <f>0.21256479943*Deflactores!$E$5</f>
        <v>0.59642054001598399</v>
      </c>
      <c r="I218" s="56">
        <f>0.1591493854*Deflactores!$F$5</f>
        <v>0.42586934566473833</v>
      </c>
      <c r="J218" s="56">
        <f>0.173017925599999*Deflactores!$G$5</f>
        <v>0.44313686365965493</v>
      </c>
      <c r="K218" s="56">
        <f>0.43943893938*Deflactores!$H$5</f>
        <v>1.0648614067344779</v>
      </c>
      <c r="L218" s="56">
        <f>0.092154046*Deflactores!$I$5</f>
        <v>0.20739420260830796</v>
      </c>
      <c r="M218" s="56">
        <f>0.135209484*Deflactores!$J$5</f>
        <v>0.29831939543973451</v>
      </c>
      <c r="N218" s="56">
        <f>0.098582883*Deflactores!$K$5</f>
        <v>0.21082265294035901</v>
      </c>
      <c r="O218" s="56">
        <f>0.283499635*Deflactores!$L$5</f>
        <v>0.58449091376497064</v>
      </c>
      <c r="P218" s="56">
        <f>0.317228090779999*Deflactores!$M$5</f>
        <v>0.63845064163663834</v>
      </c>
      <c r="Q218" s="56">
        <f>0.15923612012*Deflactores!$N$5</f>
        <v>0.31437836305101374</v>
      </c>
      <c r="R218" s="56">
        <f>0.17737333378*Deflactores!$O$5</f>
        <v>0.33782219960828141</v>
      </c>
      <c r="S218" s="56">
        <f>0.74580149316*Deflactores!$P$5</f>
        <v>1.3303743481437915</v>
      </c>
      <c r="T218" s="56">
        <f>0.98598614302*Deflactores!$Q$5</f>
        <v>1.6631868754693</v>
      </c>
      <c r="U218" s="56">
        <f>1.127453427*Deflactores!$R$5</f>
        <v>1.8270895777867004</v>
      </c>
      <c r="V218" s="56">
        <f>2.20701456291*Deflactores!$S$5</f>
        <v>3.4663379712678983</v>
      </c>
    </row>
    <row r="219" spans="3:22" x14ac:dyDescent="0.2">
      <c r="C219" s="88" t="s">
        <v>134</v>
      </c>
      <c r="D219" s="57">
        <f>79.9160354450899*Deflactores!$A$5</f>
        <v>290.13989200195283</v>
      </c>
      <c r="E219" s="57">
        <f>92.1360217102*Deflactores!$B$5</f>
        <v>310.73901048832295</v>
      </c>
      <c r="F219" s="57">
        <f>99.69981202314*Deflactores!$C$5</f>
        <v>314.27512204678311</v>
      </c>
      <c r="G219" s="57">
        <f>89.11250620003*Deflactores!$D$5</f>
        <v>263.77883231604301</v>
      </c>
      <c r="H219" s="57">
        <f>100.495015813179*Deflactores!$E$5</f>
        <v>281.97185875053168</v>
      </c>
      <c r="I219" s="57">
        <f>95.59790637858*Deflactores!$F$5</f>
        <v>255.81134186626133</v>
      </c>
      <c r="J219" s="57">
        <f>106.899505513219*Deflactores!$G$5</f>
        <v>273.79308493972678</v>
      </c>
      <c r="K219" s="57">
        <f>122.88818469346*Deflactores!$H$5</f>
        <v>297.78627585518859</v>
      </c>
      <c r="L219" s="57">
        <f>130.00370759976*Deflactores!$I$5</f>
        <v>292.57549119195318</v>
      </c>
      <c r="M219" s="57">
        <f>139.642243668559*Deflactores!$J$5</f>
        <v>308.09961310888974</v>
      </c>
      <c r="N219" s="57">
        <f>146.56634292729*Deflactores!$K$5</f>
        <v>313.43681892218251</v>
      </c>
      <c r="O219" s="57">
        <f>154.15239543219*Deflactores!$L$5</f>
        <v>317.81583939330221</v>
      </c>
      <c r="P219" s="57">
        <f>144.77502252751*Deflactores!$M$5</f>
        <v>291.37301743479549</v>
      </c>
      <c r="Q219" s="57">
        <f>150.79621866457*Deflactores!$N$5</f>
        <v>297.71554558302716</v>
      </c>
      <c r="R219" s="57">
        <f>136.23438349185*Deflactores!$O$5</f>
        <v>259.46966273170597</v>
      </c>
      <c r="S219" s="57">
        <f>140.13023866428*Deflactores!$P$5</f>
        <v>249.96688345088995</v>
      </c>
      <c r="T219" s="57">
        <f>144.75386870806*Deflactores!$Q$5</f>
        <v>244.17456199865489</v>
      </c>
      <c r="U219" s="57">
        <f>152.51290151378*Deflactores!$R$5</f>
        <v>247.15409626746111</v>
      </c>
      <c r="V219" s="57">
        <f>171.64475958478*Deflactores!$S$5</f>
        <v>269.58532930266625</v>
      </c>
    </row>
    <row r="220" spans="3:22" x14ac:dyDescent="0.2">
      <c r="C220" s="87" t="s">
        <v>135</v>
      </c>
      <c r="D220" s="56"/>
      <c r="E220" s="56"/>
      <c r="F220" s="56"/>
      <c r="G220" s="56"/>
      <c r="H220" s="56"/>
      <c r="I220" s="56"/>
      <c r="J220" s="56"/>
      <c r="K220" s="56"/>
      <c r="L220" s="56"/>
      <c r="M220" s="56"/>
      <c r="N220" s="56"/>
      <c r="O220" s="56"/>
      <c r="P220" s="56"/>
      <c r="Q220" s="56"/>
      <c r="R220" s="56">
        <f>0*Deflactores!$O$5</f>
        <v>0</v>
      </c>
      <c r="S220" s="56"/>
      <c r="T220" s="56"/>
      <c r="U220" s="56"/>
      <c r="V220" s="56"/>
    </row>
    <row r="221" spans="3:22" x14ac:dyDescent="0.2">
      <c r="C221" s="88" t="s">
        <v>136</v>
      </c>
      <c r="D221" s="57">
        <f>113.88445927903*Deflactores!$A$5</f>
        <v>413.46426323440329</v>
      </c>
      <c r="E221" s="57">
        <f>125.20553268788*Deflactores!$B$5</f>
        <v>422.26962498412342</v>
      </c>
      <c r="F221" s="57">
        <f>131.91191890473*Deflactores!$C$5</f>
        <v>415.81456947569194</v>
      </c>
      <c r="G221" s="57">
        <f>129.18089112529*Deflactores!$D$5</f>
        <v>382.38386587497195</v>
      </c>
      <c r="H221" s="57">
        <f>130.961650268149*Deflactores!$E$5</f>
        <v>367.45603403650927</v>
      </c>
      <c r="I221" s="57">
        <f>133.68393769252*Deflactores!$F$5</f>
        <v>357.72611328600919</v>
      </c>
      <c r="J221" s="57">
        <f>139.83944531141*Deflactores!$G$5</f>
        <v>358.1594970365569</v>
      </c>
      <c r="K221" s="57">
        <f>149.64844428798*Deflactores!$H$5</f>
        <v>362.63252665991939</v>
      </c>
      <c r="L221" s="57">
        <f>187.01965777983*Deflactores!$I$5</f>
        <v>420.89082879037647</v>
      </c>
      <c r="M221" s="57">
        <f>219.13666398*Deflactores!$J$5</f>
        <v>483.49209821105342</v>
      </c>
      <c r="N221" s="57">
        <f>239.57538406994*Deflactores!$K$5</f>
        <v>512.3396325184583</v>
      </c>
      <c r="O221" s="57">
        <f>178.27370357667*Deflactores!$L$5</f>
        <v>367.54671625518438</v>
      </c>
      <c r="P221" s="57">
        <f>253.658750477719*Deflactores!$M$5</f>
        <v>510.51151113714167</v>
      </c>
      <c r="Q221" s="57">
        <f>282.71044608271*Deflactores!$N$5</f>
        <v>558.15255477165579</v>
      </c>
      <c r="R221" s="57">
        <f>303.00007117735*Deflactores!$O$5</f>
        <v>577.08872210496827</v>
      </c>
      <c r="S221" s="57">
        <f>314.528355226*Deflactores!$P$5</f>
        <v>561.06143443555527</v>
      </c>
      <c r="T221" s="57">
        <f>348.55094492572*Deflactores!$Q$5</f>
        <v>587.94473039680577</v>
      </c>
      <c r="U221" s="57">
        <f>388.68512879075*Deflactores!$R$5</f>
        <v>629.88193644850287</v>
      </c>
      <c r="V221" s="57">
        <f>548.51459210751*Deflactores!$S$5</f>
        <v>861.49724173538209</v>
      </c>
    </row>
    <row r="222" spans="3:22" x14ac:dyDescent="0.2">
      <c r="C222" s="87" t="s">
        <v>137</v>
      </c>
      <c r="D222" s="56">
        <f>4.32719042338*Deflactores!$A$5</f>
        <v>15.71012069253613</v>
      </c>
      <c r="E222" s="56">
        <f>4.41397300131*Deflactores!$B$5</f>
        <v>14.886616301530619</v>
      </c>
      <c r="F222" s="56">
        <f>4.72732939017*Deflactores!$C$5</f>
        <v>14.901552880623283</v>
      </c>
      <c r="G222" s="56">
        <f>4.35309191942*Deflactores!$D$5</f>
        <v>12.88543609009869</v>
      </c>
      <c r="H222" s="56">
        <f>4.83561542547999*Deflactores!$E$5</f>
        <v>13.567911390352998</v>
      </c>
      <c r="I222" s="56">
        <f>4.8255488529*Deflactores!$F$5</f>
        <v>12.912731816668087</v>
      </c>
      <c r="J222" s="56">
        <f>5.13966661814*Deflactores!$G$5</f>
        <v>13.16381373502491</v>
      </c>
      <c r="K222" s="56">
        <f>5.54355744935999*Deflactores!$H$5</f>
        <v>13.433312014104912</v>
      </c>
      <c r="L222" s="56">
        <f>5.45643915872*Deflactores!$I$5</f>
        <v>12.279806449338981</v>
      </c>
      <c r="M222" s="56">
        <f>6.14778380220999*Deflactores!$J$5</f>
        <v>13.564160537506947</v>
      </c>
      <c r="N222" s="56">
        <f>6.47718154230999*Deflactores!$K$5</f>
        <v>13.851660194661971</v>
      </c>
      <c r="O222" s="56">
        <f>6.65450745214*Deflactores!$L$5</f>
        <v>13.719591354525427</v>
      </c>
      <c r="P222" s="56">
        <f>5.76585045261*Deflactores!$M$5</f>
        <v>11.604303111992419</v>
      </c>
      <c r="Q222" s="56">
        <f>4.50394190487*Deflactores!$N$5</f>
        <v>8.8920898239849375</v>
      </c>
      <c r="R222" s="56">
        <f>6.5366395896*Deflactores!$O$5</f>
        <v>12.449571292064407</v>
      </c>
      <c r="S222" s="56">
        <f>4.1461670507*Deflactores!$P$5</f>
        <v>7.3960086403137799</v>
      </c>
      <c r="T222" s="56">
        <f>3.35292102964*Deflactores!$Q$5</f>
        <v>5.6557937354999366</v>
      </c>
      <c r="U222" s="56">
        <f>3.50324981675*Deflactores!$R$5</f>
        <v>5.6771757265385414</v>
      </c>
      <c r="V222" s="56">
        <f>3.20113486482999*Deflactores!$S$5</f>
        <v>5.027703722298555</v>
      </c>
    </row>
    <row r="223" spans="3:22" x14ac:dyDescent="0.2">
      <c r="C223" s="88" t="s">
        <v>138</v>
      </c>
      <c r="D223" s="57">
        <f>9.14765210991*Deflactores!$A$5</f>
        <v>33.211091872348291</v>
      </c>
      <c r="E223" s="57">
        <f>10.46735626378*Deflactores!$B$5</f>
        <v>35.302326576095943</v>
      </c>
      <c r="F223" s="57">
        <f>11.81232658489*Deflactores!$C$5</f>
        <v>37.234978720533071</v>
      </c>
      <c r="G223" s="57">
        <f>10.07290727452*Deflactores!$D$5</f>
        <v>29.816462718896872</v>
      </c>
      <c r="H223" s="57">
        <f>23.05132606584*Deflactores!$E$5</f>
        <v>64.67808582201441</v>
      </c>
      <c r="I223" s="57">
        <f>12.2586326969799*Deflactores!$F$5</f>
        <v>32.802991178922866</v>
      </c>
      <c r="J223" s="57">
        <f>18.02747696714*Deflactores!$G$5</f>
        <v>46.172323331306508</v>
      </c>
      <c r="K223" s="57">
        <f>26.5530356990899*Deflactores!$H$5</f>
        <v>64.344099745682584</v>
      </c>
      <c r="L223" s="57">
        <f>36.97247406045*Deflactores!$I$5</f>
        <v>83.207163538141089</v>
      </c>
      <c r="M223" s="57">
        <f>34.01290374117*Deflactores!$J$5</f>
        <v>75.044357696208053</v>
      </c>
      <c r="N223" s="57">
        <f>33.40501669123*Deflactores!$K$5</f>
        <v>71.437698168779292</v>
      </c>
      <c r="O223" s="57">
        <f>24.36573035028*Deflactores!$L$5</f>
        <v>50.234801878972554</v>
      </c>
      <c r="P223" s="57">
        <f>15.6600304078699*Deflactores!$M$5</f>
        <v>31.51724816478384</v>
      </c>
      <c r="Q223" s="57">
        <f>18.6531412231899*Deflactores!$N$5</f>
        <v>36.826719962070278</v>
      </c>
      <c r="R223" s="57">
        <f>43.64793996951*Deflactores!$O$5</f>
        <v>83.131115453684473</v>
      </c>
      <c r="S223" s="57">
        <f>0*Deflactores!$P$5</f>
        <v>0</v>
      </c>
      <c r="T223" s="57">
        <f>0*Deflactores!$Q$5</f>
        <v>0</v>
      </c>
      <c r="U223" s="57">
        <f>0*Deflactores!$R$5</f>
        <v>0</v>
      </c>
      <c r="V223" s="57">
        <f>0*Deflactores!$S$5</f>
        <v>0</v>
      </c>
    </row>
    <row r="224" spans="3:22" x14ac:dyDescent="0.2">
      <c r="C224" s="87" t="s">
        <v>139</v>
      </c>
      <c r="D224" s="56">
        <f>101.0040160649*Deflactores!$A$5</f>
        <v>366.70105254369361</v>
      </c>
      <c r="E224" s="56">
        <f>101.54874720031*Deflactores!$B$5</f>
        <v>342.48447714190644</v>
      </c>
      <c r="F224" s="56">
        <f>89.46913587249*Deflactores!$C$5</f>
        <v>282.02584363169046</v>
      </c>
      <c r="G224" s="56">
        <f>92.72976635554*Deflactores!$D$5</f>
        <v>274.48615837712345</v>
      </c>
      <c r="H224" s="56">
        <f>100.63384246076*Deflactores!$E$5</f>
        <v>282.36138262438521</v>
      </c>
      <c r="I224" s="56">
        <f>108.57204692775*Deflactores!$F$5</f>
        <v>290.52896727430374</v>
      </c>
      <c r="J224" s="56">
        <f>140.95876118233*Deflactores!$G$5</f>
        <v>361.02631053442929</v>
      </c>
      <c r="K224" s="56">
        <f>141.71845052634*Deflactores!$H$5</f>
        <v>343.41633174480864</v>
      </c>
      <c r="L224" s="56">
        <f>154.18068720947*Deflactores!$I$5</f>
        <v>346.98618312872532</v>
      </c>
      <c r="M224" s="56">
        <f>265.71613046435*Deflactores!$J$5</f>
        <v>586.26268700729986</v>
      </c>
      <c r="N224" s="56">
        <f>265.113801744659*Deflactores!$K$5</f>
        <v>566.95435672046017</v>
      </c>
      <c r="O224" s="56">
        <f>432.184207154239*Deflactores!$L$5</f>
        <v>891.03374737808906</v>
      </c>
      <c r="P224" s="56">
        <f>436.97529158026*Deflactores!$M$5</f>
        <v>879.45287128514303</v>
      </c>
      <c r="Q224" s="56">
        <f>606.00493753843*Deflactores!$N$5</f>
        <v>1196.4298057538194</v>
      </c>
      <c r="R224" s="56">
        <f>478.05756633181*Deflactores!$O$5</f>
        <v>910.50021531367281</v>
      </c>
      <c r="S224" s="56">
        <f>401.06530819554*Deflactores!$P$5</f>
        <v>715.42763436015537</v>
      </c>
      <c r="T224" s="56">
        <f>439.958477991419*Deflactores!$Q$5</f>
        <v>742.13331650436214</v>
      </c>
      <c r="U224" s="56">
        <f>394.71175610716*Deflactores!$R$5</f>
        <v>639.64836022736927</v>
      </c>
      <c r="V224" s="56">
        <f>407.551479611999*Deflactores!$S$5</f>
        <v>640.10051984559379</v>
      </c>
    </row>
    <row r="225" spans="2:22" x14ac:dyDescent="0.2">
      <c r="C225" s="88" t="s">
        <v>140</v>
      </c>
      <c r="D225" s="57">
        <f>9.14788739097*Deflactores!$A$5</f>
        <v>33.211946074148443</v>
      </c>
      <c r="E225" s="57">
        <f>3.30876914995*Deflactores!$B$5</f>
        <v>11.159193033357644</v>
      </c>
      <c r="F225" s="57">
        <f>6.28558981750999*Deflactores!$C$5</f>
        <v>19.813522883829354</v>
      </c>
      <c r="G225" s="57">
        <f>6.07553758341*Deflactores!$D$5</f>
        <v>17.983987632967999</v>
      </c>
      <c r="H225" s="57">
        <f>1875.45905381793*Deflactores!$E$5</f>
        <v>5262.2179432127068</v>
      </c>
      <c r="I225" s="57">
        <f>2024.92842263116*Deflactores!$F$5</f>
        <v>5418.5251183751207</v>
      </c>
      <c r="J225" s="57">
        <f>66.20080437893*Deflactores!$G$5</f>
        <v>169.55478296536435</v>
      </c>
      <c r="K225" s="57">
        <f>50.16433814383*Deflactores!$H$5</f>
        <v>121.55970465227743</v>
      </c>
      <c r="L225" s="57">
        <f>60.01830363774*Deflactores!$I$5</f>
        <v>135.07218364403008</v>
      </c>
      <c r="M225" s="57">
        <f>59.5657534531999*Deflactores!$J$5</f>
        <v>131.42287828767158</v>
      </c>
      <c r="N225" s="57">
        <f>889.90497780512*Deflactores!$K$5</f>
        <v>1903.090299009684</v>
      </c>
      <c r="O225" s="57">
        <f>658.26268197178*Deflactores!$L$5</f>
        <v>1357.1395126595696</v>
      </c>
      <c r="P225" s="57">
        <f>93.53042855979*Deflactores!$M$5</f>
        <v>188.23856985590965</v>
      </c>
      <c r="Q225" s="57">
        <f>133.806897349209*Deflactores!$N$5</f>
        <v>264.17368949883053</v>
      </c>
      <c r="R225" s="57">
        <f>322.84943688554*Deflactores!$O$5</f>
        <v>614.89348250196792</v>
      </c>
      <c r="S225" s="57">
        <f>606.142487264839*Deflactores!$P$5</f>
        <v>1081.24805832779</v>
      </c>
      <c r="T225" s="57">
        <f>400.11826718696*Deflactores!$Q$5</f>
        <v>674.92982059827182</v>
      </c>
      <c r="U225" s="57">
        <f>499.48718751915*Deflactores!$R$5</f>
        <v>809.44171413142567</v>
      </c>
      <c r="V225" s="57">
        <f>410.830616538089*Deflactores!$S$5</f>
        <v>645.25073363707202</v>
      </c>
    </row>
    <row r="226" spans="2:22" x14ac:dyDescent="0.2">
      <c r="C226" s="87" t="s">
        <v>141</v>
      </c>
      <c r="D226" s="56">
        <f>3.65994243305*Deflactores!$A$5</f>
        <v>13.287637410243114</v>
      </c>
      <c r="E226" s="56">
        <f>4.61355744431*Deflactores!$B$5</f>
        <v>15.559737098104121</v>
      </c>
      <c r="F226" s="56">
        <f>8.66981265944*Deflactores!$C$5</f>
        <v>27.329102998066393</v>
      </c>
      <c r="G226" s="56">
        <f>6.99117091621999*Deflactores!$D$5</f>
        <v>20.694322036717317</v>
      </c>
      <c r="H226" s="56">
        <f>8.87624118617999*Deflactores!$E$5</f>
        <v>24.905217494945362</v>
      </c>
      <c r="I226" s="56">
        <f>7.6787925419*Deflactores!$F$5</f>
        <v>20.547753590723108</v>
      </c>
      <c r="J226" s="56">
        <f>19.31408241802*Deflactores!$G$5</f>
        <v>49.46760214298579</v>
      </c>
      <c r="K226" s="56">
        <f>17.15512698518*Deflactores!$H$5</f>
        <v>41.57080999676834</v>
      </c>
      <c r="L226" s="56">
        <f>21.61274863805*Deflactores!$I$5</f>
        <v>48.639847782290246</v>
      </c>
      <c r="M226" s="56">
        <f>23.8206849563799*Deflactores!$J$5</f>
        <v>52.556759518050015</v>
      </c>
      <c r="N226" s="56">
        <f>22.64513221534*Deflactores!$K$5</f>
        <v>48.427340574155942</v>
      </c>
      <c r="O226" s="56">
        <f>18.50534974018*Deflactores!$L$5</f>
        <v>38.1524610399522</v>
      </c>
      <c r="P226" s="56">
        <f>13.30519105253*Deflactores!$M$5</f>
        <v>26.777917881418034</v>
      </c>
      <c r="Q226" s="56">
        <f>17.40140932276*Deflactores!$N$5</f>
        <v>34.355437532309168</v>
      </c>
      <c r="R226" s="56">
        <f>17.58395874182*Deflactores!$O$5</f>
        <v>33.490105267744042</v>
      </c>
      <c r="S226" s="56">
        <f>23.46684912854*Deflactores!$P$5</f>
        <v>41.860594807997266</v>
      </c>
      <c r="T226" s="56">
        <f>29.64830318043*Deflactores!$Q$5</f>
        <v>50.011523061156907</v>
      </c>
      <c r="U226" s="56">
        <f>16.47969322342*Deflactores!$R$5</f>
        <v>26.706092697550332</v>
      </c>
      <c r="V226" s="56">
        <f>16.09895499432*Deflactores!$S$5</f>
        <v>25.285025270048497</v>
      </c>
    </row>
    <row r="227" spans="2:22" x14ac:dyDescent="0.2">
      <c r="C227" s="88" t="s">
        <v>142</v>
      </c>
      <c r="D227" s="57">
        <f>17.11538825423*Deflactores!$A$5</f>
        <v>62.138429064912906</v>
      </c>
      <c r="E227" s="57">
        <f>18.93347451514*Deflactores!$B$5</f>
        <v>63.855254728120741</v>
      </c>
      <c r="F227" s="57">
        <f>18.97453319326*Deflactores!$C$5</f>
        <v>59.811785138656823</v>
      </c>
      <c r="G227" s="57">
        <f>16.74985254325*Deflactores!$D$5</f>
        <v>49.580656338031496</v>
      </c>
      <c r="H227" s="57">
        <f>24.09323610293*Deflactores!$E$5</f>
        <v>67.601507520412454</v>
      </c>
      <c r="I227" s="57">
        <f>20.0509440689399*Deflactores!$F$5</f>
        <v>53.654510880691717</v>
      </c>
      <c r="J227" s="57">
        <f>27.85770142458*Deflactores!$G$5</f>
        <v>71.349684694494755</v>
      </c>
      <c r="K227" s="57">
        <f>31.57022338012*Deflactores!$H$5</f>
        <v>76.501897002817884</v>
      </c>
      <c r="L227" s="57">
        <f>32.31373379355*Deflactores!$I$5</f>
        <v>72.722591620235931</v>
      </c>
      <c r="M227" s="57">
        <f>30.18241545352*Deflactores!$J$5</f>
        <v>66.592961267458051</v>
      </c>
      <c r="N227" s="57">
        <f>49.85474270836*Deflactores!$K$5</f>
        <v>106.61596414699572</v>
      </c>
      <c r="O227" s="57">
        <f>38.39564517507*Deflactores!$L$5</f>
        <v>79.160263232692515</v>
      </c>
      <c r="P227" s="57">
        <f>46.5499770145399*Deflactores!$M$5</f>
        <v>93.686100181193609</v>
      </c>
      <c r="Q227" s="57">
        <f>42.7943446655*Deflactores!$N$5</f>
        <v>84.488469159146533</v>
      </c>
      <c r="R227" s="57">
        <f>87.54519632043*Deflactores!$O$5</f>
        <v>166.7370745976317</v>
      </c>
      <c r="S227" s="57">
        <f>94.07442889497*Deflactores!$P$5</f>
        <v>167.8116873805927</v>
      </c>
      <c r="T227" s="57">
        <f>92.06421400116*Deflactores!$Q$5</f>
        <v>155.2962924591734</v>
      </c>
      <c r="U227" s="57">
        <f>96.00889631835*Deflactores!$R$5</f>
        <v>155.58678490589324</v>
      </c>
      <c r="V227" s="57">
        <f>85.84921855177*Deflactores!$S$5</f>
        <v>134.8348176177449</v>
      </c>
    </row>
    <row r="228" spans="2:22" x14ac:dyDescent="0.2">
      <c r="C228" s="87" t="s">
        <v>143</v>
      </c>
      <c r="D228" s="56">
        <f>0*Deflactores!$A$5</f>
        <v>0</v>
      </c>
      <c r="E228" s="56">
        <f>0*Deflactores!$B$5</f>
        <v>0</v>
      </c>
      <c r="F228" s="56">
        <f>0*Deflactores!$C$5</f>
        <v>0</v>
      </c>
      <c r="G228" s="56">
        <f>0*Deflactores!$D$5</f>
        <v>0</v>
      </c>
      <c r="H228" s="56">
        <f>0*Deflactores!$E$5</f>
        <v>0</v>
      </c>
      <c r="I228" s="56">
        <f>0*Deflactores!$F$5</f>
        <v>0</v>
      </c>
      <c r="J228" s="56">
        <f>0*Deflactores!$G$5</f>
        <v>0</v>
      </c>
      <c r="K228" s="56">
        <f>0*Deflactores!$H$5</f>
        <v>0</v>
      </c>
      <c r="L228" s="56">
        <f>0*Deflactores!$I$5</f>
        <v>0</v>
      </c>
      <c r="M228" s="56">
        <f>0*Deflactores!$J$5</f>
        <v>0</v>
      </c>
      <c r="N228" s="56">
        <f>0*Deflactores!$K$5</f>
        <v>0</v>
      </c>
      <c r="O228" s="56">
        <f>0*Deflactores!$L$5</f>
        <v>0</v>
      </c>
      <c r="P228" s="56">
        <f>0*Deflactores!$M$5</f>
        <v>0</v>
      </c>
      <c r="Q228" s="56">
        <f>0*Deflactores!$N$5</f>
        <v>0</v>
      </c>
      <c r="R228" s="56">
        <f>0*Deflactores!$O$5</f>
        <v>0</v>
      </c>
      <c r="S228" s="56">
        <f>0*Deflactores!$P$5</f>
        <v>0</v>
      </c>
      <c r="T228" s="56">
        <f>0*Deflactores!$Q$5</f>
        <v>0</v>
      </c>
      <c r="U228" s="56">
        <f>0*Deflactores!$R$5</f>
        <v>0</v>
      </c>
      <c r="V228" s="56">
        <f>0*Deflactores!$S$5</f>
        <v>0</v>
      </c>
    </row>
    <row r="229" spans="2:22" x14ac:dyDescent="0.2">
      <c r="C229" s="88" t="s">
        <v>144</v>
      </c>
      <c r="D229" s="57">
        <f>0*Deflactores!$A$5</f>
        <v>0</v>
      </c>
      <c r="E229" s="57">
        <f>0*Deflactores!$B$5</f>
        <v>0</v>
      </c>
      <c r="F229" s="57">
        <f>0*Deflactores!$C$5</f>
        <v>0</v>
      </c>
      <c r="G229" s="57">
        <f>0*Deflactores!$D$5</f>
        <v>0</v>
      </c>
      <c r="H229" s="57">
        <f>0*Deflactores!$E$5</f>
        <v>0</v>
      </c>
      <c r="I229" s="57">
        <f>0*Deflactores!$F$5</f>
        <v>0</v>
      </c>
      <c r="J229" s="57">
        <f>0*Deflactores!$G$5</f>
        <v>0</v>
      </c>
      <c r="K229" s="57">
        <f>0*Deflactores!$H$5</f>
        <v>0</v>
      </c>
      <c r="L229" s="57">
        <f>0*Deflactores!$I$5</f>
        <v>0</v>
      </c>
      <c r="M229" s="57">
        <f>0*Deflactores!$J$5</f>
        <v>0</v>
      </c>
      <c r="N229" s="57">
        <f>0*Deflactores!$K$5</f>
        <v>0</v>
      </c>
      <c r="O229" s="57">
        <f>0*Deflactores!$L$5</f>
        <v>0</v>
      </c>
      <c r="P229" s="57">
        <f>0*Deflactores!$M$5</f>
        <v>0</v>
      </c>
      <c r="Q229" s="57">
        <f>0*Deflactores!$N$5</f>
        <v>0</v>
      </c>
      <c r="R229" s="57">
        <f>0*Deflactores!$O$5</f>
        <v>0</v>
      </c>
      <c r="S229" s="57">
        <f>0*Deflactores!$P$5</f>
        <v>0</v>
      </c>
      <c r="T229" s="57">
        <f>0*Deflactores!$Q$5</f>
        <v>0</v>
      </c>
      <c r="U229" s="57">
        <f>0*Deflactores!$R$5</f>
        <v>0</v>
      </c>
      <c r="V229" s="57">
        <f>0*Deflactores!$S$5</f>
        <v>0</v>
      </c>
    </row>
    <row r="230" spans="2:22" x14ac:dyDescent="0.2">
      <c r="C230" s="87" t="s">
        <v>145</v>
      </c>
      <c r="D230" s="56">
        <f>11.73012959609*Deflactores!$A$5</f>
        <v>42.586929084049913</v>
      </c>
      <c r="E230" s="56">
        <f>8.33102160404*Deflactores!$B$5</f>
        <v>28.097299639643964</v>
      </c>
      <c r="F230" s="56">
        <f>25.26442395*Deflactores!$C$5</f>
        <v>79.63886550242519</v>
      </c>
      <c r="G230" s="56">
        <f>10.670263889*Deflactores!$D$5</f>
        <v>31.584677271073229</v>
      </c>
      <c r="H230" s="56">
        <f>8.2390841915*Deflactores!$E$5</f>
        <v>23.1174637376863</v>
      </c>
      <c r="I230" s="56">
        <f>8.204922429*Deflactores!$F$5</f>
        <v>21.955629531876063</v>
      </c>
      <c r="J230" s="56">
        <f>9.037173594*Deflactores!$G$5</f>
        <v>23.146184124594747</v>
      </c>
      <c r="K230" s="56">
        <f>10.66352442101*Deflactores!$H$5</f>
        <v>25.840167081517794</v>
      </c>
      <c r="L230" s="56">
        <f>12.63695472*Deflactores!$I$5</f>
        <v>28.439675318777578</v>
      </c>
      <c r="M230" s="56">
        <f>14.93343051942*Deflactores!$J$5</f>
        <v>32.948368950174057</v>
      </c>
      <c r="N230" s="56">
        <f>16.26970466*Deflactores!$K$5</f>
        <v>34.793284539845743</v>
      </c>
      <c r="O230" s="56">
        <f>17.24273469134*Deflactores!$L$5</f>
        <v>35.549328857330892</v>
      </c>
      <c r="P230" s="56">
        <f>19.02806826192*Deflactores!$M$5</f>
        <v>38.295733398192908</v>
      </c>
      <c r="Q230" s="56">
        <f>22.27158307674*Deflactores!$N$5</f>
        <v>43.970575425623991</v>
      </c>
      <c r="R230" s="56">
        <f>28.3649973045799*Deflactores!$O$5</f>
        <v>54.023485814397119</v>
      </c>
      <c r="S230" s="56">
        <f>36.38013936175*Deflactores!$P$5</f>
        <v>64.895558178220426</v>
      </c>
      <c r="T230" s="56">
        <f>37.04320382648*Deflactores!$Q$5</f>
        <v>62.485432341705831</v>
      </c>
      <c r="U230" s="56">
        <f>43.69339481125*Deflactores!$R$5</f>
        <v>70.807134348933403</v>
      </c>
      <c r="V230" s="56">
        <f>42.87321765019*Deflactores!$S$5</f>
        <v>67.336693100627699</v>
      </c>
    </row>
    <row r="231" spans="2:22" x14ac:dyDescent="0.2">
      <c r="C231" s="88" t="s">
        <v>146</v>
      </c>
      <c r="D231" s="57">
        <f>49.10885355145*Deflactores!$A$5</f>
        <v>178.29259655338487</v>
      </c>
      <c r="E231" s="57">
        <f>48.3269701766199*Deflactores!$B$5</f>
        <v>162.98809753057836</v>
      </c>
      <c r="F231" s="57">
        <f>41.84735682618*Deflactores!$C$5</f>
        <v>131.91181514796199</v>
      </c>
      <c r="G231" s="57">
        <f>32.39578010862*Deflactores!$D$5</f>
        <v>95.893622718201584</v>
      </c>
      <c r="H231" s="57">
        <f>36.88412598935*Deflactores!$E$5</f>
        <v>103.49056099399021</v>
      </c>
      <c r="I231" s="57">
        <f>37.54430604182*Deflactores!$F$5</f>
        <v>100.46516364031503</v>
      </c>
      <c r="J231" s="57">
        <f>39.63115126022*Deflactores!$G$5</f>
        <v>101.50407255070785</v>
      </c>
      <c r="K231" s="57">
        <f>46.16025115441*Deflactores!$H$5</f>
        <v>111.85688288992576</v>
      </c>
      <c r="L231" s="57">
        <f>44.69114059587*Deflactores!$I$5</f>
        <v>100.57815006338669</v>
      </c>
      <c r="M231" s="57">
        <f>66.87363828204*Deflactores!$J$5</f>
        <v>147.54662729985466</v>
      </c>
      <c r="N231" s="57">
        <f>96.5155869858899*Deflactores!$K$5</f>
        <v>206.40167419795682</v>
      </c>
      <c r="O231" s="57">
        <f>101.061509194299*Deflactores!$L$5</f>
        <v>208.35841236777182</v>
      </c>
      <c r="P231" s="57">
        <f>166.95239475513*Deflactores!$M$5</f>
        <v>336.00701404500762</v>
      </c>
      <c r="Q231" s="57">
        <f>171.066976306461*Deflactores!$N$5</f>
        <v>337.73591031220462</v>
      </c>
      <c r="R231" s="57">
        <f>164.131031949572*Deflactores!$O$5</f>
        <v>312.60113939084988</v>
      </c>
      <c r="S231" s="57">
        <f>190.454327771214*Deflactores!$P$5</f>
        <v>339.73591429299415</v>
      </c>
      <c r="T231" s="57">
        <f>271.44880194499*Deflactores!$Q$5</f>
        <v>457.88684552295484</v>
      </c>
      <c r="U231" s="57">
        <f>231.5280910448*Deflactores!$R$5</f>
        <v>375.20180610777845</v>
      </c>
      <c r="V231" s="57">
        <f>193.66879292967*Deflactores!$S$5</f>
        <v>304.17628504298676</v>
      </c>
    </row>
    <row r="232" spans="2:22" x14ac:dyDescent="0.2">
      <c r="C232" s="90" t="s">
        <v>147</v>
      </c>
      <c r="D232" s="58">
        <f>110.2408201747*Deflactores!$A$5</f>
        <v>400.23581602307019</v>
      </c>
      <c r="E232" s="58">
        <f>103.879931681889*Deflactores!$B$5</f>
        <v>350.34665683694533</v>
      </c>
      <c r="F232" s="58">
        <f>137.82552158069*Deflactores!$C$5</f>
        <v>434.45550936324327</v>
      </c>
      <c r="G232" s="58">
        <f>121.644655357829*Deflactores!$D$5</f>
        <v>360.07611631693527</v>
      </c>
      <c r="H232" s="58">
        <f>109.3500030899*Deflactores!$E$5</f>
        <v>306.81744140381477</v>
      </c>
      <c r="I232" s="58">
        <f>109.35737421542*Deflactores!$F$5</f>
        <v>292.63043199119284</v>
      </c>
      <c r="J232" s="58">
        <f>116.71735372872*Deflactores!$G$5</f>
        <v>298.93874803224321</v>
      </c>
      <c r="K232" s="58">
        <f>117.59180771176*Deflactores!$H$5</f>
        <v>284.95193884516743</v>
      </c>
      <c r="L232" s="58">
        <f>150.96326166598*Deflactores!$I$5</f>
        <v>339.74531380168884</v>
      </c>
      <c r="M232" s="58">
        <f>197.259442329009*Deflactores!$J$5</f>
        <v>435.22329824414646</v>
      </c>
      <c r="N232" s="58">
        <f>230.339817258289*Deflactores!$K$5</f>
        <v>492.58907707324789</v>
      </c>
      <c r="O232" s="58">
        <f>251.87660437556*Deflactores!$L$5</f>
        <v>519.2937431735636</v>
      </c>
      <c r="P232" s="58">
        <f>369.41365445737*Deflactores!$M$5</f>
        <v>743.47887709985105</v>
      </c>
      <c r="Q232" s="58">
        <f>359.92775319518*Deflactores!$N$5</f>
        <v>710.60195250209404</v>
      </c>
      <c r="R232" s="58">
        <f>381.38003954462*Deflactores!$O$5</f>
        <v>726.36986124113923</v>
      </c>
      <c r="S232" s="58">
        <f>437.209988743379*Deflactores!$P$5</f>
        <v>779.90317679833697</v>
      </c>
      <c r="T232" s="58">
        <f>465.83705978912*Deflactores!$Q$5</f>
        <v>785.78597623633777</v>
      </c>
      <c r="U232" s="58">
        <f>511.34427968206*Deflactores!$R$5</f>
        <v>828.65667148124203</v>
      </c>
      <c r="V232" s="58">
        <f>449.09022237876*Deflactores!$S$5</f>
        <v>705.34128615087036</v>
      </c>
    </row>
    <row r="233" spans="2:22" ht="22.5" customHeight="1" x14ac:dyDescent="0.2">
      <c r="C233" s="89" t="s">
        <v>148</v>
      </c>
      <c r="D233" s="59">
        <f>0*Deflactores!$A$5</f>
        <v>0</v>
      </c>
      <c r="E233" s="59">
        <f>0*Deflactores!$B$5</f>
        <v>0</v>
      </c>
      <c r="F233" s="59">
        <f>0*Deflactores!$C$5</f>
        <v>0</v>
      </c>
      <c r="G233" s="59">
        <f>0*Deflactores!$D$5</f>
        <v>0</v>
      </c>
      <c r="H233" s="59">
        <f>0*Deflactores!$E$5</f>
        <v>0</v>
      </c>
      <c r="I233" s="59">
        <f>0*Deflactores!$F$5</f>
        <v>0</v>
      </c>
      <c r="J233" s="59">
        <f>0*Deflactores!$G$5</f>
        <v>0</v>
      </c>
      <c r="K233" s="59">
        <f>0*Deflactores!$H$5</f>
        <v>0</v>
      </c>
      <c r="L233" s="59">
        <f>0*Deflactores!$I$5</f>
        <v>0</v>
      </c>
      <c r="M233" s="59">
        <f>0*Deflactores!$J$5</f>
        <v>0</v>
      </c>
      <c r="N233" s="59">
        <f>0*Deflactores!$K$5</f>
        <v>0</v>
      </c>
      <c r="O233" s="59">
        <f>0*Deflactores!$L$5</f>
        <v>0</v>
      </c>
      <c r="P233" s="59">
        <f>0*Deflactores!$M$5</f>
        <v>0</v>
      </c>
      <c r="Q233" s="59">
        <f>0*Deflactores!$N$5</f>
        <v>0</v>
      </c>
      <c r="R233" s="59">
        <f>0*Deflactores!$O$5</f>
        <v>0</v>
      </c>
      <c r="S233" s="59">
        <f>0*Deflactores!$P$5</f>
        <v>0</v>
      </c>
      <c r="T233" s="59">
        <f>0*Deflactores!$Q$5</f>
        <v>0</v>
      </c>
      <c r="U233" s="59">
        <f>0*Deflactores!$R$5</f>
        <v>0</v>
      </c>
      <c r="V233" s="59">
        <f>0*Deflactores!$S$5</f>
        <v>0</v>
      </c>
    </row>
    <row r="234" spans="2:22" x14ac:dyDescent="0.2">
      <c r="C234" s="87" t="s">
        <v>149</v>
      </c>
      <c r="D234" s="56">
        <f>69.69384622766*Deflactores!$A$5</f>
        <v>253.02762962494242</v>
      </c>
      <c r="E234" s="56">
        <f>68.54247504151*Deflactores!$B$5</f>
        <v>231.16714261672411</v>
      </c>
      <c r="F234" s="56">
        <f>75.5738525470999*Deflactores!$C$5</f>
        <v>238.22493995548243</v>
      </c>
      <c r="G234" s="56">
        <f>102.19788722247*Deflactores!$D$5</f>
        <v>302.51241387149668</v>
      </c>
      <c r="H234" s="56">
        <f>83.8057349989299*Deflactores!$E$5</f>
        <v>235.14458583232329</v>
      </c>
      <c r="I234" s="56">
        <f>4.89416323202*Deflactores!$F$5</f>
        <v>13.096337682726473</v>
      </c>
      <c r="J234" s="56">
        <f>93.8924549382899*Deflactores!$G$5</f>
        <v>240.479174966247</v>
      </c>
      <c r="K234" s="56">
        <f>98.25002903027*Deflactores!$H$5</f>
        <v>238.08236992490399</v>
      </c>
      <c r="L234" s="56">
        <f>152.58607115025*Deflactores!$I$5</f>
        <v>343.39747334957644</v>
      </c>
      <c r="M234" s="56">
        <f>184.26080857589*Deflactores!$J$5</f>
        <v>406.54376742977706</v>
      </c>
      <c r="N234" s="56">
        <f>245.420638014349*Deflactores!$K$5</f>
        <v>524.83989530414306</v>
      </c>
      <c r="O234" s="56">
        <f>281.77650133092*Deflactores!$L$5</f>
        <v>580.9383308038681</v>
      </c>
      <c r="P234" s="56">
        <f>369.10400701566*Deflactores!$M$5</f>
        <v>742.85568321007042</v>
      </c>
      <c r="Q234" s="56">
        <f>271.052177570759*Deflactores!$N$5</f>
        <v>535.13574572083041</v>
      </c>
      <c r="R234" s="56">
        <f>344.63250471769*Deflactores!$O$5</f>
        <v>656.38113869272649</v>
      </c>
      <c r="S234" s="56">
        <f>365.37643468918*Deflactores!$P$5</f>
        <v>651.76516886167985</v>
      </c>
      <c r="T234" s="56">
        <f>107.06109703337*Deflactores!$Q$5</f>
        <v>180.59342184450389</v>
      </c>
      <c r="U234" s="56">
        <f>122.37217220256*Deflactores!$R$5</f>
        <v>198.30967301003798</v>
      </c>
      <c r="V234" s="56">
        <f>217.740064606889*Deflactores!$S$5</f>
        <v>341.98263414175904</v>
      </c>
    </row>
    <row r="235" spans="2:22" x14ac:dyDescent="0.2">
      <c r="C235" s="88" t="s">
        <v>150</v>
      </c>
      <c r="D235" s="57">
        <f>136.5582448083*Deflactores!$A$5</f>
        <v>495.78278226626838</v>
      </c>
      <c r="E235" s="57">
        <f>136.45933519078*Deflactores!$B$5</f>
        <v>460.22432922543993</v>
      </c>
      <c r="F235" s="57">
        <f>165.07268401068*Deflactores!$C$5</f>
        <v>520.34439043882799</v>
      </c>
      <c r="G235" s="57">
        <f>177.294886773089*Deflactores!$D$5</f>
        <v>524.80443209209989</v>
      </c>
      <c r="H235" s="57">
        <f>184.2995456892*Deflactores!$E$5</f>
        <v>517.11306321370057</v>
      </c>
      <c r="I235" s="57">
        <f>199.75864413266*Deflactores!$F$5</f>
        <v>534.53604519952626</v>
      </c>
      <c r="J235" s="57">
        <f>206.16919114096*Deflactores!$G$5</f>
        <v>528.04452734378094</v>
      </c>
      <c r="K235" s="57">
        <f>195.05166025675*Deflactores!$H$5</f>
        <v>472.65493954619581</v>
      </c>
      <c r="L235" s="57">
        <f>199.62384839937*Deflactores!$I$5</f>
        <v>449.25676795991239</v>
      </c>
      <c r="M235" s="57">
        <f>214.61492733295*Deflactores!$J$5</f>
        <v>473.515566218034</v>
      </c>
      <c r="N235" s="57">
        <f>314.11734229852*Deflactores!$K$5</f>
        <v>671.7499977957516</v>
      </c>
      <c r="O235" s="57">
        <f>164.91686248816*Deflactores!$L$5</f>
        <v>340.00893034996898</v>
      </c>
      <c r="P235" s="57">
        <f>300.854295660297*Deflactores!$M$5</f>
        <v>605.49687649403484</v>
      </c>
      <c r="Q235" s="57">
        <f>315.74595048908*Deflactores!$N$5</f>
        <v>623.37423808077278</v>
      </c>
      <c r="R235" s="57">
        <f>346.96288516176*Deflactores!$O$5</f>
        <v>660.81954118966735</v>
      </c>
      <c r="S235" s="57">
        <f>372.676065064389*Deflactores!$P$5</f>
        <v>664.78638307373819</v>
      </c>
      <c r="T235" s="57">
        <f>477.504938930269*Deflactores!$Q$5</f>
        <v>805.46765593285193</v>
      </c>
      <c r="U235" s="57">
        <f>649.40988656276*Deflactores!$R$5</f>
        <v>1052.3982694412991</v>
      </c>
      <c r="V235" s="57">
        <f>659.017204041309*Deflactores!$S$5</f>
        <v>1035.0526890385311</v>
      </c>
    </row>
    <row r="236" spans="2:22" x14ac:dyDescent="0.2">
      <c r="C236" s="87" t="s">
        <v>151</v>
      </c>
      <c r="D236" s="56">
        <f>22.211046206*Deflactores!$A$5</f>
        <v>80.638516557632443</v>
      </c>
      <c r="E236" s="56">
        <f>16.0397031667*Deflactores!$B$5</f>
        <v>54.095688071096767</v>
      </c>
      <c r="F236" s="56">
        <f>5.81271046644*Deflactores!$C$5</f>
        <v>18.322906073674968</v>
      </c>
      <c r="G236" s="56">
        <f>6.84004114453*Deflactores!$D$5</f>
        <v>20.246968052360828</v>
      </c>
      <c r="H236" s="56">
        <f>11.08497780221*Deflactores!$E$5</f>
        <v>31.102555383524177</v>
      </c>
      <c r="I236" s="56">
        <f>7.22431628364*Deflactores!$F$5</f>
        <v>19.331616272700234</v>
      </c>
      <c r="J236" s="56">
        <f>9.91762342587*Deflactores!$G$5</f>
        <v>25.401209294683504</v>
      </c>
      <c r="K236" s="56">
        <f>13.86999891267*Deflactores!$H$5</f>
        <v>33.610190699963404</v>
      </c>
      <c r="L236" s="56">
        <f>0*Deflactores!$I$5</f>
        <v>0</v>
      </c>
      <c r="M236" s="56">
        <f>0*Deflactores!$J$5</f>
        <v>0</v>
      </c>
      <c r="N236" s="56">
        <f>0*Deflactores!$K$5</f>
        <v>0</v>
      </c>
      <c r="O236" s="56">
        <f>0*Deflactores!$L$5</f>
        <v>0</v>
      </c>
      <c r="P236" s="56">
        <f>0*Deflactores!$M$5</f>
        <v>0</v>
      </c>
      <c r="Q236" s="56">
        <f>0*Deflactores!$N$5</f>
        <v>0</v>
      </c>
      <c r="R236" s="56">
        <f>0*Deflactores!$O$5</f>
        <v>0</v>
      </c>
      <c r="S236" s="56">
        <f>0*Deflactores!$P$5</f>
        <v>0</v>
      </c>
      <c r="T236" s="56">
        <f>0*Deflactores!$Q$5</f>
        <v>0</v>
      </c>
      <c r="U236" s="56">
        <f>0*Deflactores!$R$5</f>
        <v>0</v>
      </c>
      <c r="V236" s="56">
        <f>0*Deflactores!$S$5</f>
        <v>0</v>
      </c>
    </row>
    <row r="237" spans="2:22" x14ac:dyDescent="0.2">
      <c r="C237" s="79" t="s">
        <v>179</v>
      </c>
      <c r="D237" s="44">
        <f t="shared" ref="D237:V237" si="63">+SUM(D208:D236)</f>
        <v>4808.1375132164803</v>
      </c>
      <c r="E237" s="44">
        <f t="shared" si="63"/>
        <v>4926.3441338162202</v>
      </c>
      <c r="F237" s="44">
        <f t="shared" si="63"/>
        <v>5036.4574562241523</v>
      </c>
      <c r="G237" s="44">
        <f t="shared" si="63"/>
        <v>5035.3280981347734</v>
      </c>
      <c r="H237" s="44">
        <f t="shared" si="63"/>
        <v>10179.715980853671</v>
      </c>
      <c r="I237" s="44">
        <f t="shared" si="63"/>
        <v>10169.017724455916</v>
      </c>
      <c r="J237" s="44">
        <f t="shared" si="63"/>
        <v>4804.3144599099287</v>
      </c>
      <c r="K237" s="44">
        <f t="shared" si="63"/>
        <v>5119.2317370855399</v>
      </c>
      <c r="L237" s="44">
        <f t="shared" si="63"/>
        <v>5346.3720454069171</v>
      </c>
      <c r="M237" s="44">
        <f t="shared" si="63"/>
        <v>6293.2185835777282</v>
      </c>
      <c r="N237" s="44">
        <f t="shared" si="63"/>
        <v>8914.4799898903893</v>
      </c>
      <c r="O237" s="44">
        <f t="shared" si="63"/>
        <v>8032.840431819237</v>
      </c>
      <c r="P237" s="44">
        <f t="shared" si="63"/>
        <v>7848.4436220053703</v>
      </c>
      <c r="Q237" s="44">
        <f t="shared" si="63"/>
        <v>8221.9599769875986</v>
      </c>
      <c r="R237" s="44">
        <f t="shared" si="63"/>
        <v>8497.8747279421423</v>
      </c>
      <c r="S237" s="44">
        <f t="shared" si="63"/>
        <v>8791.5909653103154</v>
      </c>
      <c r="T237" s="44">
        <f t="shared" si="63"/>
        <v>8333.6211099183984</v>
      </c>
      <c r="U237" s="44">
        <f t="shared" si="63"/>
        <v>8544.3982008192834</v>
      </c>
      <c r="V237" s="44">
        <f t="shared" si="63"/>
        <v>8134.1709989969549</v>
      </c>
    </row>
    <row r="238" spans="2:22" x14ac:dyDescent="0.2">
      <c r="C238" s="1" t="s">
        <v>52</v>
      </c>
      <c r="D238" s="12"/>
      <c r="E238" s="12"/>
      <c r="F238" s="12"/>
      <c r="G238" s="12"/>
      <c r="H238" s="13"/>
      <c r="I238" s="13"/>
      <c r="J238" s="13"/>
      <c r="K238" s="13"/>
      <c r="L238" s="13"/>
      <c r="M238" s="13"/>
      <c r="N238" s="13"/>
      <c r="O238" s="13"/>
      <c r="P238" s="13"/>
      <c r="Q238" s="13"/>
      <c r="R238" s="13"/>
      <c r="S238" s="13"/>
      <c r="T238" s="13"/>
      <c r="U238" s="13"/>
    </row>
    <row r="239" spans="2:22" x14ac:dyDescent="0.2">
      <c r="B239" s="9"/>
    </row>
    <row r="242" spans="3:22" ht="18" customHeight="1" x14ac:dyDescent="0.2">
      <c r="D242" s="160" t="s">
        <v>200</v>
      </c>
      <c r="E242" s="158"/>
      <c r="F242" s="158"/>
      <c r="G242" s="158"/>
      <c r="H242" s="158"/>
      <c r="I242" s="158"/>
      <c r="J242" s="158"/>
      <c r="K242" s="158"/>
      <c r="L242" s="158"/>
      <c r="M242" s="158"/>
      <c r="N242" s="158"/>
      <c r="O242" s="158"/>
      <c r="P242" s="158"/>
      <c r="Q242" s="158"/>
      <c r="R242" s="158"/>
      <c r="S242" s="158"/>
      <c r="T242" s="158"/>
      <c r="U242" s="158"/>
      <c r="V242" s="158"/>
    </row>
    <row r="243" spans="3:22" ht="3.75" customHeight="1" x14ac:dyDescent="0.2">
      <c r="H243" s="27"/>
      <c r="I243" s="27"/>
      <c r="J243" s="27"/>
      <c r="L243" s="175"/>
      <c r="M243" s="158"/>
      <c r="N243" s="158"/>
      <c r="O243" s="158"/>
      <c r="P243" s="158"/>
      <c r="Q243" s="158"/>
      <c r="R243" s="28"/>
      <c r="S243" s="28"/>
      <c r="T243" s="28"/>
      <c r="U243" s="28"/>
      <c r="V243" s="28"/>
    </row>
    <row r="244" spans="3:22" x14ac:dyDescent="0.2"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</row>
    <row r="245" spans="3:22" ht="13.5" customHeight="1" x14ac:dyDescent="0.2">
      <c r="C245" s="177" t="s">
        <v>120</v>
      </c>
      <c r="D245" s="153">
        <v>2000</v>
      </c>
      <c r="E245" s="153">
        <v>2001</v>
      </c>
      <c r="F245" s="153">
        <v>2002</v>
      </c>
      <c r="G245" s="153">
        <v>2003</v>
      </c>
      <c r="H245" s="153">
        <v>2004</v>
      </c>
      <c r="I245" s="153">
        <v>2005</v>
      </c>
      <c r="J245" s="153">
        <v>2006</v>
      </c>
      <c r="K245" s="153">
        <v>2007</v>
      </c>
      <c r="L245" s="153">
        <v>2008</v>
      </c>
      <c r="M245" s="153">
        <v>2009</v>
      </c>
      <c r="N245" s="153">
        <v>2010</v>
      </c>
      <c r="O245" s="153">
        <v>2011</v>
      </c>
      <c r="P245" s="153">
        <v>2012</v>
      </c>
      <c r="Q245" s="153">
        <v>2013</v>
      </c>
      <c r="R245" s="153">
        <v>2014</v>
      </c>
      <c r="S245" s="153">
        <v>2015</v>
      </c>
      <c r="T245" s="153">
        <v>2016</v>
      </c>
      <c r="U245" s="153">
        <v>2017</v>
      </c>
      <c r="V245" s="153">
        <v>2018</v>
      </c>
    </row>
    <row r="246" spans="3:22" ht="12" customHeight="1" thickBot="1" x14ac:dyDescent="0.25">
      <c r="C246" s="156"/>
      <c r="D246" s="154"/>
      <c r="E246" s="154"/>
      <c r="F246" s="154"/>
      <c r="G246" s="154"/>
      <c r="H246" s="154"/>
      <c r="I246" s="154"/>
      <c r="J246" s="154"/>
      <c r="K246" s="154"/>
      <c r="L246" s="154"/>
      <c r="M246" s="154"/>
      <c r="N246" s="154"/>
      <c r="O246" s="154"/>
      <c r="P246" s="154"/>
      <c r="Q246" s="154"/>
      <c r="R246" s="154"/>
      <c r="S246" s="154"/>
      <c r="T246" s="154"/>
      <c r="U246" s="154"/>
      <c r="V246" s="154"/>
    </row>
    <row r="247" spans="3:22" x14ac:dyDescent="0.2">
      <c r="C247" s="87" t="s">
        <v>123</v>
      </c>
      <c r="D247" s="60">
        <f t="shared" ref="D247:V247" si="64">+IFERROR(IF(D208&gt;0,+((D208/D13)*100)," "),"")</f>
        <v>91.358170211359152</v>
      </c>
      <c r="E247" s="60">
        <f t="shared" si="64"/>
        <v>80.212585328030315</v>
      </c>
      <c r="F247" s="60">
        <f t="shared" si="64"/>
        <v>80.419498940411813</v>
      </c>
      <c r="G247" s="60">
        <f t="shared" si="64"/>
        <v>58.124491736537905</v>
      </c>
      <c r="H247" s="60">
        <f t="shared" si="64"/>
        <v>60.468480930618853</v>
      </c>
      <c r="I247" s="60">
        <f t="shared" si="64"/>
        <v>72.782308003033975</v>
      </c>
      <c r="J247" s="60">
        <f t="shared" si="64"/>
        <v>74.653310039848648</v>
      </c>
      <c r="K247" s="60">
        <f t="shared" si="64"/>
        <v>78.18073559043377</v>
      </c>
      <c r="L247" s="60">
        <f t="shared" si="64"/>
        <v>81.082048865135931</v>
      </c>
      <c r="M247" s="60">
        <f t="shared" si="64"/>
        <v>78.128258589949311</v>
      </c>
      <c r="N247" s="60">
        <f t="shared" si="64"/>
        <v>80.00266221051136</v>
      </c>
      <c r="O247" s="60">
        <f t="shared" si="64"/>
        <v>73.142242468104811</v>
      </c>
      <c r="P247" s="60">
        <f t="shared" si="64"/>
        <v>74.213463204151765</v>
      </c>
      <c r="Q247" s="60">
        <f t="shared" si="64"/>
        <v>74.190088184298887</v>
      </c>
      <c r="R247" s="60">
        <f t="shared" si="64"/>
        <v>85.320559435186212</v>
      </c>
      <c r="S247" s="60">
        <f t="shared" si="64"/>
        <v>75.590009189514376</v>
      </c>
      <c r="T247" s="60">
        <f t="shared" si="64"/>
        <v>73.803131488881775</v>
      </c>
      <c r="U247" s="60">
        <f t="shared" si="64"/>
        <v>81.774919578870566</v>
      </c>
      <c r="V247" s="60">
        <f t="shared" si="64"/>
        <v>85.679961801783051</v>
      </c>
    </row>
    <row r="248" spans="3:22" x14ac:dyDescent="0.2">
      <c r="C248" s="88" t="s">
        <v>124</v>
      </c>
      <c r="D248" s="62" t="str">
        <f t="shared" ref="D248:V248" si="65">+IFERROR(IF(D209&gt;0,+((D209/D14)*100)," "),"")</f>
        <v xml:space="preserve"> </v>
      </c>
      <c r="E248" s="62" t="str">
        <f t="shared" si="65"/>
        <v xml:space="preserve"> </v>
      </c>
      <c r="F248" s="62" t="str">
        <f t="shared" si="65"/>
        <v xml:space="preserve"> </v>
      </c>
      <c r="G248" s="62" t="str">
        <f t="shared" si="65"/>
        <v xml:space="preserve"> </v>
      </c>
      <c r="H248" s="62" t="str">
        <f t="shared" si="65"/>
        <v xml:space="preserve"> </v>
      </c>
      <c r="I248" s="62" t="str">
        <f t="shared" si="65"/>
        <v xml:space="preserve"> </v>
      </c>
      <c r="J248" s="62" t="str">
        <f t="shared" si="65"/>
        <v xml:space="preserve"> </v>
      </c>
      <c r="K248" s="62" t="str">
        <f t="shared" si="65"/>
        <v xml:space="preserve"> </v>
      </c>
      <c r="L248" s="62" t="str">
        <f t="shared" si="65"/>
        <v xml:space="preserve"> </v>
      </c>
      <c r="M248" s="62" t="str">
        <f t="shared" si="65"/>
        <v xml:space="preserve"> </v>
      </c>
      <c r="N248" s="62" t="str">
        <f t="shared" si="65"/>
        <v xml:space="preserve"> </v>
      </c>
      <c r="O248" s="62" t="str">
        <f t="shared" si="65"/>
        <v xml:space="preserve"> </v>
      </c>
      <c r="P248" s="62">
        <f t="shared" si="65"/>
        <v>81.655503734028159</v>
      </c>
      <c r="Q248" s="62">
        <f t="shared" si="65"/>
        <v>86.228087106180269</v>
      </c>
      <c r="R248" s="62">
        <f t="shared" si="65"/>
        <v>69.128338541812383</v>
      </c>
      <c r="S248" s="62">
        <f t="shared" si="65"/>
        <v>68.10202743034047</v>
      </c>
      <c r="T248" s="62">
        <f t="shared" si="65"/>
        <v>91.115926791877655</v>
      </c>
      <c r="U248" s="62">
        <f t="shared" si="65"/>
        <v>95.679411609901408</v>
      </c>
      <c r="V248" s="62">
        <f t="shared" si="65"/>
        <v>96.878101311490823</v>
      </c>
    </row>
    <row r="249" spans="3:22" x14ac:dyDescent="0.2">
      <c r="C249" s="87" t="s">
        <v>125</v>
      </c>
      <c r="D249" s="60">
        <f t="shared" ref="D249:V249" si="66">+IFERROR(IF(D210&gt;0,+((D210/D15)*100)," "),"")</f>
        <v>75.324683760368529</v>
      </c>
      <c r="E249" s="60">
        <f t="shared" si="66"/>
        <v>62.923747174609957</v>
      </c>
      <c r="F249" s="60">
        <f t="shared" si="66"/>
        <v>91.02823143421837</v>
      </c>
      <c r="G249" s="60">
        <f t="shared" si="66"/>
        <v>78.603556540860183</v>
      </c>
      <c r="H249" s="60">
        <f t="shared" si="66"/>
        <v>65.714335023288427</v>
      </c>
      <c r="I249" s="60">
        <f t="shared" si="66"/>
        <v>68.263603967310289</v>
      </c>
      <c r="J249" s="60">
        <f t="shared" si="66"/>
        <v>69.501788101752467</v>
      </c>
      <c r="K249" s="60">
        <f t="shared" si="66"/>
        <v>51.065386838654966</v>
      </c>
      <c r="L249" s="60">
        <f t="shared" si="66"/>
        <v>84.724202782307273</v>
      </c>
      <c r="M249" s="60">
        <f t="shared" si="66"/>
        <v>75.589441382275112</v>
      </c>
      <c r="N249" s="60" t="str">
        <f t="shared" si="66"/>
        <v xml:space="preserve"> </v>
      </c>
      <c r="O249" s="60" t="str">
        <f t="shared" si="66"/>
        <v xml:space="preserve"> </v>
      </c>
      <c r="P249" s="60" t="str">
        <f t="shared" si="66"/>
        <v xml:space="preserve"> </v>
      </c>
      <c r="Q249" s="60" t="str">
        <f t="shared" si="66"/>
        <v xml:space="preserve"> </v>
      </c>
      <c r="R249" s="60" t="str">
        <f t="shared" si="66"/>
        <v xml:space="preserve"> </v>
      </c>
      <c r="S249" s="60" t="str">
        <f t="shared" si="66"/>
        <v xml:space="preserve"> </v>
      </c>
      <c r="T249" s="60" t="str">
        <f t="shared" si="66"/>
        <v xml:space="preserve"> </v>
      </c>
      <c r="U249" s="60" t="str">
        <f t="shared" si="66"/>
        <v xml:space="preserve"> </v>
      </c>
      <c r="V249" s="60" t="str">
        <f t="shared" si="66"/>
        <v xml:space="preserve"> </v>
      </c>
    </row>
    <row r="250" spans="3:22" x14ac:dyDescent="0.2">
      <c r="C250" s="88" t="s">
        <v>126</v>
      </c>
      <c r="D250" s="62">
        <f t="shared" ref="D250:V250" si="67">+IFERROR(IF(D211&gt;0,+((D211/D16)*100)," "),"")</f>
        <v>93.924161925984649</v>
      </c>
      <c r="E250" s="62">
        <f t="shared" si="67"/>
        <v>87.383209906928499</v>
      </c>
      <c r="F250" s="62">
        <f t="shared" si="67"/>
        <v>86.050696046880262</v>
      </c>
      <c r="G250" s="62">
        <f t="shared" si="67"/>
        <v>87.603284201444126</v>
      </c>
      <c r="H250" s="62">
        <f t="shared" si="67"/>
        <v>88.896038157724774</v>
      </c>
      <c r="I250" s="62">
        <f t="shared" si="67"/>
        <v>90.67068598687959</v>
      </c>
      <c r="J250" s="62">
        <f t="shared" si="67"/>
        <v>89.90721996145659</v>
      </c>
      <c r="K250" s="62">
        <f t="shared" si="67"/>
        <v>91.558183624944604</v>
      </c>
      <c r="L250" s="62">
        <f t="shared" si="67"/>
        <v>90.23797799206919</v>
      </c>
      <c r="M250" s="62">
        <f t="shared" si="67"/>
        <v>92.520836381682201</v>
      </c>
      <c r="N250" s="62">
        <f t="shared" si="67"/>
        <v>90.156326554326085</v>
      </c>
      <c r="O250" s="62">
        <f t="shared" si="67"/>
        <v>82.375575943203671</v>
      </c>
      <c r="P250" s="62">
        <f t="shared" si="67"/>
        <v>88.353159689718069</v>
      </c>
      <c r="Q250" s="62">
        <f t="shared" si="67"/>
        <v>87.065700154426764</v>
      </c>
      <c r="R250" s="62">
        <f t="shared" si="67"/>
        <v>91.273890492778833</v>
      </c>
      <c r="S250" s="62">
        <f t="shared" si="67"/>
        <v>93.990373195203688</v>
      </c>
      <c r="T250" s="62">
        <f t="shared" si="67"/>
        <v>93.993966637393669</v>
      </c>
      <c r="U250" s="62">
        <f t="shared" si="67"/>
        <v>95.12012920486373</v>
      </c>
      <c r="V250" s="62">
        <f t="shared" si="67"/>
        <v>92.876164663779988</v>
      </c>
    </row>
    <row r="251" spans="3:22" x14ac:dyDescent="0.2">
      <c r="C251" s="87" t="s">
        <v>127</v>
      </c>
      <c r="D251" s="60" t="str">
        <f t="shared" ref="D251:V251" si="68">+IFERROR(IF(D212&gt;0,+((D212/D17)*100)," "),"")</f>
        <v xml:space="preserve"> </v>
      </c>
      <c r="E251" s="60" t="str">
        <f t="shared" si="68"/>
        <v xml:space="preserve"> </v>
      </c>
      <c r="F251" s="60" t="str">
        <f t="shared" si="68"/>
        <v xml:space="preserve"> </v>
      </c>
      <c r="G251" s="60" t="str">
        <f t="shared" si="68"/>
        <v xml:space="preserve"> </v>
      </c>
      <c r="H251" s="60" t="str">
        <f t="shared" si="68"/>
        <v xml:space="preserve"> </v>
      </c>
      <c r="I251" s="60" t="str">
        <f t="shared" si="68"/>
        <v xml:space="preserve"> </v>
      </c>
      <c r="J251" s="60" t="str">
        <f t="shared" si="68"/>
        <v xml:space="preserve"> </v>
      </c>
      <c r="K251" s="60" t="str">
        <f t="shared" si="68"/>
        <v xml:space="preserve"> </v>
      </c>
      <c r="L251" s="60" t="str">
        <f t="shared" si="68"/>
        <v xml:space="preserve"> </v>
      </c>
      <c r="M251" s="60" t="str">
        <f t="shared" si="68"/>
        <v xml:space="preserve"> </v>
      </c>
      <c r="N251" s="60" t="str">
        <f t="shared" si="68"/>
        <v xml:space="preserve"> </v>
      </c>
      <c r="O251" s="60" t="str">
        <f t="shared" si="68"/>
        <v xml:space="preserve"> </v>
      </c>
      <c r="P251" s="60" t="str">
        <f t="shared" si="68"/>
        <v xml:space="preserve"> </v>
      </c>
      <c r="Q251" s="60" t="str">
        <f t="shared" si="68"/>
        <v xml:space="preserve"> </v>
      </c>
      <c r="R251" s="60" t="str">
        <f t="shared" si="68"/>
        <v xml:space="preserve"> </v>
      </c>
      <c r="S251" s="60" t="str">
        <f t="shared" si="68"/>
        <v xml:space="preserve"> </v>
      </c>
      <c r="T251" s="60" t="str">
        <f t="shared" si="68"/>
        <v xml:space="preserve"> </v>
      </c>
      <c r="U251" s="60" t="str">
        <f t="shared" si="68"/>
        <v xml:space="preserve"> </v>
      </c>
      <c r="V251" s="60" t="str">
        <f t="shared" si="68"/>
        <v xml:space="preserve"> </v>
      </c>
    </row>
    <row r="252" spans="3:22" x14ac:dyDescent="0.2">
      <c r="C252" s="88" t="s">
        <v>128</v>
      </c>
      <c r="D252" s="62">
        <f t="shared" ref="D252:V252" si="69">+IFERROR(IF(D213&gt;0,+((D213/D18)*100)," "),"")</f>
        <v>79.813276821751671</v>
      </c>
      <c r="E252" s="62">
        <f t="shared" si="69"/>
        <v>86.442029575526021</v>
      </c>
      <c r="F252" s="62">
        <f t="shared" si="69"/>
        <v>71.055745658739241</v>
      </c>
      <c r="G252" s="62">
        <f t="shared" si="69"/>
        <v>44.137604925133758</v>
      </c>
      <c r="H252" s="62">
        <f t="shared" si="69"/>
        <v>57.002604427146728</v>
      </c>
      <c r="I252" s="62">
        <f t="shared" si="69"/>
        <v>73.367197721102627</v>
      </c>
      <c r="J252" s="62">
        <f t="shared" si="69"/>
        <v>23.536218101954152</v>
      </c>
      <c r="K252" s="62">
        <f t="shared" si="69"/>
        <v>49.157390006104059</v>
      </c>
      <c r="L252" s="62">
        <f t="shared" si="69"/>
        <v>72.715006655230411</v>
      </c>
      <c r="M252" s="62">
        <f t="shared" si="69"/>
        <v>66.316837735804853</v>
      </c>
      <c r="N252" s="62">
        <f t="shared" si="69"/>
        <v>73.629018315971123</v>
      </c>
      <c r="O252" s="62">
        <f t="shared" si="69"/>
        <v>74.077634007603123</v>
      </c>
      <c r="P252" s="62">
        <f t="shared" si="69"/>
        <v>80.051527288933485</v>
      </c>
      <c r="Q252" s="62">
        <f t="shared" si="69"/>
        <v>75.419308572049388</v>
      </c>
      <c r="R252" s="62">
        <f t="shared" si="69"/>
        <v>85.064550432625836</v>
      </c>
      <c r="S252" s="62">
        <f t="shared" si="69"/>
        <v>91.166116688320685</v>
      </c>
      <c r="T252" s="62">
        <f t="shared" si="69"/>
        <v>88.030887407217278</v>
      </c>
      <c r="U252" s="62">
        <f t="shared" si="69"/>
        <v>92.83840697306816</v>
      </c>
      <c r="V252" s="62">
        <f t="shared" si="69"/>
        <v>93.629594289348148</v>
      </c>
    </row>
    <row r="253" spans="3:22" x14ac:dyDescent="0.2">
      <c r="C253" s="87" t="s">
        <v>129</v>
      </c>
      <c r="D253" s="60">
        <f t="shared" ref="D253:V253" si="70">+IFERROR(IF(D214&gt;0,+((D214/D19)*100)," "),"")</f>
        <v>69.04311777051042</v>
      </c>
      <c r="E253" s="60">
        <f t="shared" si="70"/>
        <v>75.65967715759875</v>
      </c>
      <c r="F253" s="60">
        <f t="shared" si="70"/>
        <v>72.547306278510675</v>
      </c>
      <c r="G253" s="60">
        <f t="shared" si="70"/>
        <v>76.085180545085308</v>
      </c>
      <c r="H253" s="60">
        <f t="shared" si="70"/>
        <v>79.724885731621242</v>
      </c>
      <c r="I253" s="60">
        <f t="shared" si="70"/>
        <v>77.526883283074483</v>
      </c>
      <c r="J253" s="60">
        <f t="shared" si="70"/>
        <v>65.873664797065885</v>
      </c>
      <c r="K253" s="60">
        <f t="shared" si="70"/>
        <v>82.854179560584498</v>
      </c>
      <c r="L253" s="60">
        <f t="shared" si="70"/>
        <v>86.898922234687475</v>
      </c>
      <c r="M253" s="60">
        <f t="shared" si="70"/>
        <v>83.522805177366379</v>
      </c>
      <c r="N253" s="60">
        <f t="shared" si="70"/>
        <v>85.846593993436898</v>
      </c>
      <c r="O253" s="60">
        <f t="shared" si="70"/>
        <v>76.681215433552012</v>
      </c>
      <c r="P253" s="60">
        <f t="shared" si="70"/>
        <v>73.969334230741467</v>
      </c>
      <c r="Q253" s="60">
        <f t="shared" si="70"/>
        <v>74.863611479310535</v>
      </c>
      <c r="R253" s="60">
        <f t="shared" si="70"/>
        <v>80.711594118504863</v>
      </c>
      <c r="S253" s="60">
        <f t="shared" si="70"/>
        <v>79.623746364071266</v>
      </c>
      <c r="T253" s="60">
        <f t="shared" si="70"/>
        <v>85.095872724437555</v>
      </c>
      <c r="U253" s="60">
        <f t="shared" si="70"/>
        <v>88.892562800151794</v>
      </c>
      <c r="V253" s="60">
        <f t="shared" si="70"/>
        <v>83.885837545577658</v>
      </c>
    </row>
    <row r="254" spans="3:22" x14ac:dyDescent="0.2">
      <c r="C254" s="88" t="s">
        <v>130</v>
      </c>
      <c r="D254" s="62">
        <f t="shared" ref="D254:V254" si="71">+IFERROR(IF(D215&gt;0,+((D215/D20)*100)," "),"")</f>
        <v>88.565146357091976</v>
      </c>
      <c r="E254" s="62">
        <f t="shared" si="71"/>
        <v>77.26325397950616</v>
      </c>
      <c r="F254" s="62">
        <f t="shared" si="71"/>
        <v>56.019112248669686</v>
      </c>
      <c r="G254" s="62">
        <f t="shared" si="71"/>
        <v>66.952551602493372</v>
      </c>
      <c r="H254" s="62">
        <f t="shared" si="71"/>
        <v>81.251212724327772</v>
      </c>
      <c r="I254" s="62">
        <f t="shared" si="71"/>
        <v>85.19484432148468</v>
      </c>
      <c r="J254" s="62">
        <f t="shared" si="71"/>
        <v>90.654291834780281</v>
      </c>
      <c r="K254" s="62">
        <f t="shared" si="71"/>
        <v>89.320483282865069</v>
      </c>
      <c r="L254" s="62">
        <f t="shared" si="71"/>
        <v>88.911205340161658</v>
      </c>
      <c r="M254" s="62">
        <f t="shared" si="71"/>
        <v>86.087624680190316</v>
      </c>
      <c r="N254" s="62">
        <f t="shared" si="71"/>
        <v>82.446692532602199</v>
      </c>
      <c r="O254" s="62">
        <f t="shared" si="71"/>
        <v>68.558256501575315</v>
      </c>
      <c r="P254" s="62" t="str">
        <f t="shared" si="71"/>
        <v xml:space="preserve"> </v>
      </c>
      <c r="Q254" s="62" t="str">
        <f t="shared" si="71"/>
        <v xml:space="preserve"> </v>
      </c>
      <c r="R254" s="62" t="str">
        <f t="shared" si="71"/>
        <v xml:space="preserve"> </v>
      </c>
      <c r="S254" s="62" t="str">
        <f t="shared" si="71"/>
        <v xml:space="preserve"> </v>
      </c>
      <c r="T254" s="62" t="str">
        <f t="shared" si="71"/>
        <v xml:space="preserve"> </v>
      </c>
      <c r="U254" s="62" t="str">
        <f t="shared" si="71"/>
        <v xml:space="preserve"> </v>
      </c>
      <c r="V254" s="62" t="str">
        <f t="shared" si="71"/>
        <v xml:space="preserve"> </v>
      </c>
    </row>
    <row r="255" spans="3:22" x14ac:dyDescent="0.2">
      <c r="C255" s="87" t="s">
        <v>131</v>
      </c>
      <c r="D255" s="60">
        <f t="shared" ref="D255:V255" si="72">+IFERROR(IF(D216&gt;0,+((D216/D21)*100)," "),"")</f>
        <v>86.452834938042145</v>
      </c>
      <c r="E255" s="60">
        <f t="shared" si="72"/>
        <v>88.23575417226219</v>
      </c>
      <c r="F255" s="60">
        <f t="shared" si="72"/>
        <v>85.358365631169733</v>
      </c>
      <c r="G255" s="60">
        <f t="shared" si="72"/>
        <v>80.281069267932878</v>
      </c>
      <c r="H255" s="60">
        <f t="shared" si="72"/>
        <v>83.989401755373919</v>
      </c>
      <c r="I255" s="60">
        <f t="shared" si="72"/>
        <v>85.221801564197904</v>
      </c>
      <c r="J255" s="60">
        <f t="shared" si="72"/>
        <v>79.943678993755412</v>
      </c>
      <c r="K255" s="60">
        <f t="shared" si="72"/>
        <v>82.5795253652106</v>
      </c>
      <c r="L255" s="60">
        <f t="shared" si="72"/>
        <v>86.194023282344787</v>
      </c>
      <c r="M255" s="60">
        <f t="shared" si="72"/>
        <v>89.971256235658061</v>
      </c>
      <c r="N255" s="60">
        <f t="shared" si="72"/>
        <v>84.142669332748085</v>
      </c>
      <c r="O255" s="60">
        <f t="shared" si="72"/>
        <v>80.237959183344728</v>
      </c>
      <c r="P255" s="60">
        <f t="shared" si="72"/>
        <v>80.050355155902992</v>
      </c>
      <c r="Q255" s="60">
        <f t="shared" si="72"/>
        <v>72.734492489838814</v>
      </c>
      <c r="R255" s="60">
        <f t="shared" si="72"/>
        <v>83.379500978029427</v>
      </c>
      <c r="S255" s="60">
        <f t="shared" si="72"/>
        <v>86.508271733694315</v>
      </c>
      <c r="T255" s="60">
        <f t="shared" si="72"/>
        <v>88.836323485223573</v>
      </c>
      <c r="U255" s="60">
        <f t="shared" si="72"/>
        <v>77.168019220993173</v>
      </c>
      <c r="V255" s="60">
        <f t="shared" si="72"/>
        <v>84.510928756804987</v>
      </c>
    </row>
    <row r="256" spans="3:22" x14ac:dyDescent="0.2">
      <c r="C256" s="88" t="s">
        <v>132</v>
      </c>
      <c r="D256" s="62">
        <f t="shared" ref="D256:V256" si="73">+IFERROR(IF(D217&gt;0,+((D217/D22)*100)," "),"")</f>
        <v>82.581298349565486</v>
      </c>
      <c r="E256" s="62">
        <f t="shared" si="73"/>
        <v>76.241687018482324</v>
      </c>
      <c r="F256" s="62">
        <f t="shared" si="73"/>
        <v>81.02588523478488</v>
      </c>
      <c r="G256" s="62">
        <f t="shared" si="73"/>
        <v>83.473537210798426</v>
      </c>
      <c r="H256" s="62">
        <f t="shared" si="73"/>
        <v>77.71835615944552</v>
      </c>
      <c r="I256" s="62">
        <f t="shared" si="73"/>
        <v>90.006051458042435</v>
      </c>
      <c r="J256" s="62">
        <f t="shared" si="73"/>
        <v>66.593496320554038</v>
      </c>
      <c r="K256" s="62">
        <f t="shared" si="73"/>
        <v>48.302694448361052</v>
      </c>
      <c r="L256" s="62">
        <f t="shared" si="73"/>
        <v>54.708049386612132</v>
      </c>
      <c r="M256" s="62">
        <f t="shared" si="73"/>
        <v>36.252058314190194</v>
      </c>
      <c r="N256" s="62">
        <f t="shared" si="73"/>
        <v>57.138243166425397</v>
      </c>
      <c r="O256" s="62">
        <f t="shared" si="73"/>
        <v>53.457364874448245</v>
      </c>
      <c r="P256" s="62">
        <f t="shared" si="73"/>
        <v>61.731790825440527</v>
      </c>
      <c r="Q256" s="62">
        <f t="shared" si="73"/>
        <v>44.300056477685018</v>
      </c>
      <c r="R256" s="62">
        <f t="shared" si="73"/>
        <v>49.522248501282775</v>
      </c>
      <c r="S256" s="62">
        <f t="shared" si="73"/>
        <v>52.314575091561579</v>
      </c>
      <c r="T256" s="62">
        <f t="shared" si="73"/>
        <v>75.036354021607806</v>
      </c>
      <c r="U256" s="62">
        <f t="shared" si="73"/>
        <v>77.548168150453904</v>
      </c>
      <c r="V256" s="62">
        <f t="shared" si="73"/>
        <v>79.69912983490407</v>
      </c>
    </row>
    <row r="257" spans="3:22" x14ac:dyDescent="0.2">
      <c r="C257" s="87" t="s">
        <v>133</v>
      </c>
      <c r="D257" s="60">
        <f t="shared" ref="D257:V257" si="74">+IFERROR(IF(D218&gt;0,+((D218/D23)*100)," "),"")</f>
        <v>48.873205038815549</v>
      </c>
      <c r="E257" s="60">
        <f t="shared" si="74"/>
        <v>32.655861478276471</v>
      </c>
      <c r="F257" s="60">
        <f t="shared" si="74"/>
        <v>74.790810853604341</v>
      </c>
      <c r="G257" s="60">
        <f t="shared" si="74"/>
        <v>22.575940656311875</v>
      </c>
      <c r="H257" s="60">
        <f t="shared" si="74"/>
        <v>71.092476805833911</v>
      </c>
      <c r="I257" s="60">
        <f t="shared" si="74"/>
        <v>69.214496583691471</v>
      </c>
      <c r="J257" s="60">
        <f t="shared" si="74"/>
        <v>72.090802333332931</v>
      </c>
      <c r="K257" s="60">
        <f t="shared" si="74"/>
        <v>48.151207800093722</v>
      </c>
      <c r="L257" s="60">
        <f t="shared" si="74"/>
        <v>35.580712741312738</v>
      </c>
      <c r="M257" s="60">
        <f t="shared" si="74"/>
        <v>46.785288581314873</v>
      </c>
      <c r="N257" s="60">
        <f t="shared" si="74"/>
        <v>14.313774985578512</v>
      </c>
      <c r="O257" s="60">
        <f t="shared" si="74"/>
        <v>23.475913787850786</v>
      </c>
      <c r="P257" s="60">
        <f t="shared" si="74"/>
        <v>18.513434845102005</v>
      </c>
      <c r="Q257" s="60">
        <f t="shared" si="74"/>
        <v>22.586683704964539</v>
      </c>
      <c r="R257" s="60">
        <f t="shared" si="74"/>
        <v>24.504393049321465</v>
      </c>
      <c r="S257" s="60">
        <f t="shared" si="74"/>
        <v>24.282738605084973</v>
      </c>
      <c r="T257" s="60">
        <f t="shared" si="74"/>
        <v>77.630168631496119</v>
      </c>
      <c r="U257" s="60">
        <f t="shared" si="74"/>
        <v>95.916553071963534</v>
      </c>
      <c r="V257" s="60">
        <f t="shared" si="74"/>
        <v>42.871300755827505</v>
      </c>
    </row>
    <row r="258" spans="3:22" x14ac:dyDescent="0.2">
      <c r="C258" s="88" t="s">
        <v>134</v>
      </c>
      <c r="D258" s="62">
        <f t="shared" ref="D258:V258" si="75">+IFERROR(IF(D219&gt;0,+((D219/D24)*100)," "),"")</f>
        <v>64.424496020597076</v>
      </c>
      <c r="E258" s="62">
        <f t="shared" si="75"/>
        <v>83.612990825523099</v>
      </c>
      <c r="F258" s="62">
        <f t="shared" si="75"/>
        <v>88.886402536697133</v>
      </c>
      <c r="G258" s="62">
        <f t="shared" si="75"/>
        <v>84.731249013092281</v>
      </c>
      <c r="H258" s="62">
        <f t="shared" si="75"/>
        <v>91.226019241200987</v>
      </c>
      <c r="I258" s="62">
        <f t="shared" si="75"/>
        <v>85.209369451594256</v>
      </c>
      <c r="J258" s="62">
        <f t="shared" si="75"/>
        <v>92.470825182726088</v>
      </c>
      <c r="K258" s="62">
        <f t="shared" si="75"/>
        <v>83.29418021573106</v>
      </c>
      <c r="L258" s="62">
        <f t="shared" si="75"/>
        <v>88.026169496782884</v>
      </c>
      <c r="M258" s="62">
        <f t="shared" si="75"/>
        <v>87.079446955965551</v>
      </c>
      <c r="N258" s="62">
        <f t="shared" si="75"/>
        <v>89.194288638156436</v>
      </c>
      <c r="O258" s="62">
        <f t="shared" si="75"/>
        <v>89.236331054113151</v>
      </c>
      <c r="P258" s="62">
        <f t="shared" si="75"/>
        <v>85.711564337046568</v>
      </c>
      <c r="Q258" s="62">
        <f t="shared" si="75"/>
        <v>75.284151559242957</v>
      </c>
      <c r="R258" s="62">
        <f t="shared" si="75"/>
        <v>67.423071227636484</v>
      </c>
      <c r="S258" s="62">
        <f t="shared" si="75"/>
        <v>68.543622276653963</v>
      </c>
      <c r="T258" s="62">
        <f t="shared" si="75"/>
        <v>74.265316750264859</v>
      </c>
      <c r="U258" s="62">
        <f t="shared" si="75"/>
        <v>74.152409073831194</v>
      </c>
      <c r="V258" s="62">
        <f t="shared" si="75"/>
        <v>78.07870171299831</v>
      </c>
    </row>
    <row r="259" spans="3:22" x14ac:dyDescent="0.2">
      <c r="C259" s="87" t="s">
        <v>135</v>
      </c>
      <c r="D259" s="60" t="str">
        <f t="shared" ref="D259:V259" si="76">+IFERROR(IF(D220&gt;0,+((D220/D25)*100)," "),"")</f>
        <v xml:space="preserve"> </v>
      </c>
      <c r="E259" s="60" t="str">
        <f t="shared" si="76"/>
        <v xml:space="preserve"> </v>
      </c>
      <c r="F259" s="60" t="str">
        <f t="shared" si="76"/>
        <v xml:space="preserve"> </v>
      </c>
      <c r="G259" s="60" t="str">
        <f t="shared" si="76"/>
        <v xml:space="preserve"> </v>
      </c>
      <c r="H259" s="60" t="str">
        <f t="shared" si="76"/>
        <v xml:space="preserve"> </v>
      </c>
      <c r="I259" s="60" t="str">
        <f t="shared" si="76"/>
        <v xml:space="preserve"> </v>
      </c>
      <c r="J259" s="60" t="str">
        <f t="shared" si="76"/>
        <v xml:space="preserve"> </v>
      </c>
      <c r="K259" s="60" t="str">
        <f t="shared" si="76"/>
        <v xml:space="preserve"> </v>
      </c>
      <c r="L259" s="60" t="str">
        <f t="shared" si="76"/>
        <v xml:space="preserve"> </v>
      </c>
      <c r="M259" s="60" t="str">
        <f t="shared" si="76"/>
        <v xml:space="preserve"> </v>
      </c>
      <c r="N259" s="60" t="str">
        <f t="shared" si="76"/>
        <v xml:space="preserve"> </v>
      </c>
      <c r="O259" s="60" t="str">
        <f t="shared" si="76"/>
        <v xml:space="preserve"> </v>
      </c>
      <c r="P259" s="60" t="str">
        <f t="shared" si="76"/>
        <v xml:space="preserve"> </v>
      </c>
      <c r="Q259" s="60" t="str">
        <f t="shared" si="76"/>
        <v xml:space="preserve"> </v>
      </c>
      <c r="R259" s="60" t="str">
        <f t="shared" si="76"/>
        <v xml:space="preserve"> </v>
      </c>
      <c r="S259" s="60" t="str">
        <f t="shared" si="76"/>
        <v xml:space="preserve"> </v>
      </c>
      <c r="T259" s="60" t="str">
        <f t="shared" si="76"/>
        <v xml:space="preserve"> </v>
      </c>
      <c r="U259" s="60" t="str">
        <f t="shared" si="76"/>
        <v xml:space="preserve"> </v>
      </c>
      <c r="V259" s="60" t="str">
        <f t="shared" si="76"/>
        <v xml:space="preserve"> </v>
      </c>
    </row>
    <row r="260" spans="3:22" x14ac:dyDescent="0.2">
      <c r="C260" s="88" t="s">
        <v>136</v>
      </c>
      <c r="D260" s="62">
        <f t="shared" ref="D260:V260" si="77">+IFERROR(IF(D221&gt;0,+((D221/D26)*100)," "),"")</f>
        <v>93.85522630282891</v>
      </c>
      <c r="E260" s="62">
        <f t="shared" si="77"/>
        <v>96.680354516125917</v>
      </c>
      <c r="F260" s="62">
        <f t="shared" si="77"/>
        <v>89.866479294552917</v>
      </c>
      <c r="G260" s="62">
        <f t="shared" si="77"/>
        <v>95.217251183219602</v>
      </c>
      <c r="H260" s="62">
        <f t="shared" si="77"/>
        <v>92.556602404256765</v>
      </c>
      <c r="I260" s="62">
        <f t="shared" si="77"/>
        <v>90.844457036613946</v>
      </c>
      <c r="J260" s="62">
        <f t="shared" si="77"/>
        <v>68.597778636479234</v>
      </c>
      <c r="K260" s="62">
        <f t="shared" si="77"/>
        <v>70.295197469543879</v>
      </c>
      <c r="L260" s="62">
        <f t="shared" si="77"/>
        <v>72.488513107731649</v>
      </c>
      <c r="M260" s="62">
        <f t="shared" si="77"/>
        <v>73.811334958303249</v>
      </c>
      <c r="N260" s="62">
        <f t="shared" si="77"/>
        <v>78.334273022651146</v>
      </c>
      <c r="O260" s="62">
        <f t="shared" si="77"/>
        <v>57.322077092608126</v>
      </c>
      <c r="P260" s="62">
        <f t="shared" si="77"/>
        <v>78.462390912304144</v>
      </c>
      <c r="Q260" s="62">
        <f t="shared" si="77"/>
        <v>80.422446629356713</v>
      </c>
      <c r="R260" s="62">
        <f t="shared" si="77"/>
        <v>82.147824340574203</v>
      </c>
      <c r="S260" s="62">
        <f t="shared" si="77"/>
        <v>85.013936139463368</v>
      </c>
      <c r="T260" s="62">
        <f t="shared" si="77"/>
        <v>85.889186265441325</v>
      </c>
      <c r="U260" s="62">
        <f t="shared" si="77"/>
        <v>97.033238018329428</v>
      </c>
      <c r="V260" s="62">
        <f t="shared" si="77"/>
        <v>85.583639496685322</v>
      </c>
    </row>
    <row r="261" spans="3:22" x14ac:dyDescent="0.2">
      <c r="C261" s="87" t="s">
        <v>137</v>
      </c>
      <c r="D261" s="60">
        <f t="shared" ref="D261:V261" si="78">+IFERROR(IF(D222&gt;0,+((D222/D27)*100)," "),"")</f>
        <v>83.394172988976507</v>
      </c>
      <c r="E261" s="60">
        <f t="shared" si="78"/>
        <v>81.280405211284631</v>
      </c>
      <c r="F261" s="60">
        <f t="shared" si="78"/>
        <v>95.351250618838606</v>
      </c>
      <c r="G261" s="60">
        <f t="shared" si="78"/>
        <v>82.475822173722307</v>
      </c>
      <c r="H261" s="60">
        <f t="shared" si="78"/>
        <v>86.164869781010765</v>
      </c>
      <c r="I261" s="60">
        <f t="shared" si="78"/>
        <v>88.161511400013808</v>
      </c>
      <c r="J261" s="60">
        <f t="shared" si="78"/>
        <v>89.42876762320742</v>
      </c>
      <c r="K261" s="60">
        <f t="shared" si="78"/>
        <v>91.03599651101176</v>
      </c>
      <c r="L261" s="60">
        <f t="shared" si="78"/>
        <v>84.10825845053489</v>
      </c>
      <c r="M261" s="60">
        <f t="shared" si="78"/>
        <v>90.896821563027743</v>
      </c>
      <c r="N261" s="60">
        <f t="shared" si="78"/>
        <v>93.343193332747418</v>
      </c>
      <c r="O261" s="60">
        <f t="shared" si="78"/>
        <v>93.094472844725843</v>
      </c>
      <c r="P261" s="60">
        <f t="shared" si="78"/>
        <v>70.694119858249266</v>
      </c>
      <c r="Q261" s="60">
        <f t="shared" si="78"/>
        <v>76.566399851591186</v>
      </c>
      <c r="R261" s="60">
        <f t="shared" si="78"/>
        <v>89.690444423710204</v>
      </c>
      <c r="S261" s="60">
        <f t="shared" si="78"/>
        <v>62.55364747472656</v>
      </c>
      <c r="T261" s="60">
        <f t="shared" si="78"/>
        <v>62.585459810243727</v>
      </c>
      <c r="U261" s="60">
        <f t="shared" si="78"/>
        <v>91.288861938309338</v>
      </c>
      <c r="V261" s="60">
        <f t="shared" si="78"/>
        <v>64.863401823627029</v>
      </c>
    </row>
    <row r="262" spans="3:22" x14ac:dyDescent="0.2">
      <c r="C262" s="88" t="s">
        <v>138</v>
      </c>
      <c r="D262" s="62">
        <f t="shared" ref="D262:V262" si="79">+IFERROR(IF(D223&gt;0,+((D223/D28)*100)," "),"")</f>
        <v>85.284681032272175</v>
      </c>
      <c r="E262" s="62">
        <f t="shared" si="79"/>
        <v>78.751078126129698</v>
      </c>
      <c r="F262" s="62">
        <f t="shared" si="79"/>
        <v>85.935224732965551</v>
      </c>
      <c r="G262" s="62">
        <f t="shared" si="79"/>
        <v>74.91904291451074</v>
      </c>
      <c r="H262" s="62">
        <f t="shared" si="79"/>
        <v>71.81905476369262</v>
      </c>
      <c r="I262" s="62">
        <f t="shared" si="79"/>
        <v>75.290401912453135</v>
      </c>
      <c r="J262" s="62">
        <f t="shared" si="79"/>
        <v>80.435342226393331</v>
      </c>
      <c r="K262" s="62">
        <f t="shared" si="79"/>
        <v>87.334020849526041</v>
      </c>
      <c r="L262" s="62">
        <f t="shared" si="79"/>
        <v>82.666236021129109</v>
      </c>
      <c r="M262" s="62">
        <f t="shared" si="79"/>
        <v>72.845046351858429</v>
      </c>
      <c r="N262" s="62">
        <f t="shared" si="79"/>
        <v>68.848819036168564</v>
      </c>
      <c r="O262" s="62">
        <f t="shared" si="79"/>
        <v>71.685095740732578</v>
      </c>
      <c r="P262" s="62">
        <f t="shared" si="79"/>
        <v>76.96392363812528</v>
      </c>
      <c r="Q262" s="62">
        <f t="shared" si="79"/>
        <v>91.605534435105355</v>
      </c>
      <c r="R262" s="62">
        <f t="shared" si="79"/>
        <v>81.154889454033309</v>
      </c>
      <c r="S262" s="62" t="str">
        <f t="shared" si="79"/>
        <v xml:space="preserve"> </v>
      </c>
      <c r="T262" s="62" t="str">
        <f t="shared" si="79"/>
        <v xml:space="preserve"> </v>
      </c>
      <c r="U262" s="62" t="str">
        <f t="shared" si="79"/>
        <v xml:space="preserve"> </v>
      </c>
      <c r="V262" s="62" t="str">
        <f t="shared" si="79"/>
        <v xml:space="preserve"> </v>
      </c>
    </row>
    <row r="263" spans="3:22" x14ac:dyDescent="0.2">
      <c r="C263" s="87" t="s">
        <v>139</v>
      </c>
      <c r="D263" s="60">
        <f t="shared" ref="D263:V263" si="80">+IFERROR(IF(D224&gt;0,+((D224/D29)*100)," "),"")</f>
        <v>94.414388769557959</v>
      </c>
      <c r="E263" s="60">
        <f t="shared" si="80"/>
        <v>56.391758730514304</v>
      </c>
      <c r="F263" s="60">
        <f t="shared" si="80"/>
        <v>75.341871536539102</v>
      </c>
      <c r="G263" s="60">
        <f t="shared" si="80"/>
        <v>68.365470907840901</v>
      </c>
      <c r="H263" s="60">
        <f t="shared" si="80"/>
        <v>79.748907952727592</v>
      </c>
      <c r="I263" s="60">
        <f t="shared" si="80"/>
        <v>81.770634594720434</v>
      </c>
      <c r="J263" s="60">
        <f t="shared" si="80"/>
        <v>69.104786013315504</v>
      </c>
      <c r="K263" s="60">
        <f t="shared" si="80"/>
        <v>82.335577460453095</v>
      </c>
      <c r="L263" s="60">
        <f t="shared" si="80"/>
        <v>80.459127552275206</v>
      </c>
      <c r="M263" s="60">
        <f t="shared" si="80"/>
        <v>58.218629620424267</v>
      </c>
      <c r="N263" s="60">
        <f t="shared" si="80"/>
        <v>45.721500852674595</v>
      </c>
      <c r="O263" s="60">
        <f t="shared" si="80"/>
        <v>70.070705738096095</v>
      </c>
      <c r="P263" s="60">
        <f t="shared" si="80"/>
        <v>74.594484909181674</v>
      </c>
      <c r="Q263" s="60">
        <f t="shared" si="80"/>
        <v>83.834840217429203</v>
      </c>
      <c r="R263" s="60">
        <f t="shared" si="80"/>
        <v>73.637882614238464</v>
      </c>
      <c r="S263" s="60">
        <f t="shared" si="80"/>
        <v>79.713763357148849</v>
      </c>
      <c r="T263" s="60">
        <f t="shared" si="80"/>
        <v>91.707270417857885</v>
      </c>
      <c r="U263" s="60">
        <f t="shared" si="80"/>
        <v>86.109011889665425</v>
      </c>
      <c r="V263" s="60">
        <f t="shared" si="80"/>
        <v>87.618647331652099</v>
      </c>
    </row>
    <row r="264" spans="3:22" x14ac:dyDescent="0.2">
      <c r="C264" s="88" t="s">
        <v>140</v>
      </c>
      <c r="D264" s="62">
        <f t="shared" ref="D264:V264" si="81">+IFERROR(IF(D225&gt;0,+((D225/D30)*100)," "),"")</f>
        <v>64.074532702557548</v>
      </c>
      <c r="E264" s="62">
        <f t="shared" si="81"/>
        <v>72.401094372306915</v>
      </c>
      <c r="F264" s="62">
        <f t="shared" si="81"/>
        <v>66.945184877395121</v>
      </c>
      <c r="G264" s="62">
        <f t="shared" si="81"/>
        <v>61.848700610917753</v>
      </c>
      <c r="H264" s="62">
        <f t="shared" si="81"/>
        <v>82.260804419188574</v>
      </c>
      <c r="I264" s="62">
        <f t="shared" si="81"/>
        <v>99.216419117508508</v>
      </c>
      <c r="J264" s="62">
        <f t="shared" si="81"/>
        <v>51.213225733122016</v>
      </c>
      <c r="K264" s="62">
        <f t="shared" si="81"/>
        <v>62.466600373240524</v>
      </c>
      <c r="L264" s="62">
        <f t="shared" si="81"/>
        <v>81.094966535206765</v>
      </c>
      <c r="M264" s="62">
        <f t="shared" si="81"/>
        <v>76.580382933326362</v>
      </c>
      <c r="N264" s="62">
        <f t="shared" si="81"/>
        <v>96.878960491379544</v>
      </c>
      <c r="O264" s="62">
        <f t="shared" si="81"/>
        <v>96.042313242594489</v>
      </c>
      <c r="P264" s="62">
        <f t="shared" si="81"/>
        <v>61.170722965552706</v>
      </c>
      <c r="Q264" s="62">
        <f t="shared" si="81"/>
        <v>50.16966647155585</v>
      </c>
      <c r="R264" s="62">
        <f t="shared" si="81"/>
        <v>87.187514099061175</v>
      </c>
      <c r="S264" s="62">
        <f t="shared" si="81"/>
        <v>90.97752013898473</v>
      </c>
      <c r="T264" s="62">
        <f t="shared" si="81"/>
        <v>90.053762497292936</v>
      </c>
      <c r="U264" s="62">
        <f t="shared" si="81"/>
        <v>92.461347432624805</v>
      </c>
      <c r="V264" s="62">
        <f t="shared" si="81"/>
        <v>86.381320093969265</v>
      </c>
    </row>
    <row r="265" spans="3:22" x14ac:dyDescent="0.2">
      <c r="C265" s="87" t="s">
        <v>141</v>
      </c>
      <c r="D265" s="60">
        <f t="shared" ref="D265:V265" si="82">+IFERROR(IF(D226&gt;0,+((D226/D31)*100)," "),"")</f>
        <v>39.850320662837305</v>
      </c>
      <c r="E265" s="60">
        <f t="shared" si="82"/>
        <v>55.037769485162421</v>
      </c>
      <c r="F265" s="60">
        <f t="shared" si="82"/>
        <v>79.939207928625677</v>
      </c>
      <c r="G265" s="60">
        <f t="shared" si="82"/>
        <v>58.598920112778096</v>
      </c>
      <c r="H265" s="60">
        <f t="shared" si="82"/>
        <v>62.172643114326931</v>
      </c>
      <c r="I265" s="60">
        <f t="shared" si="82"/>
        <v>52.728144151485459</v>
      </c>
      <c r="J265" s="60">
        <f t="shared" si="82"/>
        <v>77.524280567271092</v>
      </c>
      <c r="K265" s="60">
        <f t="shared" si="82"/>
        <v>85.117430348756102</v>
      </c>
      <c r="L265" s="60">
        <f t="shared" si="82"/>
        <v>84.299667049106802</v>
      </c>
      <c r="M265" s="60">
        <f t="shared" si="82"/>
        <v>85.487923541986049</v>
      </c>
      <c r="N265" s="60">
        <f t="shared" si="82"/>
        <v>73.586673965631803</v>
      </c>
      <c r="O265" s="60">
        <f t="shared" si="82"/>
        <v>72.76437148756834</v>
      </c>
      <c r="P265" s="60">
        <f t="shared" si="82"/>
        <v>50.793145717701208</v>
      </c>
      <c r="Q265" s="60">
        <f t="shared" si="82"/>
        <v>64.495049563618835</v>
      </c>
      <c r="R265" s="60">
        <f t="shared" si="82"/>
        <v>58.998653676754785</v>
      </c>
      <c r="S265" s="60">
        <f t="shared" si="82"/>
        <v>74.862263423390672</v>
      </c>
      <c r="T265" s="60">
        <f t="shared" si="82"/>
        <v>69.656824813775287</v>
      </c>
      <c r="U265" s="60">
        <f t="shared" si="82"/>
        <v>67.817802314666949</v>
      </c>
      <c r="V265" s="60">
        <f t="shared" si="82"/>
        <v>73.770586052879978</v>
      </c>
    </row>
    <row r="266" spans="3:22" x14ac:dyDescent="0.2">
      <c r="C266" s="88" t="s">
        <v>142</v>
      </c>
      <c r="D266" s="62">
        <f t="shared" ref="D266:V266" si="83">+IFERROR(IF(D227&gt;0,+((D227/D32)*100)," "),"")</f>
        <v>91.873404237065628</v>
      </c>
      <c r="E266" s="62">
        <f t="shared" si="83"/>
        <v>93.583426937518084</v>
      </c>
      <c r="F266" s="62">
        <f t="shared" si="83"/>
        <v>83.291960415646386</v>
      </c>
      <c r="G266" s="62">
        <f t="shared" si="83"/>
        <v>71.242306652141068</v>
      </c>
      <c r="H266" s="62">
        <f t="shared" si="83"/>
        <v>76.9466101585693</v>
      </c>
      <c r="I266" s="62">
        <f t="shared" si="83"/>
        <v>78.687268302504449</v>
      </c>
      <c r="J266" s="62">
        <f t="shared" si="83"/>
        <v>64.4261222896059</v>
      </c>
      <c r="K266" s="62">
        <f t="shared" si="83"/>
        <v>69.867962362108088</v>
      </c>
      <c r="L266" s="62">
        <f t="shared" si="83"/>
        <v>78.997367070872343</v>
      </c>
      <c r="M266" s="62">
        <f t="shared" si="83"/>
        <v>67.558243776367917</v>
      </c>
      <c r="N266" s="62">
        <f t="shared" si="83"/>
        <v>89.13851770171506</v>
      </c>
      <c r="O266" s="62">
        <f t="shared" si="83"/>
        <v>79.690228695502071</v>
      </c>
      <c r="P266" s="62">
        <f t="shared" si="83"/>
        <v>85.22421903103556</v>
      </c>
      <c r="Q266" s="62">
        <f t="shared" si="83"/>
        <v>54.029741982599568</v>
      </c>
      <c r="R266" s="62">
        <f t="shared" si="83"/>
        <v>83.240813836922712</v>
      </c>
      <c r="S266" s="62">
        <f t="shared" si="83"/>
        <v>87.479441295168542</v>
      </c>
      <c r="T266" s="62">
        <f t="shared" si="83"/>
        <v>91.535894724216121</v>
      </c>
      <c r="U266" s="62">
        <f t="shared" si="83"/>
        <v>89.268376868911332</v>
      </c>
      <c r="V266" s="62">
        <f t="shared" si="83"/>
        <v>90.498044261768257</v>
      </c>
    </row>
    <row r="267" spans="3:22" x14ac:dyDescent="0.2">
      <c r="C267" s="87" t="s">
        <v>143</v>
      </c>
      <c r="D267" s="60" t="str">
        <f t="shared" ref="D267:V267" si="84">+IFERROR(IF(D228&gt;0,+((D228/D33)*100)," "),"")</f>
        <v xml:space="preserve"> </v>
      </c>
      <c r="E267" s="60" t="str">
        <f t="shared" si="84"/>
        <v xml:space="preserve"> </v>
      </c>
      <c r="F267" s="60" t="str">
        <f t="shared" si="84"/>
        <v xml:space="preserve"> </v>
      </c>
      <c r="G267" s="60" t="str">
        <f t="shared" si="84"/>
        <v xml:space="preserve"> </v>
      </c>
      <c r="H267" s="60" t="str">
        <f t="shared" si="84"/>
        <v xml:space="preserve"> </v>
      </c>
      <c r="I267" s="60" t="str">
        <f t="shared" si="84"/>
        <v xml:space="preserve"> </v>
      </c>
      <c r="J267" s="60" t="str">
        <f t="shared" si="84"/>
        <v xml:space="preserve"> </v>
      </c>
      <c r="K267" s="60" t="str">
        <f t="shared" si="84"/>
        <v xml:space="preserve"> </v>
      </c>
      <c r="L267" s="60" t="str">
        <f t="shared" si="84"/>
        <v xml:space="preserve"> </v>
      </c>
      <c r="M267" s="60" t="str">
        <f t="shared" si="84"/>
        <v xml:space="preserve"> </v>
      </c>
      <c r="N267" s="60" t="str">
        <f t="shared" si="84"/>
        <v xml:space="preserve"> </v>
      </c>
      <c r="O267" s="60" t="str">
        <f t="shared" si="84"/>
        <v xml:space="preserve"> </v>
      </c>
      <c r="P267" s="60" t="str">
        <f t="shared" si="84"/>
        <v xml:space="preserve"> </v>
      </c>
      <c r="Q267" s="60" t="str">
        <f t="shared" si="84"/>
        <v xml:space="preserve"> </v>
      </c>
      <c r="R267" s="60" t="str">
        <f t="shared" si="84"/>
        <v xml:space="preserve"> </v>
      </c>
      <c r="S267" s="60" t="str">
        <f t="shared" si="84"/>
        <v xml:space="preserve"> </v>
      </c>
      <c r="T267" s="60" t="str">
        <f t="shared" si="84"/>
        <v xml:space="preserve"> </v>
      </c>
      <c r="U267" s="60" t="str">
        <f t="shared" si="84"/>
        <v xml:space="preserve"> </v>
      </c>
      <c r="V267" s="60" t="str">
        <f t="shared" si="84"/>
        <v xml:space="preserve"> </v>
      </c>
    </row>
    <row r="268" spans="3:22" x14ac:dyDescent="0.2">
      <c r="C268" s="88" t="s">
        <v>144</v>
      </c>
      <c r="D268" s="62" t="str">
        <f t="shared" ref="D268:V268" si="85">+IFERROR(IF(D229&gt;0,+((D229/D34)*100)," "),"")</f>
        <v xml:space="preserve"> </v>
      </c>
      <c r="E268" s="62" t="str">
        <f t="shared" si="85"/>
        <v xml:space="preserve"> </v>
      </c>
      <c r="F268" s="62" t="str">
        <f t="shared" si="85"/>
        <v xml:space="preserve"> </v>
      </c>
      <c r="G268" s="62" t="str">
        <f t="shared" si="85"/>
        <v xml:space="preserve"> </v>
      </c>
      <c r="H268" s="62" t="str">
        <f t="shared" si="85"/>
        <v xml:space="preserve"> </v>
      </c>
      <c r="I268" s="62" t="str">
        <f t="shared" si="85"/>
        <v xml:space="preserve"> </v>
      </c>
      <c r="J268" s="62" t="str">
        <f t="shared" si="85"/>
        <v xml:space="preserve"> </v>
      </c>
      <c r="K268" s="62" t="str">
        <f t="shared" si="85"/>
        <v xml:space="preserve"> </v>
      </c>
      <c r="L268" s="62" t="str">
        <f t="shared" si="85"/>
        <v xml:space="preserve"> </v>
      </c>
      <c r="M268" s="62" t="str">
        <f t="shared" si="85"/>
        <v xml:space="preserve"> </v>
      </c>
      <c r="N268" s="62" t="str">
        <f t="shared" si="85"/>
        <v xml:space="preserve"> </v>
      </c>
      <c r="O268" s="62" t="str">
        <f t="shared" si="85"/>
        <v xml:space="preserve"> </v>
      </c>
      <c r="P268" s="62" t="str">
        <f t="shared" si="85"/>
        <v xml:space="preserve"> </v>
      </c>
      <c r="Q268" s="62" t="str">
        <f t="shared" si="85"/>
        <v xml:space="preserve"> </v>
      </c>
      <c r="R268" s="62" t="str">
        <f t="shared" si="85"/>
        <v xml:space="preserve"> </v>
      </c>
      <c r="S268" s="62" t="str">
        <f t="shared" si="85"/>
        <v xml:space="preserve"> </v>
      </c>
      <c r="T268" s="62" t="str">
        <f t="shared" si="85"/>
        <v xml:space="preserve"> </v>
      </c>
      <c r="U268" s="62" t="str">
        <f t="shared" si="85"/>
        <v xml:space="preserve"> </v>
      </c>
      <c r="V268" s="62" t="str">
        <f t="shared" si="85"/>
        <v xml:space="preserve"> </v>
      </c>
    </row>
    <row r="269" spans="3:22" x14ac:dyDescent="0.2">
      <c r="C269" s="87" t="s">
        <v>145</v>
      </c>
      <c r="D269" s="60">
        <f t="shared" ref="D269:V269" si="86">+IFERROR(IF(D230&gt;0,+((D230/D35)*100)," "),"")</f>
        <v>83.083943755497486</v>
      </c>
      <c r="E269" s="60">
        <f t="shared" si="86"/>
        <v>57.096497214306162</v>
      </c>
      <c r="F269" s="60">
        <f t="shared" si="86"/>
        <v>85.44391793897455</v>
      </c>
      <c r="G269" s="60">
        <f t="shared" si="86"/>
        <v>70.216079293161243</v>
      </c>
      <c r="H269" s="60">
        <f t="shared" si="86"/>
        <v>52.846357117043887</v>
      </c>
      <c r="I269" s="60">
        <f t="shared" si="86"/>
        <v>70.417730526212836</v>
      </c>
      <c r="J269" s="60">
        <f t="shared" si="86"/>
        <v>55.072807576511508</v>
      </c>
      <c r="K269" s="60">
        <f t="shared" si="86"/>
        <v>60.819937159824732</v>
      </c>
      <c r="L269" s="60">
        <f t="shared" si="86"/>
        <v>63.784346456692923</v>
      </c>
      <c r="M269" s="60">
        <f t="shared" si="86"/>
        <v>68.710580307613142</v>
      </c>
      <c r="N269" s="60">
        <f t="shared" si="86"/>
        <v>73.757776520895248</v>
      </c>
      <c r="O269" s="60">
        <f t="shared" si="86"/>
        <v>72.914741861762096</v>
      </c>
      <c r="P269" s="60">
        <f t="shared" si="86"/>
        <v>82.355885748221326</v>
      </c>
      <c r="Q269" s="60">
        <f t="shared" si="86"/>
        <v>86.117850686194402</v>
      </c>
      <c r="R269" s="60">
        <f t="shared" si="86"/>
        <v>80.93647578776438</v>
      </c>
      <c r="S269" s="60">
        <f t="shared" si="86"/>
        <v>91.552205123329415</v>
      </c>
      <c r="T269" s="60">
        <f t="shared" si="86"/>
        <v>92.078434263299769</v>
      </c>
      <c r="U269" s="60">
        <f t="shared" si="86"/>
        <v>95.261476712547932</v>
      </c>
      <c r="V269" s="60">
        <f t="shared" si="86"/>
        <v>87.991509089655494</v>
      </c>
    </row>
    <row r="270" spans="3:22" x14ac:dyDescent="0.2">
      <c r="C270" s="88" t="s">
        <v>146</v>
      </c>
      <c r="D270" s="62">
        <f t="shared" ref="D270:V270" si="87">+IFERROR(IF(D231&gt;0,+((D231/D36)*100)," "),"")</f>
        <v>96.985793553187406</v>
      </c>
      <c r="E270" s="62">
        <f t="shared" si="87"/>
        <v>91.105002937651591</v>
      </c>
      <c r="F270" s="62">
        <f t="shared" si="87"/>
        <v>80.592600890646139</v>
      </c>
      <c r="G270" s="62">
        <f t="shared" si="87"/>
        <v>88.072171165338759</v>
      </c>
      <c r="H270" s="62">
        <f t="shared" si="87"/>
        <v>77.564710211740376</v>
      </c>
      <c r="I270" s="62">
        <f t="shared" si="87"/>
        <v>86.814876882840124</v>
      </c>
      <c r="J270" s="62">
        <f t="shared" si="87"/>
        <v>72.768552843229699</v>
      </c>
      <c r="K270" s="62">
        <f t="shared" si="87"/>
        <v>86.830060918547318</v>
      </c>
      <c r="L270" s="62">
        <f t="shared" si="87"/>
        <v>78.889921616716691</v>
      </c>
      <c r="M270" s="62">
        <f t="shared" si="87"/>
        <v>93.591399631638112</v>
      </c>
      <c r="N270" s="62">
        <f t="shared" si="87"/>
        <v>87.319613745475507</v>
      </c>
      <c r="O270" s="62">
        <f t="shared" si="87"/>
        <v>92.424613876744942</v>
      </c>
      <c r="P270" s="62">
        <f t="shared" si="87"/>
        <v>94.463940042817043</v>
      </c>
      <c r="Q270" s="62">
        <f t="shared" si="87"/>
        <v>96.843337299786</v>
      </c>
      <c r="R270" s="62">
        <f t="shared" si="87"/>
        <v>97.26266083649746</v>
      </c>
      <c r="S270" s="62">
        <f t="shared" si="87"/>
        <v>95.601078412408981</v>
      </c>
      <c r="T270" s="62">
        <f t="shared" si="87"/>
        <v>95.324738336361222</v>
      </c>
      <c r="U270" s="62">
        <f t="shared" si="87"/>
        <v>87.511964362469485</v>
      </c>
      <c r="V270" s="62">
        <f t="shared" si="87"/>
        <v>76.357583340431489</v>
      </c>
    </row>
    <row r="271" spans="3:22" x14ac:dyDescent="0.2">
      <c r="C271" s="90" t="s">
        <v>147</v>
      </c>
      <c r="D271" s="61">
        <f t="shared" ref="D271:V271" si="88">+IFERROR(IF(D232&gt;0,+((D232/D37)*100)," "),"")</f>
        <v>73.009042056439455</v>
      </c>
      <c r="E271" s="61">
        <f t="shared" si="88"/>
        <v>73.898607038761028</v>
      </c>
      <c r="F271" s="61">
        <f t="shared" si="88"/>
        <v>79.908261278628743</v>
      </c>
      <c r="G271" s="61">
        <f t="shared" si="88"/>
        <v>81.580444244238478</v>
      </c>
      <c r="H271" s="61">
        <f t="shared" si="88"/>
        <v>74.216262211802373</v>
      </c>
      <c r="I271" s="61">
        <f t="shared" si="88"/>
        <v>79.224049190723861</v>
      </c>
      <c r="J271" s="61">
        <f t="shared" si="88"/>
        <v>69.518138817266546</v>
      </c>
      <c r="K271" s="61">
        <f t="shared" si="88"/>
        <v>61.729492750040549</v>
      </c>
      <c r="L271" s="61">
        <f t="shared" si="88"/>
        <v>85.939000968702473</v>
      </c>
      <c r="M271" s="61">
        <f t="shared" si="88"/>
        <v>82.098892853775439</v>
      </c>
      <c r="N271" s="61">
        <f t="shared" si="88"/>
        <v>86.018890446053419</v>
      </c>
      <c r="O271" s="61">
        <f t="shared" si="88"/>
        <v>78.601479511331078</v>
      </c>
      <c r="P271" s="61">
        <f t="shared" si="88"/>
        <v>87.633001325249467</v>
      </c>
      <c r="Q271" s="61">
        <f t="shared" si="88"/>
        <v>74.161328164813241</v>
      </c>
      <c r="R271" s="61">
        <f t="shared" si="88"/>
        <v>82.995164950954475</v>
      </c>
      <c r="S271" s="61">
        <f t="shared" si="88"/>
        <v>89.672374476289065</v>
      </c>
      <c r="T271" s="61">
        <f t="shared" si="88"/>
        <v>91.304764333541783</v>
      </c>
      <c r="U271" s="61">
        <f t="shared" si="88"/>
        <v>91.415333190123746</v>
      </c>
      <c r="V271" s="61">
        <f t="shared" si="88"/>
        <v>84.928646231123409</v>
      </c>
    </row>
    <row r="272" spans="3:22" ht="22.5" customHeight="1" x14ac:dyDescent="0.2">
      <c r="C272" s="89" t="s">
        <v>148</v>
      </c>
      <c r="D272" s="63" t="str">
        <f t="shared" ref="D272:V272" si="89">+IFERROR(IF(D233&gt;0,+((D233/D38)*100)," "),"")</f>
        <v xml:space="preserve"> </v>
      </c>
      <c r="E272" s="63" t="str">
        <f t="shared" si="89"/>
        <v xml:space="preserve"> </v>
      </c>
      <c r="F272" s="63" t="str">
        <f t="shared" si="89"/>
        <v xml:space="preserve"> </v>
      </c>
      <c r="G272" s="63" t="str">
        <f t="shared" si="89"/>
        <v xml:space="preserve"> </v>
      </c>
      <c r="H272" s="63" t="str">
        <f t="shared" si="89"/>
        <v xml:space="preserve"> </v>
      </c>
      <c r="I272" s="63" t="str">
        <f t="shared" si="89"/>
        <v xml:space="preserve"> </v>
      </c>
      <c r="J272" s="63" t="str">
        <f t="shared" si="89"/>
        <v xml:space="preserve"> </v>
      </c>
      <c r="K272" s="63" t="str">
        <f t="shared" si="89"/>
        <v xml:space="preserve"> </v>
      </c>
      <c r="L272" s="63" t="str">
        <f t="shared" si="89"/>
        <v xml:space="preserve"> </v>
      </c>
      <c r="M272" s="63" t="str">
        <f t="shared" si="89"/>
        <v xml:space="preserve"> </v>
      </c>
      <c r="N272" s="63" t="str">
        <f t="shared" si="89"/>
        <v xml:space="preserve"> </v>
      </c>
      <c r="O272" s="63" t="str">
        <f t="shared" si="89"/>
        <v xml:space="preserve"> </v>
      </c>
      <c r="P272" s="63" t="str">
        <f t="shared" si="89"/>
        <v xml:space="preserve"> </v>
      </c>
      <c r="Q272" s="63" t="str">
        <f t="shared" si="89"/>
        <v xml:space="preserve"> </v>
      </c>
      <c r="R272" s="63" t="str">
        <f t="shared" si="89"/>
        <v xml:space="preserve"> </v>
      </c>
      <c r="S272" s="63" t="str">
        <f t="shared" si="89"/>
        <v xml:space="preserve"> </v>
      </c>
      <c r="T272" s="63" t="str">
        <f t="shared" si="89"/>
        <v xml:space="preserve"> </v>
      </c>
      <c r="U272" s="63" t="str">
        <f t="shared" si="89"/>
        <v xml:space="preserve"> </v>
      </c>
      <c r="V272" s="63" t="str">
        <f t="shared" si="89"/>
        <v xml:space="preserve"> </v>
      </c>
    </row>
    <row r="273" spans="3:22" x14ac:dyDescent="0.2">
      <c r="C273" s="87" t="s">
        <v>149</v>
      </c>
      <c r="D273" s="60">
        <f t="shared" ref="D273:V273" si="90">+IFERROR(IF(D234&gt;0,+((D234/D39)*100)," "),"")</f>
        <v>35.810577076807235</v>
      </c>
      <c r="E273" s="60">
        <f t="shared" si="90"/>
        <v>37.457455828316633</v>
      </c>
      <c r="F273" s="60">
        <f t="shared" si="90"/>
        <v>42.007833001388974</v>
      </c>
      <c r="G273" s="60">
        <f t="shared" si="90"/>
        <v>54.295731882441487</v>
      </c>
      <c r="H273" s="60">
        <f t="shared" si="90"/>
        <v>48.449196474727309</v>
      </c>
      <c r="I273" s="60">
        <f t="shared" si="90"/>
        <v>4.3396397279436352</v>
      </c>
      <c r="J273" s="60">
        <f t="shared" si="90"/>
        <v>45.536861602546146</v>
      </c>
      <c r="K273" s="60">
        <f t="shared" si="90"/>
        <v>47.044353321936079</v>
      </c>
      <c r="L273" s="60">
        <f t="shared" si="90"/>
        <v>57.548259603527619</v>
      </c>
      <c r="M273" s="60">
        <f t="shared" si="90"/>
        <v>61.441323418788173</v>
      </c>
      <c r="N273" s="60">
        <f t="shared" si="90"/>
        <v>64.888963805724146</v>
      </c>
      <c r="O273" s="60">
        <f t="shared" si="90"/>
        <v>68.734880621978334</v>
      </c>
      <c r="P273" s="60">
        <f t="shared" si="90"/>
        <v>74.847090942267641</v>
      </c>
      <c r="Q273" s="60">
        <f t="shared" si="90"/>
        <v>68.851317981795873</v>
      </c>
      <c r="R273" s="60">
        <f t="shared" si="90"/>
        <v>79.75379532951743</v>
      </c>
      <c r="S273" s="60">
        <f t="shared" si="90"/>
        <v>83.382744583793638</v>
      </c>
      <c r="T273" s="60">
        <f t="shared" si="90"/>
        <v>86.170484485587409</v>
      </c>
      <c r="U273" s="60">
        <f t="shared" si="90"/>
        <v>94.340876459376602</v>
      </c>
      <c r="V273" s="60">
        <f t="shared" si="90"/>
        <v>76.121932168842406</v>
      </c>
    </row>
    <row r="274" spans="3:22" x14ac:dyDescent="0.2">
      <c r="C274" s="88" t="s">
        <v>150</v>
      </c>
      <c r="D274" s="62">
        <f t="shared" ref="D274:V274" si="91">+IFERROR(IF(D235&gt;0,+((D235/D40)*100)," "),"")</f>
        <v>95.689081518728401</v>
      </c>
      <c r="E274" s="62">
        <f t="shared" si="91"/>
        <v>85.128344838551598</v>
      </c>
      <c r="F274" s="62">
        <f t="shared" si="91"/>
        <v>91.037412889874048</v>
      </c>
      <c r="G274" s="62">
        <f t="shared" si="91"/>
        <v>93.828761420972</v>
      </c>
      <c r="H274" s="62">
        <f t="shared" si="91"/>
        <v>92.392673182396535</v>
      </c>
      <c r="I274" s="62">
        <f t="shared" si="91"/>
        <v>94.435498243797426</v>
      </c>
      <c r="J274" s="62">
        <f t="shared" si="91"/>
        <v>90.39817254757142</v>
      </c>
      <c r="K274" s="62">
        <f t="shared" si="91"/>
        <v>85.400192802155615</v>
      </c>
      <c r="L274" s="62">
        <f t="shared" si="91"/>
        <v>81.952451391414499</v>
      </c>
      <c r="M274" s="62">
        <f t="shared" si="91"/>
        <v>82.094325914355039</v>
      </c>
      <c r="N274" s="62">
        <f t="shared" si="91"/>
        <v>92.086040130605923</v>
      </c>
      <c r="O274" s="62">
        <f t="shared" si="91"/>
        <v>66.517966076547125</v>
      </c>
      <c r="P274" s="62">
        <f t="shared" si="91"/>
        <v>91.924602062889321</v>
      </c>
      <c r="Q274" s="62">
        <f t="shared" si="91"/>
        <v>87.679365399598652</v>
      </c>
      <c r="R274" s="62">
        <f t="shared" si="91"/>
        <v>90.595732249028771</v>
      </c>
      <c r="S274" s="62">
        <f t="shared" si="91"/>
        <v>92.589031555803402</v>
      </c>
      <c r="T274" s="62">
        <f t="shared" si="91"/>
        <v>93.829376085656747</v>
      </c>
      <c r="U274" s="62">
        <f t="shared" si="91"/>
        <v>88.827295048236138</v>
      </c>
      <c r="V274" s="62">
        <f t="shared" si="91"/>
        <v>93.914935265662891</v>
      </c>
    </row>
    <row r="275" spans="3:22" x14ac:dyDescent="0.2">
      <c r="C275" s="87" t="s">
        <v>151</v>
      </c>
      <c r="D275" s="60">
        <f t="shared" ref="D275:V275" si="92">+IFERROR(IF(D236&gt;0,+((D236/D41)*100)," "),"")</f>
        <v>83.128727152620442</v>
      </c>
      <c r="E275" s="60">
        <f t="shared" si="92"/>
        <v>71.863155497689817</v>
      </c>
      <c r="F275" s="60">
        <f t="shared" si="92"/>
        <v>52.779563715997114</v>
      </c>
      <c r="G275" s="60">
        <f t="shared" si="92"/>
        <v>46.602539581465372</v>
      </c>
      <c r="H275" s="60">
        <f t="shared" si="92"/>
        <v>41.464590635791666</v>
      </c>
      <c r="I275" s="60">
        <f t="shared" si="92"/>
        <v>81.630692470508492</v>
      </c>
      <c r="J275" s="60">
        <f t="shared" si="92"/>
        <v>42.062504191862857</v>
      </c>
      <c r="K275" s="60">
        <f t="shared" si="92"/>
        <v>56.29212552312972</v>
      </c>
      <c r="L275" s="60" t="str">
        <f t="shared" si="92"/>
        <v xml:space="preserve"> </v>
      </c>
      <c r="M275" s="60" t="str">
        <f t="shared" si="92"/>
        <v xml:space="preserve"> </v>
      </c>
      <c r="N275" s="60" t="str">
        <f t="shared" si="92"/>
        <v xml:space="preserve"> </v>
      </c>
      <c r="O275" s="60" t="str">
        <f t="shared" si="92"/>
        <v xml:space="preserve"> </v>
      </c>
      <c r="P275" s="60" t="str">
        <f t="shared" si="92"/>
        <v xml:space="preserve"> </v>
      </c>
      <c r="Q275" s="60" t="str">
        <f t="shared" si="92"/>
        <v xml:space="preserve"> </v>
      </c>
      <c r="R275" s="60" t="str">
        <f t="shared" si="92"/>
        <v xml:space="preserve"> </v>
      </c>
      <c r="S275" s="60" t="str">
        <f t="shared" si="92"/>
        <v xml:space="preserve"> </v>
      </c>
      <c r="T275" s="60" t="str">
        <f t="shared" si="92"/>
        <v xml:space="preserve"> </v>
      </c>
      <c r="U275" s="60" t="str">
        <f t="shared" si="92"/>
        <v xml:space="preserve"> </v>
      </c>
      <c r="V275" s="60" t="str">
        <f t="shared" si="92"/>
        <v xml:space="preserve"> </v>
      </c>
    </row>
    <row r="276" spans="3:22" x14ac:dyDescent="0.2">
      <c r="C276" s="91" t="s">
        <v>179</v>
      </c>
      <c r="D276" s="64">
        <f t="shared" ref="D276:V276" si="93">+IFERROR(IF(D237&gt;0,+((D237/D42)*100)," "),"")</f>
        <v>73.474903513078317</v>
      </c>
      <c r="E276" s="64">
        <f t="shared" si="93"/>
        <v>73.804017373107499</v>
      </c>
      <c r="F276" s="64">
        <f t="shared" si="93"/>
        <v>75.747692171229218</v>
      </c>
      <c r="G276" s="64">
        <f t="shared" si="93"/>
        <v>77.340907723757581</v>
      </c>
      <c r="H276" s="64">
        <f t="shared" si="93"/>
        <v>80.523758326549711</v>
      </c>
      <c r="I276" s="64">
        <f t="shared" si="93"/>
        <v>87.833952786361394</v>
      </c>
      <c r="J276" s="64">
        <f t="shared" si="93"/>
        <v>68.529440369524025</v>
      </c>
      <c r="K276" s="64">
        <f t="shared" si="93"/>
        <v>76.180676597430946</v>
      </c>
      <c r="L276" s="64">
        <f t="shared" si="93"/>
        <v>80.884235485553887</v>
      </c>
      <c r="M276" s="64">
        <f t="shared" si="93"/>
        <v>76.64675784418769</v>
      </c>
      <c r="N276" s="64">
        <f t="shared" si="93"/>
        <v>81.348556100997385</v>
      </c>
      <c r="O276" s="64">
        <f t="shared" si="93"/>
        <v>76.871784953195032</v>
      </c>
      <c r="P276" s="64">
        <f t="shared" si="93"/>
        <v>77.776987881219497</v>
      </c>
      <c r="Q276" s="64">
        <f t="shared" si="93"/>
        <v>75.96158667392416</v>
      </c>
      <c r="R276" s="64">
        <f t="shared" si="93"/>
        <v>81.013040431119336</v>
      </c>
      <c r="S276" s="64">
        <f t="shared" si="93"/>
        <v>83.571170625211764</v>
      </c>
      <c r="T276" s="64">
        <f t="shared" si="93"/>
        <v>87.855159926889158</v>
      </c>
      <c r="U276" s="64">
        <f t="shared" si="93"/>
        <v>89.380956517109809</v>
      </c>
      <c r="V276" s="64">
        <f t="shared" si="93"/>
        <v>85.284936692090696</v>
      </c>
    </row>
    <row r="277" spans="3:22" x14ac:dyDescent="0.2">
      <c r="C277" s="1" t="s">
        <v>52</v>
      </c>
      <c r="D277" s="11"/>
      <c r="E277" s="11"/>
      <c r="F277" s="11"/>
      <c r="G277" s="11"/>
      <c r="H277" s="11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</row>
  </sheetData>
  <mergeCells count="173">
    <mergeCell ref="J245:J246"/>
    <mergeCell ref="D165:V165"/>
    <mergeCell ref="D9:V9"/>
    <mergeCell ref="K129:K130"/>
    <mergeCell ref="P6:P7"/>
    <mergeCell ref="M129:M130"/>
    <mergeCell ref="R6:R7"/>
    <mergeCell ref="T206:T207"/>
    <mergeCell ref="H11:H12"/>
    <mergeCell ref="M90:M91"/>
    <mergeCell ref="J11:J12"/>
    <mergeCell ref="E245:E246"/>
    <mergeCell ref="K90:K91"/>
    <mergeCell ref="J168:J169"/>
    <mergeCell ref="H90:H91"/>
    <mergeCell ref="L168:L169"/>
    <mergeCell ref="S245:S246"/>
    <mergeCell ref="K245:K246"/>
    <mergeCell ref="U245:U246"/>
    <mergeCell ref="T11:T12"/>
    <mergeCell ref="G51:G52"/>
    <mergeCell ref="Q90:Q91"/>
    <mergeCell ref="I51:I52"/>
    <mergeCell ref="M206:M207"/>
    <mergeCell ref="N168:N169"/>
    <mergeCell ref="P168:P169"/>
    <mergeCell ref="N90:N91"/>
    <mergeCell ref="J129:J130"/>
    <mergeCell ref="J51:J52"/>
    <mergeCell ref="N206:N207"/>
    <mergeCell ref="I6:I7"/>
    <mergeCell ref="K6:K7"/>
    <mergeCell ref="Q168:Q169"/>
    <mergeCell ref="N129:N130"/>
    <mergeCell ref="O206:O207"/>
    <mergeCell ref="S168:S169"/>
    <mergeCell ref="P129:P130"/>
    <mergeCell ref="U6:U7"/>
    <mergeCell ref="P51:P52"/>
    <mergeCell ref="V206:V207"/>
    <mergeCell ref="D11:D12"/>
    <mergeCell ref="P90:P91"/>
    <mergeCell ref="C168:C169"/>
    <mergeCell ref="P11:P12"/>
    <mergeCell ref="L6:L7"/>
    <mergeCell ref="N6:N7"/>
    <mergeCell ref="A7:C7"/>
    <mergeCell ref="I11:I12"/>
    <mergeCell ref="F168:F169"/>
    <mergeCell ref="D90:D91"/>
    <mergeCell ref="D87:V87"/>
    <mergeCell ref="S11:S12"/>
    <mergeCell ref="U11:U12"/>
    <mergeCell ref="L166:Q166"/>
    <mergeCell ref="E51:E52"/>
    <mergeCell ref="I206:I207"/>
    <mergeCell ref="M11:M12"/>
    <mergeCell ref="F129:F130"/>
    <mergeCell ref="H129:H130"/>
    <mergeCell ref="V245:V246"/>
    <mergeCell ref="D206:D207"/>
    <mergeCell ref="C129:C130"/>
    <mergeCell ref="V11:V12"/>
    <mergeCell ref="J206:J207"/>
    <mergeCell ref="C51:C52"/>
    <mergeCell ref="G206:G207"/>
    <mergeCell ref="O51:O52"/>
    <mergeCell ref="G129:G130"/>
    <mergeCell ref="S206:S207"/>
    <mergeCell ref="D168:D169"/>
    <mergeCell ref="P206:P207"/>
    <mergeCell ref="S129:S130"/>
    <mergeCell ref="U206:U207"/>
    <mergeCell ref="V168:V169"/>
    <mergeCell ref="F11:F12"/>
    <mergeCell ref="U129:U130"/>
    <mergeCell ref="S51:S52"/>
    <mergeCell ref="I245:I246"/>
    <mergeCell ref="U51:U52"/>
    <mergeCell ref="C245:C246"/>
    <mergeCell ref="G90:G91"/>
    <mergeCell ref="V129:V130"/>
    <mergeCell ref="G11:G12"/>
    <mergeCell ref="M245:M246"/>
    <mergeCell ref="D245:D246"/>
    <mergeCell ref="E168:E169"/>
    <mergeCell ref="G168:G169"/>
    <mergeCell ref="D242:V242"/>
    <mergeCell ref="S6:S7"/>
    <mergeCell ref="O6:O7"/>
    <mergeCell ref="R206:R207"/>
    <mergeCell ref="N245:N246"/>
    <mergeCell ref="O11:O12"/>
    <mergeCell ref="F245:F246"/>
    <mergeCell ref="P245:P246"/>
    <mergeCell ref="J90:J91"/>
    <mergeCell ref="O129:O130"/>
    <mergeCell ref="L245:L246"/>
    <mergeCell ref="K11:K12"/>
    <mergeCell ref="F51:F52"/>
    <mergeCell ref="H51:H52"/>
    <mergeCell ref="L206:L207"/>
    <mergeCell ref="R51:R52"/>
    <mergeCell ref="G6:G7"/>
    <mergeCell ref="M168:M169"/>
    <mergeCell ref="L129:L130"/>
    <mergeCell ref="O168:O169"/>
    <mergeCell ref="C90:C91"/>
    <mergeCell ref="E90:E91"/>
    <mergeCell ref="M6:M7"/>
    <mergeCell ref="T90:T91"/>
    <mergeCell ref="L90:L91"/>
    <mergeCell ref="T6:T7"/>
    <mergeCell ref="Q129:Q130"/>
    <mergeCell ref="L11:L12"/>
    <mergeCell ref="N11:N12"/>
    <mergeCell ref="I90:I91"/>
    <mergeCell ref="D48:V48"/>
    <mergeCell ref="O90:O91"/>
    <mergeCell ref="R11:R12"/>
    <mergeCell ref="D6:D7"/>
    <mergeCell ref="I129:I130"/>
    <mergeCell ref="F6:F7"/>
    <mergeCell ref="Q6:Q7"/>
    <mergeCell ref="Q11:Q12"/>
    <mergeCell ref="O245:O246"/>
    <mergeCell ref="E206:E207"/>
    <mergeCell ref="D4:V4"/>
    <mergeCell ref="K51:K52"/>
    <mergeCell ref="Q245:Q246"/>
    <mergeCell ref="S90:S91"/>
    <mergeCell ref="M51:M52"/>
    <mergeCell ref="H6:H7"/>
    <mergeCell ref="H168:H169"/>
    <mergeCell ref="J6:J7"/>
    <mergeCell ref="Q206:Q207"/>
    <mergeCell ref="L88:Q88"/>
    <mergeCell ref="R168:R169"/>
    <mergeCell ref="U90:U91"/>
    <mergeCell ref="D127:V127"/>
    <mergeCell ref="T168:T169"/>
    <mergeCell ref="R90:R91"/>
    <mergeCell ref="V6:V7"/>
    <mergeCell ref="Q51:Q52"/>
    <mergeCell ref="G245:G246"/>
    <mergeCell ref="R245:R246"/>
    <mergeCell ref="T245:T246"/>
    <mergeCell ref="L243:Q243"/>
    <mergeCell ref="F206:F207"/>
    <mergeCell ref="D2:V2"/>
    <mergeCell ref="K206:K207"/>
    <mergeCell ref="H245:H246"/>
    <mergeCell ref="D204:V204"/>
    <mergeCell ref="D51:D52"/>
    <mergeCell ref="A5:C6"/>
    <mergeCell ref="H206:H207"/>
    <mergeCell ref="N51:N52"/>
    <mergeCell ref="I168:I169"/>
    <mergeCell ref="K168:K169"/>
    <mergeCell ref="E129:E130"/>
    <mergeCell ref="U168:U169"/>
    <mergeCell ref="C11:C12"/>
    <mergeCell ref="E6:E7"/>
    <mergeCell ref="R129:R130"/>
    <mergeCell ref="E11:E12"/>
    <mergeCell ref="T129:T130"/>
    <mergeCell ref="V90:V91"/>
    <mergeCell ref="T51:T52"/>
    <mergeCell ref="L51:L52"/>
    <mergeCell ref="V51:V52"/>
    <mergeCell ref="F90:F91"/>
    <mergeCell ref="D129:D130"/>
    <mergeCell ref="C206:C207"/>
  </mergeCells>
  <pageMargins left="0.7" right="0.7" top="0.75" bottom="0.75" header="0.3" footer="0.3"/>
  <pageSetup orientation="portrait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Hoja21"/>
  <dimension ref="A1:K300"/>
  <sheetViews>
    <sheetView showGridLines="0" zoomScaleNormal="100" workbookViewId="0">
      <pane xSplit="3" ySplit="9" topLeftCell="D12" activePane="bottomRight" state="frozen"/>
      <selection activeCell="C204" sqref="C204:V204"/>
      <selection pane="topRight" activeCell="C204" sqref="C204:V204"/>
      <selection pane="bottomLeft" activeCell="C204" sqref="C204:V204"/>
      <selection pane="bottomRight" activeCell="K62" sqref="K62"/>
    </sheetView>
  </sheetViews>
  <sheetFormatPr baseColWidth="10" defaultColWidth="11.42578125" defaultRowHeight="11.25" x14ac:dyDescent="0.2"/>
  <cols>
    <col min="1" max="2" width="2.7109375" style="3" customWidth="1"/>
    <col min="3" max="3" width="45.7109375" style="3" customWidth="1"/>
    <col min="4" max="4" width="10.7109375" style="3" customWidth="1"/>
    <col min="5" max="33" width="10.7109375" style="9" customWidth="1"/>
    <col min="34" max="34" width="11.42578125" style="9" customWidth="1"/>
    <col min="35" max="16384" width="11.42578125" style="9"/>
  </cols>
  <sheetData>
    <row r="1" spans="1:11" ht="16.5" customHeight="1" x14ac:dyDescent="0.2"/>
    <row r="2" spans="1:11" ht="16.5" customHeight="1" x14ac:dyDescent="0.2">
      <c r="D2" s="179"/>
      <c r="E2" s="178"/>
      <c r="F2" s="178"/>
      <c r="G2" s="178"/>
      <c r="H2" s="178"/>
      <c r="I2" s="178"/>
      <c r="J2" s="178"/>
      <c r="K2" s="178"/>
    </row>
    <row r="3" spans="1:11" ht="16.5" customHeight="1" x14ac:dyDescent="0.2">
      <c r="D3" s="158"/>
      <c r="E3" s="178"/>
      <c r="F3" s="178"/>
      <c r="G3" s="178"/>
      <c r="H3" s="178"/>
      <c r="I3" s="178"/>
      <c r="J3" s="178"/>
      <c r="K3" s="178"/>
    </row>
    <row r="4" spans="1:11" ht="16.5" customHeight="1" x14ac:dyDescent="0.2">
      <c r="D4" s="158"/>
      <c r="E4" s="178"/>
      <c r="F4" s="178"/>
      <c r="G4" s="178"/>
      <c r="H4" s="178"/>
      <c r="I4" s="178"/>
      <c r="J4" s="178"/>
      <c r="K4" s="178"/>
    </row>
    <row r="5" spans="1:11" ht="16.5" customHeight="1" x14ac:dyDescent="0.2">
      <c r="D5" s="139"/>
      <c r="E5" s="139"/>
      <c r="F5" s="139"/>
      <c r="G5" s="139"/>
      <c r="H5" s="139"/>
      <c r="I5" s="139"/>
      <c r="J5" s="139"/>
      <c r="K5" s="139"/>
    </row>
    <row r="6" spans="1:11" ht="16.5" customHeight="1" x14ac:dyDescent="0.2">
      <c r="D6" s="161"/>
      <c r="E6" s="178"/>
      <c r="F6" s="178"/>
      <c r="G6" s="178"/>
      <c r="H6" s="178"/>
      <c r="I6" s="178"/>
      <c r="J6" s="178"/>
      <c r="K6" s="178"/>
    </row>
    <row r="7" spans="1:11" ht="21.75" customHeight="1" x14ac:dyDescent="0.2">
      <c r="A7" s="165" t="s">
        <v>19</v>
      </c>
      <c r="B7" s="158"/>
      <c r="C7" s="158"/>
      <c r="D7" s="147"/>
      <c r="E7" s="147"/>
      <c r="F7" s="147"/>
      <c r="G7" s="147"/>
      <c r="H7" s="147"/>
      <c r="I7" s="147"/>
      <c r="J7" s="147"/>
      <c r="K7" s="147"/>
    </row>
    <row r="8" spans="1:11" s="102" customFormat="1" ht="21.75" customHeight="1" x14ac:dyDescent="0.25">
      <c r="A8" s="176"/>
      <c r="B8" s="176"/>
      <c r="C8" s="176"/>
      <c r="D8" s="151">
        <v>2019</v>
      </c>
      <c r="E8" s="151">
        <v>2020</v>
      </c>
      <c r="F8" s="151">
        <v>2021</v>
      </c>
      <c r="G8" s="151">
        <v>2022</v>
      </c>
      <c r="H8" s="151">
        <v>2023</v>
      </c>
      <c r="I8" s="151">
        <v>2024</v>
      </c>
      <c r="J8" s="151">
        <v>2025</v>
      </c>
      <c r="K8" s="151" t="s">
        <v>36</v>
      </c>
    </row>
    <row r="9" spans="1:11" s="102" customFormat="1" ht="16.5" customHeight="1" x14ac:dyDescent="0.25">
      <c r="A9" s="162" t="s">
        <v>227</v>
      </c>
      <c r="B9" s="176"/>
      <c r="C9" s="176"/>
      <c r="D9" s="176"/>
      <c r="E9" s="176"/>
      <c r="F9" s="176"/>
      <c r="G9" s="176"/>
      <c r="H9" s="176"/>
      <c r="I9" s="176"/>
      <c r="J9" s="176"/>
      <c r="K9" s="176"/>
    </row>
    <row r="10" spans="1:11" ht="16.5" customHeight="1" x14ac:dyDescent="0.2"/>
    <row r="11" spans="1:11" ht="16.5" customHeight="1" x14ac:dyDescent="0.2">
      <c r="D11" s="160" t="s">
        <v>194</v>
      </c>
      <c r="E11" s="178"/>
      <c r="F11" s="178"/>
      <c r="G11" s="178"/>
      <c r="H11" s="178"/>
      <c r="I11" s="178"/>
      <c r="J11" s="178"/>
      <c r="K11" s="178"/>
    </row>
    <row r="12" spans="1:11" x14ac:dyDescent="0.2">
      <c r="C12" s="2"/>
      <c r="D12" s="2"/>
      <c r="E12" s="2"/>
      <c r="F12" s="2"/>
      <c r="G12" s="2"/>
      <c r="H12" s="2"/>
      <c r="I12" s="2"/>
      <c r="J12" s="2"/>
    </row>
    <row r="13" spans="1:11" ht="9.9499999999999993" customHeight="1" x14ac:dyDescent="0.2">
      <c r="C13" s="177" t="s">
        <v>120</v>
      </c>
      <c r="D13" s="153">
        <v>2019</v>
      </c>
      <c r="E13" s="153">
        <v>2020</v>
      </c>
      <c r="F13" s="153">
        <v>2021</v>
      </c>
      <c r="G13" s="153">
        <v>2022</v>
      </c>
      <c r="H13" s="153">
        <v>2023</v>
      </c>
      <c r="I13" s="153">
        <v>2024</v>
      </c>
      <c r="J13" s="153">
        <v>2025</v>
      </c>
      <c r="K13" s="153" t="s">
        <v>36</v>
      </c>
    </row>
    <row r="14" spans="1:11" ht="9.9499999999999993" customHeight="1" thickBot="1" x14ac:dyDescent="0.25">
      <c r="C14" s="156"/>
      <c r="D14" s="154"/>
      <c r="E14" s="154"/>
      <c r="F14" s="154"/>
      <c r="G14" s="154"/>
      <c r="H14" s="154"/>
      <c r="I14" s="154"/>
      <c r="J14" s="154"/>
      <c r="K14" s="154"/>
    </row>
    <row r="15" spans="1:11" x14ac:dyDescent="0.2">
      <c r="C15" s="87" t="s">
        <v>123</v>
      </c>
      <c r="D15" s="42">
        <f>9.874373218*Deflactores!$T$5</f>
        <v>14.940938918426728</v>
      </c>
      <c r="E15" s="42">
        <f>12.656793*Deflactores!$U$5</f>
        <v>18.847579253422193</v>
      </c>
      <c r="F15" s="42">
        <f>12.815104*Deflactores!$V$5</f>
        <v>18.067908091528125</v>
      </c>
      <c r="G15" s="42">
        <f>11.783882*Deflactores!$W$5</f>
        <v>14.687055168849968</v>
      </c>
      <c r="H15" s="42">
        <f>13.049784*Deflactores!$X$5</f>
        <v>14.883633874861378</v>
      </c>
      <c r="I15" s="42">
        <f>14.082037*Deflactores!$Y$5</f>
        <v>15.267059429563069</v>
      </c>
      <c r="J15" s="42">
        <f>26.355375*Deflactores!$Z$5</f>
        <v>27.186694001766423</v>
      </c>
      <c r="K15" s="42">
        <f>26.503734*Deflactores!$AA$5</f>
        <v>26.503734000000001</v>
      </c>
    </row>
    <row r="16" spans="1:11" x14ac:dyDescent="0.2">
      <c r="C16" s="88" t="s">
        <v>124</v>
      </c>
      <c r="D16" s="50">
        <f>29.89485674*Deflactores!$T$5</f>
        <v>45.233982822651051</v>
      </c>
      <c r="E16" s="50">
        <f>31.933676269*Deflactores!$U$5</f>
        <v>47.553317363498394</v>
      </c>
      <c r="F16" s="50">
        <f>53.758368*Deflactores!$V$5</f>
        <v>75.79347402678485</v>
      </c>
      <c r="G16" s="50">
        <f>75.27867342*Deflactores!$W$5</f>
        <v>93.824940673827157</v>
      </c>
      <c r="H16" s="50">
        <f>85.976565*Deflactores!$X$5</f>
        <v>98.05861271559904</v>
      </c>
      <c r="I16" s="50">
        <f>94.262862*Deflactores!$Y$5</f>
        <v>102.19520912739416</v>
      </c>
      <c r="J16" s="50">
        <f>98.776155587*Deflactores!$Z$5</f>
        <v>101.89181966163032</v>
      </c>
      <c r="K16" s="50">
        <f>101.20535*Deflactores!$AA$5</f>
        <v>101.20535</v>
      </c>
    </row>
    <row r="17" spans="3:11" x14ac:dyDescent="0.2">
      <c r="C17" s="87" t="s">
        <v>125</v>
      </c>
      <c r="D17" s="42">
        <f>0*Deflactores!$T$5</f>
        <v>0</v>
      </c>
      <c r="E17" s="42">
        <f>0*Deflactores!$U$5</f>
        <v>0</v>
      </c>
      <c r="F17" s="42">
        <f>0*Deflactores!$V$5</f>
        <v>0</v>
      </c>
      <c r="G17" s="42">
        <f>0*Deflactores!$W$5</f>
        <v>0</v>
      </c>
      <c r="H17" s="42">
        <f>0*Deflactores!$X$5</f>
        <v>0</v>
      </c>
      <c r="I17" s="42">
        <f>0*Deflactores!$Y$5</f>
        <v>0</v>
      </c>
      <c r="J17" s="42">
        <f>0*Deflactores!$Z$5</f>
        <v>0</v>
      </c>
      <c r="K17" s="42">
        <f>0*Deflactores!$AA$5</f>
        <v>0</v>
      </c>
    </row>
    <row r="18" spans="3:11" x14ac:dyDescent="0.2">
      <c r="C18" s="88" t="s">
        <v>126</v>
      </c>
      <c r="D18" s="50">
        <f>205.5672126*Deflactores!$T$5</f>
        <v>311.04426572504309</v>
      </c>
      <c r="E18" s="50">
        <f>204.496845306*Deflactores!$U$5</f>
        <v>304.52188788895046</v>
      </c>
      <c r="F18" s="50">
        <f>248.883319*Deflactores!$V$5</f>
        <v>350.89851266181495</v>
      </c>
      <c r="G18" s="50">
        <f>262.595747833*Deflactores!$W$5</f>
        <v>327.29097554852342</v>
      </c>
      <c r="H18" s="50">
        <f>304.598815736*Deflactores!$X$5</f>
        <v>347.40324070735488</v>
      </c>
      <c r="I18" s="50">
        <f>357.45903811*Deflactores!$Y$5</f>
        <v>387.53969887025715</v>
      </c>
      <c r="J18" s="50">
        <f>373.421393077*Deflactores!$Z$5</f>
        <v>385.20010234336405</v>
      </c>
      <c r="K18" s="50">
        <f>453.90556*Deflactores!$AA$5</f>
        <v>453.90555999999998</v>
      </c>
    </row>
    <row r="19" spans="3:11" x14ac:dyDescent="0.2">
      <c r="C19" s="87" t="s">
        <v>127</v>
      </c>
      <c r="D19" s="42">
        <f>0*Deflactores!$T$5</f>
        <v>0</v>
      </c>
      <c r="E19" s="42">
        <f>0*Deflactores!$U$5</f>
        <v>0</v>
      </c>
      <c r="F19" s="42">
        <f>0*Deflactores!$V$5</f>
        <v>0</v>
      </c>
      <c r="G19" s="42">
        <f>0*Deflactores!$W$5</f>
        <v>0</v>
      </c>
      <c r="H19" s="42">
        <f>0*Deflactores!$X$5</f>
        <v>0</v>
      </c>
      <c r="I19" s="42">
        <f>0*Deflactores!$Y$5</f>
        <v>0</v>
      </c>
      <c r="J19" s="42">
        <f>0*Deflactores!$Z$5</f>
        <v>0</v>
      </c>
      <c r="K19" s="42">
        <f>0*Deflactores!$AA$5</f>
        <v>0</v>
      </c>
    </row>
    <row r="20" spans="3:11" x14ac:dyDescent="0.2">
      <c r="C20" s="88" t="s">
        <v>128</v>
      </c>
      <c r="D20" s="50">
        <f>3.008807644*Deflactores!$T$5</f>
        <v>4.5526344036046771</v>
      </c>
      <c r="E20" s="50">
        <f>3.601877047*Deflactores!$U$5</f>
        <v>5.363654371562748</v>
      </c>
      <c r="F20" s="50">
        <f>5.287641468*Deflactores!$V$5</f>
        <v>7.4550015407426162</v>
      </c>
      <c r="G20" s="50">
        <f>5.253762918*Deflactores!$W$5</f>
        <v>6.5481227511209106</v>
      </c>
      <c r="H20" s="50">
        <f>4.02640611*Deflactores!$X$5</f>
        <v>4.5922257696177056</v>
      </c>
      <c r="I20" s="50">
        <f>3.745704146*Deflactores!$Y$5</f>
        <v>4.060910207986443</v>
      </c>
      <c r="J20" s="50">
        <f>4.085617327*Deflactores!$Z$5</f>
        <v>4.2144886224333309</v>
      </c>
      <c r="K20" s="50">
        <f>4.421809*Deflactores!$AA$5</f>
        <v>4.4218089999999997</v>
      </c>
    </row>
    <row r="21" spans="3:11" x14ac:dyDescent="0.2">
      <c r="C21" s="87" t="s">
        <v>129</v>
      </c>
      <c r="D21" s="42">
        <f>2129.2867849904*Deflactores!$T$5</f>
        <v>3221.8291826727659</v>
      </c>
      <c r="E21" s="42">
        <f>1837.981881088*Deflactores!$U$5</f>
        <v>2736.9894704100857</v>
      </c>
      <c r="F21" s="42">
        <f>2276.758078836*Deflactores!$V$5</f>
        <v>3209.9821987439973</v>
      </c>
      <c r="G21" s="42">
        <f>2685.358156853*Deflactores!$W$5</f>
        <v>3346.9448690865433</v>
      </c>
      <c r="H21" s="42">
        <f>2586.2987*Deflactores!$X$5</f>
        <v>2949.7440679347596</v>
      </c>
      <c r="I21" s="42">
        <f>2838.220639961*Deflactores!$Y$5</f>
        <v>3077.0607394723584</v>
      </c>
      <c r="J21" s="42">
        <f>2656.312023546*Deflactores!$Z$5</f>
        <v>2740.0992077463543</v>
      </c>
      <c r="K21" s="42">
        <f>3027.441*Deflactores!$AA$5</f>
        <v>3027.4409999999998</v>
      </c>
    </row>
    <row r="22" spans="3:11" x14ac:dyDescent="0.2">
      <c r="C22" s="88" t="s">
        <v>130</v>
      </c>
      <c r="D22" s="50">
        <f>0*Deflactores!$T$5</f>
        <v>0</v>
      </c>
      <c r="E22" s="50">
        <f>0*Deflactores!$U$5</f>
        <v>0</v>
      </c>
      <c r="F22" s="50">
        <f>0*Deflactores!$V$5</f>
        <v>0</v>
      </c>
      <c r="G22" s="50">
        <f>0*Deflactores!$W$5</f>
        <v>0</v>
      </c>
      <c r="H22" s="50">
        <f>0*Deflactores!$X$5</f>
        <v>0</v>
      </c>
      <c r="I22" s="50">
        <f>0*Deflactores!$Y$5</f>
        <v>0</v>
      </c>
      <c r="J22" s="50">
        <f>0*Deflactores!$Z$5</f>
        <v>0</v>
      </c>
      <c r="K22" s="50">
        <f>0*Deflactores!$AA$5</f>
        <v>0</v>
      </c>
    </row>
    <row r="23" spans="3:11" x14ac:dyDescent="0.2">
      <c r="C23" s="87" t="s">
        <v>131</v>
      </c>
      <c r="D23" s="42">
        <f>14.585796765*Deflactores!$T$5</f>
        <v>22.069805721460341</v>
      </c>
      <c r="E23" s="42">
        <f>15.311722411*Deflactores!$U$5</f>
        <v>22.801107804143058</v>
      </c>
      <c r="F23" s="42">
        <f>18.039302416*Deflactores!$V$5</f>
        <v>25.433461803163617</v>
      </c>
      <c r="G23" s="42">
        <f>20.096160999*Deflactores!$W$5</f>
        <v>25.047214939389587</v>
      </c>
      <c r="H23" s="42">
        <f>22.864865121*Deflactores!$X$5</f>
        <v>26.078001065692121</v>
      </c>
      <c r="I23" s="42">
        <f>30.246772527*Deflactores!$Y$5</f>
        <v>32.792079279594603</v>
      </c>
      <c r="J23" s="42">
        <f>37.088374354*Deflactores!$Z$5</f>
        <v>38.258240855429285</v>
      </c>
      <c r="K23" s="42">
        <f>37.25972*Deflactores!$AA$5</f>
        <v>37.259720000000002</v>
      </c>
    </row>
    <row r="24" spans="3:11" x14ac:dyDescent="0.2">
      <c r="C24" s="88" t="s">
        <v>132</v>
      </c>
      <c r="D24" s="50">
        <f>61.777593414*Deflactores!$T$5</f>
        <v>93.47583176655813</v>
      </c>
      <c r="E24" s="50">
        <f>63.72627*Deflactores!$U$5</f>
        <v>94.896544831694811</v>
      </c>
      <c r="F24" s="50">
        <f>134.605204304*Deflactores!$V$5</f>
        <v>189.77875325912598</v>
      </c>
      <c r="G24" s="50">
        <f>139.755764043*Deflactores!$W$5</f>
        <v>174.18713261591719</v>
      </c>
      <c r="H24" s="50">
        <f>147.139003912*Deflactores!$X$5</f>
        <v>167.8160391726027</v>
      </c>
      <c r="I24" s="50">
        <f>167.415010744*Deflactores!$Y$5</f>
        <v>181.50320997094295</v>
      </c>
      <c r="J24" s="50">
        <f>175.717042415*Deflactores!$Z$5</f>
        <v>181.25962780009834</v>
      </c>
      <c r="K24" s="50">
        <f>197.326067*Deflactores!$AA$5</f>
        <v>197.32606699999999</v>
      </c>
    </row>
    <row r="25" spans="3:11" x14ac:dyDescent="0.2">
      <c r="C25" s="87" t="s">
        <v>133</v>
      </c>
      <c r="D25" s="42">
        <f>9.915022743*Deflactores!$T$5</f>
        <v>15.002445816806963</v>
      </c>
      <c r="E25" s="42">
        <f>11.41443845*Deflactores!$U$5</f>
        <v>16.997554856090684</v>
      </c>
      <c r="F25" s="42">
        <f>18.820796584*Deflactores!$V$5</f>
        <v>26.535283903201918</v>
      </c>
      <c r="G25" s="42">
        <f>17.2776*Deflactores!$W$5</f>
        <v>21.534250290805883</v>
      </c>
      <c r="H25" s="42">
        <f>18.4991*Deflactores!$X$5</f>
        <v>21.09872710647533</v>
      </c>
      <c r="I25" s="42">
        <f>20.047849*Deflactores!$Y$5</f>
        <v>21.734902565438972</v>
      </c>
      <c r="J25" s="42">
        <f>20.995068*Deflactores!$Z$5</f>
        <v>21.657308585526792</v>
      </c>
      <c r="K25" s="42">
        <f>26.177724*Deflactores!$AA$5</f>
        <v>26.177724000000001</v>
      </c>
    </row>
    <row r="26" spans="3:11" x14ac:dyDescent="0.2">
      <c r="C26" s="88" t="s">
        <v>134</v>
      </c>
      <c r="D26" s="50">
        <f>215.16*Deflactores!$T$5</f>
        <v>325.55913643497189</v>
      </c>
      <c r="E26" s="50">
        <f>247.162*Deflactores!$U$5</f>
        <v>368.05574551423382</v>
      </c>
      <c r="F26" s="50">
        <f>271.830916*Deflactores!$V$5</f>
        <v>383.25213800246195</v>
      </c>
      <c r="G26" s="50">
        <f>283.744*Deflactores!$W$5</f>
        <v>353.64948340709498</v>
      </c>
      <c r="H26" s="50">
        <f>326.497*Deflactores!$X$5</f>
        <v>372.37871594201215</v>
      </c>
      <c r="I26" s="50">
        <f>418.507*Deflactores!$Y$5</f>
        <v>453.72492919086574</v>
      </c>
      <c r="J26" s="50">
        <f>373.316251716*Deflactores!$Z$5</f>
        <v>385.09164454269012</v>
      </c>
      <c r="K26" s="50">
        <f>518.4256*Deflactores!$AA$5</f>
        <v>518.42560000000003</v>
      </c>
    </row>
    <row r="27" spans="3:11" x14ac:dyDescent="0.2">
      <c r="C27" s="87" t="s">
        <v>135</v>
      </c>
      <c r="D27" s="42">
        <f>0*Deflactores!$T$5</f>
        <v>0</v>
      </c>
      <c r="E27" s="42">
        <f>0*Deflactores!$U$5</f>
        <v>0</v>
      </c>
      <c r="F27" s="42">
        <f>0*Deflactores!$V$5</f>
        <v>0</v>
      </c>
      <c r="G27" s="42">
        <f>0*Deflactores!$W$5</f>
        <v>0</v>
      </c>
      <c r="H27" s="42">
        <f>0*Deflactores!$X$5</f>
        <v>0</v>
      </c>
      <c r="I27" s="42">
        <f>1066.74352675*Deflactores!$Y$5</f>
        <v>1156.5114350284657</v>
      </c>
      <c r="J27" s="42">
        <f>1145.058398943*Deflactores!$Z$5</f>
        <v>1181.1766027315462</v>
      </c>
      <c r="K27" s="42">
        <f>1280.212407*Deflactores!$AA$5</f>
        <v>1280.212407</v>
      </c>
    </row>
    <row r="28" spans="3:11" x14ac:dyDescent="0.2">
      <c r="C28" s="88" t="s">
        <v>136</v>
      </c>
      <c r="D28" s="50">
        <f>633.043686631*Deflactores!$T$5</f>
        <v>957.85999230897619</v>
      </c>
      <c r="E28" s="50">
        <f>623.557101081*Deflactores!$U$5</f>
        <v>928.5560632664484</v>
      </c>
      <c r="F28" s="50">
        <f>734.06*Deflactores!$V$5</f>
        <v>1034.9450627686779</v>
      </c>
      <c r="G28" s="50">
        <f>748.195203527*Deflactores!$W$5</f>
        <v>932.52666916301257</v>
      </c>
      <c r="H28" s="50">
        <f>858.57009*Deflactores!$X$5</f>
        <v>979.22255843213816</v>
      </c>
      <c r="I28" s="50">
        <f>64.1165088*Deflactores!$Y$5</f>
        <v>69.511999596770238</v>
      </c>
      <c r="J28" s="50">
        <f>36.758051233*Deflactores!$Z$5</f>
        <v>37.917498459908998</v>
      </c>
      <c r="K28" s="50">
        <f>67.6371*Deflactores!$AA$5</f>
        <v>67.637100000000004</v>
      </c>
    </row>
    <row r="29" spans="3:11" x14ac:dyDescent="0.2">
      <c r="C29" s="87" t="s">
        <v>137</v>
      </c>
      <c r="D29" s="42">
        <f>3.943*Deflactores!$T$5</f>
        <v>5.9661632039556336</v>
      </c>
      <c r="E29" s="42">
        <f>5.780000001*Deflactores!$U$5</f>
        <v>8.6071572872865865</v>
      </c>
      <c r="F29" s="42">
        <f>9.694*Deflactores!$V$5</f>
        <v>13.66748963092876</v>
      </c>
      <c r="G29" s="42">
        <f>11.851*Deflactores!$W$5</f>
        <v>14.770708906117777</v>
      </c>
      <c r="H29" s="42">
        <f>5.182*Deflactores!$X$5</f>
        <v>5.9102120571138697</v>
      </c>
      <c r="I29" s="42">
        <f>9.174*Deflactores!$Y$5</f>
        <v>9.9460044883287537</v>
      </c>
      <c r="J29" s="42">
        <f>10.360683497*Deflactores!$Z$5</f>
        <v>10.687487158960565</v>
      </c>
      <c r="K29" s="42">
        <f>14.809*Deflactores!$AA$5</f>
        <v>14.808999999999999</v>
      </c>
    </row>
    <row r="30" spans="3:11" x14ac:dyDescent="0.2">
      <c r="C30" s="88" t="s">
        <v>138</v>
      </c>
      <c r="D30" s="50">
        <f>0*Deflactores!$T$5</f>
        <v>0</v>
      </c>
      <c r="E30" s="50">
        <f>0*Deflactores!$U$5</f>
        <v>0</v>
      </c>
      <c r="F30" s="50">
        <f>0*Deflactores!$V$5</f>
        <v>0</v>
      </c>
      <c r="G30" s="50">
        <f>0*Deflactores!$W$5</f>
        <v>0</v>
      </c>
      <c r="H30" s="50">
        <f>0*Deflactores!$X$5</f>
        <v>0</v>
      </c>
      <c r="I30" s="50">
        <f>0*Deflactores!$Y$5</f>
        <v>0</v>
      </c>
      <c r="J30" s="50">
        <f>0*Deflactores!$Z$5</f>
        <v>0</v>
      </c>
      <c r="K30" s="50">
        <f>0*Deflactores!$AA$5</f>
        <v>0</v>
      </c>
    </row>
    <row r="31" spans="3:11" x14ac:dyDescent="0.2">
      <c r="C31" s="87" t="s">
        <v>160</v>
      </c>
      <c r="D31" s="42">
        <f>106.570360693*Deflactores!$T$5</f>
        <v>161.2518804460706</v>
      </c>
      <c r="E31" s="42">
        <f>116.069788985*Deflactores!$U$5</f>
        <v>172.84272144000283</v>
      </c>
      <c r="F31" s="42">
        <f>131.144217016*Deflactores!$V$5</f>
        <v>184.89913618964832</v>
      </c>
      <c r="G31" s="42">
        <f>164.184372976*Deflactores!$W$5</f>
        <v>204.63417265732562</v>
      </c>
      <c r="H31" s="42">
        <f>173.596287573*Deflactores!$X$5</f>
        <v>197.99129137092845</v>
      </c>
      <c r="I31" s="42">
        <f>228.9817870285*Deflactores!$Y$5</f>
        <v>248.25091361794202</v>
      </c>
      <c r="J31" s="42">
        <f>217.966224135*Deflactores!$Z$5</f>
        <v>224.84146168584891</v>
      </c>
      <c r="K31" s="42">
        <f>204.946*Deflactores!$AA$5</f>
        <v>204.946</v>
      </c>
    </row>
    <row r="32" spans="3:11" x14ac:dyDescent="0.2">
      <c r="C32" s="88" t="s">
        <v>161</v>
      </c>
      <c r="D32" s="50">
        <f>381.510950756*Deflactores!$T$5</f>
        <v>577.26517786116585</v>
      </c>
      <c r="E32" s="50">
        <f>426.408096533*Deflactores!$U$5</f>
        <v>634.97604754273993</v>
      </c>
      <c r="F32" s="50">
        <f>483.1908*Deflactores!$V$5</f>
        <v>681.24667307202094</v>
      </c>
      <c r="G32" s="50">
        <f>510.897690805*Deflactores!$W$5</f>
        <v>636.76660802366212</v>
      </c>
      <c r="H32" s="50">
        <f>921.63345482*Deflactores!$X$5</f>
        <v>1051.1480426315466</v>
      </c>
      <c r="I32" s="50">
        <f>787.673307*Deflactores!$Y$5</f>
        <v>853.95707943740501</v>
      </c>
      <c r="J32" s="50">
        <f>587.400996647*Deflactores!$Z$5</f>
        <v>605.92919479137049</v>
      </c>
      <c r="K32" s="50">
        <f>831.803341596*Deflactores!$AA$5</f>
        <v>831.803341596</v>
      </c>
    </row>
    <row r="33" spans="1:11" x14ac:dyDescent="0.2">
      <c r="C33" s="87" t="s">
        <v>140</v>
      </c>
      <c r="D33" s="42">
        <f>499.77574832*Deflactores!$T$5</f>
        <v>756.21194011062028</v>
      </c>
      <c r="E33" s="42">
        <f>983.662354914*Deflactores!$U$5</f>
        <v>1464.7987205644845</v>
      </c>
      <c r="F33" s="42">
        <f>1038.318977773*Deflactores!$V$5</f>
        <v>1463.9172542097199</v>
      </c>
      <c r="G33" s="42">
        <f>701.423139864*Deflactores!$W$5</f>
        <v>874.2314588596978</v>
      </c>
      <c r="H33" s="42">
        <f>1473.487164118*Deflactores!$X$5</f>
        <v>1680.5522198712324</v>
      </c>
      <c r="I33" s="42">
        <f>4176.090428099*Deflactores!$Y$5</f>
        <v>4527.5140769064101</v>
      </c>
      <c r="J33" s="42">
        <f>3440.721141471*Deflactores!$Z$5</f>
        <v>3549.2506867605016</v>
      </c>
      <c r="K33" s="42">
        <f>2908.906357256*Deflactores!$AA$5</f>
        <v>2908.9063572559999</v>
      </c>
    </row>
    <row r="34" spans="1:11" x14ac:dyDescent="0.2">
      <c r="C34" s="88" t="s">
        <v>141</v>
      </c>
      <c r="D34" s="50">
        <f>20.727*Deflactores!$T$5</f>
        <v>31.362075761701352</v>
      </c>
      <c r="E34" s="50">
        <f>21.347*Deflactores!$U$5</f>
        <v>31.788405982684836</v>
      </c>
      <c r="F34" s="50">
        <f>20.93313*Deflactores!$V$5</f>
        <v>29.513445143169349</v>
      </c>
      <c r="G34" s="50">
        <f>30.577919*Deflactores!$W$5</f>
        <v>38.111344232878913</v>
      </c>
      <c r="H34" s="50">
        <f>49.815*Deflactores!$X$5</f>
        <v>56.815363493849361</v>
      </c>
      <c r="I34" s="50">
        <f>17.75*Deflactores!$Y$5</f>
        <v>19.243686469134008</v>
      </c>
      <c r="J34" s="50">
        <f>18.674*Deflactores!$Z$5</f>
        <v>19.263027894271517</v>
      </c>
      <c r="K34" s="50">
        <f>21.23473*Deflactores!$AA$5</f>
        <v>21.234729999999999</v>
      </c>
    </row>
    <row r="35" spans="1:11" x14ac:dyDescent="0.2">
      <c r="C35" s="87" t="s">
        <v>142</v>
      </c>
      <c r="D35" s="42">
        <f>118.935174232*Deflactores!$T$5</f>
        <v>179.9611108696451</v>
      </c>
      <c r="E35" s="42">
        <f>320.837245378999*Deflactores!$U$5</f>
        <v>477.76758375761904</v>
      </c>
      <c r="F35" s="42">
        <f>702.192626879*Deflactores!$V$5</f>
        <v>990.01551957740446</v>
      </c>
      <c r="G35" s="42">
        <f>274.193814522*Deflactores!$W$5</f>
        <v>341.74643643258048</v>
      </c>
      <c r="H35" s="42">
        <f>298.9227*Deflactores!$X$5</f>
        <v>340.92947620320962</v>
      </c>
      <c r="I35" s="42">
        <f>264.349662781*Deflactores!$Y$5</f>
        <v>286.59504387486578</v>
      </c>
      <c r="J35" s="42">
        <f>221.0677439*Deflactores!$Z$5</f>
        <v>228.04081167770013</v>
      </c>
      <c r="K35" s="42">
        <f>322.816369*Deflactores!$AA$5</f>
        <v>322.81636900000001</v>
      </c>
    </row>
    <row r="36" spans="1:11" x14ac:dyDescent="0.2">
      <c r="C36" s="88" t="s">
        <v>143</v>
      </c>
      <c r="D36" s="50">
        <f>0.0846*Deflactores!$T$5</f>
        <v>0.12800847249674019</v>
      </c>
      <c r="E36" s="50">
        <f>0*Deflactores!$U$5</f>
        <v>0</v>
      </c>
      <c r="F36" s="50">
        <f>0.018*Deflactores!$V$5</f>
        <v>2.5378049655118383E-2</v>
      </c>
      <c r="G36" s="50">
        <f>0*Deflactores!$W$5</f>
        <v>0</v>
      </c>
      <c r="H36" s="50">
        <f>0.004*Deflactores!$X$5</f>
        <v>4.5621088823727283E-3</v>
      </c>
      <c r="I36" s="50">
        <f>0*Deflactores!$Y$5</f>
        <v>0</v>
      </c>
      <c r="J36" s="50">
        <f>0*Deflactores!$Z$5</f>
        <v>0</v>
      </c>
      <c r="K36" s="50">
        <f>0.000913356*Deflactores!$AA$5</f>
        <v>9.1335600000000004E-4</v>
      </c>
    </row>
    <row r="37" spans="1:11" x14ac:dyDescent="0.2">
      <c r="C37" s="87" t="s">
        <v>144</v>
      </c>
      <c r="D37" s="42">
        <f>0*Deflactores!$T$5</f>
        <v>0</v>
      </c>
      <c r="E37" s="42">
        <f>0*Deflactores!$U$5</f>
        <v>0</v>
      </c>
      <c r="F37" s="42">
        <f>0*Deflactores!$V$5</f>
        <v>0</v>
      </c>
      <c r="G37" s="42">
        <f>0*Deflactores!$W$5</f>
        <v>0</v>
      </c>
      <c r="H37" s="42">
        <f>0*Deflactores!$X$5</f>
        <v>0</v>
      </c>
      <c r="I37" s="42">
        <f>0*Deflactores!$Y$5</f>
        <v>0</v>
      </c>
      <c r="J37" s="42">
        <f>0*Deflactores!$Z$5</f>
        <v>0</v>
      </c>
      <c r="K37" s="42">
        <f>0*Deflactores!$AA$5</f>
        <v>0</v>
      </c>
    </row>
    <row r="38" spans="1:11" x14ac:dyDescent="0.2">
      <c r="C38" s="88" t="s">
        <v>145</v>
      </c>
      <c r="D38" s="50">
        <f>47.42121333*Deflactores!$T$5</f>
        <v>71.753157001363533</v>
      </c>
      <c r="E38" s="50">
        <f>47.11509959*Deflactores!$U$5</f>
        <v>70.160393201927562</v>
      </c>
      <c r="F38" s="50">
        <f>53.82265*Deflactores!$V$5</f>
        <v>75.884104681669868</v>
      </c>
      <c r="G38" s="50">
        <f>73.978749484*Deflactores!$W$5</f>
        <v>92.20475688691036</v>
      </c>
      <c r="H38" s="50">
        <f>81.155268588*Deflactores!$X$5</f>
        <v>92.559792919164806</v>
      </c>
      <c r="I38" s="50">
        <f>96.114030035*Deflactores!$Y$5</f>
        <v>104.20215545230812</v>
      </c>
      <c r="J38" s="50">
        <f>87.185964925*Deflactores!$Z$5</f>
        <v>89.93604339398378</v>
      </c>
      <c r="K38" s="50">
        <f>88.648459*Deflactores!$AA$5</f>
        <v>88.648459000000003</v>
      </c>
    </row>
    <row r="39" spans="1:11" x14ac:dyDescent="0.2">
      <c r="C39" s="87" t="s">
        <v>146</v>
      </c>
      <c r="D39" s="42">
        <f>213.806*Deflactores!$T$5</f>
        <v>323.51039563401935</v>
      </c>
      <c r="E39" s="42">
        <f>186.496106801*Deflactores!$U$5</f>
        <v>277.71649211506713</v>
      </c>
      <c r="F39" s="42">
        <f>226.136*Deflactores!$V$5</f>
        <v>318.82725760054728</v>
      </c>
      <c r="G39" s="42">
        <f>199.145*Deflactores!$W$5</f>
        <v>248.20798456744788</v>
      </c>
      <c r="H39" s="42">
        <f>213.837*Deflactores!$X$5</f>
        <v>243.88691926998425</v>
      </c>
      <c r="I39" s="42">
        <f>353.233*Deflactores!$Y$5</f>
        <v>382.9580339465698</v>
      </c>
      <c r="J39" s="42">
        <f>435.329523308*Deflactores!$Z$5</f>
        <v>449.06098054417515</v>
      </c>
      <c r="K39" s="42">
        <f>460.011*Deflactores!$AA$5</f>
        <v>460.01100000000002</v>
      </c>
    </row>
    <row r="40" spans="1:11" x14ac:dyDescent="0.2">
      <c r="C40" s="88" t="s">
        <v>162</v>
      </c>
      <c r="D40" s="50">
        <f>496.706518021*Deflactores!$T$5</f>
        <v>751.5678800359666</v>
      </c>
      <c r="E40" s="50">
        <f>420.49039*Deflactores!$U$5</f>
        <v>626.16382766372226</v>
      </c>
      <c r="F40" s="50">
        <f>456.000145114*Deflactores!$V$5</f>
        <v>642.91079585801572</v>
      </c>
      <c r="G40" s="50">
        <f>512.9522203*Deflactores!$W$5</f>
        <v>639.32730814261231</v>
      </c>
      <c r="H40" s="50">
        <f>606.636703*Deflactores!$X$5</f>
        <v>691.88567278240168</v>
      </c>
      <c r="I40" s="50">
        <f>652.97083*Deflactores!$Y$5</f>
        <v>707.91920709916633</v>
      </c>
      <c r="J40" s="50">
        <f>714.164442887*Deflactores!$Z$5</f>
        <v>736.69109909120482</v>
      </c>
      <c r="K40" s="50">
        <f>756.023144*Deflactores!$AA$5</f>
        <v>756.023144</v>
      </c>
    </row>
    <row r="41" spans="1:11" x14ac:dyDescent="0.2">
      <c r="C41" s="87" t="s">
        <v>148</v>
      </c>
      <c r="D41" s="42">
        <f>0*Deflactores!$T$5</f>
        <v>0</v>
      </c>
      <c r="E41" s="42">
        <f>0*Deflactores!$U$5</f>
        <v>0</v>
      </c>
      <c r="F41" s="42">
        <f>0*Deflactores!$V$5</f>
        <v>0</v>
      </c>
      <c r="G41" s="42">
        <f>0*Deflactores!$W$5</f>
        <v>0</v>
      </c>
      <c r="H41" s="42">
        <f>0*Deflactores!$X$5</f>
        <v>0</v>
      </c>
      <c r="I41" s="42">
        <f>0*Deflactores!$Y$5</f>
        <v>0</v>
      </c>
      <c r="J41" s="42">
        <f>0*Deflactores!$Z$5</f>
        <v>0</v>
      </c>
      <c r="K41" s="42">
        <f>0*Deflactores!$AA$5</f>
        <v>0</v>
      </c>
    </row>
    <row r="42" spans="1:11" x14ac:dyDescent="0.2">
      <c r="C42" s="88" t="s">
        <v>149</v>
      </c>
      <c r="D42" s="50">
        <f>435.849175605*Deflactores!$T$5</f>
        <v>659.48448236595198</v>
      </c>
      <c r="E42" s="50">
        <f>262.970153947*Deflactores!$U$5</f>
        <v>391.59610319934256</v>
      </c>
      <c r="F42" s="50">
        <f>773.413823779*Deflactores!$V$5</f>
        <v>1090.4296902121357</v>
      </c>
      <c r="G42" s="50">
        <f>824.248113649*Deflactores!$W$5</f>
        <v>1027.3165938001907</v>
      </c>
      <c r="H42" s="50">
        <f>920.652094339*Deflactores!$X$5</f>
        <v>1050.0287742897517</v>
      </c>
      <c r="I42" s="50">
        <f>672.997724775*Deflactores!$Y$5</f>
        <v>729.63139211327564</v>
      </c>
      <c r="J42" s="50">
        <f>690.863663458*Deflactores!$Z$5</f>
        <v>712.65535077273557</v>
      </c>
      <c r="K42" s="50">
        <f>469.230332*Deflactores!$AA$5</f>
        <v>469.23033199999998</v>
      </c>
    </row>
    <row r="43" spans="1:11" x14ac:dyDescent="0.2">
      <c r="C43" s="87" t="s">
        <v>163</v>
      </c>
      <c r="D43" s="42">
        <f>88.206781199*Deflactores!$T$5</f>
        <v>133.46590218839449</v>
      </c>
      <c r="E43" s="42">
        <f>91.463310045*Deflactores!$U$5</f>
        <v>136.200535542729</v>
      </c>
      <c r="F43" s="42">
        <f>93.62579693*Deflactores!$V$5</f>
        <v>132.00222908275393</v>
      </c>
      <c r="G43" s="42">
        <f>99.411152*Deflactores!$W$5</f>
        <v>123.90289327599595</v>
      </c>
      <c r="H43" s="42">
        <f>113.731571*Deflactores!$X$5</f>
        <v>129.71395256632616</v>
      </c>
      <c r="I43" s="42">
        <f>124.606214*Deflactores!$Y$5</f>
        <v>135.0919951730601</v>
      </c>
      <c r="J43" s="42">
        <f>127.990194*Deflactores!$Z$5</f>
        <v>132.02734696450804</v>
      </c>
      <c r="K43" s="42">
        <f>136.827084*Deflactores!$AA$5</f>
        <v>136.82708400000001</v>
      </c>
    </row>
    <row r="44" spans="1:11" x14ac:dyDescent="0.2">
      <c r="C44" s="88" t="s">
        <v>150</v>
      </c>
      <c r="D44" s="50">
        <f>799.28190692*Deflactores!$T$5</f>
        <v>1209.3954609823982</v>
      </c>
      <c r="E44" s="50">
        <f>741.767168476*Deflactores!$U$5</f>
        <v>1104.5859322687811</v>
      </c>
      <c r="F44" s="50">
        <f>777.83016*Deflactores!$V$5</f>
        <v>1096.6562457627044</v>
      </c>
      <c r="G44" s="50">
        <f>836.381418*Deflactores!$W$5</f>
        <v>1042.4391578570599</v>
      </c>
      <c r="H44" s="50">
        <f>1115.23707028*Deflactores!$X$5</f>
        <v>1271.9582360689315</v>
      </c>
      <c r="I44" s="50">
        <f>1009.215115092*Deflactores!$Y$5</f>
        <v>1094.1419298445883</v>
      </c>
      <c r="J44" s="50">
        <f>1044.209790286*Deflactores!$Z$5</f>
        <v>1077.1469592883491</v>
      </c>
      <c r="K44" s="50">
        <f>1699.752795005*Deflactores!$AA$5</f>
        <v>1699.7527950050001</v>
      </c>
    </row>
    <row r="45" spans="1:11" x14ac:dyDescent="0.2">
      <c r="C45" s="87" t="s">
        <v>151</v>
      </c>
      <c r="D45" s="42">
        <f>0*Deflactores!$T$5</f>
        <v>0</v>
      </c>
      <c r="E45" s="42">
        <f>0*Deflactores!$U$5</f>
        <v>0</v>
      </c>
      <c r="F45" s="42">
        <f>0*Deflactores!$V$5</f>
        <v>0</v>
      </c>
      <c r="G45" s="42">
        <f>0*Deflactores!$W$5</f>
        <v>0</v>
      </c>
      <c r="H45" s="42">
        <f>0*Deflactores!$X$5</f>
        <v>0</v>
      </c>
      <c r="I45" s="42">
        <f>0*Deflactores!$Y$5</f>
        <v>0</v>
      </c>
      <c r="J45" s="42">
        <f>0*Deflactores!$Z$5</f>
        <v>0</v>
      </c>
      <c r="K45" s="42">
        <f>0*Deflactores!$AA$5</f>
        <v>0</v>
      </c>
    </row>
    <row r="46" spans="1:11" ht="21.75" customHeight="1" x14ac:dyDescent="0.2">
      <c r="C46" s="79" t="s">
        <v>179</v>
      </c>
      <c r="D46" s="44">
        <f t="shared" ref="D46:K46" si="0">+SUM(D15:D45)</f>
        <v>9872.8918515250134</v>
      </c>
      <c r="E46" s="44">
        <f t="shared" si="0"/>
        <v>9941.786846126517</v>
      </c>
      <c r="F46" s="44">
        <f t="shared" si="0"/>
        <v>12042.137013871872</v>
      </c>
      <c r="G46" s="44">
        <f t="shared" si="0"/>
        <v>10579.900137287565</v>
      </c>
      <c r="H46" s="44">
        <f t="shared" si="0"/>
        <v>11794.660338354435</v>
      </c>
      <c r="I46" s="44">
        <f t="shared" si="0"/>
        <v>14601.353691162692</v>
      </c>
      <c r="J46" s="44">
        <f t="shared" si="0"/>
        <v>12939.483685374356</v>
      </c>
      <c r="K46" s="44">
        <f t="shared" si="0"/>
        <v>13655.525596213001</v>
      </c>
    </row>
    <row r="47" spans="1:11" s="31" customFormat="1" x14ac:dyDescent="0.2">
      <c r="A47" s="5"/>
      <c r="B47" s="5"/>
      <c r="C47" s="72" t="str">
        <f>+'C1 Aprop Resumen 2000-2026'!B20</f>
        <v>* Información con corte a 28 de febrero</v>
      </c>
      <c r="D47" s="121">
        <f>+D46-'C7 Ejec. Prop 19-26'!D14</f>
        <v>0</v>
      </c>
      <c r="E47" s="121">
        <f>+E46-'C7 Ejec. Prop 19-26'!E14</f>
        <v>0</v>
      </c>
      <c r="F47" s="121">
        <f>+F46-'C7 Ejec. Prop 19-26'!F14</f>
        <v>0</v>
      </c>
      <c r="G47" s="121">
        <f>+G46-'C7 Ejec. Prop 19-26'!G14</f>
        <v>0</v>
      </c>
      <c r="H47" s="121">
        <f>+H46-'C7 Ejec. Prop 19-26'!H14</f>
        <v>0</v>
      </c>
      <c r="I47" s="121">
        <f>+I46-'C7 Ejec. Prop 19-26'!I14</f>
        <v>0</v>
      </c>
      <c r="J47" s="121">
        <f>+J46-'C7 Ejec. Prop 19-26'!J14</f>
        <v>0</v>
      </c>
      <c r="K47" s="121">
        <f>+K46-'C7 Ejec. Prop 19-26'!K14</f>
        <v>0</v>
      </c>
    </row>
    <row r="48" spans="1:11" x14ac:dyDescent="0.2">
      <c r="C48" s="1" t="s">
        <v>52</v>
      </c>
      <c r="D48" s="10"/>
      <c r="E48" s="10"/>
      <c r="F48" s="10"/>
    </row>
    <row r="49" spans="3:11" x14ac:dyDescent="0.2">
      <c r="D49" s="10"/>
    </row>
    <row r="50" spans="3:11" x14ac:dyDescent="0.2">
      <c r="D50" s="10"/>
    </row>
    <row r="51" spans="3:11" x14ac:dyDescent="0.2">
      <c r="D51" s="10"/>
    </row>
    <row r="53" spans="3:11" ht="15" customHeight="1" x14ac:dyDescent="0.2">
      <c r="D53" s="160" t="s">
        <v>195</v>
      </c>
      <c r="E53" s="178"/>
      <c r="F53" s="178"/>
      <c r="G53" s="178"/>
      <c r="H53" s="178"/>
      <c r="I53" s="178"/>
      <c r="J53" s="178"/>
      <c r="K53" s="178"/>
    </row>
    <row r="54" spans="3:11" ht="11.25" hidden="1" customHeight="1" x14ac:dyDescent="0.2">
      <c r="D54" s="28"/>
    </row>
    <row r="55" spans="3:11" ht="15.75" customHeight="1" x14ac:dyDescent="0.2">
      <c r="C55" s="2"/>
      <c r="D55" s="2"/>
      <c r="E55" s="2"/>
      <c r="F55" s="2"/>
      <c r="G55" s="2"/>
      <c r="H55" s="2"/>
      <c r="I55" s="2"/>
      <c r="J55" s="2"/>
    </row>
    <row r="56" spans="3:11" ht="12" thickBot="1" x14ac:dyDescent="0.25">
      <c r="C56" s="177" t="s">
        <v>120</v>
      </c>
      <c r="D56" s="153">
        <v>2019</v>
      </c>
      <c r="E56" s="153">
        <v>2020</v>
      </c>
      <c r="F56" s="153">
        <v>2021</v>
      </c>
      <c r="G56" s="153">
        <v>2022</v>
      </c>
      <c r="H56" s="153">
        <v>2023</v>
      </c>
      <c r="I56" s="153">
        <v>2024</v>
      </c>
      <c r="J56" s="153">
        <v>2025</v>
      </c>
      <c r="K56" s="153" t="s">
        <v>36</v>
      </c>
    </row>
    <row r="57" spans="3:11" ht="12" customHeight="1" thickBot="1" x14ac:dyDescent="0.25">
      <c r="C57" s="156"/>
      <c r="D57" s="154"/>
      <c r="E57" s="154"/>
      <c r="F57" s="154"/>
      <c r="G57" s="154"/>
      <c r="H57" s="154"/>
      <c r="I57" s="154"/>
      <c r="J57" s="154"/>
      <c r="K57" s="154"/>
    </row>
    <row r="58" spans="3:11" x14ac:dyDescent="0.2">
      <c r="C58" s="87" t="s">
        <v>123</v>
      </c>
      <c r="D58" s="42">
        <f>7.71253461426*Deflactores!$T$5</f>
        <v>11.669855497040874</v>
      </c>
      <c r="E58" s="42">
        <f>9.21093058214*Deflactores!$U$5</f>
        <v>13.716250565578013</v>
      </c>
      <c r="F58" s="42">
        <f>12.64362467004*Deflactores!$V$5</f>
        <v>17.826140816497496</v>
      </c>
      <c r="G58" s="42">
        <f>11.60489584514*Deflactores!$W$5</f>
        <v>14.463972526738551</v>
      </c>
      <c r="H58" s="42">
        <f>10.0515727279*Deflactores!$X$5</f>
        <v>11.464092305942016</v>
      </c>
      <c r="I58" s="42">
        <f>13.22315631727*Deflactores!$Y$5</f>
        <v>14.335902777571414</v>
      </c>
      <c r="J58" s="42">
        <f>25.9781244264*Deflactores!$Z$5</f>
        <v>26.797543936307136</v>
      </c>
      <c r="K58" s="42">
        <f>3.667683861*Deflactores!$AA$5</f>
        <v>3.667683861</v>
      </c>
    </row>
    <row r="59" spans="3:11" x14ac:dyDescent="0.2">
      <c r="C59" s="88" t="s">
        <v>124</v>
      </c>
      <c r="D59" s="50">
        <f>28.804955961*Deflactores!$T$5</f>
        <v>43.584851216353208</v>
      </c>
      <c r="E59" s="50">
        <f>31.792820814*Deflactores!$U$5</f>
        <v>47.343565623749683</v>
      </c>
      <c r="F59" s="50">
        <f>53.650168*Deflactores!$V$5</f>
        <v>75.640923750524635</v>
      </c>
      <c r="G59" s="50">
        <f>74.76395442*Deflactores!$W$5</f>
        <v>93.183411307744294</v>
      </c>
      <c r="H59" s="50">
        <f>82.011565*Deflactores!$X$5</f>
        <v>93.536422285947097</v>
      </c>
      <c r="I59" s="50">
        <f>93.368973295*Deflactores!$Y$5</f>
        <v>101.22609848078457</v>
      </c>
      <c r="J59" s="50">
        <f>97.483247939*Deflactores!$Z$5</f>
        <v>100.55813024917764</v>
      </c>
      <c r="K59" s="50">
        <f>100.1533*Deflactores!$AA$5</f>
        <v>100.1533</v>
      </c>
    </row>
    <row r="60" spans="3:11" x14ac:dyDescent="0.2">
      <c r="C60" s="87" t="s">
        <v>125</v>
      </c>
      <c r="D60" s="42">
        <f>0*Deflactores!$T$5</f>
        <v>0</v>
      </c>
      <c r="E60" s="42">
        <f>0*Deflactores!$U$5</f>
        <v>0</v>
      </c>
      <c r="F60" s="42">
        <f>0*Deflactores!$V$5</f>
        <v>0</v>
      </c>
      <c r="G60" s="42">
        <f>0*Deflactores!$W$5</f>
        <v>0</v>
      </c>
      <c r="H60" s="42">
        <f>0*Deflactores!$X$5</f>
        <v>0</v>
      </c>
      <c r="I60" s="42">
        <f>0*Deflactores!$Y$5</f>
        <v>0</v>
      </c>
      <c r="J60" s="42">
        <f>0*Deflactores!$Z$5</f>
        <v>0</v>
      </c>
      <c r="K60" s="42">
        <f>0*Deflactores!$AA$5</f>
        <v>0</v>
      </c>
    </row>
    <row r="61" spans="3:11" x14ac:dyDescent="0.2">
      <c r="C61" s="88" t="s">
        <v>126</v>
      </c>
      <c r="D61" s="50">
        <f>194.92602389727*Deflactores!$T$5</f>
        <v>294.94305637059824</v>
      </c>
      <c r="E61" s="50">
        <f>186.70607674911*Deflactores!$U$5</f>
        <v>278.02916415116982</v>
      </c>
      <c r="F61" s="50">
        <f>218.693388802729*Deflactores!$V$5</f>
        <v>308.333982237876</v>
      </c>
      <c r="G61" s="50">
        <f>243.29557349899*Deflactores!$W$5</f>
        <v>303.23585303354685</v>
      </c>
      <c r="H61" s="50">
        <f>269.6757730166*Deflactores!$X$5</f>
        <v>307.57255985994061</v>
      </c>
      <c r="I61" s="50">
        <f>319.07331026415*Deflactores!$Y$5</f>
        <v>345.92376019109975</v>
      </c>
      <c r="J61" s="50">
        <f>328.13047837618*Deflactores!$Z$5</f>
        <v>338.48059108498512</v>
      </c>
      <c r="K61" s="50">
        <f>84.1385688961899*Deflactores!$AA$5</f>
        <v>84.138568896189895</v>
      </c>
    </row>
    <row r="62" spans="3:11" x14ac:dyDescent="0.2">
      <c r="C62" s="87" t="s">
        <v>127</v>
      </c>
      <c r="D62" s="42">
        <f>0*Deflactores!$T$5</f>
        <v>0</v>
      </c>
      <c r="E62" s="42">
        <f>0*Deflactores!$U$5</f>
        <v>0</v>
      </c>
      <c r="F62" s="42">
        <f>0*Deflactores!$V$5</f>
        <v>0</v>
      </c>
      <c r="G62" s="42">
        <f>0*Deflactores!$W$5</f>
        <v>0</v>
      </c>
      <c r="H62" s="42">
        <f>0*Deflactores!$X$5</f>
        <v>0</v>
      </c>
      <c r="I62" s="42">
        <f>0*Deflactores!$Y$5</f>
        <v>0</v>
      </c>
      <c r="J62" s="42">
        <f>0*Deflactores!$Z$5</f>
        <v>0</v>
      </c>
      <c r="K62" s="42">
        <f>0*Deflactores!$AA$5</f>
        <v>0</v>
      </c>
    </row>
    <row r="63" spans="3:11" x14ac:dyDescent="0.2">
      <c r="C63" s="88" t="s">
        <v>128</v>
      </c>
      <c r="D63" s="50">
        <f>2.88480179123999*Deflactores!$T$5</f>
        <v>4.3650008363178623</v>
      </c>
      <c r="E63" s="50">
        <f>3.48691293764999*Deflactores!$U$5</f>
        <v>5.1924581481376348</v>
      </c>
      <c r="F63" s="50">
        <f>4.20654736953*Deflactores!$V$5</f>
        <v>5.9307760011411093</v>
      </c>
      <c r="G63" s="50">
        <f>4.93625700979*Deflactores!$W$5</f>
        <v>6.1523935007502715</v>
      </c>
      <c r="H63" s="50">
        <f>3.80838277876999*Deflactores!$X$5</f>
        <v>4.3435642256254763</v>
      </c>
      <c r="I63" s="50">
        <f>2.75182467234*Deflactores!$Y$5</f>
        <v>2.9833944345092052</v>
      </c>
      <c r="J63" s="50">
        <f>3.9810793465*Deflactores!$Z$5</f>
        <v>4.1066532344938267</v>
      </c>
      <c r="K63" s="50">
        <f>1.10262870240999*Deflactores!$AA$5</f>
        <v>1.1026287024099899</v>
      </c>
    </row>
    <row r="64" spans="3:11" x14ac:dyDescent="0.2">
      <c r="C64" s="87" t="s">
        <v>129</v>
      </c>
      <c r="D64" s="42">
        <f>1994.92906809165*Deflactores!$T$5</f>
        <v>3018.5321837559991</v>
      </c>
      <c r="E64" s="42">
        <f>1801.13938940051*Deflactores!$U$5</f>
        <v>2682.1263007293055</v>
      </c>
      <c r="F64" s="42">
        <f>1762.10630138961*Deflactores!$V$5</f>
        <v>2484.3789563479181</v>
      </c>
      <c r="G64" s="42">
        <f>2517.34238723151*Deflactores!$W$5</f>
        <v>3137.5353656930429</v>
      </c>
      <c r="H64" s="42">
        <f>2318.18430862054*Deflactores!$X$5</f>
        <v>2643.9523063337115</v>
      </c>
      <c r="I64" s="42">
        <f>2557.75080101413*Deflactores!$Y$5</f>
        <v>2772.9889848390021</v>
      </c>
      <c r="J64" s="42">
        <f>2591.16656565197*Deflactores!$Z$5</f>
        <v>2672.8988879114077</v>
      </c>
      <c r="K64" s="42">
        <f>545.19532855689*Deflactores!$AA$5</f>
        <v>545.19532855688999</v>
      </c>
    </row>
    <row r="65" spans="3:11" x14ac:dyDescent="0.2">
      <c r="C65" s="88" t="s">
        <v>130</v>
      </c>
      <c r="D65" s="50">
        <f>0*Deflactores!$T$5</f>
        <v>0</v>
      </c>
      <c r="E65" s="50">
        <f>0*Deflactores!$U$5</f>
        <v>0</v>
      </c>
      <c r="F65" s="50">
        <f>0*Deflactores!$V$5</f>
        <v>0</v>
      </c>
      <c r="G65" s="50">
        <f>0*Deflactores!$W$5</f>
        <v>0</v>
      </c>
      <c r="H65" s="50">
        <f>0*Deflactores!$X$5</f>
        <v>0</v>
      </c>
      <c r="I65" s="50">
        <f>0*Deflactores!$Y$5</f>
        <v>0</v>
      </c>
      <c r="J65" s="50">
        <f>0*Deflactores!$Z$5</f>
        <v>0</v>
      </c>
      <c r="K65" s="50">
        <f>0*Deflactores!$AA$5</f>
        <v>0</v>
      </c>
    </row>
    <row r="66" spans="3:11" x14ac:dyDescent="0.2">
      <c r="C66" s="87" t="s">
        <v>131</v>
      </c>
      <c r="D66" s="42">
        <f>13.55138631989*Deflactores!$T$5</f>
        <v>20.504636678751069</v>
      </c>
      <c r="E66" s="42">
        <f>13.0555598677*Deflactores!$U$5</f>
        <v>19.441393985370059</v>
      </c>
      <c r="F66" s="42">
        <f>14.9628052668199*Deflactores!$V$5</f>
        <v>21.095934168956799</v>
      </c>
      <c r="G66" s="42">
        <f>18.37510635954*Deflactores!$W$5</f>
        <v>22.902147258097955</v>
      </c>
      <c r="H66" s="42">
        <f>20.9382675282*Deflactores!$X$5</f>
        <v>23.880664067974422</v>
      </c>
      <c r="I66" s="42">
        <f>27.39759694801*Deflactores!$Y$5</f>
        <v>29.703141728180693</v>
      </c>
      <c r="J66" s="42">
        <f>35.28134630775*Deflactores!$Z$5</f>
        <v>36.394214312607993</v>
      </c>
      <c r="K66" s="42">
        <f>11.48453424242*Deflactores!$AA$5</f>
        <v>11.484534242420001</v>
      </c>
    </row>
    <row r="67" spans="3:11" x14ac:dyDescent="0.2">
      <c r="C67" s="88" t="s">
        <v>132</v>
      </c>
      <c r="D67" s="50">
        <f>56.84781587905*Deflactores!$T$5</f>
        <v>86.016572995899807</v>
      </c>
      <c r="E67" s="50">
        <f>54.60947867311*Deflactores!$U$5</f>
        <v>81.32047962540824</v>
      </c>
      <c r="F67" s="50">
        <f>62.48851234716*Deflactores!$V$5</f>
        <v>88.102031623372483</v>
      </c>
      <c r="G67" s="50">
        <f>107.18058638526*Deflactores!$W$5</f>
        <v>133.58646881138179</v>
      </c>
      <c r="H67" s="50">
        <f>130.18242896214*Deflactores!$X$5</f>
        <v>148.4766038742589</v>
      </c>
      <c r="I67" s="50">
        <f>141.06959015706*Deflactores!$Y$5</f>
        <v>152.94078666544763</v>
      </c>
      <c r="J67" s="50">
        <f>154.669905045909*Deflactores!$Z$5</f>
        <v>159.54860743834593</v>
      </c>
      <c r="K67" s="50">
        <f>34.3954359927999*Deflactores!$AA$5</f>
        <v>34.395435992799896</v>
      </c>
    </row>
    <row r="68" spans="3:11" x14ac:dyDescent="0.2">
      <c r="C68" s="87" t="s">
        <v>133</v>
      </c>
      <c r="D68" s="42">
        <f>9.83768054737*Deflactores!$T$5</f>
        <v>14.885419146332492</v>
      </c>
      <c r="E68" s="42">
        <f>10.76858734012*Deflactores!$U$5</f>
        <v>16.035800169941197</v>
      </c>
      <c r="F68" s="42">
        <f>14.60461502976*Deflactores!$V$5</f>
        <v>20.590924745507643</v>
      </c>
      <c r="G68" s="42">
        <f>14.87513921492*Deflactores!$W$5</f>
        <v>18.539899694672233</v>
      </c>
      <c r="H68" s="42">
        <f>17.57692989348*Deflactores!$X$5</f>
        <v>20.046966997971957</v>
      </c>
      <c r="I68" s="42">
        <f>18.64101389746*Deflactores!$Y$5</f>
        <v>20.209680389267042</v>
      </c>
      <c r="J68" s="42">
        <f>20.75269195792*Deflactores!$Z$5</f>
        <v>21.407287354966112</v>
      </c>
      <c r="K68" s="42">
        <f>13.0218409305*Deflactores!$AA$5</f>
        <v>13.0218409305</v>
      </c>
    </row>
    <row r="69" spans="3:11" x14ac:dyDescent="0.2">
      <c r="C69" s="88" t="s">
        <v>134</v>
      </c>
      <c r="D69" s="50">
        <f>194.35944013853*Deflactores!$T$5</f>
        <v>294.085757062114</v>
      </c>
      <c r="E69" s="50">
        <f>207.82726675106*Deflactores!$U$5</f>
        <v>309.48131024286465</v>
      </c>
      <c r="F69" s="50">
        <f>226.64329356223*Deflactores!$V$5</f>
        <v>319.54248655676923</v>
      </c>
      <c r="G69" s="50">
        <f>251.234670822859*Deflactores!$W$5</f>
        <v>313.13089105128438</v>
      </c>
      <c r="H69" s="50">
        <f>282.107841877519*Deflactores!$X$5</f>
        <v>321.75167280410761</v>
      </c>
      <c r="I69" s="50">
        <f>315.71200651541*Deflactores!$Y$5</f>
        <v>342.27959819288697</v>
      </c>
      <c r="J69" s="50">
        <f>345.45254931019*Deflactores!$Z$5</f>
        <v>356.34904645546737</v>
      </c>
      <c r="K69" s="50">
        <f>48.12886829225*Deflactores!$AA$5</f>
        <v>48.128868292249997</v>
      </c>
    </row>
    <row r="70" spans="3:11" x14ac:dyDescent="0.2">
      <c r="C70" s="87" t="s">
        <v>135</v>
      </c>
      <c r="D70" s="42">
        <f>0*Deflactores!$T$5</f>
        <v>0</v>
      </c>
      <c r="E70" s="42">
        <f>0*Deflactores!$U$5</f>
        <v>0</v>
      </c>
      <c r="F70" s="42">
        <f>0*Deflactores!$V$5</f>
        <v>0</v>
      </c>
      <c r="G70" s="42">
        <f>0*Deflactores!$W$5</f>
        <v>0</v>
      </c>
      <c r="H70" s="42">
        <f>0*Deflactores!$X$5</f>
        <v>0</v>
      </c>
      <c r="I70" s="42">
        <f>884.21173110629*Deflactores!$Y$5</f>
        <v>958.61934229519284</v>
      </c>
      <c r="J70" s="42">
        <f>1132.28453313007*Deflactores!$Z$5</f>
        <v>1167.9998150335623</v>
      </c>
      <c r="K70" s="42">
        <f>131.62614009929*Deflactores!$AA$5</f>
        <v>131.62614009929001</v>
      </c>
    </row>
    <row r="71" spans="3:11" x14ac:dyDescent="0.2">
      <c r="C71" s="88" t="s">
        <v>136</v>
      </c>
      <c r="D71" s="50">
        <f>573.5275036828*Deflactores!$T$5</f>
        <v>867.80590639838965</v>
      </c>
      <c r="E71" s="50">
        <f>597.50635358736*Deflactores!$U$5</f>
        <v>889.76317726465697</v>
      </c>
      <c r="F71" s="50">
        <f>617.7963821701*Deflactores!$V$5</f>
        <v>871.02595908140506</v>
      </c>
      <c r="G71" s="50">
        <f>700.01234859974*Deflactores!$W$5</f>
        <v>872.47309356633207</v>
      </c>
      <c r="H71" s="50">
        <f>738.05660335117*Deflactores!$X$5</f>
        <v>841.77364646055446</v>
      </c>
      <c r="I71" s="50">
        <f>1.78110219585*Deflactores!$Y$5</f>
        <v>1.9309843507844235</v>
      </c>
      <c r="J71" s="50">
        <f>31.62720305825*Deflactores!$Z$5</f>
        <v>32.62480961384059</v>
      </c>
      <c r="K71" s="50">
        <f>0*Deflactores!$AA$5</f>
        <v>0</v>
      </c>
    </row>
    <row r="72" spans="3:11" x14ac:dyDescent="0.2">
      <c r="C72" s="87" t="s">
        <v>137</v>
      </c>
      <c r="D72" s="42">
        <f>3.52410440795*Deflactores!$T$5</f>
        <v>5.3323312314504552</v>
      </c>
      <c r="E72" s="42">
        <f>5.16975902275*Deflactores!$U$5</f>
        <v>7.6984306294947764</v>
      </c>
      <c r="F72" s="42">
        <f>6.56614803276999*Deflactores!$V$5</f>
        <v>9.2575572676941515</v>
      </c>
      <c r="G72" s="42">
        <f>6.31634048772*Deflactores!$W$5</f>
        <v>7.8724855873798081</v>
      </c>
      <c r="H72" s="42">
        <f>2.04148818456*Deflactores!$X$5</f>
        <v>2.3283728450100378</v>
      </c>
      <c r="I72" s="42">
        <f>8.31679048944999*Deflactores!$Y$5</f>
        <v>9.0166596399127439</v>
      </c>
      <c r="J72" s="42">
        <f>7.9873882236*Deflactores!$Z$5</f>
        <v>8.2393318064465362</v>
      </c>
      <c r="K72" s="42">
        <f>6.31475701369999*Deflactores!$AA$5</f>
        <v>6.3147570136999898</v>
      </c>
    </row>
    <row r="73" spans="3:11" x14ac:dyDescent="0.2">
      <c r="C73" s="88" t="s">
        <v>138</v>
      </c>
      <c r="D73" s="50">
        <f>0*Deflactores!$T$5</f>
        <v>0</v>
      </c>
      <c r="E73" s="50">
        <f>0*Deflactores!$U$5</f>
        <v>0</v>
      </c>
      <c r="F73" s="50">
        <f>0*Deflactores!$V$5</f>
        <v>0</v>
      </c>
      <c r="G73" s="50">
        <f>0*Deflactores!$W$5</f>
        <v>0</v>
      </c>
      <c r="H73" s="50">
        <f>0*Deflactores!$X$5</f>
        <v>0</v>
      </c>
      <c r="I73" s="50">
        <f>0*Deflactores!$Y$5</f>
        <v>0</v>
      </c>
      <c r="J73" s="50">
        <f>0*Deflactores!$Z$5</f>
        <v>0</v>
      </c>
      <c r="K73" s="50">
        <f>0*Deflactores!$AA$5</f>
        <v>0</v>
      </c>
    </row>
    <row r="74" spans="3:11" x14ac:dyDescent="0.2">
      <c r="C74" s="87" t="s">
        <v>160</v>
      </c>
      <c r="D74" s="42">
        <f>105.34285262394*Deflactores!$T$5</f>
        <v>159.3945349035435</v>
      </c>
      <c r="E74" s="42">
        <f>114.65188405367*Deflactores!$U$5</f>
        <v>170.73128013199846</v>
      </c>
      <c r="F74" s="42">
        <f>130.98816436786*Deflactores!$V$5</f>
        <v>184.67911886446444</v>
      </c>
      <c r="G74" s="42">
        <f>162.83769024*Deflactores!$W$5</f>
        <v>202.95571019151259</v>
      </c>
      <c r="H74" s="42">
        <f>161.1216549083*Deflactores!$X$5</f>
        <v>183.76363324993721</v>
      </c>
      <c r="I74" s="42">
        <f>203.592628587*Deflactores!$Y$5</f>
        <v>220.72522320873679</v>
      </c>
      <c r="J74" s="42">
        <f>206.78910705747*Deflactores!$Z$5</f>
        <v>213.31178844808525</v>
      </c>
      <c r="K74" s="42">
        <f>136.97638713298*Deflactores!$AA$5</f>
        <v>136.97638713297999</v>
      </c>
    </row>
    <row r="75" spans="3:11" x14ac:dyDescent="0.2">
      <c r="C75" s="88" t="s">
        <v>161</v>
      </c>
      <c r="D75" s="50">
        <f>356.28663884951*Deflactores!$T$5</f>
        <v>539.09820815748833</v>
      </c>
      <c r="E75" s="50">
        <f>394.12874294657*Deflactores!$U$5</f>
        <v>586.90797255964765</v>
      </c>
      <c r="F75" s="50">
        <f>396.377859088859*Deflactores!$V$5</f>
        <v>558.84983278592119</v>
      </c>
      <c r="G75" s="50">
        <f>444.00451440856*Deflactores!$W$5</f>
        <v>553.39308373394783</v>
      </c>
      <c r="H75" s="50">
        <f>665.16416154065*Deflactores!$X$5</f>
        <v>758.63783240015186</v>
      </c>
      <c r="I75" s="50">
        <f>567.30810453735*Deflactores!$Y$5</f>
        <v>615.04784761213887</v>
      </c>
      <c r="J75" s="50">
        <f>563.51699006391*Deflactores!$Z$5</f>
        <v>581.29182277482198</v>
      </c>
      <c r="K75" s="50">
        <f>131.41200101732*Deflactores!$AA$5</f>
        <v>131.41200101731999</v>
      </c>
    </row>
    <row r="76" spans="3:11" x14ac:dyDescent="0.2">
      <c r="C76" s="87" t="s">
        <v>140</v>
      </c>
      <c r="D76" s="42">
        <f>450.84923393479*Deflactores!$T$5</f>
        <v>682.18110830163073</v>
      </c>
      <c r="E76" s="42">
        <f>927.75444734521*Deflactores!$U$5</f>
        <v>1381.5447146882905</v>
      </c>
      <c r="F76" s="42">
        <f>948.09470274612*Deflactores!$V$5</f>
        <v>1336.7108024469856</v>
      </c>
      <c r="G76" s="42">
        <f>634.59372967311*Deflactores!$W$5</f>
        <v>790.93741073741478</v>
      </c>
      <c r="H76" s="42">
        <f>1433.01014668255*Deflactores!$X$5</f>
        <v>1634.3870796776766</v>
      </c>
      <c r="I76" s="42">
        <f>4148.71786395374*Deflactores!$Y$5</f>
        <v>4497.8380745251343</v>
      </c>
      <c r="J76" s="42">
        <f>3394.36981278354*Deflactores!$Z$5</f>
        <v>3501.4373132227975</v>
      </c>
      <c r="K76" s="42">
        <f>1714.74464239435*Deflactores!$AA$5</f>
        <v>1714.74464239435</v>
      </c>
    </row>
    <row r="77" spans="3:11" x14ac:dyDescent="0.2">
      <c r="C77" s="88" t="s">
        <v>141</v>
      </c>
      <c r="D77" s="50">
        <f>17.3557480164*Deflactores!$T$5</f>
        <v>26.261025917466817</v>
      </c>
      <c r="E77" s="50">
        <f>15.01673610455*Deflactores!$U$5</f>
        <v>22.361835565947281</v>
      </c>
      <c r="F77" s="50">
        <f>15.0011632230599*Deflactores!$V$5</f>
        <v>21.150014731074993</v>
      </c>
      <c r="G77" s="50">
        <f>16.50460117378*Deflactores!$W$5</f>
        <v>20.570809176396434</v>
      </c>
      <c r="H77" s="50">
        <f>25.5308261296699*Deflactores!$X$5</f>
        <v>29.118602165120198</v>
      </c>
      <c r="I77" s="50">
        <f>17.309933012*Deflactores!$Y$5</f>
        <v>18.766587249838899</v>
      </c>
      <c r="J77" s="50">
        <f>17.4729732990599*Deflactores!$Z$5</f>
        <v>18.024117599638654</v>
      </c>
      <c r="K77" s="50">
        <f>1.046449496*Deflactores!$AA$5</f>
        <v>1.0464494959999999</v>
      </c>
    </row>
    <row r="78" spans="3:11" x14ac:dyDescent="0.2">
      <c r="C78" s="87" t="s">
        <v>142</v>
      </c>
      <c r="D78" s="42">
        <f>113.770180735949*Deflactores!$T$5</f>
        <v>172.14594623743369</v>
      </c>
      <c r="E78" s="42">
        <f>284.60970579113*Deflactores!$U$5</f>
        <v>423.82015619529335</v>
      </c>
      <c r="F78" s="42">
        <f>274.31652586448*Deflactores!$V$5</f>
        <v>386.75657858935227</v>
      </c>
      <c r="G78" s="42">
        <f>178.89646683094*Deflactores!$W$5</f>
        <v>222.97085780885737</v>
      </c>
      <c r="H78" s="42">
        <f>274.336422537109*Deflactores!$X$5</f>
        <v>312.88815750372572</v>
      </c>
      <c r="I78" s="42">
        <f>236.92098174276*Deflactores!$Y$5</f>
        <v>256.85820228828709</v>
      </c>
      <c r="J78" s="42">
        <f>209.899957456349*Deflactores!$Z$5</f>
        <v>216.52076338695809</v>
      </c>
      <c r="K78" s="42">
        <f>64.93195872749*Deflactores!$AA$5</f>
        <v>64.931958727489999</v>
      </c>
    </row>
    <row r="79" spans="3:11" x14ac:dyDescent="0.2">
      <c r="C79" s="88" t="s">
        <v>143</v>
      </c>
      <c r="D79" s="50">
        <f>0.067335387*Deflactores!$T$5</f>
        <v>0.1018853432014995</v>
      </c>
      <c r="E79" s="50">
        <f>0*Deflactores!$U$5</f>
        <v>0</v>
      </c>
      <c r="F79" s="50">
        <f>0.01336564379*Deflactores!$V$5</f>
        <v>1.884410954306915E-2</v>
      </c>
      <c r="G79" s="50">
        <f>0*Deflactores!$W$5</f>
        <v>0</v>
      </c>
      <c r="H79" s="50">
        <f>0.003899899*Deflactores!$X$5</f>
        <v>4.4479409670641302E-3</v>
      </c>
      <c r="I79" s="50">
        <f>0*Deflactores!$Y$5</f>
        <v>0</v>
      </c>
      <c r="J79" s="50">
        <f>0*Deflactores!$Z$5</f>
        <v>0</v>
      </c>
      <c r="K79" s="50">
        <f>0*Deflactores!$AA$5</f>
        <v>0</v>
      </c>
    </row>
    <row r="80" spans="3:11" x14ac:dyDescent="0.2">
      <c r="C80" s="87" t="s">
        <v>144</v>
      </c>
      <c r="D80" s="42">
        <f>0*Deflactores!$T$5</f>
        <v>0</v>
      </c>
      <c r="E80" s="42">
        <f>0*Deflactores!$U$5</f>
        <v>0</v>
      </c>
      <c r="F80" s="42">
        <f>0*Deflactores!$V$5</f>
        <v>0</v>
      </c>
      <c r="G80" s="42">
        <f>0*Deflactores!$W$5</f>
        <v>0</v>
      </c>
      <c r="H80" s="42">
        <f>0*Deflactores!$X$5</f>
        <v>0</v>
      </c>
      <c r="I80" s="42">
        <f>0*Deflactores!$Y$5</f>
        <v>0</v>
      </c>
      <c r="J80" s="42">
        <f>0*Deflactores!$Z$5</f>
        <v>0</v>
      </c>
      <c r="K80" s="42">
        <f>0*Deflactores!$AA$5</f>
        <v>0</v>
      </c>
    </row>
    <row r="81" spans="1:11" x14ac:dyDescent="0.2">
      <c r="C81" s="88" t="s">
        <v>145</v>
      </c>
      <c r="D81" s="50">
        <f>46.05946159165*Deflactores!$T$5</f>
        <v>69.692687025642911</v>
      </c>
      <c r="E81" s="50">
        <f>44.30268957297*Deflactores!$U$5</f>
        <v>65.972355940901707</v>
      </c>
      <c r="F81" s="50">
        <f>50.7642537817399*Deflactores!$V$5</f>
        <v>71.572097398779249</v>
      </c>
      <c r="G81" s="50">
        <f>57.84630625542*Deflactores!$W$5</f>
        <v>72.097793518939213</v>
      </c>
      <c r="H81" s="50">
        <f>59.49940671554*Deflactores!$X$5</f>
        <v>67.860692968218146</v>
      </c>
      <c r="I81" s="50">
        <f>72.29122490594*Deflactores!$Y$5</f>
        <v>78.374629101947093</v>
      </c>
      <c r="J81" s="50">
        <f>84.30636134128*Deflactores!$Z$5</f>
        <v>86.965609413173951</v>
      </c>
      <c r="K81" s="50">
        <f>35.26949512986*Deflactores!$AA$5</f>
        <v>35.269495129859997</v>
      </c>
    </row>
    <row r="82" spans="1:11" x14ac:dyDescent="0.2">
      <c r="C82" s="87" t="s">
        <v>146</v>
      </c>
      <c r="D82" s="42">
        <f>208.685515397029*Deflactores!$T$5</f>
        <v>315.76257751972389</v>
      </c>
      <c r="E82" s="42">
        <f>167.505448204969*Deflactores!$U$5</f>
        <v>249.43697905331624</v>
      </c>
      <c r="F82" s="42">
        <f>217.890083149009*Deflactores!$V$5</f>
        <v>307.20140830630135</v>
      </c>
      <c r="G82" s="42">
        <f>192.57403503984*Deflactores!$W$5</f>
        <v>240.01814314825765</v>
      </c>
      <c r="H82" s="42">
        <f>204.33640947513*Deflactores!$X$5</f>
        <v>233.05123716466036</v>
      </c>
      <c r="I82" s="42">
        <f>342.76973073427*Deflactores!$Y$5</f>
        <v>371.61426644280448</v>
      </c>
      <c r="J82" s="42">
        <f>422.54889920085*Deflactores!$Z$5</f>
        <v>435.8772213772998</v>
      </c>
      <c r="K82" s="42">
        <f>373.429655104169*Deflactores!$AA$5</f>
        <v>373.429655104169</v>
      </c>
    </row>
    <row r="83" spans="1:11" x14ac:dyDescent="0.2">
      <c r="C83" s="88" t="s">
        <v>162</v>
      </c>
      <c r="D83" s="50">
        <f>464.21390632858*Deflactores!$T$5</f>
        <v>702.40322766981512</v>
      </c>
      <c r="E83" s="50">
        <f>382.42027888954*Deflactores!$U$5</f>
        <v>569.47257606934249</v>
      </c>
      <c r="F83" s="50">
        <f>387.44718070486*Deflactores!$V$5</f>
        <v>546.25854392575354</v>
      </c>
      <c r="G83" s="50">
        <f>453.38776455714*Deflactores!$W$5</f>
        <v>565.08806783132036</v>
      </c>
      <c r="H83" s="50">
        <f>553.109694165699*Deflactores!$X$5</f>
        <v>630.83666216994959</v>
      </c>
      <c r="I83" s="50">
        <f>593.15699518599*Deflactores!$Y$5</f>
        <v>643.07195731452521</v>
      </c>
      <c r="J83" s="50">
        <f>672.7757823922*Deflactores!$Z$5</f>
        <v>693.99692957113064</v>
      </c>
      <c r="K83" s="50">
        <f>182.943774682929*Deflactores!$AA$5</f>
        <v>182.94377468292899</v>
      </c>
    </row>
    <row r="84" spans="1:11" x14ac:dyDescent="0.2">
      <c r="C84" s="87" t="s">
        <v>148</v>
      </c>
      <c r="D84" s="42">
        <f>0*Deflactores!$T$5</f>
        <v>0</v>
      </c>
      <c r="E84" s="42">
        <f>0*Deflactores!$U$5</f>
        <v>0</v>
      </c>
      <c r="F84" s="42">
        <f>0*Deflactores!$V$5</f>
        <v>0</v>
      </c>
      <c r="G84" s="42">
        <f>0*Deflactores!$W$5</f>
        <v>0</v>
      </c>
      <c r="H84" s="42">
        <f>0*Deflactores!$X$5</f>
        <v>0</v>
      </c>
      <c r="I84" s="42">
        <f>0*Deflactores!$Y$5</f>
        <v>0</v>
      </c>
      <c r="J84" s="42">
        <f>0*Deflactores!$Z$5</f>
        <v>0</v>
      </c>
      <c r="K84" s="42">
        <f>0*Deflactores!$AA$5</f>
        <v>0</v>
      </c>
    </row>
    <row r="85" spans="1:11" x14ac:dyDescent="0.2">
      <c r="C85" s="88" t="s">
        <v>149</v>
      </c>
      <c r="D85" s="50">
        <f>418.57557023022*Deflactores!$T$5</f>
        <v>633.34774668584475</v>
      </c>
      <c r="E85" s="50">
        <f>256.79074471542*Deflactores!$U$5</f>
        <v>382.39417461984118</v>
      </c>
      <c r="F85" s="50">
        <f>670.20207116943*Deflactores!$V$5</f>
        <v>944.91230228338793</v>
      </c>
      <c r="G85" s="50">
        <f>696.78460634573*Deflactores!$W$5</f>
        <v>868.45013843529182</v>
      </c>
      <c r="H85" s="50">
        <f>890.044665754299*Deflactores!$X$5</f>
        <v>1015.1201688365384</v>
      </c>
      <c r="I85" s="50">
        <f>643.41141223359*Deflactores!$Y$5</f>
        <v>697.55535141892619</v>
      </c>
      <c r="J85" s="50">
        <f>661.178754163859*Deflactores!$Z$5</f>
        <v>682.03410006201705</v>
      </c>
      <c r="K85" s="50">
        <f>263.48200742963*Deflactores!$AA$5</f>
        <v>263.48200742963002</v>
      </c>
    </row>
    <row r="86" spans="1:11" x14ac:dyDescent="0.2">
      <c r="C86" s="87" t="s">
        <v>163</v>
      </c>
      <c r="D86" s="42">
        <f>77.58905108111*Deflactores!$T$5</f>
        <v>117.40018807759385</v>
      </c>
      <c r="E86" s="42">
        <f>77.4752650694899*Deflactores!$U$5</f>
        <v>115.37055228580437</v>
      </c>
      <c r="F86" s="42">
        <f>81.04657379448*Deflactores!$V$5</f>
        <v>114.26688745186277</v>
      </c>
      <c r="G86" s="42">
        <f>90.573974663*Deflactores!$W$5</f>
        <v>112.88851693673614</v>
      </c>
      <c r="H86" s="42">
        <f>99.7148851202*Deflactores!$X$5</f>
        <v>113.72754077791014</v>
      </c>
      <c r="I86" s="42">
        <f>112.15237258724*Deflactores!$Y$5</f>
        <v>121.59014618807585</v>
      </c>
      <c r="J86" s="42">
        <f>115.87165293186*Deflactores!$Z$5</f>
        <v>119.52655470610298</v>
      </c>
      <c r="K86" s="42">
        <f>14.1359087424*Deflactores!$AA$5</f>
        <v>14.1359087424</v>
      </c>
    </row>
    <row r="87" spans="1:11" x14ac:dyDescent="0.2">
      <c r="C87" s="88" t="s">
        <v>150</v>
      </c>
      <c r="D87" s="50">
        <f>759.47538299688*Deflactores!$T$5</f>
        <v>1149.164109649023</v>
      </c>
      <c r="E87" s="50">
        <f>698.41288070568*Deflactores!$U$5</f>
        <v>1040.0258675883538</v>
      </c>
      <c r="F87" s="50">
        <f>651.93142940186*Deflactores!$V$5</f>
        <v>919.15267706070608</v>
      </c>
      <c r="G87" s="50">
        <f>744.15994874885*Deflactores!$W$5</f>
        <v>927.4972561438517</v>
      </c>
      <c r="H87" s="50">
        <f>1014.25672708026*Deflactores!$X$5</f>
        <v>1156.7874059047865</v>
      </c>
      <c r="I87" s="50">
        <f>894.386197543619*Deflactores!$Y$5</f>
        <v>969.65000382255539</v>
      </c>
      <c r="J87" s="50">
        <f>981.34732095084*Deflactores!$Z$5</f>
        <v>1012.3016395761301</v>
      </c>
      <c r="K87" s="50">
        <f>434.919406954149*Deflactores!$AA$5</f>
        <v>434.919406954149</v>
      </c>
    </row>
    <row r="88" spans="1:11" x14ac:dyDescent="0.2">
      <c r="C88" s="87" t="s">
        <v>151</v>
      </c>
      <c r="D88" s="42">
        <f>0*Deflactores!$T$5</f>
        <v>0</v>
      </c>
      <c r="E88" s="42">
        <f>0*Deflactores!$U$5</f>
        <v>0</v>
      </c>
      <c r="F88" s="42">
        <f>0*Deflactores!$V$5</f>
        <v>0</v>
      </c>
      <c r="G88" s="42">
        <f>0*Deflactores!$W$5</f>
        <v>0</v>
      </c>
      <c r="H88" s="42">
        <f>0*Deflactores!$X$5</f>
        <v>0</v>
      </c>
      <c r="I88" s="42">
        <f>0*Deflactores!$Y$5</f>
        <v>0</v>
      </c>
      <c r="J88" s="42">
        <f>0*Deflactores!$Z$5</f>
        <v>0</v>
      </c>
      <c r="K88" s="42">
        <f>0*Deflactores!$AA$5</f>
        <v>0</v>
      </c>
    </row>
    <row r="89" spans="1:11" x14ac:dyDescent="0.2">
      <c r="C89" s="79" t="s">
        <v>179</v>
      </c>
      <c r="D89" s="44">
        <f t="shared" ref="D89:K89" si="1">+SUM(D58:D88)</f>
        <v>9228.6788166776569</v>
      </c>
      <c r="E89" s="44">
        <f t="shared" si="1"/>
        <v>9358.1867958344137</v>
      </c>
      <c r="F89" s="44">
        <f t="shared" si="1"/>
        <v>9613.254780551797</v>
      </c>
      <c r="G89" s="44">
        <f t="shared" si="1"/>
        <v>9499.9437696934983</v>
      </c>
      <c r="H89" s="44">
        <f t="shared" si="1"/>
        <v>10555.310332820685</v>
      </c>
      <c r="I89" s="44">
        <f t="shared" si="1"/>
        <v>13243.250623157612</v>
      </c>
      <c r="J89" s="44">
        <f t="shared" si="1"/>
        <v>12486.692778569763</v>
      </c>
      <c r="K89" s="44">
        <f t="shared" si="1"/>
        <v>4332.5207733987263</v>
      </c>
    </row>
    <row r="90" spans="1:11" s="31" customFormat="1" x14ac:dyDescent="0.2">
      <c r="A90" s="5"/>
      <c r="B90" s="5"/>
      <c r="C90" s="72" t="str">
        <f>+'C1 Aprop Resumen 2000-2026'!B20</f>
        <v>* Información con corte a 28 de febrero</v>
      </c>
      <c r="D90" s="121">
        <f>+D89-'C7 Ejec. Prop 19-26'!D47</f>
        <v>2.9103830456733704E-11</v>
      </c>
      <c r="E90" s="121">
        <f>+E89-'C7 Ejec. Prop 19-26'!E47</f>
        <v>0</v>
      </c>
      <c r="F90" s="121">
        <f>+F89-'C7 Ejec. Prop 19-26'!F47</f>
        <v>2.5465851649641991E-11</v>
      </c>
      <c r="G90" s="121">
        <f>+G89-'C7 Ejec. Prop 19-26'!G47</f>
        <v>0</v>
      </c>
      <c r="H90" s="121">
        <f>+H89-'C7 Ejec. Prop 19-26'!H47</f>
        <v>0</v>
      </c>
      <c r="I90" s="121">
        <f>+I89-'C7 Ejec. Prop 19-26'!I47</f>
        <v>0</v>
      </c>
      <c r="J90" s="121">
        <f>+J89-'C7 Ejec. Prop 19-26'!J47</f>
        <v>0</v>
      </c>
      <c r="K90" s="121">
        <f>+K89-'C7 Ejec. Prop 19-26'!K47</f>
        <v>0</v>
      </c>
    </row>
    <row r="91" spans="1:11" x14ac:dyDescent="0.2">
      <c r="C91" s="1" t="s">
        <v>52</v>
      </c>
      <c r="D91" s="11"/>
      <c r="E91" s="11"/>
      <c r="F91" s="11"/>
    </row>
    <row r="92" spans="1:11" x14ac:dyDescent="0.2">
      <c r="D92" s="11"/>
      <c r="E92" s="11"/>
      <c r="F92" s="11"/>
    </row>
    <row r="93" spans="1:11" x14ac:dyDescent="0.2">
      <c r="D93" s="11"/>
      <c r="E93" s="11"/>
      <c r="F93" s="11"/>
    </row>
    <row r="94" spans="1:11" x14ac:dyDescent="0.2">
      <c r="D94" s="11"/>
      <c r="E94" s="11"/>
      <c r="F94" s="11"/>
    </row>
    <row r="95" spans="1:11" ht="17.25" customHeight="1" x14ac:dyDescent="0.2">
      <c r="D95" s="131" t="s">
        <v>196</v>
      </c>
      <c r="E95" s="131"/>
      <c r="F95" s="131"/>
      <c r="G95" s="131"/>
      <c r="H95" s="131"/>
      <c r="I95" s="131"/>
      <c r="J95" s="131"/>
      <c r="K95" s="131"/>
    </row>
    <row r="96" spans="1:11" ht="11.25" hidden="1" customHeight="1" x14ac:dyDescent="0.2">
      <c r="D96" s="28"/>
      <c r="E96" s="28"/>
      <c r="F96" s="28"/>
    </row>
    <row r="97" spans="3:11" x14ac:dyDescent="0.2">
      <c r="E97" s="29"/>
      <c r="F97" s="29"/>
    </row>
    <row r="98" spans="3:11" ht="12" thickBot="1" x14ac:dyDescent="0.25">
      <c r="C98" s="177" t="s">
        <v>120</v>
      </c>
      <c r="D98" s="153">
        <v>2019</v>
      </c>
      <c r="E98" s="153">
        <v>2020</v>
      </c>
      <c r="F98" s="153">
        <v>2021</v>
      </c>
      <c r="G98" s="153">
        <v>2022</v>
      </c>
      <c r="H98" s="153">
        <v>2023</v>
      </c>
      <c r="I98" s="153">
        <v>2024</v>
      </c>
      <c r="J98" s="153">
        <v>2025</v>
      </c>
      <c r="K98" s="153" t="s">
        <v>36</v>
      </c>
    </row>
    <row r="99" spans="3:11" ht="12" customHeight="1" thickBot="1" x14ac:dyDescent="0.25">
      <c r="C99" s="156"/>
      <c r="D99" s="154"/>
      <c r="E99" s="154"/>
      <c r="F99" s="154"/>
      <c r="G99" s="154"/>
      <c r="H99" s="154"/>
      <c r="I99" s="154"/>
      <c r="J99" s="154"/>
      <c r="K99" s="154"/>
    </row>
    <row r="100" spans="3:11" x14ac:dyDescent="0.2">
      <c r="C100" s="87" t="s">
        <v>123</v>
      </c>
      <c r="D100" s="47">
        <f t="shared" ref="D100:K109" si="2">+IFERROR(IF(D58&gt;0,+((D58/D15)*100)," "),"")</f>
        <v>78.10657389575691</v>
      </c>
      <c r="E100" s="47">
        <f t="shared" si="2"/>
        <v>72.774600818232543</v>
      </c>
      <c r="F100" s="47">
        <f t="shared" si="2"/>
        <v>98.661896696585529</v>
      </c>
      <c r="G100" s="47">
        <f t="shared" si="2"/>
        <v>98.481093455789861</v>
      </c>
      <c r="H100" s="47">
        <f t="shared" si="2"/>
        <v>77.024820701246853</v>
      </c>
      <c r="I100" s="47">
        <f t="shared" si="2"/>
        <v>93.900877531212274</v>
      </c>
      <c r="J100" s="47">
        <f t="shared" si="2"/>
        <v>98.568601002262341</v>
      </c>
      <c r="K100" s="47">
        <f t="shared" si="2"/>
        <v>13.838366552426159</v>
      </c>
    </row>
    <row r="101" spans="3:11" x14ac:dyDescent="0.2">
      <c r="C101" s="88" t="s">
        <v>124</v>
      </c>
      <c r="D101" s="116">
        <f t="shared" si="2"/>
        <v>96.354219762686839</v>
      </c>
      <c r="E101" s="116">
        <f t="shared" si="2"/>
        <v>99.558912497848752</v>
      </c>
      <c r="F101" s="116">
        <f t="shared" si="2"/>
        <v>99.798729009035398</v>
      </c>
      <c r="G101" s="116">
        <f t="shared" si="2"/>
        <v>99.316248577962781</v>
      </c>
      <c r="H101" s="116">
        <f t="shared" si="2"/>
        <v>95.388278189527597</v>
      </c>
      <c r="I101" s="116">
        <f t="shared" si="2"/>
        <v>99.051706381459113</v>
      </c>
      <c r="J101" s="116">
        <f t="shared" si="2"/>
        <v>98.691073123552314</v>
      </c>
      <c r="K101" s="116">
        <f t="shared" si="2"/>
        <v>98.960479856055045</v>
      </c>
    </row>
    <row r="102" spans="3:11" x14ac:dyDescent="0.2">
      <c r="C102" s="87" t="s">
        <v>125</v>
      </c>
      <c r="D102" s="47" t="str">
        <f t="shared" si="2"/>
        <v xml:space="preserve"> </v>
      </c>
      <c r="E102" s="47" t="str">
        <f t="shared" si="2"/>
        <v xml:space="preserve"> </v>
      </c>
      <c r="F102" s="47" t="str">
        <f t="shared" si="2"/>
        <v xml:space="preserve"> </v>
      </c>
      <c r="G102" s="47" t="str">
        <f t="shared" si="2"/>
        <v xml:space="preserve"> </v>
      </c>
      <c r="H102" s="47" t="str">
        <f t="shared" si="2"/>
        <v xml:space="preserve"> </v>
      </c>
      <c r="I102" s="47" t="str">
        <f t="shared" si="2"/>
        <v xml:space="preserve"> </v>
      </c>
      <c r="J102" s="47" t="str">
        <f t="shared" si="2"/>
        <v xml:space="preserve"> </v>
      </c>
      <c r="K102" s="47" t="str">
        <f t="shared" si="2"/>
        <v xml:space="preserve"> </v>
      </c>
    </row>
    <row r="103" spans="3:11" x14ac:dyDescent="0.2">
      <c r="C103" s="88" t="s">
        <v>126</v>
      </c>
      <c r="D103" s="116">
        <f t="shared" si="2"/>
        <v>94.823499055057965</v>
      </c>
      <c r="E103" s="116">
        <f t="shared" si="2"/>
        <v>91.30022346786393</v>
      </c>
      <c r="F103" s="116">
        <f t="shared" si="2"/>
        <v>87.86984587051775</v>
      </c>
      <c r="G103" s="116">
        <f t="shared" si="2"/>
        <v>92.650233488820959</v>
      </c>
      <c r="H103" s="116">
        <f t="shared" si="2"/>
        <v>88.53474113646314</v>
      </c>
      <c r="I103" s="116">
        <f t="shared" si="2"/>
        <v>89.261503066531034</v>
      </c>
      <c r="J103" s="116">
        <f t="shared" si="2"/>
        <v>87.871365824110413</v>
      </c>
      <c r="K103" s="116">
        <f t="shared" si="2"/>
        <v>18.536580361824583</v>
      </c>
    </row>
    <row r="104" spans="3:11" x14ac:dyDescent="0.2">
      <c r="C104" s="87" t="s">
        <v>127</v>
      </c>
      <c r="D104" s="47" t="str">
        <f t="shared" si="2"/>
        <v xml:space="preserve"> </v>
      </c>
      <c r="E104" s="47" t="str">
        <f t="shared" si="2"/>
        <v xml:space="preserve"> </v>
      </c>
      <c r="F104" s="47" t="str">
        <f t="shared" si="2"/>
        <v xml:space="preserve"> </v>
      </c>
      <c r="G104" s="47" t="str">
        <f t="shared" si="2"/>
        <v xml:space="preserve"> </v>
      </c>
      <c r="H104" s="47" t="str">
        <f t="shared" si="2"/>
        <v xml:space="preserve"> </v>
      </c>
      <c r="I104" s="47" t="str">
        <f t="shared" si="2"/>
        <v xml:space="preserve"> </v>
      </c>
      <c r="J104" s="47" t="str">
        <f t="shared" si="2"/>
        <v xml:space="preserve"> </v>
      </c>
      <c r="K104" s="47" t="str">
        <f t="shared" si="2"/>
        <v xml:space="preserve"> </v>
      </c>
    </row>
    <row r="105" spans="3:11" x14ac:dyDescent="0.2">
      <c r="C105" s="88" t="s">
        <v>128</v>
      </c>
      <c r="D105" s="116">
        <f t="shared" si="2"/>
        <v>95.878571599374411</v>
      </c>
      <c r="E105" s="116">
        <f t="shared" si="2"/>
        <v>96.808216720063683</v>
      </c>
      <c r="F105" s="116">
        <f t="shared" si="2"/>
        <v>79.554322943175762</v>
      </c>
      <c r="G105" s="116">
        <f t="shared" si="2"/>
        <v>93.956599999551045</v>
      </c>
      <c r="H105" s="116">
        <f t="shared" si="2"/>
        <v>94.585162915173271</v>
      </c>
      <c r="I105" s="116">
        <f t="shared" si="2"/>
        <v>73.466151224961166</v>
      </c>
      <c r="J105" s="116">
        <f t="shared" si="2"/>
        <v>97.441317379159443</v>
      </c>
      <c r="K105" s="116">
        <f t="shared" si="2"/>
        <v>24.936144967138787</v>
      </c>
    </row>
    <row r="106" spans="3:11" x14ac:dyDescent="0.2">
      <c r="C106" s="87" t="s">
        <v>129</v>
      </c>
      <c r="D106" s="47">
        <f t="shared" si="2"/>
        <v>93.69001311397534</v>
      </c>
      <c r="E106" s="47">
        <f t="shared" si="2"/>
        <v>97.995492117382526</v>
      </c>
      <c r="F106" s="47">
        <f t="shared" si="2"/>
        <v>77.395412264903101</v>
      </c>
      <c r="G106" s="47">
        <f t="shared" si="2"/>
        <v>93.743264033785749</v>
      </c>
      <c r="H106" s="47">
        <f t="shared" si="2"/>
        <v>89.63327819097384</v>
      </c>
      <c r="I106" s="47">
        <f t="shared" si="2"/>
        <v>90.118110093416703</v>
      </c>
      <c r="J106" s="47">
        <f t="shared" si="2"/>
        <v>97.547522380030287</v>
      </c>
      <c r="K106" s="47">
        <f t="shared" si="2"/>
        <v>18.008454287197999</v>
      </c>
    </row>
    <row r="107" spans="3:11" x14ac:dyDescent="0.2">
      <c r="C107" s="88" t="s">
        <v>130</v>
      </c>
      <c r="D107" s="116" t="str">
        <f t="shared" si="2"/>
        <v xml:space="preserve"> </v>
      </c>
      <c r="E107" s="116" t="str">
        <f t="shared" si="2"/>
        <v xml:space="preserve"> </v>
      </c>
      <c r="F107" s="116" t="str">
        <f t="shared" si="2"/>
        <v xml:space="preserve"> </v>
      </c>
      <c r="G107" s="116" t="str">
        <f t="shared" si="2"/>
        <v xml:space="preserve"> </v>
      </c>
      <c r="H107" s="116" t="str">
        <f t="shared" si="2"/>
        <v xml:space="preserve"> </v>
      </c>
      <c r="I107" s="116" t="str">
        <f t="shared" si="2"/>
        <v xml:space="preserve"> </v>
      </c>
      <c r="J107" s="116" t="str">
        <f t="shared" si="2"/>
        <v xml:space="preserve"> </v>
      </c>
      <c r="K107" s="116" t="str">
        <f t="shared" si="2"/>
        <v xml:space="preserve"> </v>
      </c>
    </row>
    <row r="108" spans="3:11" x14ac:dyDescent="0.2">
      <c r="C108" s="87" t="s">
        <v>131</v>
      </c>
      <c r="D108" s="47">
        <f t="shared" si="2"/>
        <v>92.908097776378128</v>
      </c>
      <c r="E108" s="47">
        <f t="shared" si="2"/>
        <v>85.265129012009993</v>
      </c>
      <c r="F108" s="47">
        <f t="shared" si="2"/>
        <v>82.945586928841593</v>
      </c>
      <c r="G108" s="47">
        <f t="shared" si="2"/>
        <v>91.435903406896273</v>
      </c>
      <c r="H108" s="47">
        <f t="shared" si="2"/>
        <v>91.573982253538261</v>
      </c>
      <c r="I108" s="47">
        <f t="shared" si="2"/>
        <v>90.580232729139411</v>
      </c>
      <c r="J108" s="47">
        <f t="shared" si="2"/>
        <v>95.127777699280273</v>
      </c>
      <c r="K108" s="47">
        <f t="shared" si="2"/>
        <v>30.822921488459926</v>
      </c>
    </row>
    <row r="109" spans="3:11" x14ac:dyDescent="0.2">
      <c r="C109" s="88" t="s">
        <v>132</v>
      </c>
      <c r="D109" s="116">
        <f t="shared" si="2"/>
        <v>92.020120463558214</v>
      </c>
      <c r="E109" s="116">
        <f t="shared" si="2"/>
        <v>85.693825596743693</v>
      </c>
      <c r="F109" s="116">
        <f t="shared" si="2"/>
        <v>46.42354853236759</v>
      </c>
      <c r="G109" s="116">
        <f t="shared" si="2"/>
        <v>76.691353032339123</v>
      </c>
      <c r="H109" s="116">
        <f t="shared" si="2"/>
        <v>88.475812327775927</v>
      </c>
      <c r="I109" s="116">
        <f t="shared" si="2"/>
        <v>84.26340596947685</v>
      </c>
      <c r="J109" s="116">
        <f t="shared" si="2"/>
        <v>88.02214225790182</v>
      </c>
      <c r="K109" s="116">
        <f t="shared" si="2"/>
        <v>17.430761437514438</v>
      </c>
    </row>
    <row r="110" spans="3:11" x14ac:dyDescent="0.2">
      <c r="C110" s="87" t="s">
        <v>133</v>
      </c>
      <c r="D110" s="47">
        <f t="shared" ref="D110:K119" si="3">+IFERROR(IF(D68&gt;0,+((D68/D25)*100)," "),"")</f>
        <v>99.219949387563403</v>
      </c>
      <c r="E110" s="47">
        <f t="shared" si="3"/>
        <v>94.34180566386074</v>
      </c>
      <c r="F110" s="47">
        <f t="shared" si="3"/>
        <v>77.598283178809353</v>
      </c>
      <c r="G110" s="47">
        <f t="shared" si="3"/>
        <v>86.094939198268278</v>
      </c>
      <c r="H110" s="47">
        <f t="shared" si="3"/>
        <v>95.015054210637274</v>
      </c>
      <c r="I110" s="47">
        <f t="shared" si="3"/>
        <v>92.982613234267674</v>
      </c>
      <c r="J110" s="47">
        <f t="shared" si="3"/>
        <v>98.845557241919863</v>
      </c>
      <c r="K110" s="47">
        <f t="shared" si="3"/>
        <v>49.743976712795963</v>
      </c>
    </row>
    <row r="111" spans="3:11" x14ac:dyDescent="0.2">
      <c r="C111" s="88" t="s">
        <v>134</v>
      </c>
      <c r="D111" s="116">
        <f t="shared" si="3"/>
        <v>90.332515401807967</v>
      </c>
      <c r="E111" s="116">
        <f t="shared" si="3"/>
        <v>84.085444668298521</v>
      </c>
      <c r="F111" s="116">
        <f t="shared" si="3"/>
        <v>83.37656985352983</v>
      </c>
      <c r="G111" s="116">
        <f t="shared" si="3"/>
        <v>88.542725422514295</v>
      </c>
      <c r="H111" s="116">
        <f t="shared" si="3"/>
        <v>86.404420830059379</v>
      </c>
      <c r="I111" s="116">
        <f t="shared" si="3"/>
        <v>75.437688381654311</v>
      </c>
      <c r="J111" s="116">
        <f t="shared" si="3"/>
        <v>92.536166781453915</v>
      </c>
      <c r="K111" s="116">
        <f t="shared" si="3"/>
        <v>9.2836596596020708</v>
      </c>
    </row>
    <row r="112" spans="3:11" x14ac:dyDescent="0.2">
      <c r="C112" s="87" t="s">
        <v>135</v>
      </c>
      <c r="D112" s="47" t="str">
        <f t="shared" si="3"/>
        <v xml:space="preserve"> </v>
      </c>
      <c r="E112" s="47" t="str">
        <f t="shared" si="3"/>
        <v xml:space="preserve"> </v>
      </c>
      <c r="F112" s="47" t="str">
        <f t="shared" si="3"/>
        <v xml:space="preserve"> </v>
      </c>
      <c r="G112" s="47" t="str">
        <f t="shared" si="3"/>
        <v xml:space="preserve"> </v>
      </c>
      <c r="H112" s="47" t="str">
        <f t="shared" si="3"/>
        <v xml:space="preserve"> </v>
      </c>
      <c r="I112" s="47">
        <f t="shared" si="3"/>
        <v>82.8888771230868</v>
      </c>
      <c r="J112" s="47">
        <f t="shared" si="3"/>
        <v>98.884435429256584</v>
      </c>
      <c r="K112" s="47">
        <f t="shared" si="3"/>
        <v>10.28158603834637</v>
      </c>
    </row>
    <row r="113" spans="3:11" x14ac:dyDescent="0.2">
      <c r="C113" s="88" t="s">
        <v>136</v>
      </c>
      <c r="D113" s="116">
        <f t="shared" si="3"/>
        <v>90.59840826074111</v>
      </c>
      <c r="E113" s="116">
        <f t="shared" si="3"/>
        <v>95.82223545390174</v>
      </c>
      <c r="F113" s="116">
        <f t="shared" si="3"/>
        <v>84.161564745402274</v>
      </c>
      <c r="G113" s="116">
        <f t="shared" si="3"/>
        <v>93.560122451985052</v>
      </c>
      <c r="H113" s="116">
        <f t="shared" si="3"/>
        <v>85.963465528035101</v>
      </c>
      <c r="I113" s="116">
        <f t="shared" si="3"/>
        <v>2.7779151254255439</v>
      </c>
      <c r="J113" s="116">
        <f t="shared" si="3"/>
        <v>86.041566397993037</v>
      </c>
      <c r="K113" s="116" t="str">
        <f t="shared" si="3"/>
        <v xml:space="preserve"> </v>
      </c>
    </row>
    <row r="114" spans="3:11" x14ac:dyDescent="0.2">
      <c r="C114" s="87" t="s">
        <v>137</v>
      </c>
      <c r="D114" s="47">
        <f t="shared" si="3"/>
        <v>89.376221353030701</v>
      </c>
      <c r="E114" s="47">
        <f t="shared" si="3"/>
        <v>89.442197609958086</v>
      </c>
      <c r="F114" s="47">
        <f t="shared" si="3"/>
        <v>67.734145169898795</v>
      </c>
      <c r="G114" s="47">
        <f t="shared" si="3"/>
        <v>53.297953655556498</v>
      </c>
      <c r="H114" s="47">
        <f t="shared" si="3"/>
        <v>39.395758096487839</v>
      </c>
      <c r="I114" s="47">
        <f t="shared" si="3"/>
        <v>90.656098642358756</v>
      </c>
      <c r="J114" s="47">
        <f t="shared" si="3"/>
        <v>77.093255728859944</v>
      </c>
      <c r="K114" s="47">
        <f t="shared" si="3"/>
        <v>42.64134657100405</v>
      </c>
    </row>
    <row r="115" spans="3:11" x14ac:dyDescent="0.2">
      <c r="C115" s="88" t="s">
        <v>138</v>
      </c>
      <c r="D115" s="116" t="str">
        <f t="shared" si="3"/>
        <v xml:space="preserve"> </v>
      </c>
      <c r="E115" s="116" t="str">
        <f t="shared" si="3"/>
        <v xml:space="preserve"> </v>
      </c>
      <c r="F115" s="116" t="str">
        <f t="shared" si="3"/>
        <v xml:space="preserve"> </v>
      </c>
      <c r="G115" s="116" t="str">
        <f t="shared" si="3"/>
        <v xml:space="preserve"> </v>
      </c>
      <c r="H115" s="116" t="str">
        <f t="shared" si="3"/>
        <v xml:space="preserve"> </v>
      </c>
      <c r="I115" s="116" t="str">
        <f t="shared" si="3"/>
        <v xml:space="preserve"> </v>
      </c>
      <c r="J115" s="116" t="str">
        <f t="shared" si="3"/>
        <v xml:space="preserve"> </v>
      </c>
      <c r="K115" s="116" t="str">
        <f t="shared" si="3"/>
        <v xml:space="preserve"> </v>
      </c>
    </row>
    <row r="116" spans="3:11" x14ac:dyDescent="0.2">
      <c r="C116" s="87" t="s">
        <v>160</v>
      </c>
      <c r="D116" s="47">
        <f t="shared" si="3"/>
        <v>98.848171235343656</v>
      </c>
      <c r="E116" s="47">
        <f t="shared" si="3"/>
        <v>98.778403110982438</v>
      </c>
      <c r="F116" s="47">
        <f t="shared" si="3"/>
        <v>99.881006839881508</v>
      </c>
      <c r="G116" s="47">
        <f t="shared" si="3"/>
        <v>99.179774109076234</v>
      </c>
      <c r="H116" s="47">
        <f t="shared" si="3"/>
        <v>92.813998018561179</v>
      </c>
      <c r="I116" s="47">
        <f t="shared" si="3"/>
        <v>88.912149402371483</v>
      </c>
      <c r="J116" s="47">
        <f t="shared" si="3"/>
        <v>94.872087580593544</v>
      </c>
      <c r="K116" s="47">
        <f t="shared" si="3"/>
        <v>66.835355231612226</v>
      </c>
    </row>
    <row r="117" spans="3:11" x14ac:dyDescent="0.2">
      <c r="C117" s="88" t="s">
        <v>161</v>
      </c>
      <c r="D117" s="116">
        <f t="shared" si="3"/>
        <v>93.388312483165791</v>
      </c>
      <c r="E117" s="116">
        <f t="shared" si="3"/>
        <v>92.429938866338603</v>
      </c>
      <c r="F117" s="116">
        <f t="shared" si="3"/>
        <v>82.033403593126977</v>
      </c>
      <c r="G117" s="116">
        <f t="shared" si="3"/>
        <v>86.906737376119423</v>
      </c>
      <c r="H117" s="116">
        <f t="shared" si="3"/>
        <v>72.172310809893531</v>
      </c>
      <c r="I117" s="116">
        <f t="shared" si="3"/>
        <v>72.02327405229056</v>
      </c>
      <c r="J117" s="116">
        <f t="shared" si="3"/>
        <v>95.933951981793598</v>
      </c>
      <c r="K117" s="116">
        <f t="shared" si="3"/>
        <v>15.798445912128317</v>
      </c>
    </row>
    <row r="118" spans="3:11" x14ac:dyDescent="0.2">
      <c r="C118" s="87" t="s">
        <v>140</v>
      </c>
      <c r="D118" s="47">
        <f t="shared" si="3"/>
        <v>90.210306412490638</v>
      </c>
      <c r="E118" s="47">
        <f t="shared" si="3"/>
        <v>94.31635181630206</v>
      </c>
      <c r="F118" s="47">
        <f t="shared" si="3"/>
        <v>91.310543584554893</v>
      </c>
      <c r="G118" s="47">
        <f t="shared" si="3"/>
        <v>90.47231173413418</v>
      </c>
      <c r="H118" s="47">
        <f t="shared" si="3"/>
        <v>97.25297794095961</v>
      </c>
      <c r="I118" s="47">
        <f t="shared" si="3"/>
        <v>99.344540914126696</v>
      </c>
      <c r="J118" s="47">
        <f t="shared" si="3"/>
        <v>98.652860060968393</v>
      </c>
      <c r="K118" s="47">
        <f t="shared" si="3"/>
        <v>58.94808673084566</v>
      </c>
    </row>
    <row r="119" spans="3:11" x14ac:dyDescent="0.2">
      <c r="C119" s="88" t="s">
        <v>141</v>
      </c>
      <c r="D119" s="116">
        <f t="shared" si="3"/>
        <v>83.734973784918225</v>
      </c>
      <c r="E119" s="116">
        <f t="shared" si="3"/>
        <v>70.345885157399167</v>
      </c>
      <c r="F119" s="116">
        <f t="shared" si="3"/>
        <v>71.662303836358447</v>
      </c>
      <c r="G119" s="116">
        <f t="shared" si="3"/>
        <v>53.975553973375355</v>
      </c>
      <c r="H119" s="116">
        <f t="shared" si="3"/>
        <v>51.251282002749974</v>
      </c>
      <c r="I119" s="116">
        <f t="shared" si="3"/>
        <v>97.520749363380276</v>
      </c>
      <c r="J119" s="116">
        <f t="shared" si="3"/>
        <v>93.568455066187738</v>
      </c>
      <c r="K119" s="116">
        <f t="shared" si="3"/>
        <v>4.9280094260675789</v>
      </c>
    </row>
    <row r="120" spans="3:11" x14ac:dyDescent="0.2">
      <c r="C120" s="87" t="s">
        <v>142</v>
      </c>
      <c r="D120" s="47">
        <f t="shared" ref="D120:K129" si="4">+IFERROR(IF(D78&gt;0,+((D78/D35)*100)," "),"")</f>
        <v>95.657303628297612</v>
      </c>
      <c r="E120" s="47">
        <f t="shared" si="4"/>
        <v>88.708437031656317</v>
      </c>
      <c r="F120" s="47">
        <f t="shared" si="4"/>
        <v>39.06570866226847</v>
      </c>
      <c r="G120" s="47">
        <f t="shared" si="4"/>
        <v>65.244530458430958</v>
      </c>
      <c r="H120" s="47">
        <f t="shared" si="4"/>
        <v>91.775038341721455</v>
      </c>
      <c r="I120" s="47">
        <f t="shared" si="4"/>
        <v>89.624090778219283</v>
      </c>
      <c r="J120" s="47">
        <f t="shared" si="4"/>
        <v>94.948251496743566</v>
      </c>
      <c r="K120" s="47">
        <f t="shared" si="4"/>
        <v>20.11420887008676</v>
      </c>
    </row>
    <row r="121" spans="3:11" x14ac:dyDescent="0.2">
      <c r="C121" s="88" t="s">
        <v>143</v>
      </c>
      <c r="D121" s="116">
        <f t="shared" si="4"/>
        <v>79.592656028368808</v>
      </c>
      <c r="E121" s="116" t="str">
        <f t="shared" si="4"/>
        <v xml:space="preserve"> </v>
      </c>
      <c r="F121" s="116">
        <f t="shared" si="4"/>
        <v>74.253576611111114</v>
      </c>
      <c r="G121" s="116" t="str">
        <f t="shared" si="4"/>
        <v xml:space="preserve"> </v>
      </c>
      <c r="H121" s="116">
        <f t="shared" si="4"/>
        <v>97.497474999999994</v>
      </c>
      <c r="I121" s="116" t="str">
        <f t="shared" si="4"/>
        <v xml:space="preserve"> </v>
      </c>
      <c r="J121" s="116" t="str">
        <f t="shared" si="4"/>
        <v xml:space="preserve"> </v>
      </c>
      <c r="K121" s="116" t="str">
        <f t="shared" si="4"/>
        <v xml:space="preserve"> </v>
      </c>
    </row>
    <row r="122" spans="3:11" x14ac:dyDescent="0.2">
      <c r="C122" s="87" t="s">
        <v>144</v>
      </c>
      <c r="D122" s="47" t="str">
        <f t="shared" si="4"/>
        <v xml:space="preserve"> </v>
      </c>
      <c r="E122" s="47" t="str">
        <f t="shared" si="4"/>
        <v xml:space="preserve"> </v>
      </c>
      <c r="F122" s="47" t="str">
        <f t="shared" si="4"/>
        <v xml:space="preserve"> </v>
      </c>
      <c r="G122" s="47" t="str">
        <f t="shared" si="4"/>
        <v xml:space="preserve"> </v>
      </c>
      <c r="H122" s="47" t="str">
        <f t="shared" si="4"/>
        <v xml:space="preserve"> </v>
      </c>
      <c r="I122" s="47" t="str">
        <f t="shared" si="4"/>
        <v xml:space="preserve"> </v>
      </c>
      <c r="J122" s="47" t="str">
        <f t="shared" si="4"/>
        <v xml:space="preserve"> </v>
      </c>
      <c r="K122" s="47" t="str">
        <f t="shared" si="4"/>
        <v xml:space="preserve"> </v>
      </c>
    </row>
    <row r="123" spans="3:11" x14ac:dyDescent="0.2">
      <c r="C123" s="88" t="s">
        <v>145</v>
      </c>
      <c r="D123" s="116">
        <f t="shared" si="4"/>
        <v>97.128391193043313</v>
      </c>
      <c r="E123" s="116">
        <f t="shared" si="4"/>
        <v>94.030767118176868</v>
      </c>
      <c r="F123" s="116">
        <f t="shared" si="4"/>
        <v>94.317640959224221</v>
      </c>
      <c r="G123" s="116">
        <f t="shared" si="4"/>
        <v>78.193138784984328</v>
      </c>
      <c r="H123" s="116">
        <f t="shared" si="4"/>
        <v>73.31551943669848</v>
      </c>
      <c r="I123" s="116">
        <f t="shared" si="4"/>
        <v>75.214019097539747</v>
      </c>
      <c r="J123" s="116">
        <f t="shared" si="4"/>
        <v>96.697170712972977</v>
      </c>
      <c r="K123" s="116">
        <f t="shared" si="4"/>
        <v>39.785796084577171</v>
      </c>
    </row>
    <row r="124" spans="3:11" x14ac:dyDescent="0.2">
      <c r="C124" s="87" t="s">
        <v>146</v>
      </c>
      <c r="D124" s="47">
        <f t="shared" si="4"/>
        <v>97.605079089000782</v>
      </c>
      <c r="E124" s="47">
        <f t="shared" si="4"/>
        <v>89.817128667305155</v>
      </c>
      <c r="F124" s="47">
        <f t="shared" si="4"/>
        <v>96.353558543977528</v>
      </c>
      <c r="G124" s="47">
        <f t="shared" si="4"/>
        <v>96.700411780280689</v>
      </c>
      <c r="H124" s="47">
        <f t="shared" si="4"/>
        <v>95.557087629891001</v>
      </c>
      <c r="I124" s="47">
        <f t="shared" si="4"/>
        <v>97.037856240574911</v>
      </c>
      <c r="J124" s="47">
        <f t="shared" si="4"/>
        <v>97.064149472327983</v>
      </c>
      <c r="K124" s="47">
        <f t="shared" si="4"/>
        <v>81.178418582201076</v>
      </c>
    </row>
    <row r="125" spans="3:11" x14ac:dyDescent="0.2">
      <c r="C125" s="88" t="s">
        <v>162</v>
      </c>
      <c r="D125" s="116">
        <f t="shared" si="4"/>
        <v>93.458388301027611</v>
      </c>
      <c r="E125" s="116">
        <f t="shared" si="4"/>
        <v>90.946258935796351</v>
      </c>
      <c r="F125" s="116">
        <f t="shared" si="4"/>
        <v>84.96645995759458</v>
      </c>
      <c r="G125" s="116">
        <f t="shared" si="4"/>
        <v>88.387913457509981</v>
      </c>
      <c r="H125" s="116">
        <f t="shared" si="4"/>
        <v>91.176430873767771</v>
      </c>
      <c r="I125" s="116">
        <f t="shared" si="4"/>
        <v>90.839738612211832</v>
      </c>
      <c r="J125" s="116">
        <f t="shared" si="4"/>
        <v>94.204603588567508</v>
      </c>
      <c r="K125" s="116">
        <f t="shared" si="4"/>
        <v>24.198171198172869</v>
      </c>
    </row>
    <row r="126" spans="3:11" x14ac:dyDescent="0.2">
      <c r="C126" s="87" t="s">
        <v>148</v>
      </c>
      <c r="D126" s="47" t="str">
        <f t="shared" si="4"/>
        <v xml:space="preserve"> </v>
      </c>
      <c r="E126" s="47" t="str">
        <f t="shared" si="4"/>
        <v xml:space="preserve"> </v>
      </c>
      <c r="F126" s="47" t="str">
        <f t="shared" si="4"/>
        <v xml:space="preserve"> </v>
      </c>
      <c r="G126" s="47" t="str">
        <f t="shared" si="4"/>
        <v xml:space="preserve"> </v>
      </c>
      <c r="H126" s="47" t="str">
        <f t="shared" si="4"/>
        <v xml:space="preserve"> </v>
      </c>
      <c r="I126" s="47" t="str">
        <f t="shared" si="4"/>
        <v xml:space="preserve"> </v>
      </c>
      <c r="J126" s="47" t="str">
        <f t="shared" si="4"/>
        <v xml:space="preserve"> </v>
      </c>
      <c r="K126" s="47" t="str">
        <f t="shared" si="4"/>
        <v xml:space="preserve"> </v>
      </c>
    </row>
    <row r="127" spans="3:11" x14ac:dyDescent="0.2">
      <c r="C127" s="88" t="s">
        <v>149</v>
      </c>
      <c r="D127" s="116">
        <f t="shared" si="4"/>
        <v>96.036792922505214</v>
      </c>
      <c r="E127" s="116">
        <f t="shared" si="4"/>
        <v>97.650148072383359</v>
      </c>
      <c r="F127" s="116">
        <f t="shared" si="4"/>
        <v>86.655041656061442</v>
      </c>
      <c r="G127" s="116">
        <f t="shared" si="4"/>
        <v>84.535784165888998</v>
      </c>
      <c r="H127" s="116">
        <f t="shared" si="4"/>
        <v>96.675462015140894</v>
      </c>
      <c r="I127" s="116">
        <f t="shared" si="4"/>
        <v>95.603801996314104</v>
      </c>
      <c r="J127" s="116">
        <f t="shared" si="4"/>
        <v>95.703217456023339</v>
      </c>
      <c r="K127" s="116">
        <f t="shared" si="4"/>
        <v>56.151955545284316</v>
      </c>
    </row>
    <row r="128" spans="3:11" x14ac:dyDescent="0.2">
      <c r="C128" s="87" t="s">
        <v>163</v>
      </c>
      <c r="D128" s="47">
        <f t="shared" si="4"/>
        <v>87.962682717175952</v>
      </c>
      <c r="E128" s="47">
        <f t="shared" si="4"/>
        <v>84.70638667173975</v>
      </c>
      <c r="F128" s="47">
        <f t="shared" si="4"/>
        <v>86.564362015604573</v>
      </c>
      <c r="G128" s="47">
        <f t="shared" si="4"/>
        <v>91.110476883921436</v>
      </c>
      <c r="H128" s="47">
        <f t="shared" si="4"/>
        <v>87.675642078486703</v>
      </c>
      <c r="I128" s="47">
        <f t="shared" si="4"/>
        <v>90.005441130921454</v>
      </c>
      <c r="J128" s="47">
        <f t="shared" si="4"/>
        <v>90.53166442724509</v>
      </c>
      <c r="K128" s="47">
        <f t="shared" si="4"/>
        <v>10.331221224008544</v>
      </c>
    </row>
    <row r="129" spans="1:11" x14ac:dyDescent="0.2">
      <c r="C129" s="88" t="s">
        <v>150</v>
      </c>
      <c r="D129" s="116">
        <f t="shared" si="4"/>
        <v>95.019714123579647</v>
      </c>
      <c r="E129" s="116">
        <f t="shared" si="4"/>
        <v>94.155270061440746</v>
      </c>
      <c r="F129" s="116">
        <f t="shared" si="4"/>
        <v>83.814110448206321</v>
      </c>
      <c r="G129" s="116">
        <f t="shared" si="4"/>
        <v>88.9737544060131</v>
      </c>
      <c r="H129" s="116">
        <f t="shared" si="4"/>
        <v>90.945392160037599</v>
      </c>
      <c r="I129" s="116">
        <f t="shared" si="4"/>
        <v>88.62195820978036</v>
      </c>
      <c r="J129" s="116">
        <f t="shared" si="4"/>
        <v>93.979900406991717</v>
      </c>
      <c r="K129" s="116">
        <f t="shared" si="4"/>
        <v>25.587215284024261</v>
      </c>
    </row>
    <row r="130" spans="1:11" x14ac:dyDescent="0.2">
      <c r="C130" s="87" t="s">
        <v>151</v>
      </c>
      <c r="D130" s="47" t="str">
        <f t="shared" ref="D130:K131" si="5">+IFERROR(IF(D88&gt;0,+((D88/D45)*100)," "),"")</f>
        <v xml:space="preserve"> </v>
      </c>
      <c r="E130" s="47" t="str">
        <f t="shared" si="5"/>
        <v xml:space="preserve"> </v>
      </c>
      <c r="F130" s="47" t="str">
        <f t="shared" si="5"/>
        <v xml:space="preserve"> </v>
      </c>
      <c r="G130" s="47" t="str">
        <f t="shared" si="5"/>
        <v xml:space="preserve"> </v>
      </c>
      <c r="H130" s="47" t="str">
        <f t="shared" si="5"/>
        <v xml:space="preserve"> </v>
      </c>
      <c r="I130" s="47" t="str">
        <f t="shared" si="5"/>
        <v xml:space="preserve"> </v>
      </c>
      <c r="J130" s="47" t="str">
        <f t="shared" si="5"/>
        <v xml:space="preserve"> </v>
      </c>
      <c r="K130" s="47" t="str">
        <f t="shared" si="5"/>
        <v xml:space="preserve"> </v>
      </c>
    </row>
    <row r="131" spans="1:11" x14ac:dyDescent="0.2">
      <c r="C131" s="91" t="s">
        <v>179</v>
      </c>
      <c r="D131" s="64">
        <f t="shared" si="5"/>
        <v>93.474930703835795</v>
      </c>
      <c r="E131" s="64">
        <f t="shared" si="5"/>
        <v>94.129827370826362</v>
      </c>
      <c r="F131" s="64">
        <f t="shared" si="5"/>
        <v>79.830139529868021</v>
      </c>
      <c r="G131" s="64">
        <f t="shared" si="5"/>
        <v>89.792376548168988</v>
      </c>
      <c r="H131" s="64">
        <f t="shared" si="5"/>
        <v>89.492278963697046</v>
      </c>
      <c r="I131" s="64">
        <f t="shared" si="5"/>
        <v>90.698786586978869</v>
      </c>
      <c r="J131" s="64">
        <f t="shared" si="5"/>
        <v>96.500703445251162</v>
      </c>
      <c r="K131" s="64">
        <f t="shared" si="5"/>
        <v>31.727235563896834</v>
      </c>
    </row>
    <row r="132" spans="1:11" s="31" customFormat="1" x14ac:dyDescent="0.2">
      <c r="A132" s="5"/>
      <c r="B132" s="5"/>
      <c r="C132" s="72" t="str">
        <f>+'C1 Aprop Resumen 2000-2026'!B20</f>
        <v>* Información con corte a 28 de febrero</v>
      </c>
      <c r="D132" s="47"/>
      <c r="E132" s="47"/>
      <c r="F132" s="47"/>
      <c r="G132" s="47"/>
      <c r="H132" s="47"/>
      <c r="I132" s="47"/>
    </row>
    <row r="133" spans="1:11" x14ac:dyDescent="0.2">
      <c r="C133" s="1" t="s">
        <v>52</v>
      </c>
      <c r="D133" s="11"/>
      <c r="E133" s="11"/>
      <c r="F133" s="11"/>
    </row>
    <row r="134" spans="1:11" x14ac:dyDescent="0.2">
      <c r="D134" s="11"/>
      <c r="E134" s="11"/>
      <c r="F134" s="11"/>
    </row>
    <row r="135" spans="1:11" x14ac:dyDescent="0.2">
      <c r="E135" s="3"/>
      <c r="F135" s="3"/>
    </row>
    <row r="136" spans="1:11" x14ac:dyDescent="0.2">
      <c r="E136" s="3"/>
      <c r="F136" s="3"/>
    </row>
    <row r="137" spans="1:11" x14ac:dyDescent="0.2">
      <c r="E137" s="3"/>
      <c r="F137" s="3"/>
    </row>
    <row r="138" spans="1:11" ht="18" customHeight="1" x14ac:dyDescent="0.2">
      <c r="D138" s="160" t="s">
        <v>197</v>
      </c>
      <c r="E138" s="178"/>
      <c r="F138" s="178"/>
      <c r="G138" s="178"/>
      <c r="H138" s="178"/>
      <c r="I138" s="178"/>
      <c r="J138" s="178"/>
      <c r="K138" s="178"/>
    </row>
    <row r="139" spans="1:11" ht="15.75" customHeight="1" x14ac:dyDescent="0.2">
      <c r="C139" s="2"/>
      <c r="D139" s="2"/>
      <c r="E139" s="2"/>
      <c r="F139" s="2"/>
      <c r="G139" s="2"/>
      <c r="H139" s="2"/>
      <c r="I139" s="2"/>
      <c r="J139" s="2"/>
    </row>
    <row r="140" spans="1:11" x14ac:dyDescent="0.2">
      <c r="C140" s="177" t="s">
        <v>120</v>
      </c>
      <c r="D140" s="153">
        <v>2019</v>
      </c>
      <c r="E140" s="153">
        <v>2020</v>
      </c>
      <c r="F140" s="153">
        <v>2021</v>
      </c>
      <c r="G140" s="153">
        <v>2022</v>
      </c>
      <c r="H140" s="153">
        <v>2023</v>
      </c>
      <c r="I140" s="153">
        <v>2024</v>
      </c>
      <c r="J140" s="153">
        <v>2025</v>
      </c>
      <c r="K140" s="153" t="s">
        <v>36</v>
      </c>
    </row>
    <row r="141" spans="1:11" ht="12" customHeight="1" thickBot="1" x14ac:dyDescent="0.25">
      <c r="C141" s="156"/>
      <c r="D141" s="154"/>
      <c r="E141" s="154"/>
      <c r="F141" s="154"/>
      <c r="G141" s="154"/>
      <c r="H141" s="154"/>
      <c r="I141" s="154"/>
      <c r="J141" s="154"/>
      <c r="K141" s="154"/>
    </row>
    <row r="142" spans="1:11" x14ac:dyDescent="0.2">
      <c r="C142" s="87" t="s">
        <v>123</v>
      </c>
      <c r="D142" s="42">
        <f>7.6464849391*Deflactores!$T$5</f>
        <v>11.569915567653906</v>
      </c>
      <c r="E142" s="42">
        <f>9.07287513388*Deflactores!$U$5</f>
        <v>13.510668393028691</v>
      </c>
      <c r="F142" s="42">
        <f>12.51805175545*Deflactores!$V$5</f>
        <v>17.649096613064</v>
      </c>
      <c r="G142" s="42">
        <f>11.51762701382*Deflactores!$W$5</f>
        <v>14.355203435184691</v>
      </c>
      <c r="H142" s="42">
        <f>9.51136611451*Deflactores!$X$5</f>
        <v>10.847971958626264</v>
      </c>
      <c r="I142" s="42">
        <f>13.15051443721*Deflactores!$Y$5</f>
        <v>14.257147985210676</v>
      </c>
      <c r="J142" s="42">
        <f>25.1339372374*Deflactores!$Z$5</f>
        <v>25.926728826009736</v>
      </c>
      <c r="K142" s="42">
        <f>2.67783165*Deflactores!$AA$5</f>
        <v>2.6778316499999999</v>
      </c>
    </row>
    <row r="143" spans="1:11" x14ac:dyDescent="0.2">
      <c r="C143" s="88" t="s">
        <v>124</v>
      </c>
      <c r="D143" s="50">
        <f>28.804955961*Deflactores!$T$5</f>
        <v>43.584851216353208</v>
      </c>
      <c r="E143" s="50">
        <f>31.792820814*Deflactores!$U$5</f>
        <v>47.343565623749683</v>
      </c>
      <c r="F143" s="50">
        <f>53.650168*Deflactores!$V$5</f>
        <v>75.640923750524635</v>
      </c>
      <c r="G143" s="50">
        <f>74.76395442*Deflactores!$W$5</f>
        <v>93.183411307744294</v>
      </c>
      <c r="H143" s="50">
        <f>82.011565*Deflactores!$X$5</f>
        <v>93.536422285947097</v>
      </c>
      <c r="I143" s="50">
        <f>93.368973295*Deflactores!$Y$5</f>
        <v>101.22609848078457</v>
      </c>
      <c r="J143" s="50">
        <f>97.483247939*Deflactores!$Z$5</f>
        <v>100.55813024917764</v>
      </c>
      <c r="K143" s="50">
        <f>100.1533*Deflactores!$AA$5</f>
        <v>100.1533</v>
      </c>
    </row>
    <row r="144" spans="1:11" x14ac:dyDescent="0.2">
      <c r="C144" s="87" t="s">
        <v>125</v>
      </c>
      <c r="D144" s="42">
        <f>0*Deflactores!$T$5</f>
        <v>0</v>
      </c>
      <c r="E144" s="42">
        <f>0*Deflactores!$U$5</f>
        <v>0</v>
      </c>
      <c r="F144" s="42">
        <f>0*Deflactores!$V$5</f>
        <v>0</v>
      </c>
      <c r="G144" s="42">
        <f>0*Deflactores!$W$5</f>
        <v>0</v>
      </c>
      <c r="H144" s="42">
        <f>0*Deflactores!$X$5</f>
        <v>0</v>
      </c>
      <c r="I144" s="42">
        <f>0*Deflactores!$Y$5</f>
        <v>0</v>
      </c>
      <c r="J144" s="42">
        <f>0*Deflactores!$Z$5</f>
        <v>0</v>
      </c>
      <c r="K144" s="42">
        <f>0*Deflactores!$AA$5</f>
        <v>0</v>
      </c>
    </row>
    <row r="145" spans="3:11" x14ac:dyDescent="0.2">
      <c r="C145" s="88" t="s">
        <v>126</v>
      </c>
      <c r="D145" s="50">
        <f>193.937822103079*Deflactores!$T$5</f>
        <v>293.44780575366053</v>
      </c>
      <c r="E145" s="50">
        <f>184.49187699465*Deflactores!$U$5</f>
        <v>274.73193827767307</v>
      </c>
      <c r="F145" s="50">
        <f>216.6162734016*Deflactores!$V$5</f>
        <v>305.40547458291695</v>
      </c>
      <c r="G145" s="50">
        <f>239.46755125012*Deflactores!$W$5</f>
        <v>298.46472803783331</v>
      </c>
      <c r="H145" s="50">
        <f>265.11573272401*Deflactores!$X$5</f>
        <v>302.37170977924006</v>
      </c>
      <c r="I145" s="50">
        <f>316.17279731337*Deflactores!$Y$5</f>
        <v>342.77916515873505</v>
      </c>
      <c r="J145" s="50">
        <f>324.42803242002*Deflactores!$Z$5</f>
        <v>334.66136008302823</v>
      </c>
      <c r="K145" s="50">
        <f>31.5119306498*Deflactores!$AA$5</f>
        <v>31.5119306498</v>
      </c>
    </row>
    <row r="146" spans="3:11" x14ac:dyDescent="0.2">
      <c r="C146" s="87" t="s">
        <v>127</v>
      </c>
      <c r="D146" s="42">
        <f>0*Deflactores!$T$5</f>
        <v>0</v>
      </c>
      <c r="E146" s="42">
        <f>0*Deflactores!$U$5</f>
        <v>0</v>
      </c>
      <c r="F146" s="42">
        <f>0*Deflactores!$V$5</f>
        <v>0</v>
      </c>
      <c r="G146" s="42">
        <f>0*Deflactores!$W$5</f>
        <v>0</v>
      </c>
      <c r="H146" s="42">
        <f>0*Deflactores!$X$5</f>
        <v>0</v>
      </c>
      <c r="I146" s="42">
        <f>0*Deflactores!$Y$5</f>
        <v>0</v>
      </c>
      <c r="J146" s="42">
        <f>0*Deflactores!$Z$5</f>
        <v>0</v>
      </c>
      <c r="K146" s="42">
        <f>0*Deflactores!$AA$5</f>
        <v>0</v>
      </c>
    </row>
    <row r="147" spans="3:11" x14ac:dyDescent="0.2">
      <c r="C147" s="88" t="s">
        <v>128</v>
      </c>
      <c r="D147" s="50">
        <f>2.85596771840999*Deflactores!$T$5</f>
        <v>4.3213719282938898</v>
      </c>
      <c r="E147" s="50">
        <f>3.22782674068999*Deflactores!$U$5</f>
        <v>4.8066457523220949</v>
      </c>
      <c r="F147" s="50">
        <f>3.82398311638*Deflactores!$V$5</f>
        <v>5.3914018559903329</v>
      </c>
      <c r="G147" s="50">
        <f>4.52224737555*Deflactores!$W$5</f>
        <v>5.6363850802214266</v>
      </c>
      <c r="H147" s="50">
        <f>3.39386203925999*Deflactores!$X$5</f>
        <v>3.8707920387139052</v>
      </c>
      <c r="I147" s="50">
        <f>2.46970990521*Deflactores!$Y$5</f>
        <v>2.6775393287648401</v>
      </c>
      <c r="J147" s="50">
        <f>3.87299725617999*Deflactores!$Z$5</f>
        <v>3.9951619460336403</v>
      </c>
      <c r="K147" s="50">
        <f>0.119904061*Deflactores!$AA$5</f>
        <v>0.11990406100000001</v>
      </c>
    </row>
    <row r="148" spans="3:11" x14ac:dyDescent="0.2">
      <c r="C148" s="87" t="s">
        <v>129</v>
      </c>
      <c r="D148" s="42">
        <f>1967.79075430916*Deflactores!$T$5</f>
        <v>2977.4691330061914</v>
      </c>
      <c r="E148" s="42">
        <f>1759.5993810492*Deflactores!$U$5</f>
        <v>2620.267929529813</v>
      </c>
      <c r="F148" s="42">
        <f>1699.72851822951*Deflactores!$V$5</f>
        <v>2396.4330408805167</v>
      </c>
      <c r="G148" s="42">
        <f>2404.83119930438*Deflactores!$W$5</f>
        <v>2997.3050049173148</v>
      </c>
      <c r="H148" s="42">
        <f>2224.9921064134*Deflactores!$X$5</f>
        <v>2537.6640629694448</v>
      </c>
      <c r="I148" s="42">
        <f>2449.10332959084*Deflactores!$Y$5</f>
        <v>2655.1986819807494</v>
      </c>
      <c r="J148" s="42">
        <f>2520.72401620361*Deflactores!$Z$5</f>
        <v>2600.2343920900862</v>
      </c>
      <c r="K148" s="42">
        <f>210.67179966175*Deflactores!$AA$5</f>
        <v>210.67179966174999</v>
      </c>
    </row>
    <row r="149" spans="3:11" x14ac:dyDescent="0.2">
      <c r="C149" s="88" t="s">
        <v>130</v>
      </c>
      <c r="D149" s="50">
        <f>0*Deflactores!$T$5</f>
        <v>0</v>
      </c>
      <c r="E149" s="50">
        <f>0*Deflactores!$U$5</f>
        <v>0</v>
      </c>
      <c r="F149" s="50">
        <f>0*Deflactores!$V$5</f>
        <v>0</v>
      </c>
      <c r="G149" s="50">
        <f>0*Deflactores!$W$5</f>
        <v>0</v>
      </c>
      <c r="H149" s="50">
        <f>0*Deflactores!$X$5</f>
        <v>0</v>
      </c>
      <c r="I149" s="50">
        <f>0*Deflactores!$Y$5</f>
        <v>0</v>
      </c>
      <c r="J149" s="50">
        <f>0*Deflactores!$Z$5</f>
        <v>0</v>
      </c>
      <c r="K149" s="50">
        <f>0*Deflactores!$AA$5</f>
        <v>0</v>
      </c>
    </row>
    <row r="150" spans="3:11" x14ac:dyDescent="0.2">
      <c r="C150" s="87" t="s">
        <v>131</v>
      </c>
      <c r="D150" s="42">
        <f>12.9941842986999*Deflactores!$T$5</f>
        <v>19.661532900918434</v>
      </c>
      <c r="E150" s="42">
        <f>12.44949422983*Deflactores!$U$5</f>
        <v>18.538884942002543</v>
      </c>
      <c r="F150" s="42">
        <f>13.79958564559*Deflactores!$V$5</f>
        <v>19.455920540768997</v>
      </c>
      <c r="G150" s="42">
        <f>15.95328194999*Deflactores!$W$5</f>
        <v>19.883662457220932</v>
      </c>
      <c r="H150" s="42">
        <f>19.30180503897*Deflactores!$X$5</f>
        <v>22.014234053527929</v>
      </c>
      <c r="I150" s="42">
        <f>23.83921027867*Deflactores!$Y$5</f>
        <v>25.84531201546379</v>
      </c>
      <c r="J150" s="42">
        <f>27.3494436025999*Deflactores!$Z$5</f>
        <v>28.212118186231532</v>
      </c>
      <c r="K150" s="42">
        <f>1.55332459313*Deflactores!$AA$5</f>
        <v>1.5533245931299999</v>
      </c>
    </row>
    <row r="151" spans="3:11" x14ac:dyDescent="0.2">
      <c r="C151" s="88" t="s">
        <v>132</v>
      </c>
      <c r="D151" s="50">
        <f>55.39538034006*Deflactores!$T$5</f>
        <v>83.818889133652874</v>
      </c>
      <c r="E151" s="50">
        <f>54.1587955223*Deflactores!$U$5</f>
        <v>80.649354925567323</v>
      </c>
      <c r="F151" s="50">
        <f>62.1693219265699*Deflactores!$V$5</f>
        <v>87.652007715418407</v>
      </c>
      <c r="G151" s="50">
        <f>105.374940198*Deflactores!$W$5</f>
        <v>131.33596891943523</v>
      </c>
      <c r="H151" s="50">
        <f>128.051898649389*Deflactores!$X$5</f>
        <v>146.04667605826745</v>
      </c>
      <c r="I151" s="50">
        <f>139.95432156124*Deflactores!$Y$5</f>
        <v>151.73166671125995</v>
      </c>
      <c r="J151" s="50">
        <f>153.82060118174*Deflactores!$Z$5</f>
        <v>158.6725142592627</v>
      </c>
      <c r="K151" s="50">
        <f>16.19563237977*Deflactores!$AA$5</f>
        <v>16.19563237977</v>
      </c>
    </row>
    <row r="152" spans="3:11" x14ac:dyDescent="0.2">
      <c r="C152" s="87" t="s">
        <v>133</v>
      </c>
      <c r="D152" s="42">
        <f>9.66461261669*Deflactores!$T$5</f>
        <v>14.623549625711705</v>
      </c>
      <c r="E152" s="42">
        <f>10.24907646836*Deflactores!$U$5</f>
        <v>15.262182214072674</v>
      </c>
      <c r="F152" s="42">
        <f>14.29359432778*Deflactores!$V$5</f>
        <v>20.152419255584409</v>
      </c>
      <c r="G152" s="42">
        <f>14.84230009392*Deflactores!$W$5</f>
        <v>18.498970060293381</v>
      </c>
      <c r="H152" s="42">
        <f>17.56368072218*Deflactores!$X$5</f>
        <v>20.031855957454006</v>
      </c>
      <c r="I152" s="42">
        <f>18.63997552246*Deflactores!$Y$5</f>
        <v>20.208554633608596</v>
      </c>
      <c r="J152" s="42">
        <f>20.52119907792*Deflactores!$Z$5</f>
        <v>21.168492570519003</v>
      </c>
      <c r="K152" s="42">
        <f>2.79885917723999*Deflactores!$AA$5</f>
        <v>2.79885917723999</v>
      </c>
    </row>
    <row r="153" spans="3:11" x14ac:dyDescent="0.2">
      <c r="C153" s="88" t="s">
        <v>134</v>
      </c>
      <c r="D153" s="50">
        <f>193.02027147867*Deflactores!$T$5</f>
        <v>292.05945759918035</v>
      </c>
      <c r="E153" s="50">
        <f>206.9281353998*Deflactores!$U$5</f>
        <v>308.1423889693549</v>
      </c>
      <c r="F153" s="50">
        <f>222.65485905494*Deflactores!$V$5</f>
        <v>313.91922605831405</v>
      </c>
      <c r="G153" s="50">
        <f>249.83784078031*Deflactores!$W$5</f>
        <v>311.38992657994766</v>
      </c>
      <c r="H153" s="50">
        <f>281.94875096679*Deflactores!$X$5</f>
        <v>321.57022528987221</v>
      </c>
      <c r="I153" s="50">
        <f>308.18506763113*Deflactores!$Y$5</f>
        <v>334.11925723731412</v>
      </c>
      <c r="J153" s="50">
        <f>329.21709806982*Deflactores!$Z$5</f>
        <v>339.60148566938335</v>
      </c>
      <c r="K153" s="50">
        <f>38.14557462092*Deflactores!$AA$5</f>
        <v>38.145574620920002</v>
      </c>
    </row>
    <row r="154" spans="3:11" x14ac:dyDescent="0.2">
      <c r="C154" s="87" t="s">
        <v>135</v>
      </c>
      <c r="D154" s="42">
        <f>0*Deflactores!$T$5</f>
        <v>0</v>
      </c>
      <c r="E154" s="42">
        <f>0*Deflactores!$U$5</f>
        <v>0</v>
      </c>
      <c r="F154" s="42">
        <f>0*Deflactores!$V$5</f>
        <v>0</v>
      </c>
      <c r="G154" s="42">
        <f>0*Deflactores!$W$5</f>
        <v>0</v>
      </c>
      <c r="H154" s="42">
        <f>0*Deflactores!$X$5</f>
        <v>0</v>
      </c>
      <c r="I154" s="42">
        <f>873.98480035634*Deflactores!$Y$5</f>
        <v>947.53180151245567</v>
      </c>
      <c r="J154" s="42">
        <f>1100.7778398429*Deflactores!$Z$5</f>
        <v>1135.4993163912245</v>
      </c>
      <c r="K154" s="42">
        <f>112.37152553754*Deflactores!$AA$5</f>
        <v>112.37152553753999</v>
      </c>
    </row>
    <row r="155" spans="3:11" x14ac:dyDescent="0.2">
      <c r="C155" s="88" t="s">
        <v>136</v>
      </c>
      <c r="D155" s="50">
        <f>569.14941813913*Deflactores!$T$5</f>
        <v>861.18141416546712</v>
      </c>
      <c r="E155" s="50">
        <f>593.14604010114*Deflactores!$U$5</f>
        <v>883.27011429038726</v>
      </c>
      <c r="F155" s="50">
        <f>611.53728016372*Deflactores!$V$5</f>
        <v>862.20130344171832</v>
      </c>
      <c r="G155" s="50">
        <f>694.87629841027*Deflactores!$W$5</f>
        <v>866.0716842105079</v>
      </c>
      <c r="H155" s="50">
        <f>711.81685197018*Deflactores!$X$5</f>
        <v>811.84649574893785</v>
      </c>
      <c r="I155" s="50">
        <f>0.83410458289*Deflactores!$Y$5</f>
        <v>0.90429560989312452</v>
      </c>
      <c r="J155" s="50">
        <f>31.62720305825*Deflactores!$Z$5</f>
        <v>32.62480961384059</v>
      </c>
      <c r="K155" s="50">
        <f>0*Deflactores!$AA$5</f>
        <v>0</v>
      </c>
    </row>
    <row r="156" spans="3:11" x14ac:dyDescent="0.2">
      <c r="C156" s="87" t="s">
        <v>137</v>
      </c>
      <c r="D156" s="42">
        <f>3.51778778794999*Deflactores!$T$5</f>
        <v>5.322773537862469</v>
      </c>
      <c r="E156" s="42">
        <f>4.69765763896*Deflactores!$U$5</f>
        <v>6.9954114486776211</v>
      </c>
      <c r="F156" s="42">
        <f>6.05003456187999*Deflactores!$V$5</f>
        <v>8.5298931959207103</v>
      </c>
      <c r="G156" s="42">
        <f>6.11363826428*Deflactores!$W$5</f>
        <v>7.6198439928261763</v>
      </c>
      <c r="H156" s="42">
        <f>2.03745771056*Deflactores!$X$5</f>
        <v>2.3237759797011446</v>
      </c>
      <c r="I156" s="42">
        <f>7.73560488025*Deflactores!$Y$5</f>
        <v>8.3865664768807857</v>
      </c>
      <c r="J156" s="42">
        <f>7.69936788033*Deflactores!$Z$5</f>
        <v>7.9422265313834721</v>
      </c>
      <c r="K156" s="42">
        <f>0.65039613047*Deflactores!$AA$5</f>
        <v>0.65039613047</v>
      </c>
    </row>
    <row r="157" spans="3:11" x14ac:dyDescent="0.2">
      <c r="C157" s="88" t="s">
        <v>138</v>
      </c>
      <c r="D157" s="50">
        <f>0*Deflactores!$T$5</f>
        <v>0</v>
      </c>
      <c r="E157" s="50">
        <f>0*Deflactores!$U$5</f>
        <v>0</v>
      </c>
      <c r="F157" s="50">
        <f>0*Deflactores!$V$5</f>
        <v>0</v>
      </c>
      <c r="G157" s="50">
        <f>0*Deflactores!$W$5</f>
        <v>0</v>
      </c>
      <c r="H157" s="50">
        <f>0*Deflactores!$X$5</f>
        <v>0</v>
      </c>
      <c r="I157" s="50">
        <f>0*Deflactores!$Y$5</f>
        <v>0</v>
      </c>
      <c r="J157" s="50">
        <f>0*Deflactores!$Z$5</f>
        <v>0</v>
      </c>
      <c r="K157" s="50">
        <f>0*Deflactores!$AA$5</f>
        <v>0</v>
      </c>
    </row>
    <row r="158" spans="3:11" x14ac:dyDescent="0.2">
      <c r="C158" s="87" t="s">
        <v>160</v>
      </c>
      <c r="D158" s="42">
        <f>84.2431983062399*Deflactores!$T$5</f>
        <v>127.4685949577038</v>
      </c>
      <c r="E158" s="42">
        <f>54.02429625702*Deflactores!$U$5</f>
        <v>80.449068363095165</v>
      </c>
      <c r="F158" s="42">
        <f>106.49085893182*Deflactores!$V$5</f>
        <v>150.14057254377417</v>
      </c>
      <c r="G158" s="42">
        <f>109.88018076664*Deflactores!$W$5</f>
        <v>136.95115725724753</v>
      </c>
      <c r="H158" s="42">
        <f>140.13500993934*Deflactores!$X$5</f>
        <v>159.82779339391337</v>
      </c>
      <c r="I158" s="42">
        <f>182.97525315366*Deflactores!$Y$5</f>
        <v>198.3728677915187</v>
      </c>
      <c r="J158" s="42">
        <f>161.13235430921*Deflactores!$Z$5</f>
        <v>166.21489963199923</v>
      </c>
      <c r="K158" s="42">
        <f>11.57224256781*Deflactores!$AA$5</f>
        <v>11.572242567809999</v>
      </c>
    </row>
    <row r="159" spans="3:11" x14ac:dyDescent="0.2">
      <c r="C159" s="88" t="s">
        <v>161</v>
      </c>
      <c r="D159" s="50">
        <f>348.76989340074*Deflactores!$T$5</f>
        <v>527.72460173852994</v>
      </c>
      <c r="E159" s="50">
        <f>383.2317400375*Deflactores!$U$5</f>
        <v>570.68094522709441</v>
      </c>
      <c r="F159" s="50">
        <f>383.718435685859*Deflactores!$V$5</f>
        <v>541.00141746778229</v>
      </c>
      <c r="G159" s="50">
        <f>434.03434883998*Deflactores!$W$5</f>
        <v>540.96658695230133</v>
      </c>
      <c r="H159" s="50">
        <f>495.97291429342*Deflactores!$X$5</f>
        <v>565.67060942857472</v>
      </c>
      <c r="I159" s="50">
        <f>555.38728272839*Deflactores!$Y$5</f>
        <v>602.12387255039005</v>
      </c>
      <c r="J159" s="50">
        <f>552.01937972539*Deflactores!$Z$5</f>
        <v>569.43154706161761</v>
      </c>
      <c r="K159" s="50">
        <f>45.6770225003*Deflactores!$AA$5</f>
        <v>45.677022500299998</v>
      </c>
    </row>
    <row r="160" spans="3:11" x14ac:dyDescent="0.2">
      <c r="C160" s="87" t="s">
        <v>140</v>
      </c>
      <c r="D160" s="42">
        <f>446.57921146084*Deflactores!$T$5</f>
        <v>675.72012657093217</v>
      </c>
      <c r="E160" s="42">
        <f>919.259392171769*Deflactores!$U$5</f>
        <v>1368.8944939219696</v>
      </c>
      <c r="F160" s="42">
        <f>942.90338686451*Deflactores!$V$5</f>
        <v>1329.3916095459354</v>
      </c>
      <c r="G160" s="42">
        <f>627.61065973369*Deflactores!$W$5</f>
        <v>782.23393479899323</v>
      </c>
      <c r="H160" s="42">
        <f>1422.94609232775*Deflactores!$X$5</f>
        <v>1622.9087517364981</v>
      </c>
      <c r="I160" s="42">
        <f>4139.03895948901*Deflactores!$Y$5</f>
        <v>4487.3446771795589</v>
      </c>
      <c r="J160" s="42">
        <f>3375.75107520864*Deflactores!$Z$5</f>
        <v>3482.2312908782856</v>
      </c>
      <c r="K160" s="42">
        <f>1648.47397694054*Deflactores!$AA$5</f>
        <v>1648.4739769405401</v>
      </c>
    </row>
    <row r="161" spans="1:11" x14ac:dyDescent="0.2">
      <c r="C161" s="88" t="s">
        <v>141</v>
      </c>
      <c r="D161" s="50">
        <f>16.4553359166*Deflactores!$T$5</f>
        <v>24.898610107620712</v>
      </c>
      <c r="E161" s="50">
        <f>12.89562348719*Deflactores!$U$5</f>
        <v>19.20322831361042</v>
      </c>
      <c r="F161" s="50">
        <f>11.9064471589599*Deflactores!$V$5</f>
        <v>16.786800400895977</v>
      </c>
      <c r="G161" s="50">
        <f>16.07636319398*Deflactores!$W$5</f>
        <v>20.037066999181878</v>
      </c>
      <c r="H161" s="50">
        <f>23.34408193986*Deflactores!$X$5</f>
        <v>26.624560892168024</v>
      </c>
      <c r="I161" s="50">
        <f>17.14936840246*Deflactores!$Y$5</f>
        <v>18.592510911583876</v>
      </c>
      <c r="J161" s="50">
        <f>17.2380957990599*Deflactores!$Z$5</f>
        <v>17.781831435226277</v>
      </c>
      <c r="K161" s="50">
        <f>1.046449496*Deflactores!$AA$5</f>
        <v>1.0464494959999999</v>
      </c>
    </row>
    <row r="162" spans="1:11" x14ac:dyDescent="0.2">
      <c r="C162" s="87" t="s">
        <v>142</v>
      </c>
      <c r="D162" s="42">
        <f>112.60238270445*Deflactores!$T$5</f>
        <v>170.37894810271871</v>
      </c>
      <c r="E162" s="42">
        <f>284.60970579113*Deflactores!$U$5</f>
        <v>423.82015619529335</v>
      </c>
      <c r="F162" s="42">
        <f>271.35872099519*Deflactores!$V$5</f>
        <v>382.58639420918604</v>
      </c>
      <c r="G162" s="42">
        <f>176.88042031112*Deflactores!$W$5</f>
        <v>220.45812164436046</v>
      </c>
      <c r="H162" s="42">
        <f>273.153220098639*Deflactores!$X$5</f>
        <v>311.53868291517841</v>
      </c>
      <c r="I162" s="42">
        <f>236.1582745021*Deflactores!$Y$5</f>
        <v>256.03131220338571</v>
      </c>
      <c r="J162" s="42">
        <f>209.451621709349*Deflactores!$Z$5</f>
        <v>216.05828593164804</v>
      </c>
      <c r="K162" s="42">
        <f>23.64738549774*Deflactores!$AA$5</f>
        <v>23.64738549774</v>
      </c>
    </row>
    <row r="163" spans="1:11" x14ac:dyDescent="0.2">
      <c r="C163" s="88" t="s">
        <v>143</v>
      </c>
      <c r="D163" s="50">
        <f>0.067335387*Deflactores!$T$5</f>
        <v>0.1018853432014995</v>
      </c>
      <c r="E163" s="50">
        <f>0*Deflactores!$U$5</f>
        <v>0</v>
      </c>
      <c r="F163" s="50">
        <f>0.01336564379*Deflactores!$V$5</f>
        <v>1.884410954306915E-2</v>
      </c>
      <c r="G163" s="50">
        <f>0*Deflactores!$W$5</f>
        <v>0</v>
      </c>
      <c r="H163" s="50">
        <f>0.003899899*Deflactores!$X$5</f>
        <v>4.4479409670641302E-3</v>
      </c>
      <c r="I163" s="50">
        <f>0*Deflactores!$Y$5</f>
        <v>0</v>
      </c>
      <c r="J163" s="50">
        <f>0*Deflactores!$Z$5</f>
        <v>0</v>
      </c>
      <c r="K163" s="50">
        <f>0*Deflactores!$AA$5</f>
        <v>0</v>
      </c>
    </row>
    <row r="164" spans="1:11" x14ac:dyDescent="0.2">
      <c r="C164" s="87" t="s">
        <v>144</v>
      </c>
      <c r="D164" s="42">
        <f>0*Deflactores!$T$5</f>
        <v>0</v>
      </c>
      <c r="E164" s="42">
        <f>0*Deflactores!$U$5</f>
        <v>0</v>
      </c>
      <c r="F164" s="42">
        <f>0*Deflactores!$V$5</f>
        <v>0</v>
      </c>
      <c r="G164" s="42">
        <f>0*Deflactores!$W$5</f>
        <v>0</v>
      </c>
      <c r="H164" s="42">
        <f>0*Deflactores!$X$5</f>
        <v>0</v>
      </c>
      <c r="I164" s="42">
        <f>0*Deflactores!$Y$5</f>
        <v>0</v>
      </c>
      <c r="J164" s="42">
        <f>0*Deflactores!$Z$5</f>
        <v>0</v>
      </c>
      <c r="K164" s="42">
        <f>0*Deflactores!$AA$5</f>
        <v>0</v>
      </c>
    </row>
    <row r="165" spans="1:11" x14ac:dyDescent="0.2">
      <c r="C165" s="88" t="s">
        <v>145</v>
      </c>
      <c r="D165" s="50">
        <f>45.80368788565*Deflactores!$T$5</f>
        <v>69.305675188646575</v>
      </c>
      <c r="E165" s="50">
        <f>43.21990011293*Deflactores!$U$5</f>
        <v>64.359944316339764</v>
      </c>
      <c r="F165" s="50">
        <f>46.12627600079*Deflactores!$V$5</f>
        <v>65.033051264096898</v>
      </c>
      <c r="G165" s="50">
        <f>50.4344259645699*Deflactores!$W$5</f>
        <v>62.859862017535249</v>
      </c>
      <c r="H165" s="50">
        <f>54.94913255206*Deflactores!$X$5</f>
        <v>62.670981423607337</v>
      </c>
      <c r="I165" s="50">
        <f>62.51405678749*Deflactores!$Y$5</f>
        <v>67.77469908349839</v>
      </c>
      <c r="J165" s="50">
        <f>68.41556716933*Deflactores!$Z$5</f>
        <v>70.573577101060863</v>
      </c>
      <c r="K165" s="50">
        <f>4.79229448397999*Deflactores!$AA$5</f>
        <v>4.7922944839799904</v>
      </c>
    </row>
    <row r="166" spans="1:11" x14ac:dyDescent="0.2">
      <c r="C166" s="87" t="s">
        <v>146</v>
      </c>
      <c r="D166" s="42">
        <f>206.249979592119*Deflactores!$T$5</f>
        <v>312.07736217578002</v>
      </c>
      <c r="E166" s="42">
        <f>116.39285340561*Deflactores!$U$5</f>
        <v>173.32380557177362</v>
      </c>
      <c r="F166" s="42">
        <f>216.97794504316*Deflactores!$V$5</f>
        <v>305.91539240949237</v>
      </c>
      <c r="G166" s="42">
        <f>191.12423212231*Deflactores!$W$5</f>
        <v>238.21115497290739</v>
      </c>
      <c r="H166" s="42">
        <f>203.02532275056*Deflactores!$X$5</f>
        <v>231.55590706672993</v>
      </c>
      <c r="I166" s="42">
        <f>336.39314580315*Deflactores!$Y$5</f>
        <v>364.70108327895781</v>
      </c>
      <c r="J166" s="42">
        <f>405.537070851549*Deflactores!$Z$5</f>
        <v>418.32879447223695</v>
      </c>
      <c r="K166" s="42">
        <f>104.54646648821*Deflactores!$AA$5</f>
        <v>104.54646648821</v>
      </c>
    </row>
    <row r="167" spans="1:11" x14ac:dyDescent="0.2">
      <c r="C167" s="88" t="s">
        <v>162</v>
      </c>
      <c r="D167" s="50">
        <f>451.54826925685*Deflactores!$T$5</f>
        <v>683.23882040326384</v>
      </c>
      <c r="E167" s="50">
        <f>369.14715030488*Deflactores!$U$5</f>
        <v>549.70719451176763</v>
      </c>
      <c r="F167" s="50">
        <f>378.14752896741*Deflactores!$V$5</f>
        <v>533.1470426164027</v>
      </c>
      <c r="G167" s="50">
        <f>436.9492661533*Deflactores!$W$5</f>
        <v>544.59964704178344</v>
      </c>
      <c r="H167" s="50">
        <f>521.02793789608*Deflactores!$X$5</f>
        <v>594.24654586001316</v>
      </c>
      <c r="I167" s="50">
        <f>562.36649444827*Deflactores!$Y$5</f>
        <v>609.69039436104219</v>
      </c>
      <c r="J167" s="50">
        <f>627.71374335144*Deflactores!$Z$5</f>
        <v>647.51351332314346</v>
      </c>
      <c r="K167" s="50">
        <f>57.92703762507*Deflactores!$AA$5</f>
        <v>57.92703762507</v>
      </c>
    </row>
    <row r="168" spans="1:11" x14ac:dyDescent="0.2">
      <c r="C168" s="87" t="s">
        <v>148</v>
      </c>
      <c r="D168" s="42">
        <f>0*Deflactores!$T$5</f>
        <v>0</v>
      </c>
      <c r="E168" s="42">
        <f>0*Deflactores!$U$5</f>
        <v>0</v>
      </c>
      <c r="F168" s="42">
        <f>0*Deflactores!$V$5</f>
        <v>0</v>
      </c>
      <c r="G168" s="42">
        <f>0*Deflactores!$W$5</f>
        <v>0</v>
      </c>
      <c r="H168" s="42">
        <f>0*Deflactores!$X$5</f>
        <v>0</v>
      </c>
      <c r="I168" s="42">
        <f>0*Deflactores!$Y$5</f>
        <v>0</v>
      </c>
      <c r="J168" s="42">
        <f>0*Deflactores!$Z$5</f>
        <v>0</v>
      </c>
      <c r="K168" s="42">
        <f>0*Deflactores!$AA$5</f>
        <v>0</v>
      </c>
    </row>
    <row r="169" spans="1:11" x14ac:dyDescent="0.2">
      <c r="C169" s="88" t="s">
        <v>149</v>
      </c>
      <c r="D169" s="50">
        <f>408.69218935593*Deflactores!$T$5</f>
        <v>618.39317826006038</v>
      </c>
      <c r="E169" s="50">
        <f>252.0163010353*Deflactores!$U$5</f>
        <v>375.28441896119512</v>
      </c>
      <c r="F169" s="50">
        <f>639.75492561429*Deflactores!$V$5</f>
        <v>901.98512607477892</v>
      </c>
      <c r="G169" s="50">
        <f>688.91628249799*Deflactores!$W$5</f>
        <v>858.6433102238301</v>
      </c>
      <c r="H169" s="50">
        <f>883.06879453558*Deflactores!$X$5</f>
        <v>1007.1639978242367</v>
      </c>
      <c r="I169" s="50">
        <f>634.04363844667*Deflactores!$Y$5</f>
        <v>687.39926681784107</v>
      </c>
      <c r="J169" s="50">
        <f>560.78563422102*Deflactores!$Z$5</f>
        <v>578.47431266500223</v>
      </c>
      <c r="K169" s="50">
        <f>62.60644169137*Deflactores!$AA$5</f>
        <v>62.606441691370001</v>
      </c>
    </row>
    <row r="170" spans="1:11" x14ac:dyDescent="0.2">
      <c r="C170" s="87" t="s">
        <v>163</v>
      </c>
      <c r="D170" s="42">
        <f>77.0888089405*Deflactores!$T$5</f>
        <v>116.64327043813776</v>
      </c>
      <c r="E170" s="42">
        <f>75.30889882667*Deflactores!$U$5</f>
        <v>112.14455661269142</v>
      </c>
      <c r="F170" s="42">
        <f>80.23067035824*Deflactores!$V$5</f>
        <v>113.11655201193609</v>
      </c>
      <c r="G170" s="42">
        <f>89.88705561508*Deflactores!$W$5</f>
        <v>112.03236291607173</v>
      </c>
      <c r="H170" s="42">
        <f>98.49861177788*Deflactores!$X$5</f>
        <v>112.34034792331234</v>
      </c>
      <c r="I170" s="42">
        <f>109.716192537369*Deflactores!$Y$5</f>
        <v>118.94895829725462</v>
      </c>
      <c r="J170" s="42">
        <f>114.01231235824*Deflactores!$Z$5</f>
        <v>117.60856555891476</v>
      </c>
      <c r="K170" s="42">
        <f>10.9736366003999*Deflactores!$AA$5</f>
        <v>10.9736366003999</v>
      </c>
    </row>
    <row r="171" spans="1:11" x14ac:dyDescent="0.2">
      <c r="C171" s="88" t="s">
        <v>150</v>
      </c>
      <c r="D171" s="50">
        <f>750.08784332285*Deflactores!$T$5</f>
        <v>1134.9597997887968</v>
      </c>
      <c r="E171" s="50">
        <f>685.30124338799*Deflactores!$U$5</f>
        <v>1020.5009671268158</v>
      </c>
      <c r="F171" s="50">
        <f>635.29654340575*Deflactores!$V$5</f>
        <v>895.6992902375664</v>
      </c>
      <c r="G171" s="50">
        <f>711.83397983944*Deflactores!$W$5</f>
        <v>887.20719818510486</v>
      </c>
      <c r="H171" s="50">
        <f>983.818971140559*Deflactores!$X$5</f>
        <v>1122.0723167217857</v>
      </c>
      <c r="I171" s="50">
        <f>878.01093505745*Deflactores!$Y$5</f>
        <v>951.89674088545064</v>
      </c>
      <c r="J171" s="50">
        <f>961.74391547848*Deflactores!$Z$5</f>
        <v>992.07989027567032</v>
      </c>
      <c r="K171" s="50">
        <f>387.32311420281*Deflactores!$AA$5</f>
        <v>387.32311420281002</v>
      </c>
    </row>
    <row r="172" spans="1:11" x14ac:dyDescent="0.2">
      <c r="C172" s="87" t="s">
        <v>151</v>
      </c>
      <c r="D172" s="42">
        <f>0*Deflactores!$T$5</f>
        <v>0</v>
      </c>
      <c r="E172" s="42">
        <f>0*Deflactores!$U$5</f>
        <v>0</v>
      </c>
      <c r="F172" s="42">
        <f>0*Deflactores!$V$5</f>
        <v>0</v>
      </c>
      <c r="G172" s="42">
        <f>0*Deflactores!$W$5</f>
        <v>0</v>
      </c>
      <c r="H172" s="42">
        <f>0*Deflactores!$X$5</f>
        <v>0</v>
      </c>
      <c r="I172" s="42">
        <f>0*Deflactores!$Y$5</f>
        <v>0</v>
      </c>
      <c r="J172" s="42">
        <f>0*Deflactores!$Z$5</f>
        <v>0</v>
      </c>
      <c r="K172" s="42">
        <f>0*Deflactores!$AA$5</f>
        <v>0</v>
      </c>
    </row>
    <row r="173" spans="1:11" x14ac:dyDescent="0.2">
      <c r="C173" s="79" t="s">
        <v>179</v>
      </c>
      <c r="D173" s="44">
        <f t="shared" ref="D173:K173" si="6">+SUM(D142:D172)</f>
        <v>9067.971567510338</v>
      </c>
      <c r="E173" s="44">
        <f t="shared" si="6"/>
        <v>9031.8878634882949</v>
      </c>
      <c r="F173" s="44">
        <f t="shared" si="6"/>
        <v>9347.2528007821275</v>
      </c>
      <c r="G173" s="44">
        <f t="shared" si="6"/>
        <v>9167.9451920078445</v>
      </c>
      <c r="H173" s="44">
        <f t="shared" si="6"/>
        <v>10088.749165246718</v>
      </c>
      <c r="I173" s="44">
        <f t="shared" si="6"/>
        <v>12967.742470491603</v>
      </c>
      <c r="J173" s="44">
        <f t="shared" si="6"/>
        <v>12065.393244750985</v>
      </c>
      <c r="K173" s="44">
        <f t="shared" si="6"/>
        <v>2875.4361465558504</v>
      </c>
    </row>
    <row r="174" spans="1:11" s="31" customFormat="1" x14ac:dyDescent="0.2">
      <c r="A174" s="5"/>
      <c r="B174" s="5"/>
      <c r="C174" s="72" t="str">
        <f>+'C1 Aprop Resumen 2000-2026'!B20</f>
        <v>* Información con corte a 28 de febrero</v>
      </c>
      <c r="D174" s="121">
        <f>+D173-'C7 Ejec. Prop 19-26'!D79</f>
        <v>0</v>
      </c>
      <c r="E174" s="121">
        <f>+E173-'C7 Ejec. Prop 19-26'!E79</f>
        <v>0</v>
      </c>
      <c r="F174" s="121">
        <f>+F173-'C7 Ejec. Prop 19-26'!F79</f>
        <v>2.7284841053187847E-11</v>
      </c>
      <c r="G174" s="121">
        <f>+G173-'C7 Ejec. Prop 19-26'!G79</f>
        <v>0</v>
      </c>
      <c r="H174" s="121">
        <f>+H173-'C7 Ejec. Prop 19-26'!H79</f>
        <v>0</v>
      </c>
      <c r="I174" s="121">
        <f>+I173-'C7 Ejec. Prop 19-26'!I79</f>
        <v>0</v>
      </c>
      <c r="J174" s="121">
        <f>+J173-'C7 Ejec. Prop 19-26'!J79</f>
        <v>0</v>
      </c>
      <c r="K174" s="121">
        <f>+K173-'C7 Ejec. Prop 19-26'!K79</f>
        <v>0</v>
      </c>
    </row>
    <row r="175" spans="1:11" x14ac:dyDescent="0.2">
      <c r="C175" s="1" t="s">
        <v>52</v>
      </c>
      <c r="D175" s="11"/>
      <c r="E175" s="11"/>
      <c r="F175" s="11"/>
    </row>
    <row r="176" spans="1:11" x14ac:dyDescent="0.2">
      <c r="B176" s="9"/>
      <c r="D176" s="11"/>
      <c r="E176" s="11"/>
      <c r="F176" s="11"/>
    </row>
    <row r="177" spans="3:11" x14ac:dyDescent="0.2">
      <c r="D177" s="11"/>
      <c r="E177" s="11"/>
      <c r="F177" s="11"/>
    </row>
    <row r="178" spans="3:11" x14ac:dyDescent="0.2">
      <c r="D178" s="11"/>
      <c r="E178" s="11"/>
      <c r="F178" s="11"/>
    </row>
    <row r="179" spans="3:11" ht="18" customHeight="1" x14ac:dyDescent="0.2">
      <c r="D179" s="131" t="s">
        <v>198</v>
      </c>
      <c r="E179" s="131"/>
      <c r="F179" s="131"/>
      <c r="G179" s="131"/>
      <c r="H179" s="131"/>
      <c r="I179" s="131"/>
      <c r="J179" s="131"/>
      <c r="K179" s="131"/>
    </row>
    <row r="180" spans="3:11" ht="0.75" customHeight="1" x14ac:dyDescent="0.2">
      <c r="D180" s="28"/>
      <c r="E180" s="28"/>
      <c r="F180" s="28"/>
    </row>
    <row r="181" spans="3:11" x14ac:dyDescent="0.2">
      <c r="E181" s="29"/>
      <c r="F181" s="29"/>
    </row>
    <row r="182" spans="3:11" x14ac:dyDescent="0.2">
      <c r="C182" s="177" t="s">
        <v>120</v>
      </c>
      <c r="D182" s="153">
        <v>2019</v>
      </c>
      <c r="E182" s="153">
        <v>2020</v>
      </c>
      <c r="F182" s="153">
        <v>2021</v>
      </c>
      <c r="G182" s="153">
        <v>2022</v>
      </c>
      <c r="H182" s="153">
        <v>2023</v>
      </c>
      <c r="I182" s="153">
        <v>2024</v>
      </c>
      <c r="J182" s="153">
        <v>2025</v>
      </c>
      <c r="K182" s="153" t="s">
        <v>36</v>
      </c>
    </row>
    <row r="183" spans="3:11" ht="12" customHeight="1" thickBot="1" x14ac:dyDescent="0.25">
      <c r="C183" s="156"/>
      <c r="D183" s="154"/>
      <c r="E183" s="154"/>
      <c r="F183" s="154"/>
      <c r="G183" s="154"/>
      <c r="H183" s="154"/>
      <c r="I183" s="154"/>
      <c r="J183" s="154"/>
      <c r="K183" s="154"/>
    </row>
    <row r="184" spans="3:11" x14ac:dyDescent="0.2">
      <c r="C184" s="87" t="s">
        <v>123</v>
      </c>
      <c r="D184" s="47">
        <f t="shared" ref="D184:K193" si="7">+IFERROR(IF(D142&gt;0,+((D142/D15)*100)," "),"")</f>
        <v>77.437673969637061</v>
      </c>
      <c r="E184" s="47">
        <f t="shared" si="7"/>
        <v>71.683839135869562</v>
      </c>
      <c r="F184" s="47">
        <f t="shared" si="7"/>
        <v>97.682014562269643</v>
      </c>
      <c r="G184" s="47">
        <f t="shared" si="7"/>
        <v>97.740515509405128</v>
      </c>
      <c r="H184" s="47">
        <f t="shared" si="7"/>
        <v>72.885237905163791</v>
      </c>
      <c r="I184" s="47">
        <f t="shared" si="7"/>
        <v>93.385029717007555</v>
      </c>
      <c r="J184" s="47">
        <f t="shared" si="7"/>
        <v>95.365507936806054</v>
      </c>
      <c r="K184" s="47">
        <f t="shared" si="7"/>
        <v>10.103601439706571</v>
      </c>
    </row>
    <row r="185" spans="3:11" x14ac:dyDescent="0.2">
      <c r="C185" s="88" t="s">
        <v>124</v>
      </c>
      <c r="D185" s="116">
        <f t="shared" si="7"/>
        <v>96.354219762686839</v>
      </c>
      <c r="E185" s="116">
        <f t="shared" si="7"/>
        <v>99.558912497848752</v>
      </c>
      <c r="F185" s="116">
        <f t="shared" si="7"/>
        <v>99.798729009035398</v>
      </c>
      <c r="G185" s="116">
        <f t="shared" si="7"/>
        <v>99.316248577962781</v>
      </c>
      <c r="H185" s="116">
        <f t="shared" si="7"/>
        <v>95.388278189527597</v>
      </c>
      <c r="I185" s="116">
        <f t="shared" si="7"/>
        <v>99.051706381459113</v>
      </c>
      <c r="J185" s="116">
        <f t="shared" si="7"/>
        <v>98.691073123552314</v>
      </c>
      <c r="K185" s="116">
        <f t="shared" si="7"/>
        <v>98.960479856055045</v>
      </c>
    </row>
    <row r="186" spans="3:11" x14ac:dyDescent="0.2">
      <c r="C186" s="87" t="s">
        <v>125</v>
      </c>
      <c r="D186" s="47" t="str">
        <f t="shared" si="7"/>
        <v xml:space="preserve"> </v>
      </c>
      <c r="E186" s="47" t="str">
        <f t="shared" si="7"/>
        <v xml:space="preserve"> </v>
      </c>
      <c r="F186" s="47" t="str">
        <f t="shared" si="7"/>
        <v xml:space="preserve"> </v>
      </c>
      <c r="G186" s="47" t="str">
        <f t="shared" si="7"/>
        <v xml:space="preserve"> </v>
      </c>
      <c r="H186" s="47" t="str">
        <f t="shared" si="7"/>
        <v xml:space="preserve"> </v>
      </c>
      <c r="I186" s="47" t="str">
        <f t="shared" si="7"/>
        <v xml:space="preserve"> </v>
      </c>
      <c r="J186" s="47" t="str">
        <f t="shared" si="7"/>
        <v xml:space="preserve"> </v>
      </c>
      <c r="K186" s="47" t="str">
        <f t="shared" si="7"/>
        <v xml:space="preserve"> </v>
      </c>
    </row>
    <row r="187" spans="3:11" x14ac:dyDescent="0.2">
      <c r="C187" s="88" t="s">
        <v>126</v>
      </c>
      <c r="D187" s="116">
        <f t="shared" si="7"/>
        <v>94.342779497842443</v>
      </c>
      <c r="E187" s="116">
        <f t="shared" si="7"/>
        <v>90.217468498638482</v>
      </c>
      <c r="F187" s="116">
        <f t="shared" si="7"/>
        <v>87.035271898475457</v>
      </c>
      <c r="G187" s="116">
        <f t="shared" si="7"/>
        <v>91.192471022954805</v>
      </c>
      <c r="H187" s="116">
        <f t="shared" si="7"/>
        <v>87.037676782627244</v>
      </c>
      <c r="I187" s="116">
        <f t="shared" si="7"/>
        <v>88.450077800543653</v>
      </c>
      <c r="J187" s="116">
        <f t="shared" si="7"/>
        <v>86.879873096376798</v>
      </c>
      <c r="K187" s="116">
        <f t="shared" si="7"/>
        <v>6.9423980287441287</v>
      </c>
    </row>
    <row r="188" spans="3:11" x14ac:dyDescent="0.2">
      <c r="C188" s="87" t="s">
        <v>127</v>
      </c>
      <c r="D188" s="47" t="str">
        <f t="shared" si="7"/>
        <v xml:space="preserve"> </v>
      </c>
      <c r="E188" s="47" t="str">
        <f t="shared" si="7"/>
        <v xml:space="preserve"> </v>
      </c>
      <c r="F188" s="47" t="str">
        <f t="shared" si="7"/>
        <v xml:space="preserve"> </v>
      </c>
      <c r="G188" s="47" t="str">
        <f t="shared" si="7"/>
        <v xml:space="preserve"> </v>
      </c>
      <c r="H188" s="47" t="str">
        <f t="shared" si="7"/>
        <v xml:space="preserve"> </v>
      </c>
      <c r="I188" s="47" t="str">
        <f t="shared" si="7"/>
        <v xml:space="preserve"> </v>
      </c>
      <c r="J188" s="47" t="str">
        <f t="shared" si="7"/>
        <v xml:space="preserve"> </v>
      </c>
      <c r="K188" s="47" t="str">
        <f t="shared" si="7"/>
        <v xml:space="preserve"> </v>
      </c>
    </row>
    <row r="189" spans="3:11" x14ac:dyDescent="0.2">
      <c r="C189" s="88" t="s">
        <v>128</v>
      </c>
      <c r="D189" s="116">
        <f t="shared" si="7"/>
        <v>94.92024935875196</v>
      </c>
      <c r="E189" s="116">
        <f t="shared" si="7"/>
        <v>89.615128405852815</v>
      </c>
      <c r="F189" s="116">
        <f t="shared" si="7"/>
        <v>72.319258775810781</v>
      </c>
      <c r="G189" s="116">
        <f t="shared" si="7"/>
        <v>86.076350344174415</v>
      </c>
      <c r="H189" s="116">
        <f t="shared" si="7"/>
        <v>84.29010751873686</v>
      </c>
      <c r="I189" s="116">
        <f t="shared" si="7"/>
        <v>65.93446275908839</v>
      </c>
      <c r="J189" s="116">
        <f t="shared" si="7"/>
        <v>94.795888753092484</v>
      </c>
      <c r="K189" s="116">
        <f t="shared" si="7"/>
        <v>2.7116517470564654</v>
      </c>
    </row>
    <row r="190" spans="3:11" x14ac:dyDescent="0.2">
      <c r="C190" s="87" t="s">
        <v>129</v>
      </c>
      <c r="D190" s="47">
        <f t="shared" si="7"/>
        <v>92.415487109597223</v>
      </c>
      <c r="E190" s="47">
        <f t="shared" si="7"/>
        <v>95.735404094821604</v>
      </c>
      <c r="F190" s="47">
        <f t="shared" si="7"/>
        <v>74.655648925972045</v>
      </c>
      <c r="G190" s="47">
        <f t="shared" si="7"/>
        <v>89.553462102151286</v>
      </c>
      <c r="H190" s="47">
        <f t="shared" si="7"/>
        <v>86.029974279977807</v>
      </c>
      <c r="I190" s="47">
        <f t="shared" si="7"/>
        <v>86.290096517108466</v>
      </c>
      <c r="J190" s="47">
        <f t="shared" si="7"/>
        <v>94.895629499075596</v>
      </c>
      <c r="K190" s="47">
        <f t="shared" si="7"/>
        <v>6.9587417116221255</v>
      </c>
    </row>
    <row r="191" spans="3:11" x14ac:dyDescent="0.2">
      <c r="C191" s="88" t="s">
        <v>130</v>
      </c>
      <c r="D191" s="116" t="str">
        <f t="shared" si="7"/>
        <v xml:space="preserve"> </v>
      </c>
      <c r="E191" s="116" t="str">
        <f t="shared" si="7"/>
        <v xml:space="preserve"> </v>
      </c>
      <c r="F191" s="116" t="str">
        <f t="shared" si="7"/>
        <v xml:space="preserve"> </v>
      </c>
      <c r="G191" s="116" t="str">
        <f t="shared" si="7"/>
        <v xml:space="preserve"> </v>
      </c>
      <c r="H191" s="116" t="str">
        <f t="shared" si="7"/>
        <v xml:space="preserve"> </v>
      </c>
      <c r="I191" s="116" t="str">
        <f t="shared" si="7"/>
        <v xml:space="preserve"> </v>
      </c>
      <c r="J191" s="116" t="str">
        <f t="shared" si="7"/>
        <v xml:space="preserve"> </v>
      </c>
      <c r="K191" s="116" t="str">
        <f t="shared" si="7"/>
        <v xml:space="preserve"> </v>
      </c>
    </row>
    <row r="192" spans="3:11" x14ac:dyDescent="0.2">
      <c r="C192" s="87" t="s">
        <v>131</v>
      </c>
      <c r="D192" s="47">
        <f t="shared" si="7"/>
        <v>89.087929223590137</v>
      </c>
      <c r="E192" s="47">
        <f t="shared" si="7"/>
        <v>81.306948334474995</v>
      </c>
      <c r="F192" s="47">
        <f t="shared" si="7"/>
        <v>76.497335248121487</v>
      </c>
      <c r="G192" s="47">
        <f t="shared" si="7"/>
        <v>79.384724031539406</v>
      </c>
      <c r="H192" s="47">
        <f t="shared" si="7"/>
        <v>84.416876884361997</v>
      </c>
      <c r="I192" s="47">
        <f t="shared" si="7"/>
        <v>78.815715816918171</v>
      </c>
      <c r="J192" s="47">
        <f t="shared" si="7"/>
        <v>73.741284375410345</v>
      </c>
      <c r="K192" s="47">
        <f t="shared" si="7"/>
        <v>4.1689110737547139</v>
      </c>
    </row>
    <row r="193" spans="3:11" x14ac:dyDescent="0.2">
      <c r="C193" s="88" t="s">
        <v>132</v>
      </c>
      <c r="D193" s="116">
        <f t="shared" si="7"/>
        <v>89.669048725854594</v>
      </c>
      <c r="E193" s="116">
        <f t="shared" si="7"/>
        <v>84.986608383481396</v>
      </c>
      <c r="F193" s="116">
        <f t="shared" si="7"/>
        <v>46.186417715442261</v>
      </c>
      <c r="G193" s="116">
        <f t="shared" si="7"/>
        <v>75.399351804608429</v>
      </c>
      <c r="H193" s="116">
        <f t="shared" si="7"/>
        <v>87.027841187489258</v>
      </c>
      <c r="I193" s="116">
        <f t="shared" si="7"/>
        <v>83.5972359582791</v>
      </c>
      <c r="J193" s="116">
        <f t="shared" si="7"/>
        <v>87.538806178204354</v>
      </c>
      <c r="K193" s="116">
        <f t="shared" si="7"/>
        <v>8.2075483619556469</v>
      </c>
    </row>
    <row r="194" spans="3:11" x14ac:dyDescent="0.2">
      <c r="C194" s="87" t="s">
        <v>133</v>
      </c>
      <c r="D194" s="47">
        <f t="shared" ref="D194:K203" si="8">+IFERROR(IF(D152&gt;0,+((D152/D25)*100)," "),"")</f>
        <v>97.474437196961659</v>
      </c>
      <c r="E194" s="47">
        <f t="shared" si="8"/>
        <v>89.790457176279219</v>
      </c>
      <c r="F194" s="47">
        <f t="shared" si="8"/>
        <v>75.945745781723815</v>
      </c>
      <c r="G194" s="47">
        <f t="shared" si="8"/>
        <v>85.904871590498672</v>
      </c>
      <c r="H194" s="47">
        <f t="shared" si="8"/>
        <v>94.94343358422843</v>
      </c>
      <c r="I194" s="47">
        <f t="shared" si="8"/>
        <v>92.9774337509226</v>
      </c>
      <c r="J194" s="47">
        <f t="shared" si="8"/>
        <v>97.742951239405357</v>
      </c>
      <c r="K194" s="47">
        <f t="shared" si="8"/>
        <v>10.691759059114498</v>
      </c>
    </row>
    <row r="195" spans="3:11" x14ac:dyDescent="0.2">
      <c r="C195" s="88" t="s">
        <v>134</v>
      </c>
      <c r="D195" s="116">
        <f t="shared" si="8"/>
        <v>89.710109443516458</v>
      </c>
      <c r="E195" s="116">
        <f t="shared" si="8"/>
        <v>83.721662472305596</v>
      </c>
      <c r="F195" s="116">
        <f t="shared" si="8"/>
        <v>81.909321548598243</v>
      </c>
      <c r="G195" s="116">
        <f t="shared" si="8"/>
        <v>88.050440108093909</v>
      </c>
      <c r="H195" s="116">
        <f t="shared" si="8"/>
        <v>86.355694222853501</v>
      </c>
      <c r="I195" s="116">
        <f t="shared" si="8"/>
        <v>73.639166759726834</v>
      </c>
      <c r="J195" s="116">
        <f t="shared" si="8"/>
        <v>88.187186214510589</v>
      </c>
      <c r="K195" s="116">
        <f t="shared" si="8"/>
        <v>7.3579650813771549</v>
      </c>
    </row>
    <row r="196" spans="3:11" x14ac:dyDescent="0.2">
      <c r="C196" s="87" t="s">
        <v>135</v>
      </c>
      <c r="D196" s="47" t="str">
        <f t="shared" si="8"/>
        <v xml:space="preserve"> </v>
      </c>
      <c r="E196" s="47" t="str">
        <f t="shared" si="8"/>
        <v xml:space="preserve"> </v>
      </c>
      <c r="F196" s="47" t="str">
        <f t="shared" si="8"/>
        <v xml:space="preserve"> </v>
      </c>
      <c r="G196" s="47" t="str">
        <f t="shared" si="8"/>
        <v xml:space="preserve"> </v>
      </c>
      <c r="H196" s="47" t="str">
        <f t="shared" si="8"/>
        <v xml:space="preserve"> </v>
      </c>
      <c r="I196" s="47">
        <f t="shared" si="8"/>
        <v>81.93017144608983</v>
      </c>
      <c r="J196" s="47">
        <f t="shared" si="8"/>
        <v>96.132899497442637</v>
      </c>
      <c r="K196" s="47">
        <f t="shared" si="8"/>
        <v>8.777568856785809</v>
      </c>
    </row>
    <row r="197" spans="3:11" x14ac:dyDescent="0.2">
      <c r="C197" s="88" t="s">
        <v>136</v>
      </c>
      <c r="D197" s="116">
        <f t="shared" si="8"/>
        <v>89.906815304973762</v>
      </c>
      <c r="E197" s="116">
        <f t="shared" si="8"/>
        <v>95.12297094730549</v>
      </c>
      <c r="F197" s="116">
        <f t="shared" si="8"/>
        <v>83.308895752897584</v>
      </c>
      <c r="G197" s="116">
        <f t="shared" si="8"/>
        <v>92.873663869350651</v>
      </c>
      <c r="H197" s="116">
        <f t="shared" si="8"/>
        <v>82.907250119810243</v>
      </c>
      <c r="I197" s="116">
        <f t="shared" si="8"/>
        <v>1.3009201506773245</v>
      </c>
      <c r="J197" s="116">
        <f t="shared" si="8"/>
        <v>86.041566397993037</v>
      </c>
      <c r="K197" s="116" t="str">
        <f t="shared" si="8"/>
        <v xml:space="preserve"> </v>
      </c>
    </row>
    <row r="198" spans="3:11" x14ac:dyDescent="0.2">
      <c r="C198" s="87" t="s">
        <v>137</v>
      </c>
      <c r="D198" s="47">
        <f t="shared" si="8"/>
        <v>89.216023026882837</v>
      </c>
      <c r="E198" s="47">
        <f t="shared" si="8"/>
        <v>81.274353601163597</v>
      </c>
      <c r="F198" s="47">
        <f t="shared" si="8"/>
        <v>62.410094510831328</v>
      </c>
      <c r="G198" s="47">
        <f t="shared" si="8"/>
        <v>51.58753070863218</v>
      </c>
      <c r="H198" s="47">
        <f t="shared" si="8"/>
        <v>39.317979748359697</v>
      </c>
      <c r="I198" s="47">
        <f t="shared" si="8"/>
        <v>84.320960107368677</v>
      </c>
      <c r="J198" s="47">
        <f t="shared" si="8"/>
        <v>74.313319990514131</v>
      </c>
      <c r="K198" s="47">
        <f t="shared" si="8"/>
        <v>4.3918977005199542</v>
      </c>
    </row>
    <row r="199" spans="3:11" x14ac:dyDescent="0.2">
      <c r="C199" s="88" t="s">
        <v>138</v>
      </c>
      <c r="D199" s="116" t="str">
        <f t="shared" si="8"/>
        <v xml:space="preserve"> </v>
      </c>
      <c r="E199" s="116" t="str">
        <f t="shared" si="8"/>
        <v xml:space="preserve"> </v>
      </c>
      <c r="F199" s="116" t="str">
        <f t="shared" si="8"/>
        <v xml:space="preserve"> </v>
      </c>
      <c r="G199" s="116" t="str">
        <f t="shared" si="8"/>
        <v xml:space="preserve"> </v>
      </c>
      <c r="H199" s="116" t="str">
        <f t="shared" si="8"/>
        <v xml:space="preserve"> </v>
      </c>
      <c r="I199" s="116" t="str">
        <f t="shared" si="8"/>
        <v xml:space="preserve"> </v>
      </c>
      <c r="J199" s="116" t="str">
        <f t="shared" si="8"/>
        <v xml:space="preserve"> </v>
      </c>
      <c r="K199" s="116" t="str">
        <f t="shared" si="8"/>
        <v xml:space="preserve"> </v>
      </c>
    </row>
    <row r="200" spans="3:11" x14ac:dyDescent="0.2">
      <c r="C200" s="87" t="s">
        <v>160</v>
      </c>
      <c r="D200" s="47">
        <f t="shared" si="8"/>
        <v>79.049369598101933</v>
      </c>
      <c r="E200" s="47">
        <f t="shared" si="8"/>
        <v>46.544666557463714</v>
      </c>
      <c r="F200" s="47">
        <f t="shared" si="8"/>
        <v>81.201338003968388</v>
      </c>
      <c r="G200" s="47">
        <f t="shared" si="8"/>
        <v>66.924871578796328</v>
      </c>
      <c r="H200" s="47">
        <f t="shared" si="8"/>
        <v>80.724658285339757</v>
      </c>
      <c r="I200" s="47">
        <f t="shared" si="8"/>
        <v>79.908212582377203</v>
      </c>
      <c r="J200" s="47">
        <f t="shared" si="8"/>
        <v>73.925377635303136</v>
      </c>
      <c r="K200" s="47">
        <f t="shared" si="8"/>
        <v>5.646483740990309</v>
      </c>
    </row>
    <row r="201" spans="3:11" x14ac:dyDescent="0.2">
      <c r="C201" s="88" t="s">
        <v>161</v>
      </c>
      <c r="D201" s="116">
        <f t="shared" si="8"/>
        <v>91.418055683492042</v>
      </c>
      <c r="E201" s="116">
        <f t="shared" si="8"/>
        <v>89.874405095364196</v>
      </c>
      <c r="F201" s="116">
        <f t="shared" si="8"/>
        <v>79.413439925979347</v>
      </c>
      <c r="G201" s="116">
        <f t="shared" si="8"/>
        <v>84.955237937382407</v>
      </c>
      <c r="H201" s="116">
        <f t="shared" si="8"/>
        <v>53.814551945739233</v>
      </c>
      <c r="I201" s="116">
        <f t="shared" si="8"/>
        <v>70.509851964348712</v>
      </c>
      <c r="J201" s="116">
        <f t="shared" si="8"/>
        <v>93.976582075349654</v>
      </c>
      <c r="K201" s="116">
        <f t="shared" si="8"/>
        <v>5.4913247177702438</v>
      </c>
    </row>
    <row r="202" spans="3:11" x14ac:dyDescent="0.2">
      <c r="C202" s="87" t="s">
        <v>140</v>
      </c>
      <c r="D202" s="47">
        <f t="shared" si="8"/>
        <v>89.355918721950673</v>
      </c>
      <c r="E202" s="47">
        <f t="shared" si="8"/>
        <v>93.45273686438253</v>
      </c>
      <c r="F202" s="47">
        <f t="shared" si="8"/>
        <v>90.810570455609067</v>
      </c>
      <c r="G202" s="47">
        <f t="shared" si="8"/>
        <v>89.476754339096715</v>
      </c>
      <c r="H202" s="47">
        <f t="shared" si="8"/>
        <v>96.569968641667614</v>
      </c>
      <c r="I202" s="47">
        <f t="shared" si="8"/>
        <v>99.112771400717577</v>
      </c>
      <c r="J202" s="47">
        <f t="shared" si="8"/>
        <v>98.111731128708001</v>
      </c>
      <c r="K202" s="47">
        <f t="shared" si="8"/>
        <v>56.669888077647222</v>
      </c>
    </row>
    <row r="203" spans="3:11" x14ac:dyDescent="0.2">
      <c r="C203" s="88" t="s">
        <v>141</v>
      </c>
      <c r="D203" s="116">
        <f t="shared" si="8"/>
        <v>79.390823161094218</v>
      </c>
      <c r="E203" s="116">
        <f t="shared" si="8"/>
        <v>60.409535237691472</v>
      </c>
      <c r="F203" s="116">
        <f t="shared" si="8"/>
        <v>56.878484770122299</v>
      </c>
      <c r="G203" s="116">
        <f t="shared" si="8"/>
        <v>52.575072862152595</v>
      </c>
      <c r="H203" s="116">
        <f t="shared" si="8"/>
        <v>46.861551620716654</v>
      </c>
      <c r="I203" s="116">
        <f t="shared" si="8"/>
        <v>96.616160013859158</v>
      </c>
      <c r="J203" s="116">
        <f t="shared" si="8"/>
        <v>92.310676871906921</v>
      </c>
      <c r="K203" s="116">
        <f t="shared" si="8"/>
        <v>4.9280094260675789</v>
      </c>
    </row>
    <row r="204" spans="3:11" x14ac:dyDescent="0.2">
      <c r="C204" s="87" t="s">
        <v>142</v>
      </c>
      <c r="D204" s="47">
        <f t="shared" ref="D204:K213" si="9">+IFERROR(IF(D162&gt;0,+((D162/D35)*100)," "),"")</f>
        <v>94.675425862498017</v>
      </c>
      <c r="E204" s="47">
        <f t="shared" si="9"/>
        <v>88.708437031656317</v>
      </c>
      <c r="F204" s="47">
        <f t="shared" si="9"/>
        <v>38.644484520050341</v>
      </c>
      <c r="G204" s="47">
        <f t="shared" si="9"/>
        <v>64.509267147209087</v>
      </c>
      <c r="H204" s="47">
        <f t="shared" si="9"/>
        <v>91.379216131340627</v>
      </c>
      <c r="I204" s="47">
        <f t="shared" si="9"/>
        <v>89.335568662232362</v>
      </c>
      <c r="J204" s="47">
        <f t="shared" si="9"/>
        <v>94.745446809324847</v>
      </c>
      <c r="K204" s="47">
        <f t="shared" si="9"/>
        <v>7.32533655929325</v>
      </c>
    </row>
    <row r="205" spans="3:11" x14ac:dyDescent="0.2">
      <c r="C205" s="88" t="s">
        <v>143</v>
      </c>
      <c r="D205" s="116">
        <f t="shared" si="9"/>
        <v>79.592656028368808</v>
      </c>
      <c r="E205" s="116" t="str">
        <f t="shared" si="9"/>
        <v xml:space="preserve"> </v>
      </c>
      <c r="F205" s="116">
        <f t="shared" si="9"/>
        <v>74.253576611111114</v>
      </c>
      <c r="G205" s="116" t="str">
        <f t="shared" si="9"/>
        <v xml:space="preserve"> </v>
      </c>
      <c r="H205" s="116">
        <f t="shared" si="9"/>
        <v>97.497474999999994</v>
      </c>
      <c r="I205" s="116" t="str">
        <f t="shared" si="9"/>
        <v xml:space="preserve"> </v>
      </c>
      <c r="J205" s="116" t="str">
        <f t="shared" si="9"/>
        <v xml:space="preserve"> </v>
      </c>
      <c r="K205" s="116" t="str">
        <f t="shared" si="9"/>
        <v xml:space="preserve"> </v>
      </c>
    </row>
    <row r="206" spans="3:11" x14ac:dyDescent="0.2">
      <c r="C206" s="87" t="s">
        <v>144</v>
      </c>
      <c r="D206" s="47" t="str">
        <f t="shared" si="9"/>
        <v xml:space="preserve"> </v>
      </c>
      <c r="E206" s="47" t="str">
        <f t="shared" si="9"/>
        <v xml:space="preserve"> </v>
      </c>
      <c r="F206" s="47" t="str">
        <f t="shared" si="9"/>
        <v xml:space="preserve"> </v>
      </c>
      <c r="G206" s="47" t="str">
        <f t="shared" si="9"/>
        <v xml:space="preserve"> </v>
      </c>
      <c r="H206" s="47" t="str">
        <f t="shared" si="9"/>
        <v xml:space="preserve"> </v>
      </c>
      <c r="I206" s="47" t="str">
        <f t="shared" si="9"/>
        <v xml:space="preserve"> </v>
      </c>
      <c r="J206" s="47" t="str">
        <f t="shared" si="9"/>
        <v xml:space="preserve"> </v>
      </c>
      <c r="K206" s="47" t="str">
        <f t="shared" si="9"/>
        <v xml:space="preserve"> </v>
      </c>
    </row>
    <row r="207" spans="3:11" x14ac:dyDescent="0.2">
      <c r="C207" s="88" t="s">
        <v>145</v>
      </c>
      <c r="D207" s="116">
        <f t="shared" si="9"/>
        <v>96.589025605283894</v>
      </c>
      <c r="E207" s="116">
        <f t="shared" si="9"/>
        <v>91.732587830724356</v>
      </c>
      <c r="F207" s="116">
        <f t="shared" si="9"/>
        <v>85.700492266341399</v>
      </c>
      <c r="G207" s="116">
        <f t="shared" si="9"/>
        <v>68.174207209974227</v>
      </c>
      <c r="H207" s="116">
        <f t="shared" si="9"/>
        <v>67.70864480902604</v>
      </c>
      <c r="I207" s="116">
        <f t="shared" si="9"/>
        <v>65.041551961483108</v>
      </c>
      <c r="J207" s="116">
        <f t="shared" si="9"/>
        <v>78.470849325557325</v>
      </c>
      <c r="K207" s="116">
        <f t="shared" si="9"/>
        <v>5.4059535135066366</v>
      </c>
    </row>
    <row r="208" spans="3:11" x14ac:dyDescent="0.2">
      <c r="C208" s="87" t="s">
        <v>146</v>
      </c>
      <c r="D208" s="47">
        <f t="shared" si="9"/>
        <v>96.465945573145262</v>
      </c>
      <c r="E208" s="47">
        <f t="shared" si="9"/>
        <v>62.410339498296644</v>
      </c>
      <c r="F208" s="47">
        <f t="shared" si="9"/>
        <v>95.950200341016028</v>
      </c>
      <c r="G208" s="47">
        <f t="shared" si="9"/>
        <v>95.972398062873779</v>
      </c>
      <c r="H208" s="47">
        <f t="shared" si="9"/>
        <v>94.943963276028015</v>
      </c>
      <c r="I208" s="47">
        <f t="shared" si="9"/>
        <v>95.23264978163138</v>
      </c>
      <c r="J208" s="47">
        <f t="shared" si="9"/>
        <v>93.156344593846313</v>
      </c>
      <c r="K208" s="47">
        <f t="shared" si="9"/>
        <v>22.726949244302851</v>
      </c>
    </row>
    <row r="209" spans="1:11" x14ac:dyDescent="0.2">
      <c r="C209" s="88" t="s">
        <v>162</v>
      </c>
      <c r="D209" s="116">
        <f t="shared" si="9"/>
        <v>90.908464631373974</v>
      </c>
      <c r="E209" s="116">
        <f t="shared" si="9"/>
        <v>87.789675836558345</v>
      </c>
      <c r="F209" s="116">
        <f t="shared" si="9"/>
        <v>82.927063295752475</v>
      </c>
      <c r="G209" s="116">
        <f t="shared" si="9"/>
        <v>85.183229326456626</v>
      </c>
      <c r="H209" s="116">
        <f t="shared" si="9"/>
        <v>85.887968090199777</v>
      </c>
      <c r="I209" s="116">
        <f t="shared" si="9"/>
        <v>86.124290490628809</v>
      </c>
      <c r="J209" s="116">
        <f t="shared" si="9"/>
        <v>87.89484685262623</v>
      </c>
      <c r="K209" s="116">
        <f t="shared" si="9"/>
        <v>7.6620719993553532</v>
      </c>
    </row>
    <row r="210" spans="1:11" x14ac:dyDescent="0.2">
      <c r="C210" s="87" t="s">
        <v>148</v>
      </c>
      <c r="D210" s="47" t="str">
        <f t="shared" si="9"/>
        <v xml:space="preserve"> </v>
      </c>
      <c r="E210" s="47" t="str">
        <f t="shared" si="9"/>
        <v xml:space="preserve"> </v>
      </c>
      <c r="F210" s="47" t="str">
        <f t="shared" si="9"/>
        <v xml:space="preserve"> </v>
      </c>
      <c r="G210" s="47" t="str">
        <f t="shared" si="9"/>
        <v xml:space="preserve"> </v>
      </c>
      <c r="H210" s="47" t="str">
        <f t="shared" si="9"/>
        <v xml:space="preserve"> </v>
      </c>
      <c r="I210" s="47" t="str">
        <f t="shared" si="9"/>
        <v xml:space="preserve"> </v>
      </c>
      <c r="J210" s="47" t="str">
        <f t="shared" si="9"/>
        <v xml:space="preserve"> </v>
      </c>
      <c r="K210" s="47" t="str">
        <f t="shared" si="9"/>
        <v xml:space="preserve"> </v>
      </c>
    </row>
    <row r="211" spans="1:11" x14ac:dyDescent="0.2">
      <c r="C211" s="88" t="s">
        <v>149</v>
      </c>
      <c r="D211" s="116">
        <f t="shared" si="9"/>
        <v>93.769178016369196</v>
      </c>
      <c r="E211" s="116">
        <f t="shared" si="9"/>
        <v>95.83456420917345</v>
      </c>
      <c r="F211" s="116">
        <f t="shared" si="9"/>
        <v>82.718320508982458</v>
      </c>
      <c r="G211" s="116">
        <f t="shared" si="9"/>
        <v>83.581177935380751</v>
      </c>
      <c r="H211" s="116">
        <f t="shared" si="9"/>
        <v>95.917752206885083</v>
      </c>
      <c r="I211" s="116">
        <f t="shared" si="9"/>
        <v>94.211854677316566</v>
      </c>
      <c r="J211" s="116">
        <f t="shared" si="9"/>
        <v>81.171678853987387</v>
      </c>
      <c r="K211" s="116">
        <f t="shared" si="9"/>
        <v>13.342368858492721</v>
      </c>
    </row>
    <row r="212" spans="1:11" x14ac:dyDescent="0.2">
      <c r="C212" s="87" t="s">
        <v>163</v>
      </c>
      <c r="D212" s="47">
        <f t="shared" si="9"/>
        <v>87.395558360283914</v>
      </c>
      <c r="E212" s="47">
        <f t="shared" si="9"/>
        <v>82.337823537785795</v>
      </c>
      <c r="F212" s="47">
        <f t="shared" si="9"/>
        <v>85.692910489429579</v>
      </c>
      <c r="G212" s="47">
        <f t="shared" si="9"/>
        <v>90.419488967475203</v>
      </c>
      <c r="H212" s="47">
        <f t="shared" si="9"/>
        <v>86.606217527655531</v>
      </c>
      <c r="I212" s="47">
        <f t="shared" si="9"/>
        <v>88.050337952944304</v>
      </c>
      <c r="J212" s="47">
        <f t="shared" si="9"/>
        <v>89.078943312047784</v>
      </c>
      <c r="K212" s="47">
        <f t="shared" si="9"/>
        <v>8.0200763471652277</v>
      </c>
    </row>
    <row r="213" spans="1:11" x14ac:dyDescent="0.2">
      <c r="C213" s="88" t="s">
        <v>150</v>
      </c>
      <c r="D213" s="116">
        <f t="shared" si="9"/>
        <v>93.845217416878938</v>
      </c>
      <c r="E213" s="116">
        <f t="shared" si="9"/>
        <v>92.387648377047711</v>
      </c>
      <c r="F213" s="116">
        <f t="shared" si="9"/>
        <v>81.675483425038436</v>
      </c>
      <c r="G213" s="116">
        <f t="shared" si="9"/>
        <v>85.108775077956096</v>
      </c>
      <c r="H213" s="116">
        <f t="shared" si="9"/>
        <v>88.21612887146533</v>
      </c>
      <c r="I213" s="116">
        <f t="shared" si="9"/>
        <v>86.999384167706467</v>
      </c>
      <c r="J213" s="116">
        <f t="shared" si="9"/>
        <v>92.102556825776034</v>
      </c>
      <c r="K213" s="116">
        <f t="shared" si="9"/>
        <v>22.787026168806545</v>
      </c>
    </row>
    <row r="214" spans="1:11" x14ac:dyDescent="0.2">
      <c r="C214" s="87" t="s">
        <v>151</v>
      </c>
      <c r="D214" s="47" t="str">
        <f t="shared" ref="D214:K215" si="10">+IFERROR(IF(D172&gt;0,+((D172/D45)*100)," "),"")</f>
        <v xml:space="preserve"> </v>
      </c>
      <c r="E214" s="47" t="str">
        <f t="shared" si="10"/>
        <v xml:space="preserve"> </v>
      </c>
      <c r="F214" s="47" t="str">
        <f t="shared" si="10"/>
        <v xml:space="preserve"> </v>
      </c>
      <c r="G214" s="47" t="str">
        <f t="shared" si="10"/>
        <v xml:space="preserve"> </v>
      </c>
      <c r="H214" s="47" t="str">
        <f t="shared" si="10"/>
        <v xml:space="preserve"> </v>
      </c>
      <c r="I214" s="47" t="str">
        <f t="shared" si="10"/>
        <v xml:space="preserve"> </v>
      </c>
      <c r="J214" s="47" t="str">
        <f t="shared" si="10"/>
        <v xml:space="preserve"> </v>
      </c>
      <c r="K214" s="47" t="str">
        <f t="shared" si="10"/>
        <v xml:space="preserve"> </v>
      </c>
    </row>
    <row r="215" spans="1:11" x14ac:dyDescent="0.2">
      <c r="C215" s="91" t="s">
        <v>179</v>
      </c>
      <c r="D215" s="64">
        <f t="shared" si="10"/>
        <v>91.847168022099396</v>
      </c>
      <c r="E215" s="64">
        <f t="shared" si="10"/>
        <v>90.847731934700121</v>
      </c>
      <c r="F215" s="64">
        <f t="shared" si="10"/>
        <v>77.62121282970466</v>
      </c>
      <c r="G215" s="64">
        <f t="shared" si="10"/>
        <v>86.654364153178946</v>
      </c>
      <c r="H215" s="64">
        <f t="shared" si="10"/>
        <v>85.536580756290576</v>
      </c>
      <c r="I215" s="64">
        <f t="shared" si="10"/>
        <v>88.811919393064116</v>
      </c>
      <c r="J215" s="64">
        <f t="shared" si="10"/>
        <v>93.244781152965444</v>
      </c>
      <c r="K215" s="64">
        <f t="shared" si="10"/>
        <v>21.05694230731973</v>
      </c>
    </row>
    <row r="216" spans="1:11" s="31" customFormat="1" x14ac:dyDescent="0.2">
      <c r="A216" s="5"/>
      <c r="B216" s="5"/>
      <c r="C216" s="72" t="str">
        <f>+'C1 Aprop Resumen 2000-2026'!B20</f>
        <v>* Información con corte a 28 de febrero</v>
      </c>
      <c r="D216" s="47"/>
      <c r="E216" s="47"/>
      <c r="F216" s="47"/>
      <c r="G216" s="47"/>
      <c r="H216" s="47"/>
      <c r="I216" s="47"/>
    </row>
    <row r="217" spans="1:11" x14ac:dyDescent="0.2">
      <c r="C217" s="1" t="s">
        <v>52</v>
      </c>
      <c r="D217" s="11"/>
      <c r="E217" s="11"/>
      <c r="F217" s="11"/>
    </row>
    <row r="218" spans="1:11" x14ac:dyDescent="0.2">
      <c r="E218" s="3"/>
      <c r="F218" s="3"/>
    </row>
    <row r="219" spans="1:11" x14ac:dyDescent="0.2">
      <c r="E219" s="3"/>
      <c r="F219" s="3"/>
    </row>
    <row r="220" spans="1:11" x14ac:dyDescent="0.2">
      <c r="E220" s="3"/>
      <c r="F220" s="3"/>
    </row>
    <row r="221" spans="1:11" ht="18" customHeight="1" x14ac:dyDescent="0.2">
      <c r="D221" s="160" t="s">
        <v>199</v>
      </c>
      <c r="E221" s="178"/>
      <c r="F221" s="178"/>
      <c r="G221" s="178"/>
      <c r="H221" s="178"/>
      <c r="I221" s="178"/>
      <c r="J221" s="178"/>
      <c r="K221" s="178"/>
    </row>
    <row r="222" spans="1:11" ht="15.75" customHeight="1" x14ac:dyDescent="0.2">
      <c r="C222" s="2"/>
      <c r="D222" s="2"/>
      <c r="E222" s="2"/>
      <c r="F222" s="2"/>
      <c r="G222" s="2"/>
      <c r="H222" s="2"/>
      <c r="I222" s="2"/>
      <c r="J222" s="2"/>
    </row>
    <row r="223" spans="1:11" x14ac:dyDescent="0.2">
      <c r="C223" s="177" t="s">
        <v>120</v>
      </c>
      <c r="D223" s="153">
        <v>2019</v>
      </c>
      <c r="E223" s="153">
        <v>2020</v>
      </c>
      <c r="F223" s="153">
        <v>2021</v>
      </c>
      <c r="G223" s="153">
        <v>2022</v>
      </c>
      <c r="H223" s="153">
        <v>2023</v>
      </c>
      <c r="I223" s="153">
        <v>2024</v>
      </c>
      <c r="J223" s="153">
        <v>2025</v>
      </c>
      <c r="K223" s="153" t="s">
        <v>36</v>
      </c>
    </row>
    <row r="224" spans="1:11" ht="12" customHeight="1" thickBot="1" x14ac:dyDescent="0.25">
      <c r="C224" s="156"/>
      <c r="D224" s="154"/>
      <c r="E224" s="154"/>
      <c r="F224" s="154"/>
      <c r="G224" s="154"/>
      <c r="H224" s="154"/>
      <c r="I224" s="154"/>
      <c r="J224" s="154"/>
      <c r="K224" s="154"/>
    </row>
    <row r="225" spans="3:11" x14ac:dyDescent="0.2">
      <c r="C225" s="87" t="s">
        <v>123</v>
      </c>
      <c r="D225" s="42">
        <f>7.6433122161*Deflactores!$T$5</f>
        <v>11.565114912513419</v>
      </c>
      <c r="E225" s="42">
        <f>8.92466547604*Deflactores!$U$5</f>
        <v>13.289965307163101</v>
      </c>
      <c r="F225" s="42">
        <f>12.49977829645*Deflactores!$V$5</f>
        <v>17.623333015848846</v>
      </c>
      <c r="G225" s="42">
        <f>11.4662582039399*Deflactores!$W$5</f>
        <v>14.291178986818082</v>
      </c>
      <c r="H225" s="42">
        <f>9.29820173368*Deflactores!$X$5</f>
        <v>10.604852179828756</v>
      </c>
      <c r="I225" s="42">
        <f>11.4271076543799*Deflactores!$Y$5</f>
        <v>12.38871419436215</v>
      </c>
      <c r="J225" s="42">
        <f>25.0782472574*Deflactores!$Z$5</f>
        <v>25.869282235125542</v>
      </c>
      <c r="K225" s="42">
        <f>2.460823621*Deflactores!$AA$5</f>
        <v>2.4608236209999999</v>
      </c>
    </row>
    <row r="226" spans="3:11" x14ac:dyDescent="0.2">
      <c r="C226" s="88" t="s">
        <v>124</v>
      </c>
      <c r="D226" s="50">
        <f>28.802891787*Deflactores!$T$5</f>
        <v>43.581727909489054</v>
      </c>
      <c r="E226" s="50">
        <f>31.792820814*Deflactores!$U$5</f>
        <v>47.343565623749683</v>
      </c>
      <c r="F226" s="50">
        <f>53.650168*Deflactores!$V$5</f>
        <v>75.640923750524635</v>
      </c>
      <c r="G226" s="50">
        <f>74.76395442*Deflactores!$W$5</f>
        <v>93.183411307744294</v>
      </c>
      <c r="H226" s="50">
        <f>82.011565*Deflactores!$X$5</f>
        <v>93.536422285947097</v>
      </c>
      <c r="I226" s="50">
        <f>93.368973295*Deflactores!$Y$5</f>
        <v>101.22609848078457</v>
      </c>
      <c r="J226" s="50">
        <f>97.483247939*Deflactores!$Z$5</f>
        <v>100.55813024917764</v>
      </c>
      <c r="K226" s="50">
        <f>100.1533*Deflactores!$AA$5</f>
        <v>100.1533</v>
      </c>
    </row>
    <row r="227" spans="3:11" x14ac:dyDescent="0.2">
      <c r="C227" s="87" t="s">
        <v>125</v>
      </c>
      <c r="D227" s="42">
        <f>0*Deflactores!$T$5</f>
        <v>0</v>
      </c>
      <c r="E227" s="42">
        <f>0*Deflactores!$U$5</f>
        <v>0</v>
      </c>
      <c r="F227" s="42">
        <f>0*Deflactores!$V$5</f>
        <v>0</v>
      </c>
      <c r="G227" s="42">
        <f>0*Deflactores!$W$5</f>
        <v>0</v>
      </c>
      <c r="H227" s="42">
        <f>0*Deflactores!$X$5</f>
        <v>0</v>
      </c>
      <c r="I227" s="42">
        <f>0*Deflactores!$Y$5</f>
        <v>0</v>
      </c>
      <c r="J227" s="42">
        <f>0*Deflactores!$Z$5</f>
        <v>0</v>
      </c>
      <c r="K227" s="42">
        <f>0*Deflactores!$AA$5</f>
        <v>0</v>
      </c>
    </row>
    <row r="228" spans="3:11" x14ac:dyDescent="0.2">
      <c r="C228" s="88" t="s">
        <v>126</v>
      </c>
      <c r="D228" s="50">
        <f>190.72339047619*Deflactores!$T$5</f>
        <v>288.58404118506394</v>
      </c>
      <c r="E228" s="50">
        <f>177.98030566855*Deflactores!$U$5</f>
        <v>265.03537796946688</v>
      </c>
      <c r="F228" s="50">
        <f>215.22459463446*Deflactores!$V$5</f>
        <v>303.443358313114</v>
      </c>
      <c r="G228" s="50">
        <f>237.23220970334*Deflactores!$W$5</f>
        <v>295.67866953701156</v>
      </c>
      <c r="H228" s="50">
        <f>261.92510772613*Deflactores!$X$5</f>
        <v>298.73271511845286</v>
      </c>
      <c r="I228" s="50">
        <f>306.9694224145*Deflactores!$Y$5</f>
        <v>332.80131383412936</v>
      </c>
      <c r="J228" s="50">
        <f>318.79860719928*Deflactores!$Z$5</f>
        <v>328.85436773774444</v>
      </c>
      <c r="K228" s="50">
        <f>31.31755593658*Deflactores!$AA$5</f>
        <v>31.31755593658</v>
      </c>
    </row>
    <row r="229" spans="3:11" x14ac:dyDescent="0.2">
      <c r="C229" s="87" t="s">
        <v>127</v>
      </c>
      <c r="D229" s="42">
        <f>0*Deflactores!$T$5</f>
        <v>0</v>
      </c>
      <c r="E229" s="42">
        <f>0*Deflactores!$U$5</f>
        <v>0</v>
      </c>
      <c r="F229" s="42">
        <f>0*Deflactores!$V$5</f>
        <v>0</v>
      </c>
      <c r="G229" s="42">
        <f>0*Deflactores!$W$5</f>
        <v>0</v>
      </c>
      <c r="H229" s="42">
        <f>0*Deflactores!$X$5</f>
        <v>0</v>
      </c>
      <c r="I229" s="42">
        <f>0*Deflactores!$Y$5</f>
        <v>0</v>
      </c>
      <c r="J229" s="42">
        <f>0*Deflactores!$Z$5</f>
        <v>0</v>
      </c>
      <c r="K229" s="42">
        <f>0*Deflactores!$AA$5</f>
        <v>0</v>
      </c>
    </row>
    <row r="230" spans="3:11" x14ac:dyDescent="0.2">
      <c r="C230" s="88" t="s">
        <v>128</v>
      </c>
      <c r="D230" s="50">
        <f>2.85596771840999*Deflactores!$T$5</f>
        <v>4.3213719282938898</v>
      </c>
      <c r="E230" s="50">
        <f>3.22400627168999*Deflactores!$U$5</f>
        <v>4.8009565866493427</v>
      </c>
      <c r="F230" s="50">
        <f>3.80674399182*Deflactores!$V$5</f>
        <v>5.3670965582628636</v>
      </c>
      <c r="G230" s="50">
        <f>4.37055879621*Deflactores!$W$5</f>
        <v>5.4473252667193011</v>
      </c>
      <c r="H230" s="50">
        <f>3.30665413691999*Deflactores!$X$5</f>
        <v>3.7713290522443033</v>
      </c>
      <c r="I230" s="50">
        <f>2.42843302132*Deflactores!$Y$5</f>
        <v>2.6327889393562764</v>
      </c>
      <c r="J230" s="50">
        <f>3.85291038163*Deflactores!$Z$5</f>
        <v>3.9744414777480461</v>
      </c>
      <c r="K230" s="50">
        <f>0.119553061*Deflactores!$AA$5</f>
        <v>0.119553061</v>
      </c>
    </row>
    <row r="231" spans="3:11" x14ac:dyDescent="0.2">
      <c r="C231" s="87" t="s">
        <v>129</v>
      </c>
      <c r="D231" s="42">
        <f>1788.78677301327*Deflactores!$T$5</f>
        <v>2706.6177592884378</v>
      </c>
      <c r="E231" s="42">
        <f>1654.53268533829*Deflactores!$U$5</f>
        <v>2463.8102175085633</v>
      </c>
      <c r="F231" s="42">
        <f>1642.2766971504*Deflactores!$V$5</f>
        <v>2315.4321982070373</v>
      </c>
      <c r="G231" s="42">
        <f>2373.56203356183*Deflactores!$W$5</f>
        <v>2958.3321127630365</v>
      </c>
      <c r="H231" s="42">
        <f>2126.02528123377*Deflactores!$X$5</f>
        <v>2424.7897049163898</v>
      </c>
      <c r="I231" s="42">
        <f>2268.09951929712*Deflactores!$Y$5</f>
        <v>2458.9631566280191</v>
      </c>
      <c r="J231" s="42">
        <f>2372.58737840405*Deflactores!$Z$5</f>
        <v>2447.4251286169942</v>
      </c>
      <c r="K231" s="42">
        <f>161.87108989044*Deflactores!$AA$5</f>
        <v>161.87108989044</v>
      </c>
    </row>
    <row r="232" spans="3:11" x14ac:dyDescent="0.2">
      <c r="C232" s="88" t="s">
        <v>130</v>
      </c>
      <c r="D232" s="50">
        <f>0*Deflactores!$T$5</f>
        <v>0</v>
      </c>
      <c r="E232" s="50">
        <f>0*Deflactores!$U$5</f>
        <v>0</v>
      </c>
      <c r="F232" s="50">
        <f>0*Deflactores!$V$5</f>
        <v>0</v>
      </c>
      <c r="G232" s="50">
        <f>0*Deflactores!$W$5</f>
        <v>0</v>
      </c>
      <c r="H232" s="50">
        <f>0*Deflactores!$X$5</f>
        <v>0</v>
      </c>
      <c r="I232" s="50">
        <f>0*Deflactores!$Y$5</f>
        <v>0</v>
      </c>
      <c r="J232" s="50">
        <f>0*Deflactores!$Z$5</f>
        <v>0</v>
      </c>
      <c r="K232" s="50">
        <f>0*Deflactores!$AA$5</f>
        <v>0</v>
      </c>
    </row>
    <row r="233" spans="3:11" x14ac:dyDescent="0.2">
      <c r="C233" s="87" t="s">
        <v>131</v>
      </c>
      <c r="D233" s="42">
        <f>12.9184966726999*Deflactores!$T$5</f>
        <v>19.547009763907035</v>
      </c>
      <c r="E233" s="42">
        <f>12.23330837383*Deflactores!$U$5</f>
        <v>18.216956626162276</v>
      </c>
      <c r="F233" s="42">
        <f>13.54976569494*Deflactores!$V$5</f>
        <v>19.103701478967057</v>
      </c>
      <c r="G233" s="42">
        <f>15.54836412399*Deflactores!$W$5</f>
        <v>19.378985776878004</v>
      </c>
      <c r="H233" s="42">
        <f>19.26735193255*Deflactores!$X$5</f>
        <v>21.974939347821927</v>
      </c>
      <c r="I233" s="42">
        <f>23.68236938118*Deflactores!$Y$5</f>
        <v>25.675272744656176</v>
      </c>
      <c r="J233" s="42">
        <f>27.3446801015999*Deflactores!$Z$5</f>
        <v>28.207204431672388</v>
      </c>
      <c r="K233" s="42">
        <f>1.50157784913*Deflactores!$AA$5</f>
        <v>1.50157784913</v>
      </c>
    </row>
    <row r="234" spans="3:11" x14ac:dyDescent="0.2">
      <c r="C234" s="88" t="s">
        <v>132</v>
      </c>
      <c r="D234" s="50">
        <f>54.8841119691599*Deflactores!$T$5</f>
        <v>83.045287677449352</v>
      </c>
      <c r="E234" s="50">
        <f>53.58927134834*Deflactores!$U$5</f>
        <v>79.801260783121378</v>
      </c>
      <c r="F234" s="50">
        <f>61.6501419583099*Deflactores!$V$5</f>
        <v>86.920020214615903</v>
      </c>
      <c r="G234" s="50">
        <f>105.05815230397*Deflactores!$W$5</f>
        <v>130.94113457906738</v>
      </c>
      <c r="H234" s="50">
        <f>125.374838550019*Deflactores!$X$5</f>
        <v>142.99341614377209</v>
      </c>
      <c r="I234" s="50">
        <f>138.10571817588*Deflactores!$Y$5</f>
        <v>149.72750085471645</v>
      </c>
      <c r="J234" s="50">
        <f>153.407260434419*Deflactores!$Z$5</f>
        <v>158.24613563949814</v>
      </c>
      <c r="K234" s="50">
        <f>15.10018398397*Deflactores!$AA$5</f>
        <v>15.10018398397</v>
      </c>
    </row>
    <row r="235" spans="3:11" x14ac:dyDescent="0.2">
      <c r="C235" s="87" t="s">
        <v>133</v>
      </c>
      <c r="D235" s="42">
        <f>9.10214169269*Deflactores!$T$5</f>
        <v>13.772473457803075</v>
      </c>
      <c r="E235" s="42">
        <f>8.41661627753*Deflactores!$U$5</f>
        <v>12.53341524479305</v>
      </c>
      <c r="F235" s="42">
        <f>14.27470357919*Deflactores!$V$5</f>
        <v>20.125785346932222</v>
      </c>
      <c r="G235" s="42">
        <f>14.75774493492*Deflactores!$W$5</f>
        <v>18.39358320347965</v>
      </c>
      <c r="H235" s="42">
        <f>17.55896451118*Deflactores!$X$5</f>
        <v>20.026476990430446</v>
      </c>
      <c r="I235" s="42">
        <f>18.63370373746*Deflactores!$Y$5</f>
        <v>20.201755069431595</v>
      </c>
      <c r="J235" s="42">
        <f>20.50514984792*Deflactores!$Z$5</f>
        <v>21.151937104889168</v>
      </c>
      <c r="K235" s="42">
        <f>1.822943345*Deflactores!$AA$5</f>
        <v>1.8229433450000001</v>
      </c>
    </row>
    <row r="236" spans="3:11" x14ac:dyDescent="0.2">
      <c r="C236" s="88" t="s">
        <v>134</v>
      </c>
      <c r="D236" s="50">
        <f>192.211700015229*Deflactores!$T$5</f>
        <v>290.83600608689267</v>
      </c>
      <c r="E236" s="50">
        <f>206.11269131448*Deflactores!$U$5</f>
        <v>306.92808870981816</v>
      </c>
      <c r="F236" s="50">
        <f>222.45625189377*Deflactores!$V$5</f>
        <v>313.63921148064549</v>
      </c>
      <c r="G236" s="50">
        <f>248.589179642009*Deflactores!$W$5</f>
        <v>309.83363511119182</v>
      </c>
      <c r="H236" s="50">
        <f>278.22472687866*Deflactores!$X$5</f>
        <v>317.32287444721527</v>
      </c>
      <c r="I236" s="50">
        <f>306.46751002457*Deflactores!$Y$5</f>
        <v>332.2571648388174</v>
      </c>
      <c r="J236" s="50">
        <f>328.37787150234*Deflactores!$Z$5</f>
        <v>338.73578765187335</v>
      </c>
      <c r="K236" s="50">
        <f>38.10484454822*Deflactores!$AA$5</f>
        <v>38.104844548220001</v>
      </c>
    </row>
    <row r="237" spans="3:11" x14ac:dyDescent="0.2">
      <c r="C237" s="87" t="s">
        <v>135</v>
      </c>
      <c r="D237" s="42">
        <f>0*Deflactores!$T$5</f>
        <v>0</v>
      </c>
      <c r="E237" s="42">
        <f>0*Deflactores!$U$5</f>
        <v>0</v>
      </c>
      <c r="F237" s="42">
        <f>0*Deflactores!$V$5</f>
        <v>0</v>
      </c>
      <c r="G237" s="42">
        <f>0*Deflactores!$W$5</f>
        <v>0</v>
      </c>
      <c r="H237" s="42">
        <f>0*Deflactores!$X$5</f>
        <v>0</v>
      </c>
      <c r="I237" s="42">
        <f>872.28240585576*Deflactores!$Y$5</f>
        <v>945.68614821578296</v>
      </c>
      <c r="J237" s="42">
        <f>1099.20366994319*Deflactores!$Z$5</f>
        <v>1133.8754929635479</v>
      </c>
      <c r="K237" s="42">
        <f>112.37152553754*Deflactores!$AA$5</f>
        <v>112.37152553753999</v>
      </c>
    </row>
    <row r="238" spans="3:11" x14ac:dyDescent="0.2">
      <c r="C238" s="88" t="s">
        <v>136</v>
      </c>
      <c r="D238" s="50">
        <f>568.16674490513*Deflactores!$T$5</f>
        <v>859.69452882684095</v>
      </c>
      <c r="E238" s="50">
        <f>591.786339662*Deflactores!$U$5</f>
        <v>881.24534689570817</v>
      </c>
      <c r="F238" s="50">
        <f>611.15252811131*Deflactores!$V$5</f>
        <v>861.65884473666438</v>
      </c>
      <c r="G238" s="50">
        <f>670.67752493621*Deflactores!$W$5</f>
        <v>835.91110376409631</v>
      </c>
      <c r="H238" s="50">
        <f>708.45883268428*Deflactores!$X$5</f>
        <v>808.01658334609203</v>
      </c>
      <c r="I238" s="50">
        <f>0.83410458289*Deflactores!$Y$5</f>
        <v>0.90429560989312452</v>
      </c>
      <c r="J238" s="50">
        <f>31.62720305825*Deflactores!$Z$5</f>
        <v>32.62480961384059</v>
      </c>
      <c r="K238" s="50">
        <f>0*Deflactores!$AA$5</f>
        <v>0</v>
      </c>
    </row>
    <row r="239" spans="3:11" x14ac:dyDescent="0.2">
      <c r="C239" s="87" t="s">
        <v>137</v>
      </c>
      <c r="D239" s="42">
        <f>3.46078904031*Deflactores!$T$5</f>
        <v>5.2365285896399829</v>
      </c>
      <c r="E239" s="42">
        <f>4.68910216896*Deflactores!$U$5</f>
        <v>6.9826712625281537</v>
      </c>
      <c r="F239" s="42">
        <f>5.77385591295*Deflactores!$V$5</f>
        <v>8.1405112255746666</v>
      </c>
      <c r="G239" s="42">
        <f>5.95258738355*Deflactores!$W$5</f>
        <v>7.4191153050920855</v>
      </c>
      <c r="H239" s="42">
        <f>2.03506552484*Deflactores!$X$5</f>
        <v>2.32104762677077</v>
      </c>
      <c r="I239" s="42">
        <f>7.61813131968*Deflactores!$Y$5</f>
        <v>8.2592073575556064</v>
      </c>
      <c r="J239" s="42">
        <f>7.68171184290999*Deflactores!$Z$5</f>
        <v>7.9240135753309948</v>
      </c>
      <c r="K239" s="42">
        <f>0.65022818747*Deflactores!$AA$5</f>
        <v>0.65022818747</v>
      </c>
    </row>
    <row r="240" spans="3:11" x14ac:dyDescent="0.2">
      <c r="C240" s="88" t="s">
        <v>138</v>
      </c>
      <c r="D240" s="50">
        <f>0*Deflactores!$T$5</f>
        <v>0</v>
      </c>
      <c r="E240" s="50">
        <f>0*Deflactores!$U$5</f>
        <v>0</v>
      </c>
      <c r="F240" s="50">
        <f>0*Deflactores!$V$5</f>
        <v>0</v>
      </c>
      <c r="G240" s="50">
        <f>0*Deflactores!$W$5</f>
        <v>0</v>
      </c>
      <c r="H240" s="50">
        <f>0*Deflactores!$X$5</f>
        <v>0</v>
      </c>
      <c r="I240" s="50">
        <f>0*Deflactores!$Y$5</f>
        <v>0</v>
      </c>
      <c r="J240" s="50">
        <f>0*Deflactores!$Z$5</f>
        <v>0</v>
      </c>
      <c r="K240" s="50">
        <f>0*Deflactores!$AA$5</f>
        <v>0</v>
      </c>
    </row>
    <row r="241" spans="3:11" x14ac:dyDescent="0.2">
      <c r="C241" s="87" t="s">
        <v>160</v>
      </c>
      <c r="D241" s="42">
        <f>80.4385918922399*Deflactores!$T$5</f>
        <v>121.71183543633926</v>
      </c>
      <c r="E241" s="42">
        <f>54.02429625702*Deflactores!$U$5</f>
        <v>80.449068363095165</v>
      </c>
      <c r="F241" s="42">
        <f>106.49085893182*Deflactores!$V$5</f>
        <v>150.14057254377417</v>
      </c>
      <c r="G241" s="42">
        <f>109.88018076664*Deflactores!$W$5</f>
        <v>136.95115725724753</v>
      </c>
      <c r="H241" s="42">
        <f>140.13500993934*Deflactores!$X$5</f>
        <v>159.82779339391337</v>
      </c>
      <c r="I241" s="42">
        <f>182.96925315366*Deflactores!$Y$5</f>
        <v>198.36636288341646</v>
      </c>
      <c r="J241" s="42">
        <f>160.82773407621*Deflactores!$Z$5</f>
        <v>165.90067086229598</v>
      </c>
      <c r="K241" s="42">
        <f>9.26179631151*Deflactores!$AA$5</f>
        <v>9.2617963115100004</v>
      </c>
    </row>
    <row r="242" spans="3:11" x14ac:dyDescent="0.2">
      <c r="C242" s="88" t="s">
        <v>161</v>
      </c>
      <c r="D242" s="50">
        <f>347.92618727841*Deflactores!$T$5</f>
        <v>526.44798788562684</v>
      </c>
      <c r="E242" s="50">
        <f>382.1185081361*Deflactores!$U$5</f>
        <v>569.02320092416755</v>
      </c>
      <c r="F242" s="50">
        <f>380.74700448393*Deflactores!$V$5</f>
        <v>536.8120214350422</v>
      </c>
      <c r="G242" s="50">
        <f>430.81910690281*Deflactores!$W$5</f>
        <v>536.95921181799361</v>
      </c>
      <c r="H242" s="50">
        <f>492.689909608969*Deflactores!$X$5</f>
        <v>561.92625322062349</v>
      </c>
      <c r="I242" s="50">
        <f>549.960979743179*Deflactores!$Y$5</f>
        <v>596.24093884143645</v>
      </c>
      <c r="J242" s="50">
        <f>547.9046920913*Deflactores!$Z$5</f>
        <v>565.18707117687472</v>
      </c>
      <c r="K242" s="50">
        <f>38.5310996545299*Deflactores!$AA$5</f>
        <v>38.531099654529903</v>
      </c>
    </row>
    <row r="243" spans="3:11" x14ac:dyDescent="0.2">
      <c r="C243" s="87" t="s">
        <v>140</v>
      </c>
      <c r="D243" s="42">
        <f>441.82987522844*Deflactores!$T$5</f>
        <v>668.53389398839147</v>
      </c>
      <c r="E243" s="42">
        <f>918.47537870202*Deflactores!$U$5</f>
        <v>1367.7269978582474</v>
      </c>
      <c r="F243" s="42">
        <f>940.44410758597*Deflactores!$V$5</f>
        <v>1325.9242922322358</v>
      </c>
      <c r="G243" s="42">
        <f>627.11512782733*Deflactores!$W$5</f>
        <v>781.61631961525029</v>
      </c>
      <c r="H243" s="42">
        <f>1419.61396362005*Deflactores!$X$5</f>
        <v>1619.1083682428464</v>
      </c>
      <c r="I243" s="42">
        <f>4131.92321441098*Deflactores!$Y$5</f>
        <v>4479.6301325442973</v>
      </c>
      <c r="J243" s="42">
        <f>3369.26539849057*Deflactores!$Z$5</f>
        <v>3475.5410385738296</v>
      </c>
      <c r="K243" s="42">
        <f>1647.65739992354*Deflactores!$AA$5</f>
        <v>1647.65739992354</v>
      </c>
    </row>
    <row r="244" spans="3:11" x14ac:dyDescent="0.2">
      <c r="C244" s="88" t="s">
        <v>141</v>
      </c>
      <c r="D244" s="50">
        <f>15.66657665377*Deflactores!$T$5</f>
        <v>23.705136485841482</v>
      </c>
      <c r="E244" s="50">
        <f>10.24848976612*Deflactores!$U$5</f>
        <v>15.261308539598694</v>
      </c>
      <c r="F244" s="50">
        <f>11.5963572428999*Deflactores!$V$5</f>
        <v>16.349607218266968</v>
      </c>
      <c r="G244" s="50">
        <f>15.18933317819*Deflactores!$W$5</f>
        <v>18.931501042366151</v>
      </c>
      <c r="H244" s="50">
        <f>19.92280871214*Deflactores!$X$5</f>
        <v>22.722505646866665</v>
      </c>
      <c r="I244" s="50">
        <f>16.9207066514599*Deflactores!$Y$5</f>
        <v>18.34460696545829</v>
      </c>
      <c r="J244" s="50">
        <f>17.07866379906*Deflactores!$Z$5</f>
        <v>17.617370523625251</v>
      </c>
      <c r="K244" s="50">
        <f>1.046449496*Deflactores!$AA$5</f>
        <v>1.0464494959999999</v>
      </c>
    </row>
    <row r="245" spans="3:11" x14ac:dyDescent="0.2">
      <c r="C245" s="87" t="s">
        <v>142</v>
      </c>
      <c r="D245" s="42">
        <f>110.72861228309*Deflactores!$T$5</f>
        <v>167.54374137165647</v>
      </c>
      <c r="E245" s="42">
        <f>271.357245933949*Deflactores!$U$5</f>
        <v>404.08555300939821</v>
      </c>
      <c r="F245" s="42">
        <f>268.0264349543*Deflactores!$V$5</f>
        <v>377.8882319530324</v>
      </c>
      <c r="G245" s="42">
        <f>171.74928832994*Deflactores!$W$5</f>
        <v>214.06284218668759</v>
      </c>
      <c r="H245" s="42">
        <f>270.295688310549*Deflactores!$X$5</f>
        <v>308.27959012715149</v>
      </c>
      <c r="I245" s="42">
        <f>231.93265660341*Deflactores!$Y$5</f>
        <v>251.4501028523575</v>
      </c>
      <c r="J245" s="42">
        <f>207.58117105576*Deflactores!$Z$5</f>
        <v>214.12883626286023</v>
      </c>
      <c r="K245" s="42">
        <f>23.22314830036*Deflactores!$AA$5</f>
        <v>23.223148300359998</v>
      </c>
    </row>
    <row r="246" spans="3:11" x14ac:dyDescent="0.2">
      <c r="C246" s="88" t="s">
        <v>143</v>
      </c>
      <c r="D246" s="50">
        <f>0.067335387*Deflactores!$T$5</f>
        <v>0.1018853432014995</v>
      </c>
      <c r="E246" s="50">
        <f>0*Deflactores!$U$5</f>
        <v>0</v>
      </c>
      <c r="F246" s="50">
        <f>0.01336564379*Deflactores!$V$5</f>
        <v>1.884410954306915E-2</v>
      </c>
      <c r="G246" s="50">
        <f>0*Deflactores!$W$5</f>
        <v>0</v>
      </c>
      <c r="H246" s="50">
        <f>0.003899899*Deflactores!$X$5</f>
        <v>4.4479409670641302E-3</v>
      </c>
      <c r="I246" s="50">
        <f>0*Deflactores!$Y$5</f>
        <v>0</v>
      </c>
      <c r="J246" s="50">
        <f>0*Deflactores!$Z$5</f>
        <v>0</v>
      </c>
      <c r="K246" s="50">
        <f>0*Deflactores!$AA$5</f>
        <v>0</v>
      </c>
    </row>
    <row r="247" spans="3:11" x14ac:dyDescent="0.2">
      <c r="C247" s="87" t="s">
        <v>144</v>
      </c>
      <c r="D247" s="42">
        <f>0*Deflactores!$T$5</f>
        <v>0</v>
      </c>
      <c r="E247" s="42">
        <f>0*Deflactores!$U$5</f>
        <v>0</v>
      </c>
      <c r="F247" s="42">
        <f>0*Deflactores!$V$5</f>
        <v>0</v>
      </c>
      <c r="G247" s="42">
        <f>0*Deflactores!$W$5</f>
        <v>0</v>
      </c>
      <c r="H247" s="42">
        <f>0*Deflactores!$X$5</f>
        <v>0</v>
      </c>
      <c r="I247" s="42">
        <f>0*Deflactores!$Y$5</f>
        <v>0</v>
      </c>
      <c r="J247" s="42">
        <f>0*Deflactores!$Z$5</f>
        <v>0</v>
      </c>
      <c r="K247" s="42">
        <f>0*Deflactores!$AA$5</f>
        <v>0</v>
      </c>
    </row>
    <row r="248" spans="3:11" x14ac:dyDescent="0.2">
      <c r="C248" s="88" t="s">
        <v>145</v>
      </c>
      <c r="D248" s="50">
        <f>42.52678396565*Deflactores!$T$5</f>
        <v>64.347383636426954</v>
      </c>
      <c r="E248" s="50">
        <f>37.50261498622*Deflactores!$U$5</f>
        <v>55.846177476660976</v>
      </c>
      <c r="F248" s="50">
        <f>43.40157600079*Deflactores!$V$5</f>
        <v>61.191519492135733</v>
      </c>
      <c r="G248" s="50">
        <f>49.24727896457*Deflactores!$W$5</f>
        <v>61.380239811327378</v>
      </c>
      <c r="H248" s="50">
        <f>51.5333397631499*Deflactores!$X$5</f>
        <v>58.775176767949461</v>
      </c>
      <c r="I248" s="50">
        <f>59.5504648490499*Deflactores!$Y$5</f>
        <v>64.5617168814818</v>
      </c>
      <c r="J248" s="50">
        <f>68.40726089793*Deflactores!$Z$5</f>
        <v>70.565008827649933</v>
      </c>
      <c r="K248" s="50">
        <f>4.43761285197999*Deflactores!$AA$5</f>
        <v>4.4376128519799902</v>
      </c>
    </row>
    <row r="249" spans="3:11" x14ac:dyDescent="0.2">
      <c r="C249" s="87" t="s">
        <v>146</v>
      </c>
      <c r="D249" s="42">
        <f>190.99201701782*Deflactores!$T$5</f>
        <v>288.99050067993556</v>
      </c>
      <c r="E249" s="42">
        <f>115.68179876632*Deflactores!$U$5</f>
        <v>172.26495451309455</v>
      </c>
      <c r="F249" s="42">
        <f>213.840864598989*Deflactores!$V$5</f>
        <v>301.49244889369942</v>
      </c>
      <c r="G249" s="42">
        <f>190.46715052002*Deflactores!$W$5</f>
        <v>237.39218939405404</v>
      </c>
      <c r="H249" s="42">
        <f>198.532640218479*Deflactores!$X$5</f>
        <v>226.43188034540805</v>
      </c>
      <c r="I249" s="42">
        <f>321.01488957699*Deflactores!$Y$5</f>
        <v>348.02872602497303</v>
      </c>
      <c r="J249" s="42">
        <f>402.98961933042*Deflactores!$Z$5</f>
        <v>415.70098951824679</v>
      </c>
      <c r="K249" s="42">
        <f>104.28546375037*Deflactores!$AA$5</f>
        <v>104.28546375037</v>
      </c>
    </row>
    <row r="250" spans="3:11" x14ac:dyDescent="0.2">
      <c r="C250" s="88" t="s">
        <v>162</v>
      </c>
      <c r="D250" s="50">
        <f>449.86175485462*Deflactores!$T$5</f>
        <v>680.68695122509348</v>
      </c>
      <c r="E250" s="50">
        <f>367.71861572415*Deflactores!$U$5</f>
        <v>547.57992429990895</v>
      </c>
      <c r="F250" s="50">
        <f>369.09569165557*Deflactores!$V$5</f>
        <v>520.38493279585123</v>
      </c>
      <c r="G250" s="50">
        <f>434.699942769329*Deflactores!$W$5</f>
        <v>541.79616202445504</v>
      </c>
      <c r="H250" s="50">
        <f>517.4973184685*Deflactores!$X$5</f>
        <v>590.21977829730304</v>
      </c>
      <c r="I250" s="50">
        <f>558.790369519*Deflactores!$Y$5</f>
        <v>605.81333368986895</v>
      </c>
      <c r="J250" s="50">
        <f>625.68953920662*Deflactores!$Z$5</f>
        <v>645.4254603668744</v>
      </c>
      <c r="K250" s="50">
        <f>57.2589412177499*Deflactores!$AA$5</f>
        <v>57.2589412177499</v>
      </c>
    </row>
    <row r="251" spans="3:11" x14ac:dyDescent="0.2">
      <c r="C251" s="87" t="s">
        <v>148</v>
      </c>
      <c r="D251" s="42">
        <f>0*Deflactores!$T$5</f>
        <v>0</v>
      </c>
      <c r="E251" s="42">
        <f>0*Deflactores!$U$5</f>
        <v>0</v>
      </c>
      <c r="F251" s="42">
        <f>0*Deflactores!$V$5</f>
        <v>0</v>
      </c>
      <c r="G251" s="42">
        <f>0*Deflactores!$W$5</f>
        <v>0</v>
      </c>
      <c r="H251" s="42">
        <f>0*Deflactores!$X$5</f>
        <v>0</v>
      </c>
      <c r="I251" s="42">
        <f>0*Deflactores!$Y$5</f>
        <v>0</v>
      </c>
      <c r="J251" s="42">
        <f>0*Deflactores!$Z$5</f>
        <v>0</v>
      </c>
      <c r="K251" s="42">
        <f>0*Deflactores!$AA$5</f>
        <v>0</v>
      </c>
    </row>
    <row r="252" spans="3:11" x14ac:dyDescent="0.2">
      <c r="C252" s="88" t="s">
        <v>149</v>
      </c>
      <c r="D252" s="50">
        <f>386.02466532688*Deflactores!$T$5</f>
        <v>584.0948907158305</v>
      </c>
      <c r="E252" s="50">
        <f>239.70588712381*Deflactores!$U$5</f>
        <v>356.95264235402146</v>
      </c>
      <c r="F252" s="50">
        <f>635.74519314607*Deflactores!$V$5</f>
        <v>896.3318377590997</v>
      </c>
      <c r="G252" s="50">
        <f>679.22957799497*Deflactores!$W$5</f>
        <v>846.57011028511704</v>
      </c>
      <c r="H252" s="50">
        <f>873.89198747422*Deflactores!$X$5</f>
        <v>996.69759957262386</v>
      </c>
      <c r="I252" s="50">
        <f>630.11494940374*Deflactores!$Y$5</f>
        <v>683.13997328674998</v>
      </c>
      <c r="J252" s="50">
        <f>558.336751096969*Deflactores!$Z$5</f>
        <v>575.94818521890579</v>
      </c>
      <c r="K252" s="50">
        <f>31.49337849544*Deflactores!$AA$5</f>
        <v>31.493378495439998</v>
      </c>
    </row>
    <row r="253" spans="3:11" x14ac:dyDescent="0.2">
      <c r="C253" s="87" t="s">
        <v>163</v>
      </c>
      <c r="D253" s="42">
        <f>77.0240986925*Deflactores!$T$5</f>
        <v>116.54535719935095</v>
      </c>
      <c r="E253" s="42">
        <f>75.23271603567*Deflactores!$U$5</f>
        <v>112.03111071916059</v>
      </c>
      <c r="F253" s="42">
        <f>80.20836066489*Deflactores!$V$5</f>
        <v>113.08509776162349</v>
      </c>
      <c r="G253" s="42">
        <f>89.68235256408*Deflactores!$W$5</f>
        <v>111.77722755378035</v>
      </c>
      <c r="H253" s="42">
        <f>98.22651245726*Deflactores!$X$5</f>
        <v>112.03001124144032</v>
      </c>
      <c r="I253" s="42">
        <f>109.238246795799*Deflactores!$Y$5</f>
        <v>118.43079277612613</v>
      </c>
      <c r="J253" s="42">
        <f>113.88944135124*Deflactores!$Z$5</f>
        <v>117.48181887179695</v>
      </c>
      <c r="K253" s="42">
        <f>10.8399611384*Deflactores!$AA$5</f>
        <v>10.8399611384</v>
      </c>
    </row>
    <row r="254" spans="3:11" x14ac:dyDescent="0.2">
      <c r="C254" s="88" t="s">
        <v>150</v>
      </c>
      <c r="D254" s="50">
        <f>743.897461882489*Deflactores!$T$5</f>
        <v>1125.5931180824991</v>
      </c>
      <c r="E254" s="50">
        <f>672.86419500216*Deflactores!$U$5</f>
        <v>1001.9806156340975</v>
      </c>
      <c r="F254" s="50">
        <f>616.01746409425*Deflactores!$V$5</f>
        <v>868.51787734466586</v>
      </c>
      <c r="G254" s="50">
        <f>693.599905134259*Deflactores!$W$5</f>
        <v>864.48082828867132</v>
      </c>
      <c r="H254" s="50">
        <f>968.605788453109*Deflactores!$X$5</f>
        <v>1104.7212677548921</v>
      </c>
      <c r="I254" s="50">
        <f>858.29699852552*Deflactores!$Y$5</f>
        <v>930.52384997317654</v>
      </c>
      <c r="J254" s="50">
        <f>947.908364953909*Deflactores!$Z$5</f>
        <v>977.80792949129557</v>
      </c>
      <c r="K254" s="50">
        <f>384.50868329833*Deflactores!$AA$5</f>
        <v>384.50868329833003</v>
      </c>
    </row>
    <row r="255" spans="3:11" x14ac:dyDescent="0.2">
      <c r="C255" s="87" t="s">
        <v>151</v>
      </c>
      <c r="D255" s="42">
        <f>0*Deflactores!$T$5</f>
        <v>0</v>
      </c>
      <c r="E255" s="42">
        <f>0*Deflactores!$U$5</f>
        <v>0</v>
      </c>
      <c r="F255" s="42">
        <f>0*Deflactores!$V$5</f>
        <v>0</v>
      </c>
      <c r="G255" s="42">
        <f>0*Deflactores!$W$5</f>
        <v>0</v>
      </c>
      <c r="H255" s="42">
        <f>0*Deflactores!$X$5</f>
        <v>0</v>
      </c>
      <c r="I255" s="42">
        <f>0*Deflactores!$Y$5</f>
        <v>0</v>
      </c>
      <c r="J255" s="42">
        <f>0*Deflactores!$Z$5</f>
        <v>0</v>
      </c>
      <c r="K255" s="42">
        <f>0*Deflactores!$AA$5</f>
        <v>0</v>
      </c>
    </row>
    <row r="256" spans="3:11" x14ac:dyDescent="0.2">
      <c r="C256" s="79" t="s">
        <v>179</v>
      </c>
      <c r="D256" s="44">
        <f t="shared" ref="D256:K256" si="11">+SUM(D225:D255)</f>
        <v>8695.1045316765267</v>
      </c>
      <c r="E256" s="44">
        <f t="shared" si="11"/>
        <v>8783.189376209175</v>
      </c>
      <c r="F256" s="44">
        <f t="shared" si="11"/>
        <v>9195.2322678671571</v>
      </c>
      <c r="G256" s="44">
        <f t="shared" si="11"/>
        <v>9040.7280448780839</v>
      </c>
      <c r="H256" s="44">
        <f t="shared" si="11"/>
        <v>9904.8350340069519</v>
      </c>
      <c r="I256" s="44">
        <f t="shared" si="11"/>
        <v>12685.253953486847</v>
      </c>
      <c r="J256" s="44">
        <f t="shared" si="11"/>
        <v>11868.751110991698</v>
      </c>
      <c r="K256" s="44">
        <f t="shared" si="11"/>
        <v>2778.0175603985604</v>
      </c>
    </row>
    <row r="257" spans="1:11" s="31" customFormat="1" x14ac:dyDescent="0.2">
      <c r="A257" s="5"/>
      <c r="B257" s="5"/>
      <c r="C257" s="72" t="str">
        <f>+'C1 Aprop Resumen 2000-2026'!B20</f>
        <v>* Información con corte a 28 de febrero</v>
      </c>
      <c r="D257" s="121">
        <f>+D256-'C7 Ejec. Prop 19-26'!D112</f>
        <v>1.4551915228366852E-11</v>
      </c>
      <c r="E257" s="121">
        <f>+E256-'C7 Ejec. Prop 19-26'!E112</f>
        <v>0</v>
      </c>
      <c r="F257" s="121">
        <f>+F256-'C7 Ejec. Prop 19-26'!F112</f>
        <v>0</v>
      </c>
      <c r="G257" s="121">
        <f>+G256-'C7 Ejec. Prop 19-26'!G112</f>
        <v>0</v>
      </c>
      <c r="H257" s="121">
        <f>+H256-'C7 Ejec. Prop 19-26'!H112</f>
        <v>-1.4551915228366852E-11</v>
      </c>
      <c r="I257" s="121">
        <f>+I256-'C7 Ejec. Prop 19-26'!I112</f>
        <v>0</v>
      </c>
      <c r="J257" s="121">
        <f>+J256-'C7 Ejec. Prop 19-26'!J112</f>
        <v>0</v>
      </c>
      <c r="K257" s="121">
        <f>+K256-'C7 Ejec. Prop 19-26'!K112</f>
        <v>0</v>
      </c>
    </row>
    <row r="258" spans="1:11" x14ac:dyDescent="0.2">
      <c r="C258" s="1" t="s">
        <v>52</v>
      </c>
      <c r="E258" s="3"/>
      <c r="F258" s="3"/>
    </row>
    <row r="259" spans="1:11" x14ac:dyDescent="0.2">
      <c r="B259" s="9"/>
      <c r="E259" s="3"/>
      <c r="F259" s="3"/>
    </row>
    <row r="260" spans="1:11" x14ac:dyDescent="0.2">
      <c r="E260" s="3"/>
      <c r="F260" s="3"/>
    </row>
    <row r="261" spans="1:11" x14ac:dyDescent="0.2">
      <c r="E261" s="3"/>
      <c r="F261" s="3"/>
    </row>
    <row r="262" spans="1:11" ht="18" customHeight="1" x14ac:dyDescent="0.2">
      <c r="D262" s="131" t="s">
        <v>200</v>
      </c>
      <c r="E262" s="131"/>
      <c r="F262" s="131"/>
      <c r="G262" s="131"/>
      <c r="H262" s="131"/>
      <c r="I262" s="131"/>
      <c r="J262" s="131"/>
      <c r="K262" s="131"/>
    </row>
    <row r="263" spans="1:11" ht="3.75" customHeight="1" x14ac:dyDescent="0.2">
      <c r="D263" s="28"/>
      <c r="E263" s="28"/>
      <c r="F263" s="28"/>
    </row>
    <row r="264" spans="1:11" x14ac:dyDescent="0.2">
      <c r="E264" s="29"/>
      <c r="F264" s="29"/>
    </row>
    <row r="265" spans="1:11" ht="13.5" customHeight="1" x14ac:dyDescent="0.2">
      <c r="C265" s="177" t="s">
        <v>120</v>
      </c>
      <c r="D265" s="153">
        <v>2019</v>
      </c>
      <c r="E265" s="153">
        <v>2020</v>
      </c>
      <c r="F265" s="153">
        <v>2021</v>
      </c>
      <c r="G265" s="153">
        <v>2022</v>
      </c>
      <c r="H265" s="153">
        <v>2023</v>
      </c>
      <c r="I265" s="153">
        <v>2024</v>
      </c>
      <c r="J265" s="153">
        <v>2025</v>
      </c>
      <c r="K265" s="153" t="s">
        <v>36</v>
      </c>
    </row>
    <row r="266" spans="1:11" ht="12" customHeight="1" thickBot="1" x14ac:dyDescent="0.25">
      <c r="C266" s="156"/>
      <c r="D266" s="154"/>
      <c r="E266" s="154"/>
      <c r="F266" s="154"/>
      <c r="G266" s="154"/>
      <c r="H266" s="154"/>
      <c r="I266" s="154"/>
      <c r="J266" s="154"/>
      <c r="K266" s="154"/>
    </row>
    <row r="267" spans="1:11" x14ac:dyDescent="0.2">
      <c r="C267" s="87" t="s">
        <v>123</v>
      </c>
      <c r="D267" s="47">
        <f t="shared" ref="D267:K276" si="12">+IFERROR(IF(D225&gt;0,+((D225/D15)*100)," "),"")</f>
        <v>77.405543089732532</v>
      </c>
      <c r="E267" s="47">
        <f t="shared" si="12"/>
        <v>70.512850103813804</v>
      </c>
      <c r="F267" s="47">
        <f t="shared" si="12"/>
        <v>97.539421423735632</v>
      </c>
      <c r="G267" s="47">
        <f t="shared" si="12"/>
        <v>97.304591169021364</v>
      </c>
      <c r="H267" s="47">
        <f t="shared" si="12"/>
        <v>71.251767337145182</v>
      </c>
      <c r="I267" s="47">
        <f t="shared" si="12"/>
        <v>81.146695285489585</v>
      </c>
      <c r="J267" s="47">
        <f t="shared" si="12"/>
        <v>95.154203866953139</v>
      </c>
      <c r="K267" s="47">
        <f t="shared" si="12"/>
        <v>9.2848185882034571</v>
      </c>
    </row>
    <row r="268" spans="1:11" x14ac:dyDescent="0.2">
      <c r="C268" s="88" t="s">
        <v>124</v>
      </c>
      <c r="D268" s="116">
        <f t="shared" si="12"/>
        <v>96.347314982985253</v>
      </c>
      <c r="E268" s="116">
        <f t="shared" si="12"/>
        <v>99.558912497848752</v>
      </c>
      <c r="F268" s="116">
        <f t="shared" si="12"/>
        <v>99.798729009035398</v>
      </c>
      <c r="G268" s="116">
        <f t="shared" si="12"/>
        <v>99.316248577962781</v>
      </c>
      <c r="H268" s="116">
        <f t="shared" si="12"/>
        <v>95.388278189527597</v>
      </c>
      <c r="I268" s="116">
        <f t="shared" si="12"/>
        <v>99.051706381459113</v>
      </c>
      <c r="J268" s="116">
        <f t="shared" si="12"/>
        <v>98.691073123552314</v>
      </c>
      <c r="K268" s="116">
        <f t="shared" si="12"/>
        <v>98.960479856055045</v>
      </c>
    </row>
    <row r="269" spans="1:11" x14ac:dyDescent="0.2">
      <c r="C269" s="87" t="s">
        <v>125</v>
      </c>
      <c r="D269" s="47" t="str">
        <f t="shared" si="12"/>
        <v xml:space="preserve"> </v>
      </c>
      <c r="E269" s="47" t="str">
        <f t="shared" si="12"/>
        <v xml:space="preserve"> </v>
      </c>
      <c r="F269" s="47" t="str">
        <f t="shared" si="12"/>
        <v xml:space="preserve"> </v>
      </c>
      <c r="G269" s="47" t="str">
        <f t="shared" si="12"/>
        <v xml:space="preserve"> </v>
      </c>
      <c r="H269" s="47" t="str">
        <f t="shared" si="12"/>
        <v xml:space="preserve"> </v>
      </c>
      <c r="I269" s="47" t="str">
        <f t="shared" si="12"/>
        <v xml:space="preserve"> </v>
      </c>
      <c r="J269" s="47" t="str">
        <f t="shared" si="12"/>
        <v xml:space="preserve"> </v>
      </c>
      <c r="K269" s="47" t="str">
        <f t="shared" si="12"/>
        <v xml:space="preserve"> </v>
      </c>
    </row>
    <row r="270" spans="1:11" x14ac:dyDescent="0.2">
      <c r="C270" s="88" t="s">
        <v>126</v>
      </c>
      <c r="D270" s="116">
        <f t="shared" si="12"/>
        <v>92.779090626337563</v>
      </c>
      <c r="E270" s="116">
        <f t="shared" si="12"/>
        <v>87.033276920349621</v>
      </c>
      <c r="F270" s="116">
        <f t="shared" si="12"/>
        <v>86.476102737307201</v>
      </c>
      <c r="G270" s="116">
        <f t="shared" si="12"/>
        <v>90.341222834350617</v>
      </c>
      <c r="H270" s="116">
        <f t="shared" si="12"/>
        <v>85.990192408740057</v>
      </c>
      <c r="I270" s="116">
        <f t="shared" si="12"/>
        <v>85.875412197589213</v>
      </c>
      <c r="J270" s="116">
        <f t="shared" si="12"/>
        <v>85.372346927521448</v>
      </c>
      <c r="K270" s="116">
        <f t="shared" si="12"/>
        <v>6.8995753073789192</v>
      </c>
    </row>
    <row r="271" spans="1:11" x14ac:dyDescent="0.2">
      <c r="C271" s="87" t="s">
        <v>127</v>
      </c>
      <c r="D271" s="47" t="str">
        <f t="shared" si="12"/>
        <v xml:space="preserve"> </v>
      </c>
      <c r="E271" s="47" t="str">
        <f t="shared" si="12"/>
        <v xml:space="preserve"> </v>
      </c>
      <c r="F271" s="47" t="str">
        <f t="shared" si="12"/>
        <v xml:space="preserve"> </v>
      </c>
      <c r="G271" s="47" t="str">
        <f t="shared" si="12"/>
        <v xml:space="preserve"> </v>
      </c>
      <c r="H271" s="47" t="str">
        <f t="shared" si="12"/>
        <v xml:space="preserve"> </v>
      </c>
      <c r="I271" s="47" t="str">
        <f t="shared" si="12"/>
        <v xml:space="preserve"> </v>
      </c>
      <c r="J271" s="47" t="str">
        <f t="shared" si="12"/>
        <v xml:space="preserve"> </v>
      </c>
      <c r="K271" s="47" t="str">
        <f t="shared" si="12"/>
        <v xml:space="preserve"> </v>
      </c>
    </row>
    <row r="272" spans="1:11" x14ac:dyDescent="0.2">
      <c r="C272" s="88" t="s">
        <v>128</v>
      </c>
      <c r="D272" s="116">
        <f t="shared" si="12"/>
        <v>94.92024935875196</v>
      </c>
      <c r="E272" s="116">
        <f t="shared" si="12"/>
        <v>89.509059571460455</v>
      </c>
      <c r="F272" s="116">
        <f t="shared" si="12"/>
        <v>71.993232046042337</v>
      </c>
      <c r="G272" s="116">
        <f t="shared" si="12"/>
        <v>83.189113487324676</v>
      </c>
      <c r="H272" s="116">
        <f t="shared" si="12"/>
        <v>82.1242082041245</v>
      </c>
      <c r="I272" s="116">
        <f t="shared" si="12"/>
        <v>64.832483470786102</v>
      </c>
      <c r="J272" s="116">
        <f t="shared" si="12"/>
        <v>94.304240296022243</v>
      </c>
      <c r="K272" s="116">
        <f t="shared" si="12"/>
        <v>2.7037138193893044</v>
      </c>
    </row>
    <row r="273" spans="3:11" x14ac:dyDescent="0.2">
      <c r="C273" s="87" t="s">
        <v>129</v>
      </c>
      <c r="D273" s="47">
        <f t="shared" si="12"/>
        <v>84.008729384066257</v>
      </c>
      <c r="E273" s="47">
        <f t="shared" si="12"/>
        <v>90.018987801929995</v>
      </c>
      <c r="F273" s="47">
        <f t="shared" si="12"/>
        <v>72.132244194781521</v>
      </c>
      <c r="G273" s="47">
        <f t="shared" si="12"/>
        <v>88.389030249262277</v>
      </c>
      <c r="H273" s="47">
        <f t="shared" si="12"/>
        <v>82.20339287313449</v>
      </c>
      <c r="I273" s="47">
        <f t="shared" si="12"/>
        <v>79.912727268739971</v>
      </c>
      <c r="J273" s="47">
        <f t="shared" si="12"/>
        <v>89.318850999921452</v>
      </c>
      <c r="K273" s="47">
        <f t="shared" si="12"/>
        <v>5.346795854665376</v>
      </c>
    </row>
    <row r="274" spans="3:11" x14ac:dyDescent="0.2">
      <c r="C274" s="88" t="s">
        <v>130</v>
      </c>
      <c r="D274" s="116" t="str">
        <f t="shared" si="12"/>
        <v xml:space="preserve"> </v>
      </c>
      <c r="E274" s="116" t="str">
        <f t="shared" si="12"/>
        <v xml:space="preserve"> </v>
      </c>
      <c r="F274" s="116" t="str">
        <f t="shared" si="12"/>
        <v xml:space="preserve"> </v>
      </c>
      <c r="G274" s="116" t="str">
        <f t="shared" si="12"/>
        <v xml:space="preserve"> </v>
      </c>
      <c r="H274" s="116" t="str">
        <f t="shared" si="12"/>
        <v xml:space="preserve"> </v>
      </c>
      <c r="I274" s="116" t="str">
        <f t="shared" si="12"/>
        <v xml:space="preserve"> </v>
      </c>
      <c r="J274" s="116" t="str">
        <f t="shared" si="12"/>
        <v xml:space="preserve"> </v>
      </c>
      <c r="K274" s="116" t="str">
        <f t="shared" si="12"/>
        <v xml:space="preserve"> </v>
      </c>
    </row>
    <row r="275" spans="3:11" x14ac:dyDescent="0.2">
      <c r="C275" s="87" t="s">
        <v>131</v>
      </c>
      <c r="D275" s="47">
        <f t="shared" si="12"/>
        <v>88.569016014943074</v>
      </c>
      <c r="E275" s="47">
        <f t="shared" si="12"/>
        <v>79.895050638075489</v>
      </c>
      <c r="F275" s="47">
        <f t="shared" si="12"/>
        <v>75.112470440774942</v>
      </c>
      <c r="G275" s="47">
        <f t="shared" si="12"/>
        <v>77.369822648035608</v>
      </c>
      <c r="H275" s="47">
        <f t="shared" si="12"/>
        <v>84.266195451352559</v>
      </c>
      <c r="I275" s="47">
        <f t="shared" si="12"/>
        <v>78.297178186663587</v>
      </c>
      <c r="J275" s="47">
        <f t="shared" si="12"/>
        <v>73.728440725390698</v>
      </c>
      <c r="K275" s="47">
        <f t="shared" si="12"/>
        <v>4.0300298798004928</v>
      </c>
    </row>
    <row r="276" spans="3:11" x14ac:dyDescent="0.2">
      <c r="C276" s="88" t="s">
        <v>132</v>
      </c>
      <c r="D276" s="116">
        <f t="shared" si="12"/>
        <v>88.841453569348815</v>
      </c>
      <c r="E276" s="116">
        <f t="shared" si="12"/>
        <v>84.092904462068773</v>
      </c>
      <c r="F276" s="116">
        <f t="shared" si="12"/>
        <v>45.800711998531447</v>
      </c>
      <c r="G276" s="116">
        <f t="shared" si="12"/>
        <v>75.172679297610756</v>
      </c>
      <c r="H276" s="116">
        <f t="shared" si="12"/>
        <v>85.208432310036855</v>
      </c>
      <c r="I276" s="116">
        <f t="shared" si="12"/>
        <v>82.493031874580353</v>
      </c>
      <c r="J276" s="116">
        <f t="shared" si="12"/>
        <v>87.303575296987489</v>
      </c>
      <c r="K276" s="116">
        <f t="shared" si="12"/>
        <v>7.6524020437553242</v>
      </c>
    </row>
    <row r="277" spans="3:11" x14ac:dyDescent="0.2">
      <c r="C277" s="87" t="s">
        <v>133</v>
      </c>
      <c r="D277" s="47">
        <f t="shared" ref="D277:K286" si="13">+IFERROR(IF(D235&gt;0,+((D235/D25)*100)," "),"")</f>
        <v>91.801521071811024</v>
      </c>
      <c r="E277" s="47">
        <f t="shared" si="13"/>
        <v>73.736577707245871</v>
      </c>
      <c r="F277" s="47">
        <f t="shared" si="13"/>
        <v>75.845374107731772</v>
      </c>
      <c r="G277" s="47">
        <f t="shared" si="13"/>
        <v>85.415479782608685</v>
      </c>
      <c r="H277" s="47">
        <f t="shared" si="13"/>
        <v>94.917939311534084</v>
      </c>
      <c r="I277" s="47">
        <f t="shared" si="13"/>
        <v>92.946149671518384</v>
      </c>
      <c r="J277" s="47">
        <f t="shared" si="13"/>
        <v>97.666508381492264</v>
      </c>
      <c r="K277" s="47">
        <f t="shared" si="13"/>
        <v>6.9637197832783322</v>
      </c>
    </row>
    <row r="278" spans="3:11" x14ac:dyDescent="0.2">
      <c r="C278" s="88" t="s">
        <v>134</v>
      </c>
      <c r="D278" s="116">
        <f t="shared" si="13"/>
        <v>89.334309358258508</v>
      </c>
      <c r="E278" s="116">
        <f t="shared" si="13"/>
        <v>83.391739553199912</v>
      </c>
      <c r="F278" s="116">
        <f t="shared" si="13"/>
        <v>81.836258791759363</v>
      </c>
      <c r="G278" s="116">
        <f t="shared" si="13"/>
        <v>87.610374013903026</v>
      </c>
      <c r="H278" s="116">
        <f t="shared" si="13"/>
        <v>85.215094435373061</v>
      </c>
      <c r="I278" s="116">
        <f t="shared" si="13"/>
        <v>73.228765594021127</v>
      </c>
      <c r="J278" s="116">
        <f t="shared" si="13"/>
        <v>87.962383098219135</v>
      </c>
      <c r="K278" s="116">
        <f t="shared" si="13"/>
        <v>7.3501085880442627</v>
      </c>
    </row>
    <row r="279" spans="3:11" x14ac:dyDescent="0.2">
      <c r="C279" s="87" t="s">
        <v>135</v>
      </c>
      <c r="D279" s="47" t="str">
        <f t="shared" si="13"/>
        <v xml:space="preserve"> </v>
      </c>
      <c r="E279" s="47" t="str">
        <f t="shared" si="13"/>
        <v xml:space="preserve"> </v>
      </c>
      <c r="F279" s="47" t="str">
        <f t="shared" si="13"/>
        <v xml:space="preserve"> </v>
      </c>
      <c r="G279" s="47" t="str">
        <f t="shared" si="13"/>
        <v xml:space="preserve"> </v>
      </c>
      <c r="H279" s="47" t="str">
        <f t="shared" si="13"/>
        <v xml:space="preserve"> </v>
      </c>
      <c r="I279" s="47">
        <f t="shared" si="13"/>
        <v>81.770583460984653</v>
      </c>
      <c r="J279" s="47">
        <f t="shared" si="13"/>
        <v>95.995424421834002</v>
      </c>
      <c r="K279" s="47">
        <f t="shared" si="13"/>
        <v>8.777568856785809</v>
      </c>
    </row>
    <row r="280" spans="3:11" x14ac:dyDescent="0.2">
      <c r="C280" s="88" t="s">
        <v>136</v>
      </c>
      <c r="D280" s="116">
        <f t="shared" si="13"/>
        <v>89.751585380917547</v>
      </c>
      <c r="E280" s="116">
        <f t="shared" si="13"/>
        <v>94.90491546581346</v>
      </c>
      <c r="F280" s="116">
        <f t="shared" si="13"/>
        <v>83.256481501690587</v>
      </c>
      <c r="G280" s="116">
        <f t="shared" si="13"/>
        <v>89.639377768612945</v>
      </c>
      <c r="H280" s="116">
        <f t="shared" si="13"/>
        <v>82.516132455101015</v>
      </c>
      <c r="I280" s="116">
        <f t="shared" si="13"/>
        <v>1.3009201506773245</v>
      </c>
      <c r="J280" s="116">
        <f t="shared" si="13"/>
        <v>86.041566397993037</v>
      </c>
      <c r="K280" s="116" t="str">
        <f t="shared" si="13"/>
        <v xml:space="preserve"> </v>
      </c>
    </row>
    <row r="281" spans="3:11" x14ac:dyDescent="0.2">
      <c r="C281" s="87" t="s">
        <v>137</v>
      </c>
      <c r="D281" s="47">
        <f t="shared" si="13"/>
        <v>87.770454991377122</v>
      </c>
      <c r="E281" s="47">
        <f t="shared" si="13"/>
        <v>81.126335089078481</v>
      </c>
      <c r="F281" s="47">
        <f t="shared" si="13"/>
        <v>59.56112969826696</v>
      </c>
      <c r="G281" s="47">
        <f t="shared" si="13"/>
        <v>50.228566226900682</v>
      </c>
      <c r="H281" s="47">
        <f t="shared" si="13"/>
        <v>39.271816380548039</v>
      </c>
      <c r="I281" s="47">
        <f t="shared" si="13"/>
        <v>83.040454759973841</v>
      </c>
      <c r="J281" s="47">
        <f t="shared" si="13"/>
        <v>74.142906161878955</v>
      </c>
      <c r="K281" s="47">
        <f t="shared" si="13"/>
        <v>4.3907636401512598</v>
      </c>
    </row>
    <row r="282" spans="3:11" x14ac:dyDescent="0.2">
      <c r="C282" s="88" t="s">
        <v>138</v>
      </c>
      <c r="D282" s="116" t="str">
        <f t="shared" si="13"/>
        <v xml:space="preserve"> </v>
      </c>
      <c r="E282" s="116" t="str">
        <f t="shared" si="13"/>
        <v xml:space="preserve"> </v>
      </c>
      <c r="F282" s="116" t="str">
        <f t="shared" si="13"/>
        <v xml:space="preserve"> </v>
      </c>
      <c r="G282" s="116" t="str">
        <f t="shared" si="13"/>
        <v xml:space="preserve"> </v>
      </c>
      <c r="H282" s="116" t="str">
        <f t="shared" si="13"/>
        <v xml:space="preserve"> </v>
      </c>
      <c r="I282" s="116" t="str">
        <f t="shared" si="13"/>
        <v xml:space="preserve"> </v>
      </c>
      <c r="J282" s="116" t="str">
        <f t="shared" si="13"/>
        <v xml:space="preserve"> </v>
      </c>
      <c r="K282" s="116" t="str">
        <f t="shared" si="13"/>
        <v xml:space="preserve"> </v>
      </c>
    </row>
    <row r="283" spans="3:11" x14ac:dyDescent="0.2">
      <c r="C283" s="87" t="s">
        <v>160</v>
      </c>
      <c r="D283" s="47">
        <f t="shared" si="13"/>
        <v>75.479327806688616</v>
      </c>
      <c r="E283" s="47">
        <f t="shared" si="13"/>
        <v>46.544666557463714</v>
      </c>
      <c r="F283" s="47">
        <f t="shared" si="13"/>
        <v>81.201338003968388</v>
      </c>
      <c r="G283" s="47">
        <f t="shared" si="13"/>
        <v>66.924871578796328</v>
      </c>
      <c r="H283" s="47">
        <f t="shared" si="13"/>
        <v>80.724658285339757</v>
      </c>
      <c r="I283" s="47">
        <f t="shared" si="13"/>
        <v>79.905592286641962</v>
      </c>
      <c r="J283" s="47">
        <f t="shared" si="13"/>
        <v>73.785621930395706</v>
      </c>
      <c r="K283" s="47">
        <f t="shared" si="13"/>
        <v>4.5191398278131807</v>
      </c>
    </row>
    <row r="284" spans="3:11" x14ac:dyDescent="0.2">
      <c r="C284" s="88" t="s">
        <v>161</v>
      </c>
      <c r="D284" s="116">
        <f t="shared" si="13"/>
        <v>91.196907084570284</v>
      </c>
      <c r="E284" s="116">
        <f t="shared" si="13"/>
        <v>89.613333152675636</v>
      </c>
      <c r="F284" s="116">
        <f t="shared" si="13"/>
        <v>78.798479706966702</v>
      </c>
      <c r="G284" s="116">
        <f t="shared" si="13"/>
        <v>84.325906077983333</v>
      </c>
      <c r="H284" s="116">
        <f t="shared" si="13"/>
        <v>53.458336069754978</v>
      </c>
      <c r="I284" s="116">
        <f t="shared" si="13"/>
        <v>69.820949225486316</v>
      </c>
      <c r="J284" s="116">
        <f t="shared" si="13"/>
        <v>93.276091668016775</v>
      </c>
      <c r="K284" s="116">
        <f t="shared" si="13"/>
        <v>4.6322366991937551</v>
      </c>
    </row>
    <row r="285" spans="3:11" x14ac:dyDescent="0.2">
      <c r="C285" s="87" t="s">
        <v>140</v>
      </c>
      <c r="D285" s="47">
        <f t="shared" si="13"/>
        <v>88.40562526566255</v>
      </c>
      <c r="E285" s="47">
        <f t="shared" si="13"/>
        <v>93.37303334967217</v>
      </c>
      <c r="F285" s="47">
        <f t="shared" si="13"/>
        <v>90.573718454327661</v>
      </c>
      <c r="G285" s="47">
        <f t="shared" si="13"/>
        <v>89.406107695409418</v>
      </c>
      <c r="H285" s="47">
        <f t="shared" si="13"/>
        <v>96.343829670874854</v>
      </c>
      <c r="I285" s="47">
        <f t="shared" si="13"/>
        <v>98.942378896040211</v>
      </c>
      <c r="J285" s="47">
        <f t="shared" si="13"/>
        <v>97.923233530344163</v>
      </c>
      <c r="K285" s="47">
        <f t="shared" si="13"/>
        <v>56.641816461833152</v>
      </c>
    </row>
    <row r="286" spans="3:11" x14ac:dyDescent="0.2">
      <c r="C286" s="88" t="s">
        <v>141</v>
      </c>
      <c r="D286" s="116">
        <f t="shared" si="13"/>
        <v>75.585355593042891</v>
      </c>
      <c r="E286" s="116">
        <f t="shared" si="13"/>
        <v>48.009039987445547</v>
      </c>
      <c r="F286" s="116">
        <f t="shared" si="13"/>
        <v>55.397149126288816</v>
      </c>
      <c r="G286" s="116">
        <f t="shared" si="13"/>
        <v>49.674188679059547</v>
      </c>
      <c r="H286" s="116">
        <f t="shared" si="13"/>
        <v>39.99359372104788</v>
      </c>
      <c r="I286" s="116">
        <f t="shared" si="13"/>
        <v>95.327924796957163</v>
      </c>
      <c r="J286" s="116">
        <f t="shared" si="13"/>
        <v>91.456912279425936</v>
      </c>
      <c r="K286" s="116">
        <f t="shared" si="13"/>
        <v>4.9280094260675789</v>
      </c>
    </row>
    <row r="287" spans="3:11" x14ac:dyDescent="0.2">
      <c r="C287" s="87" t="s">
        <v>142</v>
      </c>
      <c r="D287" s="47">
        <f t="shared" ref="D287:K296" si="14">+IFERROR(IF(D245&gt;0,+((D245/D35)*100)," "),"")</f>
        <v>93.099970633664768</v>
      </c>
      <c r="E287" s="47">
        <f t="shared" si="14"/>
        <v>84.577850558902469</v>
      </c>
      <c r="F287" s="47">
        <f t="shared" si="14"/>
        <v>38.169930115271008</v>
      </c>
      <c r="G287" s="47">
        <f t="shared" si="14"/>
        <v>62.637914946895947</v>
      </c>
      <c r="H287" s="47">
        <f t="shared" si="14"/>
        <v>90.423272742601668</v>
      </c>
      <c r="I287" s="47">
        <f t="shared" si="14"/>
        <v>87.737072997726571</v>
      </c>
      <c r="J287" s="47">
        <f t="shared" si="14"/>
        <v>93.899348405011693</v>
      </c>
      <c r="K287" s="47">
        <f t="shared" si="14"/>
        <v>7.1939190606409422</v>
      </c>
    </row>
    <row r="288" spans="3:11" x14ac:dyDescent="0.2">
      <c r="C288" s="88" t="s">
        <v>143</v>
      </c>
      <c r="D288" s="116">
        <f t="shared" si="14"/>
        <v>79.592656028368808</v>
      </c>
      <c r="E288" s="116" t="str">
        <f t="shared" si="14"/>
        <v xml:space="preserve"> </v>
      </c>
      <c r="F288" s="116">
        <f t="shared" si="14"/>
        <v>74.253576611111114</v>
      </c>
      <c r="G288" s="116" t="str">
        <f t="shared" si="14"/>
        <v xml:space="preserve"> </v>
      </c>
      <c r="H288" s="116">
        <f t="shared" si="14"/>
        <v>97.497474999999994</v>
      </c>
      <c r="I288" s="116" t="str">
        <f t="shared" si="14"/>
        <v xml:space="preserve"> </v>
      </c>
      <c r="J288" s="116" t="str">
        <f t="shared" si="14"/>
        <v xml:space="preserve"> </v>
      </c>
      <c r="K288" s="116" t="str">
        <f t="shared" si="14"/>
        <v xml:space="preserve"> </v>
      </c>
    </row>
    <row r="289" spans="1:11" x14ac:dyDescent="0.2">
      <c r="C289" s="87" t="s">
        <v>144</v>
      </c>
      <c r="D289" s="47" t="str">
        <f t="shared" si="14"/>
        <v xml:space="preserve"> </v>
      </c>
      <c r="E289" s="47" t="str">
        <f t="shared" si="14"/>
        <v xml:space="preserve"> </v>
      </c>
      <c r="F289" s="47" t="str">
        <f t="shared" si="14"/>
        <v xml:space="preserve"> </v>
      </c>
      <c r="G289" s="47" t="str">
        <f t="shared" si="14"/>
        <v xml:space="preserve"> </v>
      </c>
      <c r="H289" s="47" t="str">
        <f t="shared" si="14"/>
        <v xml:space="preserve"> </v>
      </c>
      <c r="I289" s="47" t="str">
        <f t="shared" si="14"/>
        <v xml:space="preserve"> </v>
      </c>
      <c r="J289" s="47" t="str">
        <f t="shared" si="14"/>
        <v xml:space="preserve"> </v>
      </c>
      <c r="K289" s="47" t="str">
        <f t="shared" si="14"/>
        <v xml:space="preserve"> </v>
      </c>
    </row>
    <row r="290" spans="1:11" x14ac:dyDescent="0.2">
      <c r="C290" s="88" t="s">
        <v>145</v>
      </c>
      <c r="D290" s="116">
        <f t="shared" si="14"/>
        <v>89.678818780341828</v>
      </c>
      <c r="E290" s="116">
        <f t="shared" si="14"/>
        <v>79.597868438295293</v>
      </c>
      <c r="F290" s="116">
        <f t="shared" si="14"/>
        <v>80.638125400347263</v>
      </c>
      <c r="G290" s="116">
        <f t="shared" si="14"/>
        <v>66.569493683076004</v>
      </c>
      <c r="H290" s="116">
        <f t="shared" si="14"/>
        <v>63.499684813771736</v>
      </c>
      <c r="I290" s="116">
        <f t="shared" si="14"/>
        <v>61.958139542546029</v>
      </c>
      <c r="J290" s="116">
        <f t="shared" si="14"/>
        <v>78.461322251552744</v>
      </c>
      <c r="K290" s="116">
        <f t="shared" si="14"/>
        <v>5.0058544751240293</v>
      </c>
    </row>
    <row r="291" spans="1:11" x14ac:dyDescent="0.2">
      <c r="C291" s="87" t="s">
        <v>146</v>
      </c>
      <c r="D291" s="47">
        <f t="shared" si="14"/>
        <v>89.329587110661066</v>
      </c>
      <c r="E291" s="47">
        <f t="shared" si="14"/>
        <v>62.029068998077172</v>
      </c>
      <c r="F291" s="47">
        <f t="shared" si="14"/>
        <v>94.56294645655224</v>
      </c>
      <c r="G291" s="47">
        <f t="shared" si="14"/>
        <v>95.642446719736867</v>
      </c>
      <c r="H291" s="47">
        <f t="shared" si="14"/>
        <v>92.84297863254676</v>
      </c>
      <c r="I291" s="47">
        <f t="shared" si="14"/>
        <v>90.879076863427258</v>
      </c>
      <c r="J291" s="47">
        <f t="shared" si="14"/>
        <v>92.571166841193261</v>
      </c>
      <c r="K291" s="47">
        <f t="shared" si="14"/>
        <v>22.670210875472542</v>
      </c>
    </row>
    <row r="292" spans="1:11" x14ac:dyDescent="0.2">
      <c r="C292" s="88" t="s">
        <v>162</v>
      </c>
      <c r="D292" s="116">
        <f t="shared" si="14"/>
        <v>90.568925217043457</v>
      </c>
      <c r="E292" s="116">
        <f t="shared" si="14"/>
        <v>87.449945223278476</v>
      </c>
      <c r="F292" s="116">
        <f t="shared" si="14"/>
        <v>80.942011885390102</v>
      </c>
      <c r="G292" s="116">
        <f t="shared" si="14"/>
        <v>84.74472388775213</v>
      </c>
      <c r="H292" s="116">
        <f t="shared" si="14"/>
        <v>85.305969109570995</v>
      </c>
      <c r="I292" s="116">
        <f t="shared" si="14"/>
        <v>85.576620554244371</v>
      </c>
      <c r="J292" s="116">
        <f t="shared" si="14"/>
        <v>87.611410150479983</v>
      </c>
      <c r="K292" s="116">
        <f t="shared" si="14"/>
        <v>7.5737021640371776</v>
      </c>
    </row>
    <row r="293" spans="1:11" x14ac:dyDescent="0.2">
      <c r="C293" s="87" t="s">
        <v>148</v>
      </c>
      <c r="D293" s="47" t="str">
        <f t="shared" si="14"/>
        <v xml:space="preserve"> </v>
      </c>
      <c r="E293" s="47" t="str">
        <f t="shared" si="14"/>
        <v xml:space="preserve"> </v>
      </c>
      <c r="F293" s="47" t="str">
        <f t="shared" si="14"/>
        <v xml:space="preserve"> </v>
      </c>
      <c r="G293" s="47" t="str">
        <f t="shared" si="14"/>
        <v xml:space="preserve"> </v>
      </c>
      <c r="H293" s="47" t="str">
        <f t="shared" si="14"/>
        <v xml:space="preserve"> </v>
      </c>
      <c r="I293" s="47" t="str">
        <f t="shared" si="14"/>
        <v xml:space="preserve"> </v>
      </c>
      <c r="J293" s="47" t="str">
        <f t="shared" si="14"/>
        <v xml:space="preserve"> </v>
      </c>
      <c r="K293" s="47" t="str">
        <f t="shared" si="14"/>
        <v xml:space="preserve"> </v>
      </c>
    </row>
    <row r="294" spans="1:11" x14ac:dyDescent="0.2">
      <c r="C294" s="88" t="s">
        <v>149</v>
      </c>
      <c r="D294" s="116">
        <f t="shared" si="14"/>
        <v>88.568405524925254</v>
      </c>
      <c r="E294" s="116">
        <f t="shared" si="14"/>
        <v>91.153267215305817</v>
      </c>
      <c r="F294" s="116">
        <f t="shared" si="14"/>
        <v>82.199874581984687</v>
      </c>
      <c r="G294" s="116">
        <f t="shared" si="14"/>
        <v>82.405960868745765</v>
      </c>
      <c r="H294" s="116">
        <f t="shared" si="14"/>
        <v>94.920979689037424</v>
      </c>
      <c r="I294" s="116">
        <f t="shared" si="14"/>
        <v>93.628095045106306</v>
      </c>
      <c r="J294" s="116">
        <f t="shared" si="14"/>
        <v>80.817211937636117</v>
      </c>
      <c r="K294" s="116">
        <f t="shared" si="14"/>
        <v>6.7117098677755562</v>
      </c>
    </row>
    <row r="295" spans="1:11" x14ac:dyDescent="0.2">
      <c r="C295" s="87" t="s">
        <v>163</v>
      </c>
      <c r="D295" s="47">
        <f t="shared" si="14"/>
        <v>87.322196372554188</v>
      </c>
      <c r="E295" s="47">
        <f t="shared" si="14"/>
        <v>82.254530257712574</v>
      </c>
      <c r="F295" s="47">
        <f t="shared" si="14"/>
        <v>85.669081914312954</v>
      </c>
      <c r="G295" s="47">
        <f t="shared" si="14"/>
        <v>90.213573386696098</v>
      </c>
      <c r="H295" s="47">
        <f t="shared" si="14"/>
        <v>86.366970572542243</v>
      </c>
      <c r="I295" s="47">
        <f t="shared" si="14"/>
        <v>87.666773019681827</v>
      </c>
      <c r="J295" s="47">
        <f t="shared" si="14"/>
        <v>88.982942983303857</v>
      </c>
      <c r="K295" s="47">
        <f t="shared" si="14"/>
        <v>7.9223797083916496</v>
      </c>
    </row>
    <row r="296" spans="1:11" x14ac:dyDescent="0.2">
      <c r="C296" s="88" t="s">
        <v>150</v>
      </c>
      <c r="D296" s="116">
        <f t="shared" si="14"/>
        <v>93.070724539363994</v>
      </c>
      <c r="E296" s="116">
        <f t="shared" si="14"/>
        <v>90.710970180116647</v>
      </c>
      <c r="F296" s="116">
        <f t="shared" si="14"/>
        <v>79.196911584689659</v>
      </c>
      <c r="G296" s="116">
        <f t="shared" si="14"/>
        <v>82.92866032256336</v>
      </c>
      <c r="H296" s="116">
        <f t="shared" si="14"/>
        <v>86.852007906258308</v>
      </c>
      <c r="I296" s="116">
        <f t="shared" si="14"/>
        <v>85.04599125502375</v>
      </c>
      <c r="J296" s="116">
        <f t="shared" si="14"/>
        <v>90.777578775074019</v>
      </c>
      <c r="K296" s="116">
        <f t="shared" si="14"/>
        <v>22.621447332122134</v>
      </c>
    </row>
    <row r="297" spans="1:11" x14ac:dyDescent="0.2">
      <c r="C297" s="87" t="s">
        <v>151</v>
      </c>
      <c r="D297" s="47" t="str">
        <f t="shared" ref="D297:K298" si="15">+IFERROR(IF(D255&gt;0,+((D255/D45)*100)," "),"")</f>
        <v xml:space="preserve"> </v>
      </c>
      <c r="E297" s="47" t="str">
        <f t="shared" si="15"/>
        <v xml:space="preserve"> </v>
      </c>
      <c r="F297" s="47" t="str">
        <f t="shared" si="15"/>
        <v xml:space="preserve"> </v>
      </c>
      <c r="G297" s="47" t="str">
        <f t="shared" si="15"/>
        <v xml:space="preserve"> </v>
      </c>
      <c r="H297" s="47" t="str">
        <f t="shared" si="15"/>
        <v xml:space="preserve"> </v>
      </c>
      <c r="I297" s="47" t="str">
        <f t="shared" si="15"/>
        <v xml:space="preserve"> </v>
      </c>
      <c r="J297" s="47" t="str">
        <f t="shared" si="15"/>
        <v xml:space="preserve"> </v>
      </c>
      <c r="K297" s="47" t="str">
        <f t="shared" si="15"/>
        <v xml:space="preserve"> </v>
      </c>
    </row>
    <row r="298" spans="1:11" x14ac:dyDescent="0.2">
      <c r="C298" s="91" t="s">
        <v>179</v>
      </c>
      <c r="D298" s="64">
        <f t="shared" si="15"/>
        <v>88.070493047418935</v>
      </c>
      <c r="E298" s="64">
        <f t="shared" si="15"/>
        <v>88.346184766888754</v>
      </c>
      <c r="F298" s="64">
        <f t="shared" si="15"/>
        <v>76.358807886629762</v>
      </c>
      <c r="G298" s="64">
        <f t="shared" si="15"/>
        <v>85.451922301375447</v>
      </c>
      <c r="H298" s="64">
        <f t="shared" si="15"/>
        <v>83.977280819168143</v>
      </c>
      <c r="I298" s="64">
        <f t="shared" si="15"/>
        <v>86.877245917030663</v>
      </c>
      <c r="J298" s="64">
        <f t="shared" si="15"/>
        <v>91.725074968849654</v>
      </c>
      <c r="K298" s="64">
        <f t="shared" si="15"/>
        <v>20.343541819942619</v>
      </c>
    </row>
    <row r="299" spans="1:11" s="31" customFormat="1" x14ac:dyDescent="0.2">
      <c r="A299" s="5"/>
      <c r="B299" s="5"/>
      <c r="C299" s="72" t="str">
        <f>+'C1 Aprop Resumen 2000-2026'!B20</f>
        <v>* Información con corte a 28 de febrero</v>
      </c>
      <c r="D299" s="47"/>
      <c r="E299" s="47"/>
      <c r="F299" s="47"/>
      <c r="G299" s="47"/>
      <c r="H299" s="47"/>
      <c r="I299" s="47"/>
    </row>
    <row r="300" spans="1:11" x14ac:dyDescent="0.2">
      <c r="C300" s="1" t="s">
        <v>52</v>
      </c>
      <c r="D300" s="11"/>
    </row>
  </sheetData>
  <mergeCells count="79">
    <mergeCell ref="D2:K4"/>
    <mergeCell ref="K182:K183"/>
    <mergeCell ref="K223:K224"/>
    <mergeCell ref="I56:I57"/>
    <mergeCell ref="K56:K57"/>
    <mergeCell ref="D223:D224"/>
    <mergeCell ref="E223:E224"/>
    <mergeCell ref="G223:G224"/>
    <mergeCell ref="K13:K14"/>
    <mergeCell ref="E8:E9"/>
    <mergeCell ref="G8:G9"/>
    <mergeCell ref="E140:E141"/>
    <mergeCell ref="H182:H183"/>
    <mergeCell ref="J182:J183"/>
    <mergeCell ref="J98:J99"/>
    <mergeCell ref="D6:K6"/>
    <mergeCell ref="A7:C8"/>
    <mergeCell ref="F13:F14"/>
    <mergeCell ref="H13:H14"/>
    <mergeCell ref="J265:J266"/>
    <mergeCell ref="D8:D9"/>
    <mergeCell ref="H8:H9"/>
    <mergeCell ref="J8:J9"/>
    <mergeCell ref="D98:D99"/>
    <mergeCell ref="F98:F99"/>
    <mergeCell ref="J140:J141"/>
    <mergeCell ref="C98:C99"/>
    <mergeCell ref="C265:C266"/>
    <mergeCell ref="D140:D141"/>
    <mergeCell ref="E265:E266"/>
    <mergeCell ref="E13:E14"/>
    <mergeCell ref="G13:G14"/>
    <mergeCell ref="C56:C57"/>
    <mergeCell ref="C140:C141"/>
    <mergeCell ref="I98:I99"/>
    <mergeCell ref="D182:D183"/>
    <mergeCell ref="F182:F183"/>
    <mergeCell ref="G140:G141"/>
    <mergeCell ref="I140:I141"/>
    <mergeCell ref="C182:C183"/>
    <mergeCell ref="E182:E183"/>
    <mergeCell ref="F8:F9"/>
    <mergeCell ref="D11:K11"/>
    <mergeCell ref="F140:F141"/>
    <mergeCell ref="K98:K99"/>
    <mergeCell ref="I8:I9"/>
    <mergeCell ref="K8:K9"/>
    <mergeCell ref="E56:E57"/>
    <mergeCell ref="G56:G57"/>
    <mergeCell ref="K140:K141"/>
    <mergeCell ref="D13:D14"/>
    <mergeCell ref="H98:H99"/>
    <mergeCell ref="F56:F57"/>
    <mergeCell ref="I13:I14"/>
    <mergeCell ref="F265:F266"/>
    <mergeCell ref="D138:K138"/>
    <mergeCell ref="H56:H57"/>
    <mergeCell ref="I223:I224"/>
    <mergeCell ref="D265:D266"/>
    <mergeCell ref="J223:J224"/>
    <mergeCell ref="K265:K266"/>
    <mergeCell ref="F223:F224"/>
    <mergeCell ref="H223:H224"/>
    <mergeCell ref="A9:C9"/>
    <mergeCell ref="D221:K221"/>
    <mergeCell ref="C13:C14"/>
    <mergeCell ref="C223:C224"/>
    <mergeCell ref="G265:G266"/>
    <mergeCell ref="H140:H141"/>
    <mergeCell ref="D53:K53"/>
    <mergeCell ref="J56:J57"/>
    <mergeCell ref="I265:I266"/>
    <mergeCell ref="G182:G183"/>
    <mergeCell ref="I182:I183"/>
    <mergeCell ref="H265:H266"/>
    <mergeCell ref="J13:J14"/>
    <mergeCell ref="E98:E99"/>
    <mergeCell ref="G98:G99"/>
    <mergeCell ref="D56:D57"/>
  </mergeCells>
  <pageMargins left="0.7" right="0.7" top="0.75" bottom="0.75" header="0.3" footer="0.3"/>
  <pageSetup orientation="portrait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Hoja22"/>
  <dimension ref="A1:W276"/>
  <sheetViews>
    <sheetView showGridLines="0" zoomScaleNormal="100" workbookViewId="0">
      <pane xSplit="3" ySplit="7" topLeftCell="D8" activePane="bottomRight" state="frozen"/>
      <selection activeCell="O5" sqref="O5:O6"/>
      <selection pane="topRight" activeCell="O5" sqref="O5:O6"/>
      <selection pane="bottomLeft" activeCell="O5" sqref="O5:O6"/>
      <selection pane="bottomRight" activeCell="A5" sqref="A5:C7"/>
    </sheetView>
  </sheetViews>
  <sheetFormatPr baseColWidth="10" defaultColWidth="11.42578125" defaultRowHeight="11.25" x14ac:dyDescent="0.2"/>
  <cols>
    <col min="1" max="2" width="2.7109375" style="3" customWidth="1"/>
    <col min="3" max="3" width="45.7109375" style="3" customWidth="1"/>
    <col min="4" max="22" width="10.7109375" style="3" customWidth="1"/>
    <col min="23" max="33" width="10.7109375" style="9" customWidth="1"/>
    <col min="34" max="34" width="11.42578125" style="9" customWidth="1"/>
    <col min="35" max="16384" width="11.42578125" style="9"/>
  </cols>
  <sheetData>
    <row r="1" spans="1:22" ht="16.5" customHeight="1" x14ac:dyDescent="0.2"/>
    <row r="2" spans="1:22" ht="16.5" customHeight="1" x14ac:dyDescent="0.2">
      <c r="D2" s="159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  <c r="Q2" s="158"/>
      <c r="R2" s="158"/>
      <c r="S2" s="158"/>
      <c r="T2" s="158"/>
      <c r="U2" s="158"/>
      <c r="V2" s="158"/>
    </row>
    <row r="3" spans="1:22" ht="16.5" customHeight="1" x14ac:dyDescent="0.2"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  <c r="R3" s="98"/>
      <c r="S3" s="98"/>
      <c r="T3" s="98"/>
      <c r="U3" s="98"/>
      <c r="V3" s="98"/>
    </row>
    <row r="4" spans="1:22" ht="16.5" customHeight="1" x14ac:dyDescent="0.2">
      <c r="D4" s="161"/>
      <c r="E4" s="158"/>
      <c r="F4" s="158"/>
      <c r="G4" s="158"/>
      <c r="H4" s="158"/>
      <c r="I4" s="158"/>
      <c r="J4" s="158"/>
      <c r="K4" s="158"/>
      <c r="L4" s="158"/>
      <c r="M4" s="158"/>
      <c r="N4" s="158"/>
      <c r="O4" s="158"/>
      <c r="P4" s="158"/>
      <c r="Q4" s="158"/>
      <c r="R4" s="158"/>
      <c r="S4" s="158"/>
      <c r="T4" s="158"/>
      <c r="U4" s="158"/>
      <c r="V4" s="158"/>
    </row>
    <row r="5" spans="1:22" ht="18.75" customHeight="1" x14ac:dyDescent="0.2">
      <c r="A5" s="165" t="s">
        <v>20</v>
      </c>
      <c r="B5" s="158"/>
      <c r="C5" s="158"/>
      <c r="D5" s="147"/>
      <c r="E5" s="147"/>
      <c r="F5" s="147"/>
      <c r="G5" s="147"/>
      <c r="H5" s="147"/>
      <c r="I5" s="147"/>
      <c r="J5" s="147"/>
      <c r="K5" s="147"/>
      <c r="L5" s="147"/>
      <c r="M5" s="147"/>
      <c r="N5" s="147"/>
      <c r="O5" s="147"/>
      <c r="P5" s="147"/>
      <c r="Q5" s="147"/>
      <c r="R5" s="147"/>
      <c r="S5" s="147"/>
      <c r="T5" s="147"/>
      <c r="U5" s="147"/>
      <c r="V5" s="147"/>
    </row>
    <row r="6" spans="1:22" s="102" customFormat="1" ht="18.75" customHeight="1" x14ac:dyDescent="0.25">
      <c r="A6" s="176"/>
      <c r="B6" s="176"/>
      <c r="C6" s="176"/>
      <c r="D6" s="151" t="s">
        <v>27</v>
      </c>
      <c r="E6" s="151" t="s">
        <v>28</v>
      </c>
      <c r="F6" s="151" t="s">
        <v>29</v>
      </c>
      <c r="G6" s="151" t="s">
        <v>30</v>
      </c>
      <c r="H6" s="151">
        <v>2004</v>
      </c>
      <c r="I6" s="151" t="s">
        <v>31</v>
      </c>
      <c r="J6" s="151" t="s">
        <v>32</v>
      </c>
      <c r="K6" s="151" t="s">
        <v>33</v>
      </c>
      <c r="L6" s="151" t="s">
        <v>34</v>
      </c>
      <c r="M6" s="151" t="s">
        <v>35</v>
      </c>
      <c r="N6" s="151">
        <v>2010</v>
      </c>
      <c r="O6" s="151">
        <v>2011</v>
      </c>
      <c r="P6" s="151">
        <v>2012</v>
      </c>
      <c r="Q6" s="151">
        <v>2013</v>
      </c>
      <c r="R6" s="151">
        <v>2014</v>
      </c>
      <c r="S6" s="151">
        <v>2015</v>
      </c>
      <c r="T6" s="151">
        <v>2016</v>
      </c>
      <c r="U6" s="151">
        <v>2017</v>
      </c>
      <c r="V6" s="151">
        <v>2018</v>
      </c>
    </row>
    <row r="7" spans="1:22" s="102" customFormat="1" ht="16.5" customHeight="1" x14ac:dyDescent="0.25">
      <c r="A7" s="162" t="s">
        <v>227</v>
      </c>
      <c r="B7" s="176"/>
      <c r="C7" s="176"/>
      <c r="D7" s="176"/>
      <c r="E7" s="176"/>
      <c r="F7" s="176"/>
      <c r="G7" s="176"/>
      <c r="H7" s="176"/>
      <c r="I7" s="176"/>
      <c r="J7" s="176"/>
      <c r="K7" s="176"/>
      <c r="L7" s="176"/>
      <c r="M7" s="176"/>
      <c r="N7" s="176"/>
      <c r="O7" s="176"/>
      <c r="P7" s="176"/>
      <c r="Q7" s="176"/>
      <c r="R7" s="176"/>
      <c r="S7" s="176"/>
      <c r="T7" s="176"/>
      <c r="U7" s="176"/>
      <c r="V7" s="176"/>
    </row>
    <row r="8" spans="1:22" s="102" customFormat="1" ht="16.5" customHeight="1" x14ac:dyDescent="0.25">
      <c r="A8" s="99"/>
      <c r="B8" s="98"/>
      <c r="C8" s="98"/>
      <c r="D8" s="132"/>
      <c r="E8" s="132"/>
      <c r="F8" s="132"/>
      <c r="G8" s="132"/>
      <c r="H8" s="132"/>
      <c r="I8" s="132"/>
      <c r="J8" s="132"/>
      <c r="K8" s="132"/>
      <c r="L8" s="132"/>
      <c r="M8" s="132"/>
      <c r="N8" s="132"/>
      <c r="O8" s="132"/>
      <c r="P8" s="132"/>
      <c r="Q8" s="132"/>
      <c r="R8" s="132"/>
      <c r="S8" s="132"/>
      <c r="T8" s="132"/>
      <c r="U8" s="132"/>
      <c r="V8" s="132"/>
    </row>
    <row r="9" spans="1:22" ht="18" customHeight="1" x14ac:dyDescent="0.2">
      <c r="D9" s="160" t="s">
        <v>201</v>
      </c>
      <c r="E9" s="158"/>
      <c r="F9" s="158"/>
      <c r="G9" s="158"/>
      <c r="H9" s="158"/>
      <c r="I9" s="158"/>
      <c r="J9" s="158"/>
      <c r="K9" s="158"/>
      <c r="L9" s="158"/>
      <c r="M9" s="158"/>
      <c r="N9" s="158"/>
      <c r="O9" s="158"/>
      <c r="P9" s="158"/>
      <c r="Q9" s="158"/>
      <c r="R9" s="158"/>
      <c r="S9" s="158"/>
      <c r="T9" s="158"/>
      <c r="U9" s="158"/>
      <c r="V9" s="158"/>
    </row>
    <row r="10" spans="1:22" ht="15.75" customHeight="1" x14ac:dyDescent="0.2">
      <c r="C10" s="150"/>
      <c r="D10" s="150"/>
      <c r="E10" s="150"/>
      <c r="F10" s="150"/>
      <c r="G10" s="150"/>
      <c r="H10" s="150"/>
      <c r="I10" s="150"/>
      <c r="J10" s="150"/>
      <c r="K10" s="150"/>
      <c r="L10" s="150"/>
      <c r="M10" s="150"/>
      <c r="N10" s="150"/>
      <c r="O10" s="150"/>
      <c r="P10" s="150"/>
      <c r="Q10" s="150"/>
      <c r="R10" s="150"/>
      <c r="S10" s="150"/>
      <c r="T10" s="150"/>
      <c r="U10" s="150"/>
      <c r="V10" s="150"/>
    </row>
    <row r="11" spans="1:22" ht="9.9499999999999993" customHeight="1" x14ac:dyDescent="0.2">
      <c r="C11" s="177" t="s">
        <v>120</v>
      </c>
      <c r="D11" s="153" t="s">
        <v>27</v>
      </c>
      <c r="E11" s="153" t="s">
        <v>28</v>
      </c>
      <c r="F11" s="153" t="s">
        <v>29</v>
      </c>
      <c r="G11" s="153" t="s">
        <v>30</v>
      </c>
      <c r="H11" s="153" t="s">
        <v>121</v>
      </c>
      <c r="I11" s="153" t="s">
        <v>31</v>
      </c>
      <c r="J11" s="153" t="s">
        <v>32</v>
      </c>
      <c r="K11" s="153" t="s">
        <v>33</v>
      </c>
      <c r="L11" s="153" t="s">
        <v>34</v>
      </c>
      <c r="M11" s="153" t="s">
        <v>122</v>
      </c>
      <c r="N11" s="153">
        <v>2010</v>
      </c>
      <c r="O11" s="153">
        <v>2011</v>
      </c>
      <c r="P11" s="153">
        <v>2012</v>
      </c>
      <c r="Q11" s="153">
        <v>2013</v>
      </c>
      <c r="R11" s="153">
        <v>2014</v>
      </c>
      <c r="S11" s="153">
        <v>2015</v>
      </c>
      <c r="T11" s="153">
        <v>2016</v>
      </c>
      <c r="U11" s="153">
        <v>2017</v>
      </c>
      <c r="V11" s="153">
        <v>2018</v>
      </c>
    </row>
    <row r="12" spans="1:22" ht="9.9499999999999993" customHeight="1" thickBot="1" x14ac:dyDescent="0.25">
      <c r="C12" s="156"/>
      <c r="D12" s="154"/>
      <c r="E12" s="154"/>
      <c r="F12" s="154"/>
      <c r="G12" s="154"/>
      <c r="H12" s="154"/>
      <c r="I12" s="154"/>
      <c r="J12" s="154"/>
      <c r="K12" s="154"/>
      <c r="L12" s="154"/>
      <c r="M12" s="154"/>
      <c r="N12" s="154"/>
      <c r="O12" s="154"/>
      <c r="P12" s="154"/>
      <c r="Q12" s="154"/>
      <c r="R12" s="154"/>
      <c r="S12" s="154"/>
      <c r="T12" s="154"/>
      <c r="U12" s="154"/>
      <c r="V12" s="154"/>
    </row>
    <row r="13" spans="1:22" x14ac:dyDescent="0.2">
      <c r="C13" s="87" t="s">
        <v>123</v>
      </c>
      <c r="D13" s="56">
        <f>262.922181*Deflactores!$A$5</f>
        <v>954.55452432537868</v>
      </c>
      <c r="E13" s="56">
        <f>493.945955*Deflactores!$B$5</f>
        <v>1665.8878302145931</v>
      </c>
      <c r="F13" s="56">
        <f>515.556184376*Deflactores!$C$5</f>
        <v>1625.1433124982764</v>
      </c>
      <c r="G13" s="56">
        <f>254.151945582*Deflactores!$D$5</f>
        <v>752.3063405487286</v>
      </c>
      <c r="H13" s="56">
        <f>376.084597*Deflactores!$E$5</f>
        <v>1055.2291773422237</v>
      </c>
      <c r="I13" s="56">
        <f>394.933873817*Deflactores!$F$5</f>
        <v>1056.8072883257651</v>
      </c>
      <c r="J13" s="56">
        <f>623.67785786*Deflactores!$G$5</f>
        <v>1597.3758147176286</v>
      </c>
      <c r="K13" s="56">
        <f>983.5211*Deflactores!$H$5</f>
        <v>2383.2973554339214</v>
      </c>
      <c r="L13" s="56">
        <f>1141.862*Deflactores!$I$5</f>
        <v>2569.7792908488004</v>
      </c>
      <c r="M13" s="56">
        <f>1294.5843562*Deflactores!$J$5</f>
        <v>2856.3057195553088</v>
      </c>
      <c r="N13" s="56">
        <f>1281.887140914*Deflactores!$K$5</f>
        <v>2741.3567101463373</v>
      </c>
      <c r="O13" s="56">
        <f>1455.900732593*Deflactores!$L$5</f>
        <v>3001.6290833826738</v>
      </c>
      <c r="P13" s="56">
        <f>1814.599771896*Deflactores!$M$5</f>
        <v>3652.0485491436289</v>
      </c>
      <c r="Q13" s="56">
        <f>2332.884857397*Deflactores!$N$5</f>
        <v>4605.7924678287281</v>
      </c>
      <c r="R13" s="56">
        <f>3041.7518627*Deflactores!$O$5</f>
        <v>5793.2682609124331</v>
      </c>
      <c r="S13" s="56">
        <f>3287.520335005*Deflactores!$P$5</f>
        <v>5864.3389196774397</v>
      </c>
      <c r="T13" s="56">
        <f>2058.131061735*Deflactores!$Q$5</f>
        <v>3471.7085976368671</v>
      </c>
      <c r="U13" s="56">
        <f>2247.726997853*Deflactores!$R$5</f>
        <v>3642.5438720024445</v>
      </c>
      <c r="V13" s="56">
        <f>1747.010924764*Deflactores!$S$5</f>
        <v>2743.8560698687361</v>
      </c>
    </row>
    <row r="14" spans="1:22" x14ac:dyDescent="0.2">
      <c r="C14" s="88" t="s">
        <v>124</v>
      </c>
      <c r="D14" s="57">
        <f>53.686588797*Deflactores!$A$5</f>
        <v>194.9123350371589</v>
      </c>
      <c r="E14" s="57">
        <f>64.611096275*Deflactores!$B$5</f>
        <v>217.9081292028111</v>
      </c>
      <c r="F14" s="57">
        <f>74.528059586*Deflactores!$C$5</f>
        <v>234.92837696488164</v>
      </c>
      <c r="G14" s="57">
        <f>102.637371817*Deflactores!$D$5</f>
        <v>303.81331694458265</v>
      </c>
      <c r="H14" s="57">
        <f>232.591600478*Deflactores!$E$5</f>
        <v>652.61232495812931</v>
      </c>
      <c r="I14" s="57">
        <f>197.507144775*Deflactores!$F$5</f>
        <v>528.51123677314547</v>
      </c>
      <c r="J14" s="57">
        <f>318.02874552*Deflactores!$G$5</f>
        <v>814.54138555079362</v>
      </c>
      <c r="K14" s="57">
        <f>397.71754106*Deflactores!$H$5</f>
        <v>963.76088303339895</v>
      </c>
      <c r="L14" s="57">
        <f>421.85385*Deflactores!$I$5</f>
        <v>949.38905707943366</v>
      </c>
      <c r="M14" s="57">
        <f>457.816001344*Deflactores!$J$5</f>
        <v>1010.1021666762575</v>
      </c>
      <c r="N14" s="57">
        <f>520.64698*Deflactores!$K$5</f>
        <v>1113.4202432382308</v>
      </c>
      <c r="O14" s="57">
        <f>303.009760927*Deflactores!$L$5</f>
        <v>624.71492086375167</v>
      </c>
      <c r="P14" s="57">
        <f>178.187635091*Deflactores!$M$5</f>
        <v>358.61896616986752</v>
      </c>
      <c r="Q14" s="57">
        <f>296.791*Deflactores!$N$5</f>
        <v>585.95165894496324</v>
      </c>
      <c r="R14" s="57">
        <f>309.372865784*Deflactores!$O$5</f>
        <v>589.22623706164461</v>
      </c>
      <c r="S14" s="57">
        <f>432.90454634*Deflactores!$P$5</f>
        <v>772.22304986992776</v>
      </c>
      <c r="T14" s="57">
        <f>409.347570873*Deflactores!$Q$5</f>
        <v>690.49804827470359</v>
      </c>
      <c r="U14" s="57">
        <f>431.309895503*Deflactores!$R$5</f>
        <v>698.95731034023652</v>
      </c>
      <c r="V14" s="57">
        <f>383.003248642*Deflactores!$S$5</f>
        <v>601.54505828734932</v>
      </c>
    </row>
    <row r="15" spans="1:22" x14ac:dyDescent="0.2">
      <c r="C15" s="87" t="s">
        <v>125</v>
      </c>
      <c r="D15" s="56">
        <f>37.053406*Deflactores!$A$5</f>
        <v>134.52458139682452</v>
      </c>
      <c r="E15" s="56">
        <f>69.87997*Deflactores!$B$5</f>
        <v>235.67799355449898</v>
      </c>
      <c r="F15" s="56">
        <f>82.556081358*Deflactores!$C$5</f>
        <v>260.2344178790205</v>
      </c>
      <c r="G15" s="56">
        <f>67.145532508*Deflactores!$D$5</f>
        <v>198.75515699718008</v>
      </c>
      <c r="H15" s="56">
        <f>87.37122363*Deflactores!$E$5</f>
        <v>245.14873826238718</v>
      </c>
      <c r="I15" s="56">
        <f>92.610522851*Deflactores!$F$5</f>
        <v>247.81737402942343</v>
      </c>
      <c r="J15" s="56">
        <f>123.25411641*Deflactores!$G$5</f>
        <v>315.68083127607281</v>
      </c>
      <c r="K15" s="56">
        <f>128.929340939*Deflactores!$H$5</f>
        <v>312.42538395745362</v>
      </c>
      <c r="L15" s="56">
        <f>190.567410275*Deflactores!$I$5</f>
        <v>428.87510437809635</v>
      </c>
      <c r="M15" s="56">
        <f>208.102311614*Deflactores!$J$5</f>
        <v>459.14645891481791</v>
      </c>
      <c r="N15" s="56">
        <f>330.373713918*Deflactores!$K$5</f>
        <v>706.51476920138327</v>
      </c>
      <c r="O15" s="56">
        <f>369.096924049*Deflactores!$L$5</f>
        <v>760.96675893512145</v>
      </c>
      <c r="P15" s="56">
        <f>408.25358631*Deflactores!$M$5</f>
        <v>821.64780391671411</v>
      </c>
      <c r="Q15" s="56">
        <f>412.522279571*Deflactores!$N$5</f>
        <v>814.43882754660808</v>
      </c>
      <c r="R15" s="56">
        <f>353.983072066*Deflactores!$O$5</f>
        <v>674.19006837721577</v>
      </c>
      <c r="S15" s="56">
        <f>333.381822119*Deflactores!$P$5</f>
        <v>594.69259360869</v>
      </c>
      <c r="T15" s="56">
        <f>284.643625037*Deflactores!$Q$5</f>
        <v>480.14421368794041</v>
      </c>
      <c r="U15" s="56">
        <f>356.899597891*Deflactores!$R$5</f>
        <v>578.37203737809944</v>
      </c>
      <c r="V15" s="56">
        <f>311.078*Deflactores!$S$5</f>
        <v>488.57923348014054</v>
      </c>
    </row>
    <row r="16" spans="1:22" x14ac:dyDescent="0.2">
      <c r="C16" s="88" t="s">
        <v>126</v>
      </c>
      <c r="D16" s="57">
        <f>96.100833*Deflactores!$A$5</f>
        <v>348.89975650851477</v>
      </c>
      <c r="E16" s="57">
        <f>140.101733277*Deflactores!$B$5</f>
        <v>472.50872306085625</v>
      </c>
      <c r="F16" s="57">
        <f>134.769067647*Deflactores!$C$5</f>
        <v>424.8209131333341</v>
      </c>
      <c r="G16" s="57">
        <f>51.26515946*Deflactores!$D$5</f>
        <v>151.74821669250721</v>
      </c>
      <c r="H16" s="57">
        <f>43.568016188*Deflactores!$E$5</f>
        <v>122.24441587671811</v>
      </c>
      <c r="I16" s="57">
        <f>47.675052*Deflactores!$F$5</f>
        <v>127.57412256882252</v>
      </c>
      <c r="J16" s="57">
        <f>58.31089*Deflactores!$G$5</f>
        <v>149.34698137314442</v>
      </c>
      <c r="K16" s="57">
        <f>89.710510295*Deflactores!$H$5</f>
        <v>217.38915610524379</v>
      </c>
      <c r="L16" s="57">
        <f>73.505125159*Deflactores!$I$5</f>
        <v>165.4244982360805</v>
      </c>
      <c r="M16" s="57">
        <f>182.233850815*Deflactores!$J$5</f>
        <v>402.07158991735804</v>
      </c>
      <c r="N16" s="57">
        <f>219.090923727*Deflactores!$K$5</f>
        <v>468.53295795051952</v>
      </c>
      <c r="O16" s="57">
        <f>212.518496336*Deflactores!$L$5</f>
        <v>438.14917121634454</v>
      </c>
      <c r="P16" s="57">
        <f>287.106269727*Deflactores!$M$5</f>
        <v>577.82771278041571</v>
      </c>
      <c r="Q16" s="57">
        <f>369.393518656*Deflactores!$N$5</f>
        <v>729.29012355496104</v>
      </c>
      <c r="R16" s="57">
        <f>279.387555602*Deflactores!$O$5</f>
        <v>532.11673122023149</v>
      </c>
      <c r="S16" s="57">
        <f>309.862592768*Deflactores!$P$5</f>
        <v>552.73856200155785</v>
      </c>
      <c r="T16" s="57">
        <f>289.564906559*Deflactores!$Q$5</f>
        <v>488.44555838312033</v>
      </c>
      <c r="U16" s="57">
        <f>357.601798193*Deflactores!$R$5</f>
        <v>579.50998491773021</v>
      </c>
      <c r="V16" s="57">
        <f>252.099449243*Deflactores!$S$5</f>
        <v>395.94749764339025</v>
      </c>
    </row>
    <row r="17" spans="3:22" x14ac:dyDescent="0.2">
      <c r="C17" s="87" t="s">
        <v>127</v>
      </c>
      <c r="D17" s="56">
        <f>0*Deflactores!$A$5</f>
        <v>0</v>
      </c>
      <c r="E17" s="56">
        <f>24.3405*Deflactores!$B$5</f>
        <v>82.091051300011756</v>
      </c>
      <c r="F17" s="56">
        <f>2*Deflactores!$C$5</f>
        <v>6.3044275745242304</v>
      </c>
      <c r="G17" s="56">
        <f>17*Deflactores!$D$5</f>
        <v>50.321109130372783</v>
      </c>
      <c r="H17" s="56">
        <f>0*Deflactores!$E$5</f>
        <v>0</v>
      </c>
      <c r="I17" s="56">
        <f>8.75*Deflactores!$F$5</f>
        <v>23.414207759588749</v>
      </c>
      <c r="J17" s="56">
        <f>42.5*Deflactores!$G$5</f>
        <v>108.85182353345382</v>
      </c>
      <c r="K17" s="56">
        <f>13.9*Deflactores!$H$5</f>
        <v>33.682890220180845</v>
      </c>
      <c r="L17" s="56">
        <f>19.1*Deflactores!$I$5</f>
        <v>42.98486546991851</v>
      </c>
      <c r="M17" s="56">
        <f>21.35*Deflactores!$J$5</f>
        <v>47.1055646705843</v>
      </c>
      <c r="N17" s="56">
        <f>40*Deflactores!$K$5</f>
        <v>85.541281214248528</v>
      </c>
      <c r="O17" s="56">
        <f>50*Deflactores!$L$5</f>
        <v>103.0849499620997</v>
      </c>
      <c r="P17" s="56">
        <f>44.306053303*Deflactores!$M$5</f>
        <v>89.169997808627031</v>
      </c>
      <c r="Q17" s="56">
        <f>62.49231726*Deflactores!$N$5</f>
        <v>123.37798979690071</v>
      </c>
      <c r="R17" s="56">
        <f>60.205094278*Deflactores!$O$5</f>
        <v>114.66558666504146</v>
      </c>
      <c r="S17" s="56">
        <f>55.263618437*Deflactores!$P$5</f>
        <v>98.580253631133786</v>
      </c>
      <c r="T17" s="56">
        <f>65.953428391*Deflactores!$Q$5</f>
        <v>111.25194534289767</v>
      </c>
      <c r="U17" s="56">
        <f>69.270503705*Deflactores!$R$5</f>
        <v>112.25600307429862</v>
      </c>
      <c r="V17" s="56">
        <f>71.915*Deflactores!$S$5</f>
        <v>112.94972828591001</v>
      </c>
    </row>
    <row r="18" spans="3:22" x14ac:dyDescent="0.2">
      <c r="C18" s="88" t="s">
        <v>128</v>
      </c>
      <c r="D18" s="57">
        <f>24.668407*Deflactores!$A$5</f>
        <v>89.560110220407154</v>
      </c>
      <c r="E18" s="57">
        <f>25.04974*Deflactores!$B$5</f>
        <v>84.483042311865262</v>
      </c>
      <c r="F18" s="57">
        <f>17.279*Deflactores!$C$5</f>
        <v>54.46710203010209</v>
      </c>
      <c r="G18" s="57">
        <f>12.565151402*Deflactores!$D$5</f>
        <v>37.193667937629328</v>
      </c>
      <c r="H18" s="57">
        <f>36.690189019*Deflactores!$E$5</f>
        <v>102.94640696239432</v>
      </c>
      <c r="I18" s="57">
        <f>33.8830075*Deflactores!$F$5</f>
        <v>90.667860242823281</v>
      </c>
      <c r="J18" s="57">
        <f>54.874551428*Deflactores!$G$5</f>
        <v>140.5457644357198</v>
      </c>
      <c r="K18" s="57">
        <f>63.422359814*Deflactores!$H$5</f>
        <v>153.68693403739363</v>
      </c>
      <c r="L18" s="57">
        <f>75.22312677*Deflactores!$I$5</f>
        <v>169.29088923743851</v>
      </c>
      <c r="M18" s="57">
        <f>96.874958947*Deflactores!$J$5</f>
        <v>213.74003014698394</v>
      </c>
      <c r="N18" s="57">
        <f>102.292384705*Deflactores!$K$5</f>
        <v>218.75554115316251</v>
      </c>
      <c r="O18" s="57">
        <f>119.339267943*Deflactores!$L$5</f>
        <v>246.04164928835525</v>
      </c>
      <c r="P18" s="57">
        <f>193.472860208*Deflactores!$M$5</f>
        <v>389.38188429453317</v>
      </c>
      <c r="Q18" s="57">
        <f>198.56200016*Deflactores!$N$5</f>
        <v>392.01907536678016</v>
      </c>
      <c r="R18" s="57">
        <f>191.669520072*Deflactores!$O$5</f>
        <v>365.05047003794715</v>
      </c>
      <c r="S18" s="57">
        <f>220.434305185*Deflactores!$P$5</f>
        <v>393.21474649570001</v>
      </c>
      <c r="T18" s="57">
        <f>171.694409885*Deflactores!$Q$5</f>
        <v>289.61856222190954</v>
      </c>
      <c r="U18" s="57">
        <f>186.330288926*Deflactores!$R$5</f>
        <v>301.95671126615792</v>
      </c>
      <c r="V18" s="57">
        <f>143.328659438*Deflactores!$S$5</f>
        <v>225.11205088098211</v>
      </c>
    </row>
    <row r="19" spans="3:22" x14ac:dyDescent="0.2">
      <c r="C19" s="87" t="s">
        <v>129</v>
      </c>
      <c r="D19" s="56">
        <f>477.300062939*Deflactores!$A$5</f>
        <v>1732.8661005562342</v>
      </c>
      <c r="E19" s="56">
        <f>873.694665*Deflactores!$B$5</f>
        <v>2946.6327135868855</v>
      </c>
      <c r="F19" s="56">
        <f>1007.061912*Deflactores!$C$5</f>
        <v>3174.474443632947</v>
      </c>
      <c r="G19" s="56">
        <f>924.45772682*Deflactores!$D$5</f>
        <v>2736.4551857485626</v>
      </c>
      <c r="H19" s="56">
        <f>883.2751813335*Deflactores!$E$5</f>
        <v>2478.3193738863829</v>
      </c>
      <c r="I19" s="56">
        <f>785.354281662*Deflactores!$F$5</f>
        <v>2101.5369503676166</v>
      </c>
      <c r="J19" s="56">
        <f>1142.86454930662*Deflactores!$G$5</f>
        <v>2927.1268292650452</v>
      </c>
      <c r="K19" s="56">
        <f>1129.114201*Deflactores!$H$5</f>
        <v>2736.1028545561303</v>
      </c>
      <c r="L19" s="56">
        <f>3400.22335509241*Deflactores!$I$5</f>
        <v>7652.2588212734136</v>
      </c>
      <c r="M19" s="56">
        <f>3133.484878499*Deflactores!$J$5</f>
        <v>6913.5632125729562</v>
      </c>
      <c r="N19" s="56">
        <f>2114.134855899*Deflactores!$K$5</f>
        <v>4521.1451058325283</v>
      </c>
      <c r="O19" s="56">
        <f>1520.734458382*Deflactores!$L$5</f>
        <v>3135.2967109589849</v>
      </c>
      <c r="P19" s="56">
        <f>1916.205036383*Deflactores!$M$5</f>
        <v>3856.5384672523428</v>
      </c>
      <c r="Q19" s="56">
        <f>2908.694578691*Deflactores!$N$5</f>
        <v>5742.6081442773275</v>
      </c>
      <c r="R19" s="56">
        <f>2381.190737893*Deflactores!$O$5</f>
        <v>4535.1749083073473</v>
      </c>
      <c r="S19" s="56">
        <f>1471.142788521*Deflactores!$P$5</f>
        <v>2624.2514211287385</v>
      </c>
      <c r="T19" s="56">
        <f>1045.2847159664*Deflactores!$Q$5</f>
        <v>1763.2132388788625</v>
      </c>
      <c r="U19" s="56">
        <f>999.592442452*Deflactores!$R$5</f>
        <v>1619.8850346289305</v>
      </c>
      <c r="V19" s="56">
        <f>837.487323589*Deflactores!$S$5</f>
        <v>1315.3579314784333</v>
      </c>
    </row>
    <row r="20" spans="3:22" x14ac:dyDescent="0.2">
      <c r="C20" s="88" t="s">
        <v>130</v>
      </c>
      <c r="D20" s="57">
        <f>32.99115*Deflactores!$A$5</f>
        <v>119.7763207935553</v>
      </c>
      <c r="E20" s="57">
        <f>71.885856*Deflactores!$B$5</f>
        <v>242.44306783514136</v>
      </c>
      <c r="F20" s="57">
        <f>30.8372*Deflactores!$C$5</f>
        <v>97.205447000559303</v>
      </c>
      <c r="G20" s="57">
        <f>32.6338399195*Deflactores!$D$5</f>
        <v>96.598295290133834</v>
      </c>
      <c r="H20" s="57">
        <f>81.102254642*Deflactores!$E$5</f>
        <v>227.55908146505988</v>
      </c>
      <c r="I20" s="57">
        <f>63.957*Deflactores!$F$5</f>
        <v>171.14314122057343</v>
      </c>
      <c r="J20" s="57">
        <f>93.73771*Deflactores!$G$5</f>
        <v>240.08283923176637</v>
      </c>
      <c r="K20" s="57">
        <f>76.647639352*Deflactores!$H$5</f>
        <v>185.73482172154166</v>
      </c>
      <c r="L20" s="57">
        <f>145.58199925*Deflactores!$I$5</f>
        <v>327.6346938535616</v>
      </c>
      <c r="M20" s="57">
        <f>135.411815558*Deflactores!$J$5</f>
        <v>298.76580959852936</v>
      </c>
      <c r="N20" s="57">
        <f>128.384527177*Deflactores!$K$5</f>
        <v>274.55442357015221</v>
      </c>
      <c r="O20" s="57">
        <f>163.406814*Deflactores!$L$5</f>
        <v>336.89566489312261</v>
      </c>
      <c r="P20" s="57">
        <f>311.496829077*Deflactores!$M$5</f>
        <v>626.91595155711173</v>
      </c>
      <c r="Q20" s="57">
        <f>364.064*Deflactores!$N$5</f>
        <v>718.76810537428389</v>
      </c>
      <c r="R20" s="57">
        <f>327.703656*Deflactores!$O$5</f>
        <v>624.1387447050306</v>
      </c>
      <c r="S20" s="57">
        <f>407.679743203*Deflactores!$P$5</f>
        <v>727.22658453938379</v>
      </c>
      <c r="T20" s="57">
        <f>345.24351458*Deflactores!$Q$5</f>
        <v>582.36567152110842</v>
      </c>
      <c r="U20" s="57">
        <f>534.058554407*Deflactores!$R$5</f>
        <v>865.46618717658225</v>
      </c>
      <c r="V20" s="57">
        <f>531.119*Deflactores!$S$5</f>
        <v>834.17571768732853</v>
      </c>
    </row>
    <row r="21" spans="3:22" x14ac:dyDescent="0.2">
      <c r="C21" s="87" t="s">
        <v>131</v>
      </c>
      <c r="D21" s="56">
        <f>208.480199126*Deflactores!$A$5</f>
        <v>756.8996900568809</v>
      </c>
      <c r="E21" s="56">
        <f>237.241483923*Deflactores!$B$5</f>
        <v>800.1233675238351</v>
      </c>
      <c r="F21" s="56">
        <f>280.38767761*Deflactores!$C$5</f>
        <v>883.84190314064722</v>
      </c>
      <c r="G21" s="56">
        <f>259.242880852*Deflactores!$D$5</f>
        <v>767.37584109563056</v>
      </c>
      <c r="H21" s="56">
        <f>414.593940695*Deflactores!$E$5</f>
        <v>1163.2798217754596</v>
      </c>
      <c r="I21" s="56">
        <f>626.532367138*Deflactores!$F$5</f>
        <v>1676.5438871172648</v>
      </c>
      <c r="J21" s="56">
        <f>681.226983704*Deflactores!$G$5</f>
        <v>1744.7717509735253</v>
      </c>
      <c r="K21" s="56">
        <f>644.370098255*Deflactores!$H$5</f>
        <v>1561.4566388985834</v>
      </c>
      <c r="L21" s="56">
        <f>851.873840138*Deflactores!$I$5</f>
        <v>1917.1561474175285</v>
      </c>
      <c r="M21" s="56">
        <f>990.517745223*Deflactores!$J$5</f>
        <v>2185.4284639327107</v>
      </c>
      <c r="N21" s="56">
        <f>1036.727906607*Deflactores!$K$5</f>
        <v>2217.0758350432143</v>
      </c>
      <c r="O21" s="56">
        <f>946.28298111*Deflactores!$L$5</f>
        <v>1950.9506751542176</v>
      </c>
      <c r="P21" s="56">
        <f>1214.108636063*Deflactores!$M$5</f>
        <v>2443.505037038412</v>
      </c>
      <c r="Q21" s="56">
        <f>1571.844273678*Deflactores!$N$5</f>
        <v>3103.2772549193369</v>
      </c>
      <c r="R21" s="56">
        <f>1905.359176759*Deflactores!$O$5</f>
        <v>3628.9143041924826</v>
      </c>
      <c r="S21" s="56">
        <f>2464.653262511*Deflactores!$P$5</f>
        <v>4396.4935811815294</v>
      </c>
      <c r="T21" s="56">
        <f>2598.536911245*Deflactores!$Q$5</f>
        <v>4383.2791330796135</v>
      </c>
      <c r="U21" s="56">
        <f>3274.77744344*Deflactores!$R$5</f>
        <v>5306.9258500557107</v>
      </c>
      <c r="V21" s="56">
        <f>3426.647750202*Deflactores!$S$5</f>
        <v>5381.8943518993356</v>
      </c>
    </row>
    <row r="22" spans="3:22" x14ac:dyDescent="0.2">
      <c r="C22" s="88" t="s">
        <v>132</v>
      </c>
      <c r="D22" s="57">
        <f>11.4*Deflactores!$A$5</f>
        <v>41.388374065363912</v>
      </c>
      <c r="E22" s="57">
        <f>21.291231*Deflactores!$B$5</f>
        <v>71.807051468186799</v>
      </c>
      <c r="F22" s="57">
        <f>19.406*Deflactores!$C$5</f>
        <v>61.171860755608606</v>
      </c>
      <c r="G22" s="57">
        <f>5.04883192584*Deflactores!$D$5</f>
        <v>14.944871901241461</v>
      </c>
      <c r="H22" s="57">
        <f>12.66781*Deflactores!$E$5</f>
        <v>35.543712323394075</v>
      </c>
      <c r="I22" s="57">
        <f>15.516247873*Deflactores!$F$5</f>
        <v>41.520074439737023</v>
      </c>
      <c r="J22" s="57">
        <f>19.1277085*Deflactores!$G$5</f>
        <v>48.990257652737526</v>
      </c>
      <c r="K22" s="57">
        <f>45.499672557*Deflactores!$H$5</f>
        <v>110.2561493375256</v>
      </c>
      <c r="L22" s="57">
        <f>43.438937*Deflactores!$I$5</f>
        <v>97.760045188547934</v>
      </c>
      <c r="M22" s="57">
        <f>66.057186*Deflactores!$J$5</f>
        <v>145.74524810678295</v>
      </c>
      <c r="N22" s="57">
        <f>87.019436728*Deflactores!$K$5</f>
        <v>186.09385270638387</v>
      </c>
      <c r="O22" s="57">
        <f>94.8669*Deflactores!$L$5</f>
        <v>195.58699279119031</v>
      </c>
      <c r="P22" s="57">
        <f>112.141531434*Deflactores!$M$5</f>
        <v>225.69512215047092</v>
      </c>
      <c r="Q22" s="57">
        <f>120.771972*Deflactores!$N$5</f>
        <v>238.43895989923766</v>
      </c>
      <c r="R22" s="57">
        <f>136.240558593*Deflactores!$O$5</f>
        <v>259.48142372310667</v>
      </c>
      <c r="S22" s="57">
        <f>162.52898928*Deflactores!$P$5</f>
        <v>289.92218459056062</v>
      </c>
      <c r="T22" s="57">
        <f>212.883909446*Deflactores!$Q$5</f>
        <v>359.09807322920983</v>
      </c>
      <c r="U22" s="57">
        <f>285.417146909*Deflactores!$R$5</f>
        <v>462.5314730974244</v>
      </c>
      <c r="V22" s="57">
        <f>371.739230168*Deflactores!$S$5</f>
        <v>583.85378628504429</v>
      </c>
    </row>
    <row r="23" spans="3:22" x14ac:dyDescent="0.2">
      <c r="C23" s="87" t="s">
        <v>133</v>
      </c>
      <c r="D23" s="56">
        <f>28.41036*Deflactores!$A$5</f>
        <v>103.14549184312739</v>
      </c>
      <c r="E23" s="56">
        <f>38.21*Deflactores!$B$5</f>
        <v>128.86748711708671</v>
      </c>
      <c r="F23" s="56">
        <f>28.859662*Deflactores!$C$5</f>
        <v>90.971824452124551</v>
      </c>
      <c r="G23" s="56">
        <f>29.399156606*Deflactores!$D$5</f>
        <v>87.023421641849751</v>
      </c>
      <c r="H23" s="56">
        <f>40.30447*Deflactores!$E$5</f>
        <v>113.08746239696262</v>
      </c>
      <c r="I23" s="56">
        <f>46.960966552*Deflactores!$F$5</f>
        <v>125.6632945645287</v>
      </c>
      <c r="J23" s="56">
        <f>55.417468*Deflactores!$G$5</f>
        <v>141.93629288016055</v>
      </c>
      <c r="K23" s="56">
        <f>73.5534*Deflactores!$H$5</f>
        <v>178.23676960583089</v>
      </c>
      <c r="L23" s="56">
        <f>98.521*Deflactores!$I$5</f>
        <v>221.72313774669325</v>
      </c>
      <c r="M23" s="56">
        <f>102.351487622*Deflactores!$J$5</f>
        <v>225.82316718073204</v>
      </c>
      <c r="N23" s="56">
        <f>117.366352127*Deflactores!$K$5</f>
        <v>250.99170330965558</v>
      </c>
      <c r="O23" s="56">
        <f>128.375*Deflactores!$L$5</f>
        <v>264.67060902769094</v>
      </c>
      <c r="P23" s="56">
        <f>138.278*Deflactores!$M$5</f>
        <v>278.29716342950451</v>
      </c>
      <c r="Q23" s="56">
        <f>154.645867265*Deflactores!$N$5</f>
        <v>305.31587033605911</v>
      </c>
      <c r="R23" s="56">
        <f>153.783953417*Deflactores!$O$5</f>
        <v>292.89427165091888</v>
      </c>
      <c r="S23" s="56">
        <f>161.964*Deflactores!$P$5</f>
        <v>288.91434637626122</v>
      </c>
      <c r="T23" s="56">
        <f>182.891275567*Deflactores!$Q$5</f>
        <v>308.50572425813834</v>
      </c>
      <c r="U23" s="56">
        <f>170.683383878*Deflactores!$R$5</f>
        <v>276.60018969888705</v>
      </c>
      <c r="V23" s="56">
        <f>142.332603119*Deflactores!$S$5</f>
        <v>223.54764442073719</v>
      </c>
    </row>
    <row r="24" spans="3:22" x14ac:dyDescent="0.2">
      <c r="C24" s="88" t="s">
        <v>134</v>
      </c>
      <c r="D24" s="57">
        <f>880.923149728*Deflactores!$A$5</f>
        <v>3198.2435827878107</v>
      </c>
      <c r="E24" s="57">
        <f>1797.940478616*Deflactores!$B$5</f>
        <v>6063.7548145861329</v>
      </c>
      <c r="F24" s="57">
        <f>1154.187549323*Deflactores!$C$5</f>
        <v>3638.2459060622332</v>
      </c>
      <c r="G24" s="57">
        <f>1310.89765891954*Deflactores!$D$5</f>
        <v>3880.3425972494333</v>
      </c>
      <c r="H24" s="57">
        <f>1516.931617073*Deflactores!$E$5</f>
        <v>4256.2511603429239</v>
      </c>
      <c r="I24" s="57">
        <f>1954.968486021*Deflactores!$F$5</f>
        <v>5231.3186623022129</v>
      </c>
      <c r="J24" s="57">
        <f>866.592032053*Deflactores!$G$5</f>
        <v>2219.5323046713015</v>
      </c>
      <c r="K24" s="57">
        <f>953.273476926*Deflactores!$H$5</f>
        <v>2310.0004225257953</v>
      </c>
      <c r="L24" s="57">
        <f>983.335428036*Deflactores!$I$5</f>
        <v>2213.0126223001148</v>
      </c>
      <c r="M24" s="57">
        <f>1018.682962932*Deflactores!$J$5</f>
        <v>2247.5707816962881</v>
      </c>
      <c r="N24" s="57">
        <f>830.465981822*Deflactores!$K$5</f>
        <v>1775.9781022475677</v>
      </c>
      <c r="O24" s="57">
        <f>1431.099964307*Deflactores!$L$5</f>
        <v>2950.4973642269947</v>
      </c>
      <c r="P24" s="57">
        <f>2481.94774902*Deflactores!$M$5</f>
        <v>4995.1475891501896</v>
      </c>
      <c r="Q24" s="57">
        <f>2597.83705277*Deflactores!$N$5</f>
        <v>5128.8850764992039</v>
      </c>
      <c r="R24" s="57">
        <f>2915.120590115*Deflactores!$O$5</f>
        <v>5552.0885179815141</v>
      </c>
      <c r="S24" s="57">
        <f>3129.027399424*Deflactores!$P$5</f>
        <v>5581.6163215158758</v>
      </c>
      <c r="T24" s="57">
        <f>2038.867532357*Deflactores!$Q$5</f>
        <v>3439.2143790684659</v>
      </c>
      <c r="U24" s="57">
        <f>1532.11443526343*Deflactores!$R$5</f>
        <v>2482.8611538260634</v>
      </c>
      <c r="V24" s="57">
        <f>1542.559088621*Deflactores!$S$5</f>
        <v>2422.7439327637198</v>
      </c>
    </row>
    <row r="25" spans="3:22" x14ac:dyDescent="0.2">
      <c r="C25" s="87" t="s">
        <v>135</v>
      </c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</row>
    <row r="26" spans="3:22" x14ac:dyDescent="0.2">
      <c r="C26" s="88" t="s">
        <v>136</v>
      </c>
      <c r="D26" s="57">
        <f>1056.971089275*Deflactores!$A$5</f>
        <v>3837.3960367709519</v>
      </c>
      <c r="E26" s="57">
        <f>1168.585149308*Deflactores!$B$5</f>
        <v>3941.1837653406842</v>
      </c>
      <c r="F26" s="57">
        <f>1100.733687057*Deflactores!$C$5</f>
        <v>3469.7479044449378</v>
      </c>
      <c r="G26" s="57">
        <f>1110.692860978*Deflactores!$D$5</f>
        <v>3287.7233333882295</v>
      </c>
      <c r="H26" s="57">
        <f>1277.97367616*Deflactores!$E$5</f>
        <v>3585.7759709295783</v>
      </c>
      <c r="I26" s="57">
        <f>1602.89593082484*Deflactores!$F$5</f>
        <v>4289.204381866537</v>
      </c>
      <c r="J26" s="57">
        <f>2617.659529708*Deflactores!$G$5</f>
        <v>6704.4003105515039</v>
      </c>
      <c r="K26" s="57">
        <f>3621.867172808*Deflactores!$H$5</f>
        <v>8776.6154225732826</v>
      </c>
      <c r="L26" s="57">
        <f>4712.671006539*Deflactores!$I$5</f>
        <v>10605.943938223265</v>
      </c>
      <c r="M26" s="57">
        <f>5415.78435206*Deflactores!$J$5</f>
        <v>11949.113819105423</v>
      </c>
      <c r="N26" s="57">
        <f>5754.282517229*Deflactores!$K$5</f>
        <v>12305.717474812996</v>
      </c>
      <c r="O26" s="57">
        <f>6014.232105224*Deflactores!$L$5</f>
        <v>12399.536312549391</v>
      </c>
      <c r="P26" s="57">
        <f>7370.552960286*Deflactores!$M$5</f>
        <v>14833.914156659275</v>
      </c>
      <c r="Q26" s="57">
        <f>8355.480816384*Deflactores!$N$5</f>
        <v>16496.146600277705</v>
      </c>
      <c r="R26" s="57">
        <f>8674.374453324*Deflactores!$O$5</f>
        <v>16521.064331363537</v>
      </c>
      <c r="S26" s="57">
        <f>9787.942989349*Deflactores!$P$5</f>
        <v>17459.911777530033</v>
      </c>
      <c r="T26" s="57">
        <f>9603.155904483*Deflactores!$Q$5</f>
        <v>16198.851248052137</v>
      </c>
      <c r="U26" s="57">
        <f>10202.909135001*Deflactores!$R$5</f>
        <v>16534.278487465228</v>
      </c>
      <c r="V26" s="57">
        <f>9799.741448358*Deflactores!$S$5</f>
        <v>15391.477909534953</v>
      </c>
    </row>
    <row r="27" spans="3:22" x14ac:dyDescent="0.2">
      <c r="C27" s="87" t="s">
        <v>137</v>
      </c>
      <c r="D27" s="56">
        <f>51.1516*Deflactores!$A$5</f>
        <v>185.70890831946218</v>
      </c>
      <c r="E27" s="56">
        <f>40.416446*Deflactores!$B$5</f>
        <v>136.30897236910315</v>
      </c>
      <c r="F27" s="56">
        <f>56.185218*Deflactores!$C$5</f>
        <v>177.10781881992756</v>
      </c>
      <c r="G27" s="56">
        <f>42.56853577378*Deflactores!$D$5</f>
        <v>126.00564318779772</v>
      </c>
      <c r="H27" s="56">
        <f>78.200875798*Deflactores!$E$5</f>
        <v>219.41830772655908</v>
      </c>
      <c r="I27" s="56">
        <f>216.594596903*Deflactores!$F$5</f>
        <v>579.58753045613935</v>
      </c>
      <c r="J27" s="56">
        <f>90.484613018*Deflactores!$G$5</f>
        <v>231.75094420536928</v>
      </c>
      <c r="K27" s="56">
        <f>113.869027316*Deflactores!$H$5</f>
        <v>275.93078752256127</v>
      </c>
      <c r="L27" s="56">
        <f>143.28528273232*Deflactores!$I$5</f>
        <v>322.46589539623108</v>
      </c>
      <c r="M27" s="56">
        <f>139.38465368*Deflactores!$J$5</f>
        <v>307.53127953209537</v>
      </c>
      <c r="N27" s="56">
        <f>185.880182866*Deflactores!$K$5</f>
        <v>397.51072486741123</v>
      </c>
      <c r="O27" s="56">
        <f>191.106566095*Deflactores!$L$5</f>
        <v>394.00421606663548</v>
      </c>
      <c r="P27" s="56">
        <f>218.880415893*Deflactores!$M$5</f>
        <v>440.51692151529625</v>
      </c>
      <c r="Q27" s="56">
        <f>275.421063749*Deflactores!$N$5</f>
        <v>543.7611963035032</v>
      </c>
      <c r="R27" s="56">
        <f>460.163968751*Deflactores!$O$5</f>
        <v>876.42037724087538</v>
      </c>
      <c r="S27" s="56">
        <f>257.877315149*Deflactores!$P$5</f>
        <v>460.00627269972625</v>
      </c>
      <c r="T27" s="56">
        <f>201.32501596877*Deflactores!$Q$5</f>
        <v>339.60023336363815</v>
      </c>
      <c r="U27" s="56">
        <f>250.784808971*Deflactores!$R$5</f>
        <v>406.40819369130594</v>
      </c>
      <c r="V27" s="56">
        <f>466.430073103*Deflactores!$S$5</f>
        <v>732.57526275966052</v>
      </c>
    </row>
    <row r="28" spans="3:22" x14ac:dyDescent="0.2">
      <c r="C28" s="88" t="s">
        <v>138</v>
      </c>
      <c r="D28" s="57">
        <f>11.11*Deflactores!$A$5</f>
        <v>40.335511918087107</v>
      </c>
      <c r="E28" s="57">
        <f>22.225*Deflactores!$B$5</f>
        <v>74.95629157752559</v>
      </c>
      <c r="F28" s="57">
        <f>12.1477*Deflactores!$C$5</f>
        <v>38.292147423524</v>
      </c>
      <c r="G28" s="57">
        <f>41.7058231855999*Deflactores!$D$5</f>
        <v>123.45195764085905</v>
      </c>
      <c r="H28" s="57">
        <f>27*Deflactores!$E$5</f>
        <v>75.757390798538978</v>
      </c>
      <c r="I28" s="57">
        <f>22.905*Deflactores!$F$5</f>
        <v>61.291706140957743</v>
      </c>
      <c r="J28" s="57">
        <f>45.01422*Deflactores!$G$5</f>
        <v>115.29129251614278</v>
      </c>
      <c r="K28" s="57">
        <f>44.1*Deflactores!$H$5</f>
        <v>106.86442148992627</v>
      </c>
      <c r="L28" s="57">
        <f>102.726176236*Deflactores!$I$5</f>
        <v>231.18695632165443</v>
      </c>
      <c r="M28" s="57">
        <f>84.40292803*Deflactores!$J$5</f>
        <v>186.2223693069713</v>
      </c>
      <c r="N28" s="57">
        <f>77.642977326*Deflactores!$K$5</f>
        <v>166.0419939438722</v>
      </c>
      <c r="O28" s="57">
        <f>50.842*Deflactores!$L$5</f>
        <v>104.82090051946145</v>
      </c>
      <c r="P28" s="57">
        <f>75.45*Deflactores!$M$5</f>
        <v>151.85004831394812</v>
      </c>
      <c r="Q28" s="57">
        <f>39.58654082*Deflactores!$N$5</f>
        <v>78.155332423730854</v>
      </c>
      <c r="R28" s="57">
        <f>20.2136*Deflactores!$O$5</f>
        <v>38.498474762117411</v>
      </c>
      <c r="S28" s="57">
        <f>16.871*Deflactores!$P$5</f>
        <v>30.094798459620051</v>
      </c>
      <c r="T28" s="57">
        <f>10.642*Deflactores!$Q$5</f>
        <v>17.951200282117217</v>
      </c>
      <c r="U28" s="57">
        <f>8.630885526*Deflactores!$R$5</f>
        <v>13.986742701722866</v>
      </c>
      <c r="V28" s="57">
        <f>7.0382*Deflactores!$S$5</f>
        <v>11.054199786162716</v>
      </c>
    </row>
    <row r="29" spans="3:22" x14ac:dyDescent="0.2">
      <c r="C29" s="87" t="s">
        <v>139</v>
      </c>
      <c r="D29" s="56">
        <f>160.060061*Deflactores!$A$5</f>
        <v>581.10751557833032</v>
      </c>
      <c r="E29" s="56">
        <f>191.299044269*Deflactores!$B$5</f>
        <v>645.17736516216598</v>
      </c>
      <c r="F29" s="56">
        <f>190.714462*Deflactores!$C$5</f>
        <v>601.17275654667674</v>
      </c>
      <c r="G29" s="56">
        <f>111.77593311125*Deflactores!$D$5</f>
        <v>330.86405460238001</v>
      </c>
      <c r="H29" s="56">
        <f>267.719768397*Deflactores!$E$5</f>
        <v>751.17596736836572</v>
      </c>
      <c r="I29" s="56">
        <f>182.09479685992*Deflactores!$F$5</f>
        <v>487.26918921351717</v>
      </c>
      <c r="J29" s="56">
        <f>272.17469319662*Deflactores!$G$5</f>
        <v>697.0990982143627</v>
      </c>
      <c r="K29" s="56">
        <f>594.93698995*Deflactores!$H$5</f>
        <v>1441.6688719719916</v>
      </c>
      <c r="L29" s="56">
        <f>781.848849471*Deflactores!$I$5</f>
        <v>1759.5637493362042</v>
      </c>
      <c r="M29" s="56">
        <f>775.846597517*Deflactores!$J$5</f>
        <v>1711.7888559152145</v>
      </c>
      <c r="N29" s="56">
        <f>533.13176649644*Deflactores!$K$5</f>
        <v>1140.1193590530265</v>
      </c>
      <c r="O29" s="56">
        <f>4035.606411451*Deflactores!$L$5</f>
        <v>8320.2056998231001</v>
      </c>
      <c r="P29" s="56">
        <f>491.143225131*Deflactores!$M$5</f>
        <v>988.47080802134712</v>
      </c>
      <c r="Q29" s="56">
        <f>779.881691611*Deflactores!$N$5</f>
        <v>1539.7130336845444</v>
      </c>
      <c r="R29" s="56">
        <f>745.969515742*Deflactores!$O$5</f>
        <v>1420.7607044317851</v>
      </c>
      <c r="S29" s="56">
        <f>828.072302723*Deflactores!$P$5</f>
        <v>1477.1305234095296</v>
      </c>
      <c r="T29" s="56">
        <f>964.714597376*Deflactores!$Q$5</f>
        <v>1627.3054832342275</v>
      </c>
      <c r="U29" s="56">
        <f>1152.719133953*Deflactores!$R$5</f>
        <v>1868.033805498236</v>
      </c>
      <c r="V29" s="56">
        <f>505.909659052*Deflactores!$S$5</f>
        <v>794.58191652841219</v>
      </c>
    </row>
    <row r="30" spans="3:22" x14ac:dyDescent="0.2">
      <c r="C30" s="88" t="s">
        <v>140</v>
      </c>
      <c r="D30" s="57">
        <f>272.66508*Deflactores!$A$5</f>
        <v>989.92669522827862</v>
      </c>
      <c r="E30" s="57">
        <f>531.696167442*Deflactores!$B$5</f>
        <v>1793.2046325055305</v>
      </c>
      <c r="F30" s="57">
        <f>313.46368835*Deflactores!$C$5</f>
        <v>988.10456022290487</v>
      </c>
      <c r="G30" s="57">
        <f>342.90884694107*Deflactores!$D$5</f>
        <v>1015.0325593348166</v>
      </c>
      <c r="H30" s="57">
        <f>665.778420038*Deflactores!$E$5</f>
        <v>1868.0605908167631</v>
      </c>
      <c r="I30" s="57">
        <f>876.903987222*Deflactores!$F$5</f>
        <v>2346.5156733745898</v>
      </c>
      <c r="J30" s="57">
        <f>946.2137*Deflactores!$G$5</f>
        <v>2423.4608634667393</v>
      </c>
      <c r="K30" s="57">
        <f>3942.349*Deflactores!$H$5</f>
        <v>9553.2164443625716</v>
      </c>
      <c r="L30" s="57">
        <f>1720.374481086*Deflactores!$I$5</f>
        <v>3871.7311846786688</v>
      </c>
      <c r="M30" s="57">
        <f>7201.317210398*Deflactores!$J$5</f>
        <v>15888.623586313568</v>
      </c>
      <c r="N30" s="57">
        <f>1426.376158075*Deflactores!$K$5</f>
        <v>3050.3511013798243</v>
      </c>
      <c r="O30" s="57">
        <f>2207.5589*Deflactores!$L$5</f>
        <v>4551.3219748977572</v>
      </c>
      <c r="P30" s="57">
        <f>2583.397768294*Deflactores!$M$5</f>
        <v>5199.3250620223935</v>
      </c>
      <c r="Q30" s="57">
        <f>3140.364344229*Deflactores!$N$5</f>
        <v>6199.9915671047775</v>
      </c>
      <c r="R30" s="57">
        <f>2552.972432248*Deflactores!$O$5</f>
        <v>4862.3473676772637</v>
      </c>
      <c r="S30" s="57">
        <f>2668.414188683*Deflactores!$P$5</f>
        <v>4759.9660491497507</v>
      </c>
      <c r="T30" s="57">
        <f>2713.137035806*Deflactores!$Q$5</f>
        <v>4576.5895811485943</v>
      </c>
      <c r="U30" s="57">
        <f>3206.44621735*Deflactores!$R$5</f>
        <v>5196.1919890938207</v>
      </c>
      <c r="V30" s="57">
        <f>3529.4046087049*Deflactores!$S$5</f>
        <v>5543.2843157096149</v>
      </c>
    </row>
    <row r="31" spans="3:22" x14ac:dyDescent="0.2">
      <c r="C31" s="87" t="s">
        <v>141</v>
      </c>
      <c r="D31" s="56">
        <f>7.965*Deflactores!$A$5</f>
        <v>28.917403458826627</v>
      </c>
      <c r="E31" s="56">
        <f>20.772*Deflactores!$B$5</f>
        <v>70.055887003300839</v>
      </c>
      <c r="F31" s="56">
        <f>21*Deflactores!$C$5</f>
        <v>66.196489532504415</v>
      </c>
      <c r="G31" s="56">
        <f>18.588984708*Deflactores!$D$5</f>
        <v>55.024607536123469</v>
      </c>
      <c r="H31" s="56">
        <f>24.279327303*Deflactores!$E$5</f>
        <v>68.123647659963268</v>
      </c>
      <c r="I31" s="56">
        <f>31.09759956255*Deflactores!$F$5</f>
        <v>83.214360797947634</v>
      </c>
      <c r="J31" s="56">
        <f>35.4240541*Deflactores!$G$5</f>
        <v>90.728773781946387</v>
      </c>
      <c r="K31" s="56">
        <f>47.57045*Deflactores!$H$5</f>
        <v>115.27411835069078</v>
      </c>
      <c r="L31" s="56">
        <f>55.65323125*Deflactores!$I$5</f>
        <v>125.24851613861333</v>
      </c>
      <c r="M31" s="56">
        <f>68.87711006*Deflactores!$J$5</f>
        <v>151.96698652244885</v>
      </c>
      <c r="N31" s="56">
        <f>105.0040729*Deflactores!$K$5</f>
        <v>224.55457321450882</v>
      </c>
      <c r="O31" s="56">
        <f>92.805329204*Deflactores!$L$5</f>
        <v>191.33665434421059</v>
      </c>
      <c r="P31" s="56">
        <f>89.214507693*Deflactores!$M$5</f>
        <v>179.55238308134057</v>
      </c>
      <c r="Q31" s="56">
        <f>117.665*Deflactores!$N$5</f>
        <v>232.30489452092246</v>
      </c>
      <c r="R31" s="56">
        <f>81.980677102*Deflactores!$O$5</f>
        <v>156.13898703806564</v>
      </c>
      <c r="S31" s="56">
        <f>162.32579725032*Deflactores!$P$5</f>
        <v>289.55972693056293</v>
      </c>
      <c r="T31" s="56">
        <f>96.967462993*Deflactores!$Q$5</f>
        <v>163.56721941703933</v>
      </c>
      <c r="U31" s="56">
        <f>230.662058359*Deflactores!$R$5</f>
        <v>373.79836073579702</v>
      </c>
      <c r="V31" s="56">
        <f>225.030057713*Deflactores!$S$5</f>
        <v>353.43230028291725</v>
      </c>
    </row>
    <row r="32" spans="3:22" x14ac:dyDescent="0.2">
      <c r="C32" s="88" t="s">
        <v>142</v>
      </c>
      <c r="D32" s="57">
        <f>467.990727783*Deflactores!$A$5</f>
        <v>1699.0680088249737</v>
      </c>
      <c r="E32" s="57">
        <f>1056.106674*Deflactores!$B$5</f>
        <v>3561.8375610040389</v>
      </c>
      <c r="F32" s="57">
        <f>854.368069829*Deflactores!$C$5</f>
        <v>2693.1508091114952</v>
      </c>
      <c r="G32" s="57">
        <f>389.521453523*Deflactores!$D$5</f>
        <v>1153.0089159619008</v>
      </c>
      <c r="H32" s="57">
        <f>290.660120755*Deflactores!$E$5</f>
        <v>815.54267991063205</v>
      </c>
      <c r="I32" s="57">
        <f>257.154447196*Deflactores!$F$5</f>
        <v>688.12201747992424</v>
      </c>
      <c r="J32" s="57">
        <f>336.40125945*Deflactores!$G$5</f>
        <v>861.59742423724742</v>
      </c>
      <c r="K32" s="57">
        <f>369.477261215*Deflactores!$H$5</f>
        <v>895.32820347898746</v>
      </c>
      <c r="L32" s="57">
        <f>585.968158055*Deflactores!$I$5</f>
        <v>1318.7310179921528</v>
      </c>
      <c r="M32" s="57">
        <f>1105.503599412*Deflactores!$J$5</f>
        <v>2439.1274611553017</v>
      </c>
      <c r="N32" s="57">
        <f>879.974442788*Deflactores!$K$5</f>
        <v>1881.8535317969991</v>
      </c>
      <c r="O32" s="57">
        <f>868.485874474*Deflactores!$L$5</f>
        <v>1790.5564582588536</v>
      </c>
      <c r="P32" s="57">
        <f>956.20563568*Deflactores!$M$5</f>
        <v>1924.4515835132863</v>
      </c>
      <c r="Q32" s="57">
        <f>539.98582583*Deflactores!$N$5</f>
        <v>1066.0888990968542</v>
      </c>
      <c r="R32" s="57">
        <f>313.768622986*Deflactores!$O$5</f>
        <v>597.59832059459245</v>
      </c>
      <c r="S32" s="57">
        <f>251.645690663*Deflactores!$P$5</f>
        <v>448.89018693230264</v>
      </c>
      <c r="T32" s="57">
        <f>395.549532329*Deflactores!$Q$5</f>
        <v>667.22316071562466</v>
      </c>
      <c r="U32" s="57">
        <f>365.245612115*Deflactores!$R$5</f>
        <v>591.89713317323594</v>
      </c>
      <c r="V32" s="57">
        <f>320.051110721*Deflactores!$S$5</f>
        <v>502.67240483265863</v>
      </c>
    </row>
    <row r="33" spans="3:22" x14ac:dyDescent="0.2">
      <c r="C33" s="87" t="s">
        <v>143</v>
      </c>
      <c r="D33" s="56">
        <f>741.022230109*Deflactores!$A$5</f>
        <v>2690.3250219738129</v>
      </c>
      <c r="E33" s="56">
        <f>771.67087*Deflactores!$B$5</f>
        <v>2602.5460847515337</v>
      </c>
      <c r="F33" s="56">
        <f>1115.46146151117*Deflactores!$C$5</f>
        <v>3516.1729981350595</v>
      </c>
      <c r="G33" s="56">
        <f>759.492901155*Deflactores!$D$5</f>
        <v>2248.1485389861286</v>
      </c>
      <c r="H33" s="56">
        <f>762.092601911*Deflactores!$E$5</f>
        <v>2138.3017432461861</v>
      </c>
      <c r="I33" s="56">
        <f>593.2758121326*Deflactores!$F$5</f>
        <v>1587.5523570298787</v>
      </c>
      <c r="J33" s="56">
        <f>48.0321587*Deflactores!$G$5</f>
        <v>123.02089559395878</v>
      </c>
      <c r="K33" s="56">
        <f>137.336993113*Deflactores!$H$5</f>
        <v>332.79905483416633</v>
      </c>
      <c r="L33" s="56">
        <f>117.114709903*Deflactores!$I$5</f>
        <v>263.56858899104651</v>
      </c>
      <c r="M33" s="56">
        <f>58.489158295*Deflactores!$J$5</f>
        <v>129.04753295518336</v>
      </c>
      <c r="N33" s="56">
        <f>78.109975922*Deflactores!$K$5</f>
        <v>167.0406853995496</v>
      </c>
      <c r="O33" s="56">
        <f>85.521490061*Deflactores!$L$5</f>
        <v>176.31957047244782</v>
      </c>
      <c r="P33" s="56">
        <f>439.511278448*Deflactores!$M$5</f>
        <v>884.55677755936244</v>
      </c>
      <c r="Q33" s="56">
        <f>142.271712998*Deflactores!$N$5</f>
        <v>280.88569482268593</v>
      </c>
      <c r="R33" s="56">
        <f>142.374947908*Deflactores!$O$5</f>
        <v>271.16487606333948</v>
      </c>
      <c r="S33" s="56">
        <f>143.004944487*Deflactores!$P$5</f>
        <v>255.09483629099751</v>
      </c>
      <c r="T33" s="56">
        <f>95.207469036*Deflactores!$Q$5</f>
        <v>160.59841618292705</v>
      </c>
      <c r="U33" s="56">
        <f>83.960740515*Deflactores!$R$5</f>
        <v>136.062200233314</v>
      </c>
      <c r="V33" s="56">
        <f>880.717375669*Deflactores!$S$5</f>
        <v>1383.2550688798342</v>
      </c>
    </row>
    <row r="34" spans="3:22" x14ac:dyDescent="0.2">
      <c r="C34" s="88" t="s">
        <v>144</v>
      </c>
      <c r="D34" s="57">
        <f>23.667013131*Deflactores!$A$5</f>
        <v>85.924490568044519</v>
      </c>
      <c r="E34" s="57">
        <f>47.35*Deflactores!$B$5</f>
        <v>159.69315663423336</v>
      </c>
      <c r="F34" s="57">
        <f>41.728323*Deflactores!$C$5</f>
        <v>131.53659507992683</v>
      </c>
      <c r="G34" s="57">
        <f>37.58558644*Deflactores!$D$5</f>
        <v>111.25578805742938</v>
      </c>
      <c r="H34" s="57">
        <f>67.580101871*Deflactores!$E$5</f>
        <v>189.61822917208971</v>
      </c>
      <c r="I34" s="57">
        <f>70.046061931*Deflactores!$F$5</f>
        <v>187.4369196335376</v>
      </c>
      <c r="J34" s="57">
        <f>83.134218673*Deflactores!$G$5</f>
        <v>212.9249717784696</v>
      </c>
      <c r="K34" s="57">
        <f>92.944505*Deflactores!$H$5</f>
        <v>225.22586751683812</v>
      </c>
      <c r="L34" s="57">
        <f>103.973509666*Deflactores!$I$5</f>
        <v>233.99410080776343</v>
      </c>
      <c r="M34" s="57">
        <f>87.61814*Deflactores!$J$5</f>
        <v>193.31625105790673</v>
      </c>
      <c r="N34" s="57">
        <f>151.999710278*Deflactores!$K$5</f>
        <v>325.05624903436751</v>
      </c>
      <c r="O34" s="57">
        <f>230.441737145*Deflactores!$L$5</f>
        <v>475.10149885543308</v>
      </c>
      <c r="P34" s="57">
        <f>201.068989259*Deflactores!$M$5</f>
        <v>404.6697910326821</v>
      </c>
      <c r="Q34" s="57">
        <f>331.910058937*Deflactores!$N$5</f>
        <v>655.28688422039636</v>
      </c>
      <c r="R34" s="57">
        <f>268.378864469*Deflactores!$O$5</f>
        <v>511.14976750531946</v>
      </c>
      <c r="S34" s="57">
        <f>249.892939291*Deflactores!$P$5</f>
        <v>445.76359696785698</v>
      </c>
      <c r="T34" s="57">
        <f>165.546554066*Deflactores!$Q$5</f>
        <v>279.24820034327308</v>
      </c>
      <c r="U34" s="57">
        <f>235.972024956*Deflactores!$R$5</f>
        <v>382.40340321066833</v>
      </c>
      <c r="V34" s="57">
        <f>223.185517411*Deflactores!$S$5</f>
        <v>350.53526453344483</v>
      </c>
    </row>
    <row r="35" spans="3:22" x14ac:dyDescent="0.2">
      <c r="C35" s="87" t="s">
        <v>145</v>
      </c>
      <c r="D35" s="56">
        <f>34.890910294*Deflactores!$A$5</f>
        <v>126.67351287097617</v>
      </c>
      <c r="E35" s="56">
        <f>5*Deflactores!$B$5</f>
        <v>16.863057722727916</v>
      </c>
      <c r="F35" s="56">
        <f>14.4926*Deflactores!$C$5</f>
        <v>45.68377353327493</v>
      </c>
      <c r="G35" s="56">
        <f>15.426597204*Deflactores!$D$5</f>
        <v>45.663734200752216</v>
      </c>
      <c r="H35" s="56">
        <f>23.053568989*Deflactores!$E$5</f>
        <v>64.684379081509334</v>
      </c>
      <c r="I35" s="56">
        <f>58.5396*Deflactores!$F$5</f>
        <v>156.64666932151101</v>
      </c>
      <c r="J35" s="56">
        <f>100.058019613*Deflactores!$G$5</f>
        <v>256.27053868285032</v>
      </c>
      <c r="K35" s="56">
        <f>102.039810092*Deflactores!$H$5</f>
        <v>247.26587923862857</v>
      </c>
      <c r="L35" s="56">
        <f>110.661072312*Deflactores!$I$5</f>
        <v>249.04457099938449</v>
      </c>
      <c r="M35" s="56">
        <f>121.159*Deflactores!$J$5</f>
        <v>267.319115218891</v>
      </c>
      <c r="N35" s="56">
        <f>93.325*Deflactores!$K$5</f>
        <v>199.5785017329936</v>
      </c>
      <c r="O35" s="56">
        <f>70.040253113*Deflactores!$L$5</f>
        <v>144.40191974972805</v>
      </c>
      <c r="P35" s="56">
        <f>77.213387966*Deflactores!$M$5</f>
        <v>155.39902840451583</v>
      </c>
      <c r="Q35" s="56">
        <f>73.889194886*Deflactores!$N$5</f>
        <v>145.87873729850094</v>
      </c>
      <c r="R35" s="56">
        <f>75.178943088*Deflactores!$O$5</f>
        <v>143.1845214665388</v>
      </c>
      <c r="S35" s="56">
        <f>89.550093373*Deflactores!$P$5</f>
        <v>159.74109490253051</v>
      </c>
      <c r="T35" s="56">
        <f>84.647810288*Deflactores!$Q$5</f>
        <v>142.78611125000472</v>
      </c>
      <c r="U35" s="56">
        <f>96.459309301*Deflactores!$R$5</f>
        <v>156.31669963814909</v>
      </c>
      <c r="V35" s="56">
        <f>100.652121353*Deflactores!$S$5</f>
        <v>158.08426278553554</v>
      </c>
    </row>
    <row r="36" spans="3:22" x14ac:dyDescent="0.2">
      <c r="C36" s="88" t="s">
        <v>146</v>
      </c>
      <c r="D36" s="57">
        <f>5.3277*Deflactores!$A$5</f>
        <v>19.342529869126256</v>
      </c>
      <c r="E36" s="57">
        <f>7.56*Deflactores!$B$5</f>
        <v>25.496943276764604</v>
      </c>
      <c r="F36" s="57">
        <f>7.306698*Deflactores!$C$5</f>
        <v>23.032274174960524</v>
      </c>
      <c r="G36" s="57">
        <f>2.735757955*Deflactores!$D$5</f>
        <v>8.0980220357553225</v>
      </c>
      <c r="H36" s="57">
        <f>3.38248944*Deflactores!$E$5</f>
        <v>9.4906879399263442</v>
      </c>
      <c r="I36" s="57">
        <f>5.14*Deflactores!$F$5</f>
        <v>13.754174615346988</v>
      </c>
      <c r="J36" s="57">
        <f>6.7461*Deflactores!$G$5</f>
        <v>17.278242040918421</v>
      </c>
      <c r="K36" s="57">
        <f>7.49030925*Deflactores!$H$5</f>
        <v>18.150738430428426</v>
      </c>
      <c r="L36" s="57">
        <f>10.76*Deflactores!$I$5</f>
        <v>24.215557720226343</v>
      </c>
      <c r="M36" s="57">
        <f>14.74*Deflactores!$J$5</f>
        <v>32.521593594586065</v>
      </c>
      <c r="N36" s="57">
        <f>14*Deflactores!$K$5</f>
        <v>29.939448424986985</v>
      </c>
      <c r="O36" s="57">
        <f>13.211*Deflactores!$L$5</f>
        <v>27.237105478985981</v>
      </c>
      <c r="P36" s="57">
        <f>71.250011*Deflactores!$M$5</f>
        <v>143.39718505923571</v>
      </c>
      <c r="Q36" s="57">
        <f>61.385*Deflactores!$N$5</f>
        <v>121.19182382328495</v>
      </c>
      <c r="R36" s="57">
        <f>56.577563376*Deflactores!$O$5</f>
        <v>107.75665372487011</v>
      </c>
      <c r="S36" s="57">
        <f>71.276696706*Deflactores!$P$5</f>
        <v>127.14467561108023</v>
      </c>
      <c r="T36" s="57">
        <f>85.96004861*Deflactores!$Q$5</f>
        <v>144.99962872191711</v>
      </c>
      <c r="U36" s="57">
        <f>93.722399012*Deflactores!$R$5</f>
        <v>151.88141198491542</v>
      </c>
      <c r="V36" s="57">
        <f>73.952235087*Deflactores!$S$5</f>
        <v>116.14941054317444</v>
      </c>
    </row>
    <row r="37" spans="3:22" x14ac:dyDescent="0.2">
      <c r="C37" s="90" t="s">
        <v>147</v>
      </c>
      <c r="D37" s="58">
        <f>1447.386945133*Deflactores!$A$5</f>
        <v>5254.8238861832415</v>
      </c>
      <c r="E37" s="58">
        <f>1878.171522618*Deflactores!$B$5</f>
        <v>6334.342959818222</v>
      </c>
      <c r="F37" s="58">
        <f>1736.4691231*Deflactores!$C$5</f>
        <v>5473.7219109907746</v>
      </c>
      <c r="G37" s="58">
        <f>1833.139703345*Deflactores!$D$5</f>
        <v>5426.2131213672319</v>
      </c>
      <c r="H37" s="58">
        <f>2451.944622671*Deflactores!$E$5</f>
        <v>6879.7380368912281</v>
      </c>
      <c r="I37" s="58">
        <f>2548.271981616*Deflactores!$F$5</f>
        <v>6818.9450977709648</v>
      </c>
      <c r="J37" s="58">
        <f>3345.642905583*Deflactores!$G$5</f>
        <v>8568.925439164057</v>
      </c>
      <c r="K37" s="58">
        <f>3775.648883681*Deflactores!$H$5</f>
        <v>9149.263802803991</v>
      </c>
      <c r="L37" s="58">
        <f>3034.487273027*Deflactores!$I$5</f>
        <v>6829.1637278138987</v>
      </c>
      <c r="M37" s="58">
        <f>3499.365348679*Deflactores!$J$5</f>
        <v>7720.823453779878</v>
      </c>
      <c r="N37" s="58">
        <f>4481.148005408*Deflactores!$K$5</f>
        <v>9583.0785423318666</v>
      </c>
      <c r="O37" s="58">
        <f>5644.34926192099*Deflactores!$L$5</f>
        <v>11636.949224674792</v>
      </c>
      <c r="P37" s="58">
        <f>6190.267015363*Deflactores!$M$5</f>
        <v>12458.48038912009</v>
      </c>
      <c r="Q37" s="58">
        <f>7256.385249773*Deflactores!$N$5</f>
        <v>14326.212638012104</v>
      </c>
      <c r="R37" s="58">
        <f>8295.578807902*Deflactores!$O$5</f>
        <v>15799.616662700913</v>
      </c>
      <c r="S37" s="58">
        <f>9081.889242446*Deflactores!$P$5</f>
        <v>16200.44018635551</v>
      </c>
      <c r="T37" s="58">
        <f>9199.696801233*Deflactores!$Q$5</f>
        <v>15518.286018951954</v>
      </c>
      <c r="U37" s="58">
        <f>5358.93136206555*Deflactores!$R$5</f>
        <v>8684.3921045656225</v>
      </c>
      <c r="V37" s="58">
        <f>5334.791304509*Deflactores!$S$5</f>
        <v>8378.8253953462681</v>
      </c>
    </row>
    <row r="38" spans="3:22" ht="22.5" customHeight="1" x14ac:dyDescent="0.2">
      <c r="C38" s="89" t="s">
        <v>148</v>
      </c>
      <c r="D38" s="59">
        <f>0*Deflactores!$A$5</f>
        <v>0</v>
      </c>
      <c r="E38" s="59">
        <f>0*Deflactores!$B$5</f>
        <v>0</v>
      </c>
      <c r="F38" s="59">
        <f>0*Deflactores!$C$5</f>
        <v>0</v>
      </c>
      <c r="G38" s="59">
        <f>0*Deflactores!$D$5</f>
        <v>0</v>
      </c>
      <c r="H38" s="59">
        <f>0*Deflactores!$E$5</f>
        <v>0</v>
      </c>
      <c r="I38" s="59">
        <f>0*Deflactores!$F$5</f>
        <v>0</v>
      </c>
      <c r="J38" s="59">
        <f>0*Deflactores!$G$5</f>
        <v>0</v>
      </c>
      <c r="K38" s="59">
        <f>0*Deflactores!$H$5</f>
        <v>0</v>
      </c>
      <c r="L38" s="59">
        <f>0*Deflactores!$I$5</f>
        <v>0</v>
      </c>
      <c r="M38" s="59">
        <f>0*Deflactores!$J$5</f>
        <v>0</v>
      </c>
      <c r="N38" s="59">
        <f>0*Deflactores!$K$5</f>
        <v>0</v>
      </c>
      <c r="O38" s="59">
        <f>0*Deflactores!$L$5</f>
        <v>0</v>
      </c>
      <c r="P38" s="59">
        <f>0*Deflactores!$M$5</f>
        <v>0</v>
      </c>
      <c r="Q38" s="59">
        <f>0*Deflactores!$N$5</f>
        <v>0</v>
      </c>
      <c r="R38" s="59">
        <f>0*Deflactores!$O$5</f>
        <v>0</v>
      </c>
      <c r="S38" s="59">
        <f>0*Deflactores!$P$5</f>
        <v>0</v>
      </c>
      <c r="T38" s="59">
        <f>0*Deflactores!$Q$5</f>
        <v>0</v>
      </c>
      <c r="U38" s="59">
        <f>0*Deflactores!$R$5</f>
        <v>0</v>
      </c>
      <c r="V38" s="59">
        <f>21.884891604*Deflactores!$S$5</f>
        <v>34.372419665416018</v>
      </c>
    </row>
    <row r="39" spans="3:22" x14ac:dyDescent="0.2">
      <c r="C39" s="87" t="s">
        <v>149</v>
      </c>
      <c r="D39" s="56">
        <f>100.6515*Deflactores!$A$5</f>
        <v>365.42122212631364</v>
      </c>
      <c r="E39" s="56">
        <f>125.756338*Deflactores!$B$5</f>
        <v>424.12727733857639</v>
      </c>
      <c r="F39" s="56">
        <f>127.9008*Deflactores!$C$5</f>
        <v>403.17066516185434</v>
      </c>
      <c r="G39" s="56">
        <f>63.247656761*Deflactores!$D$5</f>
        <v>187.21719047709652</v>
      </c>
      <c r="H39" s="56">
        <f>115.40689*Deflactores!$E$5</f>
        <v>323.81203209533334</v>
      </c>
      <c r="I39" s="56">
        <f>137.831955166*Deflactores!$F$5</f>
        <v>368.82583247623376</v>
      </c>
      <c r="J39" s="56">
        <f>186.553742786*Deflactores!$G$5</f>
        <v>477.80506092345894</v>
      </c>
      <c r="K39" s="56">
        <f>295.477434559*Deflactores!$H$5</f>
        <v>716.00963962528533</v>
      </c>
      <c r="L39" s="56">
        <f>400.69953025*Deflactores!$I$5</f>
        <v>901.78091108145509</v>
      </c>
      <c r="M39" s="56">
        <f>668.451887867*Deflactores!$J$5</f>
        <v>1474.8385776624418</v>
      </c>
      <c r="N39" s="56">
        <f>683.728224558*Deflactores!$K$5</f>
        <v>1462.1747082758686</v>
      </c>
      <c r="O39" s="56">
        <f>774.971954668*Deflactores!$L$5</f>
        <v>1597.7589033796273</v>
      </c>
      <c r="P39" s="56">
        <f>810.9761*Deflactores!$M$5</f>
        <v>1632.1638166528458</v>
      </c>
      <c r="Q39" s="56">
        <f>1058.2658*Deflactores!$N$5</f>
        <v>2089.3241409433526</v>
      </c>
      <c r="R39" s="56">
        <f>1495.773636772*Deflactores!$O$5</f>
        <v>2848.8247321163676</v>
      </c>
      <c r="S39" s="56">
        <f>1129.096383892*Deflactores!$P$5</f>
        <v>2014.1027867177722</v>
      </c>
      <c r="T39" s="56">
        <f>1085.908561046*Deflactores!$Q$5</f>
        <v>1831.7385893067521</v>
      </c>
      <c r="U39" s="56">
        <f>1141.232949997*Deflactores!$R$5</f>
        <v>1849.4199217741077</v>
      </c>
      <c r="V39" s="56">
        <f>1032.978893346*Deflactores!$S$5</f>
        <v>1622.3970705487129</v>
      </c>
    </row>
    <row r="40" spans="3:22" x14ac:dyDescent="0.2">
      <c r="C40" s="88" t="s">
        <v>150</v>
      </c>
      <c r="D40" s="57">
        <f>973.366660676*Deflactores!$A$5</f>
        <v>3533.8652153344242</v>
      </c>
      <c r="E40" s="57">
        <f>1551.97678750917*Deflactores!$B$5</f>
        <v>5234.2148304201937</v>
      </c>
      <c r="F40" s="57">
        <f>1532.716328383*Deflactores!$C$5</f>
        <v>4831.4495422906602</v>
      </c>
      <c r="G40" s="57">
        <f>931.959081608299*Deflactores!$D$5</f>
        <v>2758.6596853325418</v>
      </c>
      <c r="H40" s="57">
        <f>1162.29958471805*Deflactores!$E$5</f>
        <v>3261.2142172024032</v>
      </c>
      <c r="I40" s="57">
        <f>1470.52552681492*Deflactores!$F$5</f>
        <v>3934.9931657855122</v>
      </c>
      <c r="J40" s="57">
        <f>2571.26017094617*Deflactores!$G$5</f>
        <v>6585.5613737983722</v>
      </c>
      <c r="K40" s="57">
        <f>2877.95169336699*Deflactores!$H$5</f>
        <v>6973.9374781772585</v>
      </c>
      <c r="L40" s="57">
        <f>2331.5391985972*Deflactores!$I$5</f>
        <v>5247.1674758922645</v>
      </c>
      <c r="M40" s="57">
        <f>3527.298025209*Deflactores!$J$5</f>
        <v>7782.4527043984463</v>
      </c>
      <c r="N40" s="57">
        <f>3788.43723104*Deflactores!$K$5</f>
        <v>8101.6943635730413</v>
      </c>
      <c r="O40" s="57">
        <f>4969.876251701*Deflactores!$L$5</f>
        <v>10246.388894488504</v>
      </c>
      <c r="P40" s="57">
        <f>7689.20313424199*Deflactores!$M$5</f>
        <v>15475.22687117836</v>
      </c>
      <c r="Q40" s="57">
        <f>7952.77085005908*Deflactores!$N$5</f>
        <v>15701.080129792557</v>
      </c>
      <c r="R40" s="57">
        <f>7049.63773995*Deflactores!$O$5</f>
        <v>13426.6187425068</v>
      </c>
      <c r="S40" s="57">
        <f>6628.458294855*Deflactores!$P$5</f>
        <v>11823.965175843638</v>
      </c>
      <c r="T40" s="57">
        <f>5241.791093428*Deflactores!$Q$5</f>
        <v>8841.9885129810409</v>
      </c>
      <c r="U40" s="57">
        <f>5644.282510907*Deflactores!$R$5</f>
        <v>9146.8166247916579</v>
      </c>
      <c r="V40" s="57">
        <f>4500.214237543*Deflactores!$S$5</f>
        <v>7068.0383141050615</v>
      </c>
    </row>
    <row r="41" spans="3:22" x14ac:dyDescent="0.2">
      <c r="C41" s="87" t="s">
        <v>151</v>
      </c>
      <c r="D41" s="56">
        <f>152.66996*Deflactores!$A$5</f>
        <v>554.27731693194266</v>
      </c>
      <c r="E41" s="56">
        <f>189.62705156*Deflactores!$B$5</f>
        <v>639.53838324939647</v>
      </c>
      <c r="F41" s="56">
        <f>160.544*Deflactores!$C$5</f>
        <v>506.06901026220908</v>
      </c>
      <c r="G41" s="56">
        <f>195.059687178*Deflactores!$D$5</f>
        <v>577.38940031885375</v>
      </c>
      <c r="H41" s="56">
        <f>233.0216262*Deflactores!$E$5</f>
        <v>653.8189037238692</v>
      </c>
      <c r="I41" s="56">
        <f>256.525*Deflactores!$F$5</f>
        <v>686.437673774686</v>
      </c>
      <c r="J41" s="56">
        <f>217.4*Deflactores!$G$5</f>
        <v>556.80909261583201</v>
      </c>
      <c r="K41" s="56">
        <f>369.5*Deflactores!$H$5</f>
        <v>895.38330477387206</v>
      </c>
      <c r="L41" s="56">
        <f>433.30015*Deflactores!$I$5</f>
        <v>975.14914428510519</v>
      </c>
      <c r="M41" s="56">
        <f>714.228*Deflactores!$J$5</f>
        <v>1575.836685880191</v>
      </c>
      <c r="N41" s="56">
        <f>623.1806148*Deflactores!$K$5</f>
        <v>1332.691705446877</v>
      </c>
      <c r="O41" s="56">
        <f>817.044239073*Deflactores!$L$5</f>
        <v>1684.4992900332404</v>
      </c>
      <c r="P41" s="56">
        <f>1715.897983146*Deflactores!$M$5</f>
        <v>3453.4021423794061</v>
      </c>
      <c r="Q41" s="56">
        <f>2129.81033*Deflactores!$N$5</f>
        <v>4204.8643526980923</v>
      </c>
      <c r="R41" s="56">
        <f>2196.074667687*Deflactores!$O$5</f>
        <v>4182.6060261246557</v>
      </c>
      <c r="S41" s="56">
        <f>2285.997895576*Deflactores!$P$5</f>
        <v>4077.8048690934315</v>
      </c>
      <c r="T41" s="56">
        <f>1493.759169527*Deflactores!$Q$5</f>
        <v>2519.7115227803292</v>
      </c>
      <c r="U41" s="56">
        <f>1900.775902648*Deflactores!$R$5</f>
        <v>3080.2938358856654</v>
      </c>
      <c r="V41" s="56">
        <f>1839.399503537*Deflactores!$S$5</f>
        <v>2888.9616093129653</v>
      </c>
    </row>
    <row r="42" spans="3:22" ht="10.5" customHeight="1" x14ac:dyDescent="0.2">
      <c r="C42" s="79" t="s">
        <v>202</v>
      </c>
      <c r="D42" s="44">
        <f t="shared" ref="D42:V42" si="0">+SUM(D13:D41)</f>
        <v>27667.884143548054</v>
      </c>
      <c r="E42" s="44">
        <f t="shared" si="0"/>
        <v>38671.732439935899</v>
      </c>
      <c r="F42" s="44">
        <f t="shared" si="0"/>
        <v>33516.419190854947</v>
      </c>
      <c r="G42" s="44">
        <f t="shared" si="0"/>
        <v>26530.634573605748</v>
      </c>
      <c r="H42" s="44">
        <f t="shared" si="0"/>
        <v>31356.754460154985</v>
      </c>
      <c r="I42" s="44">
        <f t="shared" si="0"/>
        <v>33712.31484944879</v>
      </c>
      <c r="J42" s="44">
        <f t="shared" si="0"/>
        <v>38371.707197132579</v>
      </c>
      <c r="K42" s="44">
        <f t="shared" si="0"/>
        <v>50868.964294583478</v>
      </c>
      <c r="L42" s="44">
        <f t="shared" si="0"/>
        <v>49714.244508707576</v>
      </c>
      <c r="M42" s="44">
        <f t="shared" si="0"/>
        <v>68815.898485367856</v>
      </c>
      <c r="N42" s="44">
        <f t="shared" si="0"/>
        <v>54927.363488901567</v>
      </c>
      <c r="O42" s="44">
        <f t="shared" si="0"/>
        <v>67748.923174292708</v>
      </c>
      <c r="P42" s="44">
        <f t="shared" si="0"/>
        <v>76640.171209205189</v>
      </c>
      <c r="Q42" s="44">
        <f t="shared" si="0"/>
        <v>86169.049479367415</v>
      </c>
      <c r="R42" s="44">
        <f t="shared" si="0"/>
        <v>84724.960070151967</v>
      </c>
      <c r="S42" s="44">
        <f t="shared" si="0"/>
        <v>82213.829121511153</v>
      </c>
      <c r="T42" s="44">
        <f t="shared" si="0"/>
        <v>69397.788272314414</v>
      </c>
      <c r="U42" s="44">
        <f t="shared" si="0"/>
        <v>65500.046721906016</v>
      </c>
      <c r="V42" s="44">
        <f t="shared" si="0"/>
        <v>60659.260128135909</v>
      </c>
    </row>
    <row r="43" spans="3:22" x14ac:dyDescent="0.2">
      <c r="C43" s="1" t="s">
        <v>52</v>
      </c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</row>
    <row r="44" spans="3:22" x14ac:dyDescent="0.2"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</row>
    <row r="45" spans="3:22" x14ac:dyDescent="0.2"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</row>
    <row r="46" spans="3:22" x14ac:dyDescent="0.2"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</row>
    <row r="48" spans="3:22" ht="18" customHeight="1" x14ac:dyDescent="0.2">
      <c r="D48" s="160" t="s">
        <v>203</v>
      </c>
      <c r="E48" s="158"/>
      <c r="F48" s="158"/>
      <c r="G48" s="158"/>
      <c r="H48" s="158"/>
      <c r="I48" s="158"/>
      <c r="J48" s="158"/>
      <c r="K48" s="158"/>
      <c r="L48" s="158"/>
      <c r="M48" s="158"/>
      <c r="N48" s="158"/>
      <c r="O48" s="158"/>
      <c r="P48" s="158"/>
      <c r="Q48" s="158"/>
      <c r="R48" s="158"/>
      <c r="S48" s="158"/>
      <c r="T48" s="158"/>
      <c r="U48" s="158"/>
      <c r="V48" s="158"/>
    </row>
    <row r="49" spans="3:22" ht="15.75" customHeight="1" x14ac:dyDescent="0.2">
      <c r="C49" s="133"/>
      <c r="D49" s="133"/>
      <c r="E49" s="133"/>
      <c r="F49" s="133"/>
      <c r="G49" s="133"/>
      <c r="H49" s="133"/>
      <c r="I49" s="133"/>
      <c r="J49" s="133"/>
      <c r="K49" s="133"/>
      <c r="L49" s="133"/>
      <c r="M49" s="133"/>
      <c r="N49" s="133"/>
      <c r="O49" s="133"/>
      <c r="P49" s="133"/>
      <c r="Q49" s="133"/>
      <c r="R49" s="133"/>
      <c r="S49" s="133"/>
      <c r="T49" s="133"/>
      <c r="U49" s="133"/>
      <c r="V49" s="133"/>
    </row>
    <row r="50" spans="3:22" x14ac:dyDescent="0.2">
      <c r="C50" s="177" t="s">
        <v>120</v>
      </c>
      <c r="D50" s="153">
        <v>2000</v>
      </c>
      <c r="E50" s="153">
        <v>2001</v>
      </c>
      <c r="F50" s="153">
        <v>2002</v>
      </c>
      <c r="G50" s="153">
        <v>2003</v>
      </c>
      <c r="H50" s="153">
        <v>2004</v>
      </c>
      <c r="I50" s="153">
        <v>2005</v>
      </c>
      <c r="J50" s="153">
        <v>2006</v>
      </c>
      <c r="K50" s="153">
        <v>2007</v>
      </c>
      <c r="L50" s="153">
        <v>2008</v>
      </c>
      <c r="M50" s="153">
        <v>2009</v>
      </c>
      <c r="N50" s="153">
        <v>2010</v>
      </c>
      <c r="O50" s="153">
        <v>2011</v>
      </c>
      <c r="P50" s="153">
        <v>2012</v>
      </c>
      <c r="Q50" s="153">
        <v>2013</v>
      </c>
      <c r="R50" s="153">
        <v>2014</v>
      </c>
      <c r="S50" s="153">
        <v>2015</v>
      </c>
      <c r="T50" s="153">
        <v>2016</v>
      </c>
      <c r="U50" s="153">
        <v>2017</v>
      </c>
      <c r="V50" s="153">
        <v>2018</v>
      </c>
    </row>
    <row r="51" spans="3:22" ht="12" customHeight="1" thickBot="1" x14ac:dyDescent="0.25">
      <c r="C51" s="156"/>
      <c r="D51" s="154"/>
      <c r="E51" s="154"/>
      <c r="F51" s="154"/>
      <c r="G51" s="154"/>
      <c r="H51" s="154"/>
      <c r="I51" s="154"/>
      <c r="J51" s="154"/>
      <c r="K51" s="154"/>
      <c r="L51" s="154"/>
      <c r="M51" s="154"/>
      <c r="N51" s="154"/>
      <c r="O51" s="154"/>
      <c r="P51" s="154"/>
      <c r="Q51" s="154"/>
      <c r="R51" s="154"/>
      <c r="S51" s="154"/>
      <c r="T51" s="154"/>
      <c r="U51" s="154"/>
      <c r="V51" s="154"/>
    </row>
    <row r="52" spans="3:22" x14ac:dyDescent="0.2">
      <c r="C52" s="87" t="s">
        <v>123</v>
      </c>
      <c r="D52" s="56">
        <f>214.916485361*Deflactores!$A$5</f>
        <v>780.267007801261</v>
      </c>
      <c r="E52" s="56">
        <f>470.48946128719*Deflactores!$B$5</f>
        <v>1586.778188724209</v>
      </c>
      <c r="F52" s="56">
        <f>442.18301064202*Deflactores!$C$5</f>
        <v>1393.8553826388461</v>
      </c>
      <c r="G52" s="56">
        <f>251.86112978995*Deflactores!$D$5</f>
        <v>745.52537634465045</v>
      </c>
      <c r="H52" s="56">
        <f>367.79932660967*Deflactores!$E$5</f>
        <v>1031.9821230151204</v>
      </c>
      <c r="I52" s="56">
        <f>389.064414793*Deflactores!$F$5</f>
        <v>1041.101147408699</v>
      </c>
      <c r="J52" s="56">
        <f>614.70762080037*Deflactores!$G$5</f>
        <v>1574.4010697419087</v>
      </c>
      <c r="K52" s="56">
        <f>975.352549002*Deflactores!$H$5</f>
        <v>2363.5030815833038</v>
      </c>
      <c r="L52" s="56">
        <f>1136.04066115542*Deflactores!$I$5</f>
        <v>2556.6782716294765</v>
      </c>
      <c r="M52" s="56">
        <f>1185.52357774936*Deflactores!$J$5</f>
        <v>2615.6795110152198</v>
      </c>
      <c r="N52" s="56">
        <f>1168.05315100998*Deflactores!$K$5</f>
        <v>2497.9190765933449</v>
      </c>
      <c r="O52" s="56">
        <f>1398.54781348799*Deflactores!$L$5</f>
        <v>2883.3846274602674</v>
      </c>
      <c r="P52" s="56">
        <f>1714.08309143411*Deflactores!$M$5</f>
        <v>3449.7495062742364</v>
      </c>
      <c r="Q52" s="56">
        <f>2186.01798174936*Deflactores!$N$5</f>
        <v>4315.8345869300547</v>
      </c>
      <c r="R52" s="56">
        <f>2902.38638100534*Deflactores!$O$5</f>
        <v>5527.8351624177467</v>
      </c>
      <c r="S52" s="56">
        <f>3159.19261965558*Deflactores!$P$5</f>
        <v>5635.4255932460319</v>
      </c>
      <c r="T52" s="56">
        <f>1924.08739290242*Deflactores!$Q$5</f>
        <v>3245.6002772306056</v>
      </c>
      <c r="U52" s="56">
        <f>2175.73550093006*Deflactores!$R$5</f>
        <v>3525.8783756127946</v>
      </c>
      <c r="V52" s="56">
        <f>1564.10024330796*Deflactores!$S$5</f>
        <v>2456.5764790872531</v>
      </c>
    </row>
    <row r="53" spans="3:22" x14ac:dyDescent="0.2">
      <c r="C53" s="88" t="s">
        <v>124</v>
      </c>
      <c r="D53" s="57">
        <f>30.20790489137*Deflactores!$A$5</f>
        <v>109.67158485745243</v>
      </c>
      <c r="E53" s="57">
        <f>57.7537209321*Deflactores!$B$5</f>
        <v>194.78086595606436</v>
      </c>
      <c r="F53" s="57">
        <f>59.80952510832*Deflactores!$C$5</f>
        <v>188.53240965604596</v>
      </c>
      <c r="G53" s="57">
        <f>99.63418708661*Deflactores!$D$5</f>
        <v>294.9236942059577</v>
      </c>
      <c r="H53" s="57">
        <f>226.37084455094*Deflactores!$E$5</f>
        <v>635.15794577929182</v>
      </c>
      <c r="I53" s="57">
        <f>192.2428602745*Deflactores!$F$5</f>
        <v>514.42448808739812</v>
      </c>
      <c r="J53" s="57">
        <f>312.51593110653*Deflactores!$G$5</f>
        <v>800.42185845178858</v>
      </c>
      <c r="K53" s="57">
        <f>390.11321828991*Deflactores!$H$5</f>
        <v>945.33386367629373</v>
      </c>
      <c r="L53" s="57">
        <f>402.105135255939*Deflactores!$I$5</f>
        <v>904.94424836334679</v>
      </c>
      <c r="M53" s="57">
        <f>433.732182407559*Deflactores!$J$5</f>
        <v>956.9648415977955</v>
      </c>
      <c r="N53" s="57">
        <f>466.73395820826*Deflactores!$K$5</f>
        <v>998.1255192833022</v>
      </c>
      <c r="O53" s="57">
        <f>287.9975580368*Deflactores!$L$5</f>
        <v>593.76427718860862</v>
      </c>
      <c r="P53" s="57">
        <f>161.15974621116*Deflactores!$M$5</f>
        <v>324.34877731515257</v>
      </c>
      <c r="Q53" s="57">
        <f>258.407755743839*Deflactores!$N$5</f>
        <v>510.17198352492937</v>
      </c>
      <c r="R53" s="57">
        <f>287.264240754061*Deflactores!$O$5</f>
        <v>547.11853023355741</v>
      </c>
      <c r="S53" s="57">
        <f>285.131900857659*Deflactores!$P$5</f>
        <v>508.62350131703005</v>
      </c>
      <c r="T53" s="57">
        <f>385.8521037678*Deflactores!$Q$5</f>
        <v>650.86528791693786</v>
      </c>
      <c r="U53" s="57">
        <f>412.313994244449*Deflactores!$R$5</f>
        <v>668.17358803383934</v>
      </c>
      <c r="V53" s="57">
        <f>375.16943901932*Deflactores!$S$5</f>
        <v>589.24127370380972</v>
      </c>
    </row>
    <row r="54" spans="3:22" x14ac:dyDescent="0.2">
      <c r="C54" s="87" t="s">
        <v>125</v>
      </c>
      <c r="D54" s="56">
        <f>29.2949291336*Deflactores!$A$5</f>
        <v>106.3569723859442</v>
      </c>
      <c r="E54" s="56">
        <f>69.83556488163*Deflactores!$B$5</f>
        <v>235.52823233964745</v>
      </c>
      <c r="F54" s="56">
        <f>75.63082960837*Deflactores!$C$5</f>
        <v>238.4045438335757</v>
      </c>
      <c r="G54" s="56">
        <f>67.0419056365299*Deflactores!$D$5</f>
        <v>198.44841469670445</v>
      </c>
      <c r="H54" s="56">
        <f>87.36896118517*Deflactores!$E$5</f>
        <v>245.14239022841878</v>
      </c>
      <c r="I54" s="56">
        <f>92.48581853341*Deflactores!$F$5</f>
        <v>247.48367656650115</v>
      </c>
      <c r="J54" s="56">
        <f>122.795267795649*Deflactores!$G$5</f>
        <v>314.50561931376916</v>
      </c>
      <c r="K54" s="56">
        <f>126.29752620854*Deflactores!$H$5</f>
        <v>306.04789283184647</v>
      </c>
      <c r="L54" s="56">
        <f>188.361195820399*Deflactores!$I$5</f>
        <v>423.909982308525</v>
      </c>
      <c r="M54" s="56">
        <f>181.668814084549*Deflactores!$J$5</f>
        <v>400.82492133433624</v>
      </c>
      <c r="N54" s="56">
        <f>326.17376122012*Deflactores!$K$5</f>
        <v>697.53303583098591</v>
      </c>
      <c r="O54" s="56">
        <f>357.63197116238*Deflactores!$L$5</f>
        <v>737.32947704242042</v>
      </c>
      <c r="P54" s="56">
        <f>395.318574008219*Deflactores!$M$5</f>
        <v>795.6149047388883</v>
      </c>
      <c r="Q54" s="56">
        <f>408.031867973449*Deflactores!$N$5</f>
        <v>805.57345048015145</v>
      </c>
      <c r="R54" s="56">
        <f>352.21857460752*Deflactores!$O$5</f>
        <v>670.82943687797206</v>
      </c>
      <c r="S54" s="56">
        <f>331.86681327818*Deflactores!$P$5</f>
        <v>591.99009312092869</v>
      </c>
      <c r="T54" s="56">
        <f>284.3579347929*Deflactores!$Q$5</f>
        <v>479.66230401020255</v>
      </c>
      <c r="U54" s="56">
        <f>356.684413090219*Deflactores!$R$5</f>
        <v>578.02332061748677</v>
      </c>
      <c r="V54" s="56">
        <f>308.16254996055*Deflactores!$S$5</f>
        <v>484.0002264609231</v>
      </c>
    </row>
    <row r="55" spans="3:22" x14ac:dyDescent="0.2">
      <c r="C55" s="88" t="s">
        <v>126</v>
      </c>
      <c r="D55" s="57">
        <f>54.2009233080999*Deflactores!$A$5</f>
        <v>196.77965689155616</v>
      </c>
      <c r="E55" s="57">
        <f>123.809916146*Deflactores!$B$5</f>
        <v>417.56275252322018</v>
      </c>
      <c r="F55" s="57">
        <f>102.86878637121*Deflactores!$C$5</f>
        <v>324.26440667824937</v>
      </c>
      <c r="G55" s="57">
        <f>51.1403554051599*Deflactores!$D$5</f>
        <v>151.37878854759418</v>
      </c>
      <c r="H55" s="57">
        <f>40.10347793016*Deflactores!$E$5</f>
        <v>112.523512960582</v>
      </c>
      <c r="I55" s="57">
        <f>44.16689580378*Deflactores!$F$5</f>
        <v>118.18661422237867</v>
      </c>
      <c r="J55" s="57">
        <f>53.62997092304*Deflactores!$G$5</f>
        <v>137.35812072985905</v>
      </c>
      <c r="K55" s="57">
        <f>84.7727049390199*Deflactores!$H$5</f>
        <v>205.42372044092014</v>
      </c>
      <c r="L55" s="57">
        <f>71.3828369292*Deflactores!$I$5</f>
        <v>160.64825352161219</v>
      </c>
      <c r="M55" s="57">
        <f>163.47028442891*Deflactores!$J$5</f>
        <v>360.67260210233388</v>
      </c>
      <c r="N55" s="57">
        <f>205.91690849881*Deflactores!$K$5</f>
        <v>440.35990441663472</v>
      </c>
      <c r="O55" s="57">
        <f>204.20336010549*Deflactores!$L$5</f>
        <v>421.00586317134122</v>
      </c>
      <c r="P55" s="57">
        <f>281.528403406*Deflactores!$M$5</f>
        <v>566.60174498276706</v>
      </c>
      <c r="Q55" s="57">
        <f>360.579784573609*Deflactores!$N$5</f>
        <v>711.88925187395728</v>
      </c>
      <c r="R55" s="57">
        <f>275.26981911362*Deflactores!$O$5</f>
        <v>524.27416115478309</v>
      </c>
      <c r="S55" s="57">
        <f>300.33940332055*Deflactores!$P$5</f>
        <v>535.75092243580673</v>
      </c>
      <c r="T55" s="57">
        <f>285.230373642329*Deflactores!$Q$5</f>
        <v>481.1339563800579</v>
      </c>
      <c r="U55" s="57">
        <f>353.72842128932*Deflactores!$R$5</f>
        <v>573.2330014059728</v>
      </c>
      <c r="V55" s="57">
        <f>247.16706518287*Deflactores!$S$5</f>
        <v>388.20069322993771</v>
      </c>
    </row>
    <row r="56" spans="3:22" x14ac:dyDescent="0.2">
      <c r="C56" s="87" t="s">
        <v>127</v>
      </c>
      <c r="D56" s="56">
        <f>0*Deflactores!$A$5</f>
        <v>0</v>
      </c>
      <c r="E56" s="56">
        <f>21*Deflactores!$B$5</f>
        <v>70.824842435457242</v>
      </c>
      <c r="F56" s="56">
        <f>0*Deflactores!$C$5</f>
        <v>0</v>
      </c>
      <c r="G56" s="56">
        <f>14.9744652*Deflactores!$D$5</f>
        <v>44.325393970480555</v>
      </c>
      <c r="H56" s="56">
        <f>0*Deflactores!$E$5</f>
        <v>0</v>
      </c>
      <c r="I56" s="56">
        <f>8.18164595*Deflactores!$F$5</f>
        <v>21.89334378156547</v>
      </c>
      <c r="J56" s="56">
        <f>42.151147558*Deflactores!$G$5</f>
        <v>107.95833589919974</v>
      </c>
      <c r="K56" s="56">
        <f>13.883329842*Deflactores!$H$5</f>
        <v>33.64249460134149</v>
      </c>
      <c r="L56" s="56">
        <f>17.657005947*Deflactores!$I$5</f>
        <v>39.737383520070473</v>
      </c>
      <c r="M56" s="56">
        <f>10.95474626127*Deflactores!$J$5</f>
        <v>24.1700003962574</v>
      </c>
      <c r="N56" s="56">
        <f>32.43583129201*Deflactores!$K$5</f>
        <v>69.365064149193742</v>
      </c>
      <c r="O56" s="56">
        <f>25.051149962*Deflactores!$L$5</f>
        <v>51.647930806516513</v>
      </c>
      <c r="P56" s="56">
        <f>9.35651947946*Deflactores!$M$5</f>
        <v>18.830854009362458</v>
      </c>
      <c r="Q56" s="56">
        <f>38.45019782851*Deflactores!$N$5</f>
        <v>75.911861223478667</v>
      </c>
      <c r="R56" s="56">
        <f>53.28708509442*Deflactores!$O$5</f>
        <v>101.48966540617857</v>
      </c>
      <c r="S56" s="56">
        <f>53.7211401660599*Deflactores!$P$5</f>
        <v>95.828752671363432</v>
      </c>
      <c r="T56" s="56">
        <f>65.56133830154*Deflactores!$Q$5</f>
        <v>110.59055765970562</v>
      </c>
      <c r="U56" s="56">
        <f>67.6016049140899*Deflactores!$R$5</f>
        <v>109.55147664843442</v>
      </c>
      <c r="V56" s="56">
        <f>70.94132724622*Deflactores!$S$5</f>
        <v>111.42047746231485</v>
      </c>
    </row>
    <row r="57" spans="3:22" x14ac:dyDescent="0.2">
      <c r="C57" s="88" t="s">
        <v>128</v>
      </c>
      <c r="D57" s="57">
        <f>11.64802543304*Deflactores!$A$5</f>
        <v>42.288845065397545</v>
      </c>
      <c r="E57" s="57">
        <f>25.01538870609*Deflactores!$B$5</f>
        <v>84.367188741454328</v>
      </c>
      <c r="F57" s="57">
        <f>12.14302123326*Deflactores!$C$5</f>
        <v>38.277398950498785</v>
      </c>
      <c r="G57" s="57">
        <f>12.56026348702*Deflactores!$D$5</f>
        <v>37.179199390386472</v>
      </c>
      <c r="H57" s="57">
        <f>36.6523528755*Deflactores!$E$5</f>
        <v>102.84024520278547</v>
      </c>
      <c r="I57" s="57">
        <f>33.8504966395*Deflactores!$F$5</f>
        <v>90.580864123715855</v>
      </c>
      <c r="J57" s="57">
        <f>50.56017309268*Deflactores!$G$5</f>
        <v>129.49569504247728</v>
      </c>
      <c r="K57" s="57">
        <f>53.61227157141*Deflactores!$H$5</f>
        <v>129.91483869023924</v>
      </c>
      <c r="L57" s="57">
        <f>74.34736667*Deflactores!$I$5</f>
        <v>167.31997666767819</v>
      </c>
      <c r="M57" s="57">
        <f>83.00006226682*Deflactores!$J$5</f>
        <v>183.12715694483433</v>
      </c>
      <c r="N57" s="57">
        <f>101.64234946874*Deflactores!$K$5</f>
        <v>217.3654199795603</v>
      </c>
      <c r="O57" s="57">
        <f>114.06878233385*Deflactores!$L$5</f>
        <v>235.17549438245138</v>
      </c>
      <c r="P57" s="57">
        <f>192.290812930909*Deflactores!$M$5</f>
        <v>387.00290568438555</v>
      </c>
      <c r="Q57" s="57">
        <f>196.808783203239*Deflactores!$N$5</f>
        <v>388.55771574231528</v>
      </c>
      <c r="R57" s="57">
        <f>191.138843124169*Deflactores!$O$5</f>
        <v>364.03975185400617</v>
      </c>
      <c r="S57" s="57">
        <f>219.66975237996*Deflactores!$P$5</f>
        <v>391.85092321436423</v>
      </c>
      <c r="T57" s="57">
        <f>170.170357959149*Deflactores!$Q$5</f>
        <v>287.04775209587137</v>
      </c>
      <c r="U57" s="57">
        <f>186.035756852429*Deflactores!$R$5</f>
        <v>301.47940863967392</v>
      </c>
      <c r="V57" s="57">
        <f>141.975487503915*Deflactores!$S$5</f>
        <v>222.98675849025668</v>
      </c>
    </row>
    <row r="58" spans="3:22" x14ac:dyDescent="0.2">
      <c r="C58" s="87" t="s">
        <v>129</v>
      </c>
      <c r="D58" s="56">
        <f>446.73464804055*Deflactores!$A$5</f>
        <v>1621.8965544790328</v>
      </c>
      <c r="E58" s="56">
        <f>852.736273289999*Deflactores!$B$5</f>
        <v>2875.9481997506277</v>
      </c>
      <c r="F58" s="56">
        <f>858.00580847238*Deflactores!$C$5</f>
        <v>2704.617739017614</v>
      </c>
      <c r="G58" s="56">
        <f>915.95435434959*Deflactores!$D$5</f>
        <v>2711.2846484509328</v>
      </c>
      <c r="H58" s="56">
        <f>857.791924208219*Deflactores!$E$5</f>
        <v>2406.8177046693622</v>
      </c>
      <c r="I58" s="56">
        <f>781.61833093061*Deflactores!$F$5</f>
        <v>2091.5398844699766</v>
      </c>
      <c r="J58" s="56">
        <f>1137.93284047188*Deflactores!$G$5</f>
        <v>2914.4956410345158</v>
      </c>
      <c r="K58" s="56">
        <f>1119.4675624952*Deflactores!$H$5</f>
        <v>2712.7268354373564</v>
      </c>
      <c r="L58" s="56">
        <f>3391.25155025666*Deflactores!$I$5</f>
        <v>7632.0676263055029</v>
      </c>
      <c r="M58" s="56">
        <f>2909.69021495935*Deflactores!$J$5</f>
        <v>6419.7939387416391</v>
      </c>
      <c r="N58" s="56">
        <f>1946.41810718806*Deflactores!$K$5</f>
        <v>4162.4774666869798</v>
      </c>
      <c r="O58" s="56">
        <f>1452.04437705082*Deflactores!$L$5</f>
        <v>2993.6784390206399</v>
      </c>
      <c r="P58" s="56">
        <f>1901.81554943775*Deflactores!$M$5</f>
        <v>3827.5783043915189</v>
      </c>
      <c r="Q58" s="56">
        <f>2880.7423177759*Deflactores!$N$5</f>
        <v>5687.4222604248343</v>
      </c>
      <c r="R58" s="56">
        <f>2366.03998996071*Deflactores!$O$5</f>
        <v>4506.319054481286</v>
      </c>
      <c r="S58" s="56">
        <f>1453.37730839747*Deflactores!$P$5</f>
        <v>2592.5610326600035</v>
      </c>
      <c r="T58" s="56">
        <f>1027.70014064285*Deflactores!$Q$5</f>
        <v>1733.5511233452203</v>
      </c>
      <c r="U58" s="56">
        <f>995.569019686619*Deflactores!$R$5</f>
        <v>1613.3648949711728</v>
      </c>
      <c r="V58" s="56">
        <f>829.48015297729*Deflactores!$S$5</f>
        <v>1302.7818660549253</v>
      </c>
    </row>
    <row r="59" spans="3:22" x14ac:dyDescent="0.2">
      <c r="C59" s="88" t="s">
        <v>130</v>
      </c>
      <c r="D59" s="57">
        <f>27.695599534*Deflactores!$A$5</f>
        <v>100.55051170857109</v>
      </c>
      <c r="E59" s="57">
        <f>71.02666293302*Deflactores!$B$5</f>
        <v>239.54534337845109</v>
      </c>
      <c r="F59" s="57">
        <f>27.37575363508*Deflactores!$C$5</f>
        <v>86.294228045190138</v>
      </c>
      <c r="G59" s="57">
        <f>31.40984834374*Deflactores!$D$5</f>
        <v>92.975200369047016</v>
      </c>
      <c r="H59" s="57">
        <f>80.50103357766*Deflactores!$E$5</f>
        <v>225.87215779367025</v>
      </c>
      <c r="I59" s="57">
        <f>63.57544978789*Deflactores!$F$5</f>
        <v>170.12214739919528</v>
      </c>
      <c r="J59" s="57">
        <f>91.36100460549*Deflactores!$G$5</f>
        <v>233.99557532131433</v>
      </c>
      <c r="K59" s="57">
        <f>74.01905923561*Deflactores!$H$5</f>
        <v>179.36516880820969</v>
      </c>
      <c r="L59" s="57">
        <f>143.34484894837*Deflactores!$I$5</f>
        <v>322.59995014929183</v>
      </c>
      <c r="M59" s="57">
        <f>126.049396644819*Deflactores!$J$5</f>
        <v>278.10904006279407</v>
      </c>
      <c r="N59" s="57">
        <f>126.14423089435*Deflactores!$K$5</f>
        <v>269.76347821221725</v>
      </c>
      <c r="O59" s="57">
        <f>162.38965214942*Deflactores!$L$5</f>
        <v>334.79858332371469</v>
      </c>
      <c r="P59" s="57">
        <f>293.25471935746*Deflactores!$M$5</f>
        <v>590.20203184524303</v>
      </c>
      <c r="Q59" s="57">
        <f>346.04840091425*Deflactores!$N$5</f>
        <v>683.2000788128903</v>
      </c>
      <c r="R59" s="57">
        <f>312.98886697327*Deflactores!$O$5</f>
        <v>596.11321070933218</v>
      </c>
      <c r="S59" s="57">
        <f>400.464941900219*Deflactores!$P$5</f>
        <v>714.35668997869391</v>
      </c>
      <c r="T59" s="57">
        <f>341.40097011582*Deflactores!$Q$5</f>
        <v>575.8839683384889</v>
      </c>
      <c r="U59" s="57">
        <f>527.29201561002*Deflactores!$R$5</f>
        <v>854.50070317734708</v>
      </c>
      <c r="V59" s="57">
        <f>527.58570957124*Deflactores!$S$5</f>
        <v>828.62633030105803</v>
      </c>
    </row>
    <row r="60" spans="3:22" x14ac:dyDescent="0.2">
      <c r="C60" s="87" t="s">
        <v>131</v>
      </c>
      <c r="D60" s="56">
        <f>188.281025497659*Deflactores!$A$5</f>
        <v>683.56539585152905</v>
      </c>
      <c r="E60" s="56">
        <f>208.879196932819*Deflactores!$B$5</f>
        <v>704.46839099103568</v>
      </c>
      <c r="F60" s="56">
        <f>254.15859237288*Deflactores!$C$5</f>
        <v>801.16221902892426</v>
      </c>
      <c r="G60" s="56">
        <f>255.72278220264*Deflactores!$D$5</f>
        <v>756.95611943185872</v>
      </c>
      <c r="H60" s="56">
        <f>403.07763645074*Deflactores!$E$5</f>
        <v>1130.9670380277826</v>
      </c>
      <c r="I60" s="56">
        <f>619.45863727233*Deflactores!$F$5</f>
        <v>1657.6152264646926</v>
      </c>
      <c r="J60" s="56">
        <f>543.73534616055*Deflactores!$G$5</f>
        <v>1392.6255046863439</v>
      </c>
      <c r="K60" s="56">
        <f>634.68928690887*Deflactores!$H$5</f>
        <v>1537.9978111421822</v>
      </c>
      <c r="L60" s="56">
        <f>810.14960172542*Deflactores!$I$5</f>
        <v>1823.2550597212166</v>
      </c>
      <c r="M60" s="56">
        <f>927.14696521451*Deflactores!$J$5</f>
        <v>2045.6103667001439</v>
      </c>
      <c r="N60" s="56">
        <f>963.08877164071*Deflactores!$K$5</f>
        <v>2059.5961862300787</v>
      </c>
      <c r="O60" s="56">
        <f>928.403228228149*Deflactores!$L$5</f>
        <v>1914.0880065310112</v>
      </c>
      <c r="P60" s="56">
        <f>1093.57790776511*Deflactores!$M$5</f>
        <v>2200.9258864042181</v>
      </c>
      <c r="Q60" s="56">
        <f>1488.03498834577*Deflactores!$N$5</f>
        <v>2937.8133770544014</v>
      </c>
      <c r="R60" s="56">
        <f>1896.5876096955*Deflactores!$O$5</f>
        <v>3612.2081284880869</v>
      </c>
      <c r="S60" s="56">
        <f>2457.07331886723*Deflactores!$P$5</f>
        <v>4382.9723390326026</v>
      </c>
      <c r="T60" s="56">
        <f>2578.99472887892*Deflactores!$Q$5</f>
        <v>4350.3148754585682</v>
      </c>
      <c r="U60" s="56">
        <f>3250.78497499263*Deflactores!$R$5</f>
        <v>5268.0449632751297</v>
      </c>
      <c r="V60" s="56">
        <f>3423.663151835*Deflactores!$S$5</f>
        <v>5377.2067404887084</v>
      </c>
    </row>
    <row r="61" spans="3:22" x14ac:dyDescent="0.2">
      <c r="C61" s="88" t="s">
        <v>132</v>
      </c>
      <c r="D61" s="57">
        <f>10.7303846523199*Deflactores!$A$5</f>
        <v>38.957295952232975</v>
      </c>
      <c r="E61" s="57">
        <f>14.35896077104*Deflactores!$B$5</f>
        <v>48.427196864086646</v>
      </c>
      <c r="F61" s="57">
        <f>13.98099950814*Deflactores!$C$5</f>
        <v>44.071099409263759</v>
      </c>
      <c r="G61" s="57">
        <f>4.93750024997*Deflactores!$D$5</f>
        <v>14.615322877057841</v>
      </c>
      <c r="H61" s="57">
        <f>11.2344487243099*Deflactores!$E$5</f>
        <v>31.521945274581213</v>
      </c>
      <c r="I61" s="57">
        <f>14.94763867505*Deflactores!$F$5</f>
        <v>39.998527708901094</v>
      </c>
      <c r="J61" s="57">
        <f>17.84881921796*Deflactores!$G$5</f>
        <v>45.714741642209439</v>
      </c>
      <c r="K61" s="57">
        <f>19.15116623527*Deflactores!$H$5</f>
        <v>46.407671215182262</v>
      </c>
      <c r="L61" s="57">
        <f>28.03036688397*Deflactores!$I$5</f>
        <v>63.082803642927189</v>
      </c>
      <c r="M61" s="57">
        <f>60.8029063789099*Deflactores!$J$5</f>
        <v>134.15247019162638</v>
      </c>
      <c r="N61" s="57">
        <f>65.4681165864699*Deflactores!$K$5</f>
        <v>140.00566428726077</v>
      </c>
      <c r="O61" s="57">
        <f>69.64999547685*Deflactores!$L$5</f>
        <v>143.59732597183103</v>
      </c>
      <c r="P61" s="57">
        <f>85.3049207967399*Deflactores!$M$5</f>
        <v>171.68398070778625</v>
      </c>
      <c r="Q61" s="57">
        <f>105.46697066891*Deflactores!$N$5</f>
        <v>208.2224407995781</v>
      </c>
      <c r="R61" s="57">
        <f>110.284843581769*Deflactores!$O$5</f>
        <v>210.04661551019115</v>
      </c>
      <c r="S61" s="57">
        <f>137.7943970238*Deflactores!$P$5</f>
        <v>245.80016639773166</v>
      </c>
      <c r="T61" s="57">
        <f>204.5577760578*Deflactores!$Q$5</f>
        <v>345.0533365230267</v>
      </c>
      <c r="U61" s="57">
        <f>275.92053414322*Deflactores!$R$5</f>
        <v>447.14178001289332</v>
      </c>
      <c r="V61" s="57">
        <f>353.62663801287*Deflactores!$S$5</f>
        <v>555.40614167021511</v>
      </c>
    </row>
    <row r="62" spans="3:22" x14ac:dyDescent="0.2">
      <c r="C62" s="87" t="s">
        <v>133</v>
      </c>
      <c r="D62" s="56">
        <f>19.1010561143*Deflactores!$A$5</f>
        <v>69.347513640539901</v>
      </c>
      <c r="E62" s="56">
        <f>31.40879010143*Deflactores!$B$5</f>
        <v>105.92964809629184</v>
      </c>
      <c r="F62" s="56">
        <f>18.17713100576*Deflactores!$C$5</f>
        <v>57.298202969226352</v>
      </c>
      <c r="G62" s="56">
        <f>28.331641808*Deflactores!$D$5</f>
        <v>83.863508191941179</v>
      </c>
      <c r="H62" s="56">
        <f>39.42447355168*Deflactores!$E$5</f>
        <v>110.61834258819577</v>
      </c>
      <c r="I62" s="56">
        <f>46.73672090311*Deflactores!$F$5</f>
        <v>125.06323351169505</v>
      </c>
      <c r="J62" s="56">
        <f>55.2477782746*Deflactores!$G$5</f>
        <v>141.50168026734454</v>
      </c>
      <c r="K62" s="56">
        <f>71.2655073672*Deflactores!$H$5</f>
        <v>172.69268065718609</v>
      </c>
      <c r="L62" s="56">
        <f>80.74224770572*Deflactores!$I$5</f>
        <v>181.71176206121521</v>
      </c>
      <c r="M62" s="56">
        <f>89.88647577695*Deflactores!$J$5</f>
        <v>198.32099286754223</v>
      </c>
      <c r="N62" s="56">
        <f>91.60309159694*Deflactores!$K$5</f>
        <v>195.89614545971028</v>
      </c>
      <c r="O62" s="56">
        <f>117.701130771*Deflactores!$L$5</f>
        <v>242.66430352022175</v>
      </c>
      <c r="P62" s="56">
        <f>126.86252298709*Deflactores!$M$5</f>
        <v>255.32246845353174</v>
      </c>
      <c r="Q62" s="56">
        <f>149.3574904914*Deflactores!$N$5</f>
        <v>294.87507818394897</v>
      </c>
      <c r="R62" s="56">
        <f>143.15239669866*Deflactores!$O$5</f>
        <v>272.64559165314347</v>
      </c>
      <c r="S62" s="56">
        <f>127.99390674325*Deflactores!$P$5</f>
        <v>228.31787253260109</v>
      </c>
      <c r="T62" s="56">
        <f>168.81506645563*Deflactores!$Q$5</f>
        <v>284.76161140612123</v>
      </c>
      <c r="U62" s="56">
        <f>168.67839929997*Deflactores!$R$5</f>
        <v>273.35102096303149</v>
      </c>
      <c r="V62" s="56">
        <f>138.393731786081*Deflactores!$S$5</f>
        <v>217.36125150122996</v>
      </c>
    </row>
    <row r="63" spans="3:22" x14ac:dyDescent="0.2">
      <c r="C63" s="88" t="s">
        <v>134</v>
      </c>
      <c r="D63" s="57">
        <f>868.99160994953*Deflactores!$A$5</f>
        <v>3154.9254221275405</v>
      </c>
      <c r="E63" s="57">
        <f>1752.44944355811*Deflactores!$B$5</f>
        <v>5910.3312245765646</v>
      </c>
      <c r="F63" s="57">
        <f>998.46701169929*Deflactores!$C$5</f>
        <v>3147.3814804049057</v>
      </c>
      <c r="G63" s="57">
        <f>1305.48733427335*Deflactores!$D$5</f>
        <v>3864.3276833110995</v>
      </c>
      <c r="H63" s="57">
        <f>1400.88710869195*Deflactores!$E$5</f>
        <v>3930.6500799189412</v>
      </c>
      <c r="I63" s="57">
        <f>1675.53028526125*Deflactores!$F$5</f>
        <v>4483.5673378959891</v>
      </c>
      <c r="J63" s="57">
        <f>853.50651156623*Deflactores!$G$5</f>
        <v>2186.0174160390829</v>
      </c>
      <c r="K63" s="57">
        <f>790.79757598468*Deflactores!$H$5</f>
        <v>1916.2840243364815</v>
      </c>
      <c r="L63" s="57">
        <f>887.78859326771*Deflactores!$I$5</f>
        <v>1997.9828925309275</v>
      </c>
      <c r="M63" s="57">
        <f>964.09186042356*Deflactores!$J$5</f>
        <v>2127.1237226962967</v>
      </c>
      <c r="N63" s="57">
        <f>801.07450577232*Deflactores!$K$5</f>
        <v>1713.1234892958794</v>
      </c>
      <c r="O63" s="57">
        <f>1353.40137768204*Deflactores!$L$5</f>
        <v>2790.3062659397974</v>
      </c>
      <c r="P63" s="57">
        <f>2064.36775305237*Deflactores!$M$5</f>
        <v>4154.7295300034311</v>
      </c>
      <c r="Q63" s="57">
        <f>1841.64773317401*Deflactores!$N$5</f>
        <v>3635.9476683778889</v>
      </c>
      <c r="R63" s="57">
        <f>2028.3852102369*Deflactores!$O$5</f>
        <v>3863.2275707522417</v>
      </c>
      <c r="S63" s="57">
        <f>2628.46853581153*Deflactores!$P$5</f>
        <v>4688.710262740834</v>
      </c>
      <c r="T63" s="57">
        <f>1411.95064355547*Deflactores!$Q$5</f>
        <v>2381.7147896005017</v>
      </c>
      <c r="U63" s="57">
        <f>1454.19377461052*Deflactores!$R$5</f>
        <v>2356.5871778339833</v>
      </c>
      <c r="V63" s="57">
        <f>1363.73918472536*Deflactores!$S$5</f>
        <v>2141.8893188844863</v>
      </c>
    </row>
    <row r="64" spans="3:22" x14ac:dyDescent="0.2">
      <c r="C64" s="87" t="s">
        <v>135</v>
      </c>
      <c r="D64" s="56"/>
      <c r="E64" s="56"/>
      <c r="F64" s="56"/>
      <c r="G64" s="56"/>
      <c r="H64" s="56"/>
      <c r="I64" s="56"/>
      <c r="J64" s="56"/>
      <c r="K64" s="56"/>
      <c r="L64" s="56"/>
      <c r="M64" s="56"/>
      <c r="N64" s="56"/>
      <c r="O64" s="56"/>
      <c r="P64" s="56"/>
      <c r="Q64" s="56"/>
      <c r="R64" s="56"/>
      <c r="S64" s="56"/>
      <c r="T64" s="56"/>
      <c r="U64" s="56"/>
      <c r="V64" s="56"/>
    </row>
    <row r="65" spans="3:22" x14ac:dyDescent="0.2">
      <c r="C65" s="88" t="s">
        <v>136</v>
      </c>
      <c r="D65" s="57">
        <f>817.27490725647*Deflactores!$A$5</f>
        <v>2967.1648750672261</v>
      </c>
      <c r="E65" s="57">
        <f>942.828969427289*Deflactores!$B$5</f>
        <v>3179.7958668224896</v>
      </c>
      <c r="F65" s="57">
        <f>995.21496882087*Deflactores!$C$5</f>
        <v>3137.1303460067825</v>
      </c>
      <c r="G65" s="57">
        <f>1072.61370801807*Deflactores!$D$5</f>
        <v>3175.0065562300651</v>
      </c>
      <c r="H65" s="57">
        <f>1269.8738015411*Deflactores!$E$5</f>
        <v>3563.0491054879794</v>
      </c>
      <c r="I65" s="57">
        <f>1579.68321653458*Deflactores!$F$5</f>
        <v>4227.0892601458372</v>
      </c>
      <c r="J65" s="57">
        <f>2604.38375061863*Deflactores!$G$5</f>
        <v>6670.3981278996171</v>
      </c>
      <c r="K65" s="57">
        <f>3478.305717618*Deflactores!$H$5</f>
        <v>8428.73306753629</v>
      </c>
      <c r="L65" s="57">
        <f>4655.77990677224*Deflactores!$I$5</f>
        <v>10477.90957854212</v>
      </c>
      <c r="M65" s="57">
        <f>5362.17969430902*Deflactores!$J$5</f>
        <v>11830.843202134309</v>
      </c>
      <c r="N65" s="57">
        <f>5619.7049150577*Deflactores!$K$5</f>
        <v>12017.918962001135</v>
      </c>
      <c r="O65" s="57">
        <f>5624.17803785177*Deflactores!$L$5</f>
        <v>11595.362232197795</v>
      </c>
      <c r="P65" s="57">
        <f>7106.98932827225*Deflactores!$M$5</f>
        <v>14303.468162556059</v>
      </c>
      <c r="Q65" s="57">
        <f>8162.44802599435*Deflactores!$N$5</f>
        <v>16115.043791366415</v>
      </c>
      <c r="R65" s="57">
        <f>8511.64327156497*Deflactores!$O$5</f>
        <v>16211.129322559585</v>
      </c>
      <c r="S65" s="57">
        <f>9660.63120532604*Deflactores!$P$5</f>
        <v>17232.810687985511</v>
      </c>
      <c r="T65" s="57">
        <f>9502.78515930559*Deflactores!$Q$5</f>
        <v>16029.543284403853</v>
      </c>
      <c r="U65" s="57">
        <f>10080.0557626981*Deflactores!$R$5</f>
        <v>16335.189007797897</v>
      </c>
      <c r="V65" s="57">
        <f>9678.92347981509*Deflactores!$S$5</f>
        <v>15201.721158940818</v>
      </c>
    </row>
    <row r="66" spans="3:22" x14ac:dyDescent="0.2">
      <c r="C66" s="87" t="s">
        <v>137</v>
      </c>
      <c r="D66" s="56">
        <f>24.57339304396*Deflactores!$A$5</f>
        <v>89.215156434967369</v>
      </c>
      <c r="E66" s="56">
        <f>34.22975013284*Deflactores!$B$5</f>
        <v>115.44365046492689</v>
      </c>
      <c r="F66" s="56">
        <f>48.27358724255*Deflactores!$C$5</f>
        <v>152.16866726656667</v>
      </c>
      <c r="G66" s="56">
        <f>40.99645241489*Deflactores!$D$5</f>
        <v>121.35217387810674</v>
      </c>
      <c r="H66" s="56">
        <f>70.6277477828399*Deflactores!$E$5</f>
        <v>198.1694033335277</v>
      </c>
      <c r="I66" s="56">
        <f>183.7912973625*Deflactores!$F$5</f>
        <v>491.80887095427772</v>
      </c>
      <c r="J66" s="56">
        <f>86.16784645233*Deflactores!$G$5</f>
        <v>220.69475803027694</v>
      </c>
      <c r="K66" s="56">
        <f>108.4857221096*Deflactores!$H$5</f>
        <v>262.88580347300018</v>
      </c>
      <c r="L66" s="56">
        <f>131.93953365004*Deflactores!$I$5</f>
        <v>296.93209969166259</v>
      </c>
      <c r="M66" s="56">
        <f>118.42967247042*Deflactores!$J$5</f>
        <v>261.29726442489397</v>
      </c>
      <c r="N66" s="56">
        <f>139.40786345935*Deflactores!$K$5</f>
        <v>298.12818129134553</v>
      </c>
      <c r="O66" s="56">
        <f>166.34289606903*Deflactores!$L$5</f>
        <v>342.94898235653415</v>
      </c>
      <c r="P66" s="56">
        <f>204.229181177419*Deflactores!$M$5</f>
        <v>411.02996724863004</v>
      </c>
      <c r="Q66" s="56">
        <f>247.83098465129*Deflactores!$N$5</f>
        <v>489.29036458109272</v>
      </c>
      <c r="R66" s="56">
        <f>452.723491077799*Deflactores!$O$5</f>
        <v>862.2493714863424</v>
      </c>
      <c r="S66" s="56">
        <f>253.62825114754*Deflactores!$P$5</f>
        <v>452.42671459611853</v>
      </c>
      <c r="T66" s="56">
        <f>196.547354125999*Deflactores!$Q$5</f>
        <v>331.54115005036891</v>
      </c>
      <c r="U66" s="56">
        <f>247.01843566443*Deflactores!$R$5</f>
        <v>400.30461437734812</v>
      </c>
      <c r="V66" s="56">
        <f>453.681754739759*Deflactores!$S$5</f>
        <v>712.55274874686279</v>
      </c>
    </row>
    <row r="67" spans="3:22" x14ac:dyDescent="0.2">
      <c r="C67" s="88" t="s">
        <v>138</v>
      </c>
      <c r="D67" s="57">
        <f>10.89385624734*Deflactores!$A$5</f>
        <v>39.550789243790305</v>
      </c>
      <c r="E67" s="57">
        <f>22.07577355643*Deflactores!$B$5</f>
        <v>74.453008751189913</v>
      </c>
      <c r="F67" s="57">
        <f>5.73239353153*Deflactores!$C$5</f>
        <v>18.069729924101033</v>
      </c>
      <c r="G67" s="57">
        <f>40.78988764735*Deflactores!$D$5</f>
        <v>120.74072868929083</v>
      </c>
      <c r="H67" s="57">
        <f>25.34981986463*Deflactores!$E$5</f>
        <v>71.127267042864503</v>
      </c>
      <c r="I67" s="57">
        <f>17.8148936322399*Deflactores!$F$5</f>
        <v>47.671042368027386</v>
      </c>
      <c r="J67" s="57">
        <f>38.53041158853*Deflactores!$G$5</f>
        <v>98.684836774259097</v>
      </c>
      <c r="K67" s="57">
        <f>36.11206215059*Deflactores!$H$5</f>
        <v>87.507814751271269</v>
      </c>
      <c r="L67" s="57">
        <f>93.0244481236*Deflactores!$I$5</f>
        <v>209.35305696368371</v>
      </c>
      <c r="M67" s="57">
        <f>35.52198580133*Deflactores!$J$5</f>
        <v>78.373920346235479</v>
      </c>
      <c r="N67" s="57">
        <f>47.23435662654*Deflactores!$K$5</f>
        <v>101.01218457912404</v>
      </c>
      <c r="O67" s="57">
        <f>26.999793958*Deflactores!$L$5</f>
        <v>55.665448182948637</v>
      </c>
      <c r="P67" s="57">
        <f>70.0109971273099*Deflactores!$M$5</f>
        <v>140.9035559481735</v>
      </c>
      <c r="Q67" s="57">
        <f>37.47919553503*Deflactores!$N$5</f>
        <v>73.994820596559492</v>
      </c>
      <c r="R67" s="57">
        <f>19.08622883591*Deflactores!$O$5</f>
        <v>36.351303040689366</v>
      </c>
      <c r="S67" s="57">
        <f>16.82887569798*Deflactores!$P$5</f>
        <v>30.019656359001001</v>
      </c>
      <c r="T67" s="57">
        <f>10.5742991878899*Deflactores!$Q$5</f>
        <v>17.837000804814984</v>
      </c>
      <c r="U67" s="57">
        <f>8.47548850454999*Deflactores!$R$5</f>
        <v>13.734914757870769</v>
      </c>
      <c r="V67" s="57">
        <f>7.03642349455999*Deflactores!$S$5</f>
        <v>11.051409605995191</v>
      </c>
    </row>
    <row r="68" spans="3:22" x14ac:dyDescent="0.2">
      <c r="C68" s="87" t="s">
        <v>139</v>
      </c>
      <c r="D68" s="56">
        <f>119.727238948879*Deflactores!$A$5</f>
        <v>434.67682030082557</v>
      </c>
      <c r="E68" s="56">
        <f>158.44519155018*Deflactores!$B$5</f>
        <v>534.37408219987333</v>
      </c>
      <c r="F68" s="56">
        <f>128.16769484692*Deflactores!$C$5</f>
        <v>404.01197477806477</v>
      </c>
      <c r="G68" s="56">
        <f>110.97813783851*Deflactores!$D$5</f>
        <v>328.50252854454203</v>
      </c>
      <c r="H68" s="56">
        <f>209.49339619641*Deflactores!$E$5</f>
        <v>587.80270686535528</v>
      </c>
      <c r="I68" s="56">
        <f>175.34865527804*Deflactores!$F$5</f>
        <v>469.21712514794706</v>
      </c>
      <c r="J68" s="56">
        <f>263.213575186869*Deflactores!$G$5</f>
        <v>674.14770912589506</v>
      </c>
      <c r="K68" s="56">
        <f>408.65473663742*Deflactores!$H$5</f>
        <v>990.26421813777927</v>
      </c>
      <c r="L68" s="56">
        <f>759.43853059978*Deflactores!$I$5</f>
        <v>1709.1289565708971</v>
      </c>
      <c r="M68" s="56">
        <f>717.45672782416*Deflactores!$J$5</f>
        <v>1582.960388330996</v>
      </c>
      <c r="N68" s="56">
        <f>451.126281778649*Deflactores!$K$5</f>
        <v>964.74800331914344</v>
      </c>
      <c r="O68" s="56">
        <f>3943.69980383221*Deflactores!$L$5</f>
        <v>8130.7219388717149</v>
      </c>
      <c r="P68" s="56">
        <f>408.405348834899*Deflactores!$M$5</f>
        <v>821.95323992384681</v>
      </c>
      <c r="Q68" s="56">
        <f>671.95415504055*Deflactores!$N$5</f>
        <v>1326.6327209415758</v>
      </c>
      <c r="R68" s="56">
        <f>687.02972218934*Deflactores!$O$5</f>
        <v>1308.504987757294</v>
      </c>
      <c r="S68" s="56">
        <f>798.00337470015*Deflactores!$P$5</f>
        <v>1423.4930194829992</v>
      </c>
      <c r="T68" s="56">
        <f>936.72266709488*Deflactores!$Q$5</f>
        <v>1580.0879727324941</v>
      </c>
      <c r="U68" s="56">
        <f>1005.9413361351*Deflactores!$R$5</f>
        <v>1630.1737057181956</v>
      </c>
      <c r="V68" s="56">
        <f>271.1353616903*Deflactores!$S$5</f>
        <v>425.84530948510485</v>
      </c>
    </row>
    <row r="69" spans="3:22" x14ac:dyDescent="0.2">
      <c r="C69" s="88" t="s">
        <v>140</v>
      </c>
      <c r="D69" s="57">
        <f>227.23497030876*Deflactores!$A$5</f>
        <v>824.9899957781422</v>
      </c>
      <c r="E69" s="57">
        <f>394.08415434986*Deflactores!$B$5</f>
        <v>1329.0927684828212</v>
      </c>
      <c r="F69" s="57">
        <f>242.43145180094*Deflactores!$C$5</f>
        <v>764.19576483289404</v>
      </c>
      <c r="G69" s="57">
        <f>341.77931677173*Deflactores!$D$5</f>
        <v>1011.689076339675</v>
      </c>
      <c r="H69" s="57">
        <f>654.389601783899*Deflactores!$E$5</f>
        <v>1836.1055109941904</v>
      </c>
      <c r="I69" s="57">
        <f>814.257229966939*Deflactores!$F$5</f>
        <v>2178.8786231077875</v>
      </c>
      <c r="J69" s="57">
        <f>782.82997354275*Deflactores!$G$5</f>
        <v>2004.999297335853</v>
      </c>
      <c r="K69" s="57">
        <f>2428.00388549644*Deflactores!$H$5</f>
        <v>5883.6106711761959</v>
      </c>
      <c r="L69" s="57">
        <f>1682.69411147202*Deflactores!$I$5</f>
        <v>3786.9308905051748</v>
      </c>
      <c r="M69" s="57">
        <f>6369.59814044289*Deflactores!$J$5</f>
        <v>14053.560521323938</v>
      </c>
      <c r="N69" s="57">
        <f>1352.05280337109*Deflactores!$K$5</f>
        <v>2891.4082267419872</v>
      </c>
      <c r="O69" s="57">
        <f>2121.27851630293*Deflactores!$L$5</f>
        <v>4373.4377941752919</v>
      </c>
      <c r="P69" s="57">
        <f>2497.2536351605*Deflactores!$M$5</f>
        <v>5025.95208948051</v>
      </c>
      <c r="Q69" s="57">
        <f>3073.39334532385*Deflactores!$N$5</f>
        <v>6067.7713585752945</v>
      </c>
      <c r="R69" s="57">
        <f>2523.4668918607*Deflactores!$O$5</f>
        <v>4806.1516231318528</v>
      </c>
      <c r="S69" s="57">
        <f>2646.63690577086*Deflactores!$P$5</f>
        <v>4721.11933346965</v>
      </c>
      <c r="T69" s="57">
        <f>2640.86416113166*Deflactores!$Q$5</f>
        <v>4454.6778307028662</v>
      </c>
      <c r="U69" s="57">
        <f>3137.39968365568*Deflactores!$R$5</f>
        <v>5084.298939612504</v>
      </c>
      <c r="V69" s="57">
        <f>3484.49702719016*Deflactores!$S$5</f>
        <v>5472.7524498948724</v>
      </c>
    </row>
    <row r="70" spans="3:22" x14ac:dyDescent="0.2">
      <c r="C70" s="87" t="s">
        <v>141</v>
      </c>
      <c r="D70" s="56">
        <f>5.64863593475*Deflactores!$A$5</f>
        <v>20.507706756709606</v>
      </c>
      <c r="E70" s="56">
        <f>20.0888766262399*Deflactores!$B$5</f>
        <v>67.751977226608616</v>
      </c>
      <c r="F70" s="56">
        <f>17.040597778*Deflactores!$C$5</f>
        <v>53.715607258999761</v>
      </c>
      <c r="G70" s="56">
        <f>12.34781983744*Deflactores!$D$5</f>
        <v>36.550352327176476</v>
      </c>
      <c r="H70" s="56">
        <f>22.20479667019*Deflactores!$E$5</f>
        <v>62.302868849840031</v>
      </c>
      <c r="I70" s="56">
        <f>23.7869984367499*Deflactores!$F$5</f>
        <v>63.651854100008563</v>
      </c>
      <c r="J70" s="56">
        <f>30.1996308465999*Deflactores!$G$5</f>
        <v>77.347879710342141</v>
      </c>
      <c r="K70" s="56">
        <f>38.2449217338699*Deflactores!$H$5</f>
        <v>92.676223038945921</v>
      </c>
      <c r="L70" s="56">
        <f>46.1133924340599*Deflactores!$I$5</f>
        <v>103.77895131621061</v>
      </c>
      <c r="M70" s="56">
        <f>58.40956156394*Deflactores!$J$5</f>
        <v>128.87191473679863</v>
      </c>
      <c r="N70" s="56">
        <f>71.1284227231599*Deflactores!$K$5</f>
        <v>152.11041026219416</v>
      </c>
      <c r="O70" s="56">
        <f>78.90159201012*Deflactores!$L$5</f>
        <v>162.67133328586451</v>
      </c>
      <c r="P70" s="56">
        <f>74.44581626539*Deflactores!$M$5</f>
        <v>149.82903640385388</v>
      </c>
      <c r="Q70" s="56">
        <f>95.60328578269*Deflactores!$N$5</f>
        <v>188.74866119577956</v>
      </c>
      <c r="R70" s="56">
        <f>75.9384131105*Deflactores!$O$5</f>
        <v>144.63099500385036</v>
      </c>
      <c r="S70" s="56">
        <f>153.2975827367*Deflactores!$P$5</f>
        <v>273.45503270748134</v>
      </c>
      <c r="T70" s="56">
        <f>88.1234609444*Deflactores!$Q$5</f>
        <v>148.64892848771461</v>
      </c>
      <c r="U70" s="56">
        <f>214.37124976986*Deflactores!$R$5</f>
        <v>347.39836418238212</v>
      </c>
      <c r="V70" s="56">
        <f>218.45234918743*Deflactores!$S$5</f>
        <v>343.10134859402001</v>
      </c>
    </row>
    <row r="71" spans="3:22" x14ac:dyDescent="0.2">
      <c r="C71" s="88" t="s">
        <v>142</v>
      </c>
      <c r="D71" s="57">
        <f>319.71505752809*Deflactores!$A$5</f>
        <v>1160.7444206405203</v>
      </c>
      <c r="E71" s="57">
        <f>1026.7587121883*Deflactores!$B$5</f>
        <v>3462.8582861890163</v>
      </c>
      <c r="F71" s="57">
        <f>816.77624874391*Deflactores!$C$5</f>
        <v>2574.6533523987837</v>
      </c>
      <c r="G71" s="57">
        <f>368.7337686534*Deflactores!$D$5</f>
        <v>1091.4760124977277</v>
      </c>
      <c r="H71" s="57">
        <f>239.0631142026*Deflactores!$E$5</f>
        <v>670.77028770970821</v>
      </c>
      <c r="I71" s="57">
        <f>133.09740078643*Deflactores!$F$5</f>
        <v>356.1565936313969</v>
      </c>
      <c r="J71" s="57">
        <f>231.06354141588*Deflactores!$G$5</f>
        <v>591.80441965214743</v>
      </c>
      <c r="K71" s="57">
        <f>354.545164823959*Deflactores!$H$5</f>
        <v>859.14430682455634</v>
      </c>
      <c r="L71" s="57">
        <f>557.914150005*Deflactores!$I$5</f>
        <v>1255.5950095146</v>
      </c>
      <c r="M71" s="57">
        <f>1033.4395108197*Deflactores!$J$5</f>
        <v>2280.1288857168329</v>
      </c>
      <c r="N71" s="57">
        <f>822.2258136482*Deflactores!$K$5</f>
        <v>1758.3562386723745</v>
      </c>
      <c r="O71" s="57">
        <f>800.47422819391*Deflactores!$L$5</f>
        <v>1650.3369151863917</v>
      </c>
      <c r="P71" s="57">
        <f>882.597791052379*Deflactores!$M$5</f>
        <v>1776.3090419229638</v>
      </c>
      <c r="Q71" s="57">
        <f>450.650062939899*Deflactores!$N$5</f>
        <v>889.71414895763644</v>
      </c>
      <c r="R71" s="57">
        <f>267.55806601478*Deflactores!$O$5</f>
        <v>509.58648889217915</v>
      </c>
      <c r="S71" s="57">
        <f>237.976973845649*Deflactores!$P$5</f>
        <v>424.50767980055008</v>
      </c>
      <c r="T71" s="57">
        <f>381.226073441589*Deflactores!$Q$5</f>
        <v>643.06198055958384</v>
      </c>
      <c r="U71" s="57">
        <f>358.58074157386*Deflactores!$R$5</f>
        <v>581.09640720851326</v>
      </c>
      <c r="V71" s="57">
        <f>306.02988571119*Deflactores!$S$5</f>
        <v>480.65066312239446</v>
      </c>
    </row>
    <row r="72" spans="3:22" x14ac:dyDescent="0.2">
      <c r="C72" s="87" t="s">
        <v>143</v>
      </c>
      <c r="D72" s="56">
        <f>718.892507634819*Deflactores!$A$5</f>
        <v>2609.9817560331026</v>
      </c>
      <c r="E72" s="56">
        <f>722.37718287329*Deflactores!$B$5</f>
        <v>2436.2976264747736</v>
      </c>
      <c r="F72" s="56">
        <f>932.78088231035*Deflactores!$C$5</f>
        <v>2940.3247577132056</v>
      </c>
      <c r="G72" s="56">
        <f>758.92303201324*Deflactores!$D$5</f>
        <v>2246.4616891465676</v>
      </c>
      <c r="H72" s="56">
        <f>685.51949633694*Deflactores!$E$5</f>
        <v>1923.4506808894512</v>
      </c>
      <c r="I72" s="56">
        <f>559.62141062962*Deflactores!$F$5</f>
        <v>1497.4962257366913</v>
      </c>
      <c r="J72" s="56">
        <f>48.00364836342*Deflactores!$G$5</f>
        <v>122.94787436745796</v>
      </c>
      <c r="K72" s="56">
        <f>132.29978147938*Deflactores!$H$5</f>
        <v>320.5927349441634</v>
      </c>
      <c r="L72" s="56">
        <f>82.8717276501*Deflactores!$I$5</f>
        <v>186.50419184812955</v>
      </c>
      <c r="M72" s="56">
        <f>48.50818394186*Deflactores!$J$5</f>
        <v>107.02601385132949</v>
      </c>
      <c r="N72" s="56">
        <f>47.92771045118*Deflactores!$K$5</f>
        <v>102.49494394148665</v>
      </c>
      <c r="O72" s="56">
        <f>66.8277242546*Deflactores!$L$5</f>
        <v>137.77865221732873</v>
      </c>
      <c r="P72" s="56">
        <f>384.054789287749*Deflactores!$M$5</f>
        <v>772.94550442077991</v>
      </c>
      <c r="Q72" s="56">
        <f>129.32715268784*Deflactores!$N$5</f>
        <v>255.32937206339952</v>
      </c>
      <c r="R72" s="56">
        <f>133.52403697987*Deflactores!$O$5</f>
        <v>254.30758339957043</v>
      </c>
      <c r="S72" s="56">
        <f>136.6506213577*Deflactores!$P$5</f>
        <v>243.75987843884971</v>
      </c>
      <c r="T72" s="56">
        <f>90.36951734326*Deflactores!$Q$5</f>
        <v>152.4376343945805</v>
      </c>
      <c r="U72" s="56">
        <f>82.9492878664099*Deflactores!$R$5</f>
        <v>134.42309519499676</v>
      </c>
      <c r="V72" s="56">
        <f>782.2668063402*Deflactores!$S$5</f>
        <v>1228.628564600044</v>
      </c>
    </row>
    <row r="73" spans="3:22" x14ac:dyDescent="0.2">
      <c r="C73" s="88" t="s">
        <v>144</v>
      </c>
      <c r="D73" s="57">
        <f>15.2193574071399*Deflactores!$A$5</f>
        <v>55.254776965015189</v>
      </c>
      <c r="E73" s="57">
        <f>45.32678188888*Deflactores!$B$5</f>
        <v>152.86962787553634</v>
      </c>
      <c r="F73" s="57">
        <f>30.92432823204*Deflactores!$C$5</f>
        <v>97.480093814855564</v>
      </c>
      <c r="G73" s="57">
        <f>37.2056596771999*Deflactores!$D$5</f>
        <v>110.13118005199331</v>
      </c>
      <c r="H73" s="57">
        <f>67.48196439365*Deflactores!$E$5</f>
        <v>189.34287216380875</v>
      </c>
      <c r="I73" s="57">
        <f>68.95384151998*Deflactores!$F$5</f>
        <v>184.51423670520782</v>
      </c>
      <c r="J73" s="57">
        <f>80.74833162888*Deflactores!$G$5</f>
        <v>206.81419164912126</v>
      </c>
      <c r="K73" s="57">
        <f>87.14270982288*Deflactores!$H$5</f>
        <v>211.16678621965048</v>
      </c>
      <c r="L73" s="57">
        <f>95.53384608263*Deflactores!$I$5</f>
        <v>215.00049851757865</v>
      </c>
      <c r="M73" s="57">
        <f>86.6913067308*Deflactores!$J$5</f>
        <v>191.27133281429315</v>
      </c>
      <c r="N73" s="57">
        <f>132.322731976669*Deflactores!$K$5</f>
        <v>282.97640067634694</v>
      </c>
      <c r="O73" s="57">
        <f>179.644728939399*Deflactores!$L$5</f>
        <v>370.37335787345813</v>
      </c>
      <c r="P73" s="57">
        <f>108.201749797299*Deflactores!$M$5</f>
        <v>217.7659500911011</v>
      </c>
      <c r="Q73" s="57">
        <f>278.88190536155*Deflactores!$N$5</f>
        <v>550.59390310465096</v>
      </c>
      <c r="R73" s="57">
        <f>250.50582259173*Deflactores!$O$5</f>
        <v>477.1090794718001</v>
      </c>
      <c r="S73" s="57">
        <f>209.56169389352*Deflactores!$P$5</f>
        <v>373.81998355652155</v>
      </c>
      <c r="T73" s="57">
        <f>157.6644854495*Deflactores!$Q$5</f>
        <v>265.95252355581005</v>
      </c>
      <c r="U73" s="57">
        <f>230.93068023465*Deflactores!$R$5</f>
        <v>374.23367470763134</v>
      </c>
      <c r="V73" s="57">
        <f>214.92697770978*Deflactores!$S$5</f>
        <v>337.56439871558763</v>
      </c>
    </row>
    <row r="74" spans="3:22" x14ac:dyDescent="0.2">
      <c r="C74" s="87" t="s">
        <v>145</v>
      </c>
      <c r="D74" s="56">
        <f>26.09426472715*Deflactores!$A$5</f>
        <v>94.73677100771188</v>
      </c>
      <c r="E74" s="56">
        <f>0.326138672*Deflactores!$B$5</f>
        <v>1.0999390503099653</v>
      </c>
      <c r="F74" s="56">
        <f>14.252334354*Deflactores!$C$5</f>
        <v>44.926404851348295</v>
      </c>
      <c r="G74" s="56">
        <f>15.019419406*Deflactores!$D$5</f>
        <v>44.458461353186166</v>
      </c>
      <c r="H74" s="56">
        <f>22.930728134*Deflactores!$E$5</f>
        <v>64.339708612684831</v>
      </c>
      <c r="I74" s="56">
        <f>56.181247037*Deflactores!$F$5</f>
        <v>150.33593032195401</v>
      </c>
      <c r="J74" s="56">
        <f>91.83233440581*Deflactores!$G$5</f>
        <v>235.20275433897294</v>
      </c>
      <c r="K74" s="56">
        <f>98.24444500864*Deflactores!$H$5</f>
        <v>238.06883855889316</v>
      </c>
      <c r="L74" s="56">
        <f>109.529061624*Deflactores!$I$5</f>
        <v>246.49696224890334</v>
      </c>
      <c r="M74" s="56">
        <f>120.392690806*Deflactores!$J$5</f>
        <v>265.62836920972802</v>
      </c>
      <c r="N74" s="56">
        <f>76.071545116*Deflactores!$K$5</f>
        <v>162.68143582925376</v>
      </c>
      <c r="O74" s="56">
        <f>60.92003483266*Deflactores!$L$5</f>
        <v>125.59877484828253</v>
      </c>
      <c r="P74" s="56">
        <f>65.12523317392*Deflactores!$M$5</f>
        <v>131.07050767285469</v>
      </c>
      <c r="Q74" s="56">
        <f>60.47270304083*Deflactores!$N$5</f>
        <v>119.39068458160948</v>
      </c>
      <c r="R74" s="56">
        <f>68.62930038107*Deflactores!$O$5</f>
        <v>130.71018466094105</v>
      </c>
      <c r="S74" s="56">
        <f>79.91722015371*Deflactores!$P$5</f>
        <v>142.55779941787617</v>
      </c>
      <c r="T74" s="56">
        <f>82.378584339*Deflactores!$Q$5</f>
        <v>138.95832234793025</v>
      </c>
      <c r="U74" s="56">
        <f>93.826054076*Deflactores!$R$5</f>
        <v>152.04938973245143</v>
      </c>
      <c r="V74" s="56">
        <f>97.8293452713999*Deflactores!$S$5</f>
        <v>153.65080952225674</v>
      </c>
    </row>
    <row r="75" spans="3:22" x14ac:dyDescent="0.2">
      <c r="C75" s="88" t="s">
        <v>146</v>
      </c>
      <c r="D75" s="57">
        <f>3.22159064087999*Deflactores!$A$5</f>
        <v>11.696175309668112</v>
      </c>
      <c r="E75" s="57">
        <f>4.51765405322999*Deflactores!$B$5</f>
        <v>15.236292214186609</v>
      </c>
      <c r="F75" s="57">
        <f>1.57433331087*Deflactores!$C$5</f>
        <v>4.9626351682704275</v>
      </c>
      <c r="G75" s="57">
        <f>2.73446456904*Deflactores!$D$5</f>
        <v>8.0941935289293898</v>
      </c>
      <c r="H75" s="57">
        <f>2.8179860867*Deflactores!$E$5</f>
        <v>7.9067878975917578</v>
      </c>
      <c r="I75" s="57">
        <f>4.37867774702*Deflactores!$F$5</f>
        <v>11.716945197830201</v>
      </c>
      <c r="J75" s="57">
        <f>5.86855709659999*Deflactores!$G$5</f>
        <v>15.030662152355299</v>
      </c>
      <c r="K75" s="57">
        <f>5.98697280648*Deflactores!$H$5</f>
        <v>14.507809193659989</v>
      </c>
      <c r="L75" s="57">
        <f>9.21550287405*Deflactores!$I$5</f>
        <v>20.739641428203488</v>
      </c>
      <c r="M75" s="57">
        <f>10.9045053922699*Deflactores!$J$5</f>
        <v>24.059151473363233</v>
      </c>
      <c r="N75" s="57">
        <f>12.43080617001*Deflactores!$K$5</f>
        <v>26.583677157716025</v>
      </c>
      <c r="O75" s="57">
        <f>12.7747935133372*Deflactores!$L$5</f>
        <v>26.337779001970418</v>
      </c>
      <c r="P75" s="57">
        <f>69.8538993243879*Deflactores!$M$5</f>
        <v>140.58738220445287</v>
      </c>
      <c r="Q75" s="57">
        <f>59.930301032965*Deflactores!$N$5</f>
        <v>118.31982543721637</v>
      </c>
      <c r="R75" s="57">
        <f>55.7023213212515*Deflactores!$O$5</f>
        <v>106.08968276692698</v>
      </c>
      <c r="S75" s="57">
        <f>70.3600827777151*Deflactores!$P$5</f>
        <v>125.50960291609982</v>
      </c>
      <c r="T75" s="57">
        <f>84.21693369572*Deflactores!$Q$5</f>
        <v>142.05929749273218</v>
      </c>
      <c r="U75" s="57">
        <f>93.59706901458*Deflactores!$R$5</f>
        <v>151.67830902155893</v>
      </c>
      <c r="V75" s="57">
        <f>73.26330434615*Deflactores!$S$5</f>
        <v>115.06737564104249</v>
      </c>
    </row>
    <row r="76" spans="3:22" x14ac:dyDescent="0.2">
      <c r="C76" s="90" t="s">
        <v>147</v>
      </c>
      <c r="D76" s="58">
        <f>989.78775145476*Deflactores!$A$5</f>
        <v>3593.4829563618464</v>
      </c>
      <c r="E76" s="58">
        <f>1755.89557409813*Deflactores!$B$5</f>
        <v>5921.9536842198477</v>
      </c>
      <c r="F76" s="58">
        <f>1494.75505883773*Deflactores!$C$5</f>
        <v>4711.787505048087</v>
      </c>
      <c r="G76" s="58">
        <f>1777.32729708236*Deflactores!$D$5</f>
        <v>5261.0047574630544</v>
      </c>
      <c r="H76" s="58">
        <f>2359.2248863853*Deflactores!$E$5</f>
        <v>6619.5822851677749</v>
      </c>
      <c r="I76" s="58">
        <f>2420.14798968525*Deflactores!$F$5</f>
        <v>6476.0968959361708</v>
      </c>
      <c r="J76" s="58">
        <f>3170.72773514745*Deflactores!$G$5</f>
        <v>8120.9293152681867</v>
      </c>
      <c r="K76" s="58">
        <f>3552.98136967907*Deflactores!$H$5</f>
        <v>8609.6893114566828</v>
      </c>
      <c r="L76" s="58">
        <f>2975.2371666732*Deflactores!$I$5</f>
        <v>6695.8203848454987</v>
      </c>
      <c r="M76" s="58">
        <f>3409.17739509461*Deflactores!$J$5</f>
        <v>7521.8372954624474</v>
      </c>
      <c r="N76" s="58">
        <f>4255.79829299177*Deflactores!$K$5</f>
        <v>9101.1609642981966</v>
      </c>
      <c r="O76" s="58">
        <f>5311.28893396895*Deflactores!$L$5</f>
        <v>10950.27907984886</v>
      </c>
      <c r="P76" s="58">
        <f>5908.56287567496*Deflactores!$M$5</f>
        <v>11891.524958744107</v>
      </c>
      <c r="Q76" s="58">
        <f>7077.15248863616*Deflactores!$N$5</f>
        <v>13972.355096087256</v>
      </c>
      <c r="R76" s="58">
        <f>8187.49563742287*Deflactores!$O$5</f>
        <v>15593.763315899727</v>
      </c>
      <c r="S76" s="58">
        <f>8948.61063958914*Deflactores!$P$5</f>
        <v>15962.695376210473</v>
      </c>
      <c r="T76" s="58">
        <f>9122.47074600947*Deflactores!$Q$5</f>
        <v>15388.019115708634</v>
      </c>
      <c r="U76" s="58">
        <f>5262.64191461493*Deflactores!$R$5</f>
        <v>8528.3506737847583</v>
      </c>
      <c r="V76" s="58">
        <f>5211.67511385831*Deflactores!$S$5</f>
        <v>8185.4590561737496</v>
      </c>
    </row>
    <row r="77" spans="3:22" ht="22.5" customHeight="1" x14ac:dyDescent="0.2">
      <c r="C77" s="89" t="s">
        <v>148</v>
      </c>
      <c r="D77" s="59">
        <f>0*Deflactores!$A$5</f>
        <v>0</v>
      </c>
      <c r="E77" s="59">
        <f>0*Deflactores!$B$5</f>
        <v>0</v>
      </c>
      <c r="F77" s="59">
        <f>0*Deflactores!$C$5</f>
        <v>0</v>
      </c>
      <c r="G77" s="59">
        <f>0*Deflactores!$D$5</f>
        <v>0</v>
      </c>
      <c r="H77" s="59">
        <f>0*Deflactores!$E$5</f>
        <v>0</v>
      </c>
      <c r="I77" s="59">
        <f>0*Deflactores!$F$5</f>
        <v>0</v>
      </c>
      <c r="J77" s="59">
        <f>0*Deflactores!$G$5</f>
        <v>0</v>
      </c>
      <c r="K77" s="59">
        <f>0*Deflactores!$H$5</f>
        <v>0</v>
      </c>
      <c r="L77" s="59">
        <f>0*Deflactores!$I$5</f>
        <v>0</v>
      </c>
      <c r="M77" s="59">
        <f>0*Deflactores!$J$5</f>
        <v>0</v>
      </c>
      <c r="N77" s="59">
        <f>0*Deflactores!$K$5</f>
        <v>0</v>
      </c>
      <c r="O77" s="59">
        <f>0*Deflactores!$L$5</f>
        <v>0</v>
      </c>
      <c r="P77" s="59">
        <f>0*Deflactores!$M$5</f>
        <v>0</v>
      </c>
      <c r="Q77" s="59">
        <f>0*Deflactores!$N$5</f>
        <v>0</v>
      </c>
      <c r="R77" s="59">
        <f>0*Deflactores!$O$5</f>
        <v>0</v>
      </c>
      <c r="S77" s="59">
        <f>0*Deflactores!$P$5</f>
        <v>0</v>
      </c>
      <c r="T77" s="59">
        <f>0*Deflactores!$Q$5</f>
        <v>0</v>
      </c>
      <c r="U77" s="59">
        <f>0*Deflactores!$R$5</f>
        <v>0</v>
      </c>
      <c r="V77" s="59">
        <f>20.4014959273*Deflactores!$S$5</f>
        <v>32.042597811508507</v>
      </c>
    </row>
    <row r="78" spans="3:22" x14ac:dyDescent="0.2">
      <c r="C78" s="87" t="s">
        <v>149</v>
      </c>
      <c r="D78" s="56">
        <f>94.92866373272*Deflactores!$A$5</f>
        <v>344.64412667499647</v>
      </c>
      <c r="E78" s="56">
        <f>124.96637658264*Deflactores!$B$5</f>
        <v>421.46304434264243</v>
      </c>
      <c r="F78" s="56">
        <f>127.09479091885*Deflactores!$C$5</f>
        <v>400.62995222359484</v>
      </c>
      <c r="G78" s="56">
        <f>62.45041103596*Deflactores!$D$5</f>
        <v>184.85729111630471</v>
      </c>
      <c r="H78" s="56">
        <f>115.19599336315*Deflactores!$E$5</f>
        <v>323.22029213474286</v>
      </c>
      <c r="I78" s="56">
        <f>135.943686189019*Deflactores!$F$5</f>
        <v>363.77299566103153</v>
      </c>
      <c r="J78" s="56">
        <f>171.3510852463*Deflactores!$G$5</f>
        <v>438.86771984696583</v>
      </c>
      <c r="K78" s="56">
        <f>291.82601416961*Deflactores!$H$5</f>
        <v>707.16140997610887</v>
      </c>
      <c r="L78" s="56">
        <f>382.78438342914*Deflactores!$I$5</f>
        <v>861.46257726111446</v>
      </c>
      <c r="M78" s="56">
        <f>555.621623883059*Deflactores!$J$5</f>
        <v>1225.8955660982904</v>
      </c>
      <c r="N78" s="56">
        <f>627.912782037709*Deflactores!$K$5</f>
        <v>1342.8115966577202</v>
      </c>
      <c r="O78" s="56">
        <f>727.79979852558*Deflactores!$L$5</f>
        <v>1500.504116268713</v>
      </c>
      <c r="P78" s="56">
        <f>788.39366213296*Deflactores!$M$5</f>
        <v>1586.7145882743598</v>
      </c>
      <c r="Q78" s="56">
        <f>993.413038428192*Deflactores!$N$5</f>
        <v>1961.2859483089296</v>
      </c>
      <c r="R78" s="56">
        <f>1447.40953454117*Deflactores!$O$5</f>
        <v>2756.7112951666868</v>
      </c>
      <c r="S78" s="56">
        <f>1085.93943674198*Deflactores!$P$5</f>
        <v>1937.1186348232595</v>
      </c>
      <c r="T78" s="56">
        <f>1067.36258416419*Deflactores!$Q$5</f>
        <v>1800.4547568097696</v>
      </c>
      <c r="U78" s="56">
        <f>1123.12554452276*Deflactores!$R$5</f>
        <v>1820.0760473129039</v>
      </c>
      <c r="V78" s="56">
        <f>968.907864216589*Deflactores!$S$5</f>
        <v>1521.7670861064466</v>
      </c>
    </row>
    <row r="79" spans="3:22" x14ac:dyDescent="0.2">
      <c r="C79" s="88" t="s">
        <v>150</v>
      </c>
      <c r="D79" s="57">
        <f>702.01381730529*Deflactores!$A$5</f>
        <v>2548.7026727794196</v>
      </c>
      <c r="E79" s="57">
        <f>1373.06638180853*Deflactores!$B$5</f>
        <v>4630.8195307148817</v>
      </c>
      <c r="F79" s="57">
        <f>1247.4656233438*Deflactores!$C$5</f>
        <v>3932.2783370398552</v>
      </c>
      <c r="G79" s="57">
        <f>916.490096626689*Deflactores!$D$5</f>
        <v>2712.8704805445595</v>
      </c>
      <c r="H79" s="57">
        <f>1123.21922522114*Deflactores!$E$5</f>
        <v>3151.5613999077809</v>
      </c>
      <c r="I79" s="57">
        <f>1451.19082690951*Deflactores!$F$5</f>
        <v>3883.2552594364179</v>
      </c>
      <c r="J79" s="57">
        <f>2186.62970227212*Deflactores!$G$5</f>
        <v>5600.4383643466699</v>
      </c>
      <c r="K79" s="57">
        <f>2790.25660309624*Deflactores!$H$5</f>
        <v>6761.4321473543423</v>
      </c>
      <c r="L79" s="57">
        <f>2278.7590363171*Deflactores!$I$5</f>
        <v>5128.3848489241718</v>
      </c>
      <c r="M79" s="57">
        <f>3356.08929555989*Deflactores!$J$5</f>
        <v>7404.7063865223472</v>
      </c>
      <c r="N79" s="57">
        <f>3462.36372206233*Deflactores!$K$5</f>
        <v>7404.3757203736504</v>
      </c>
      <c r="O79" s="57">
        <f>4715.7018796556*Deflactores!$L$5</f>
        <v>9722.3578460095414</v>
      </c>
      <c r="P79" s="57">
        <f>7302.37233020823*Deflactores!$M$5</f>
        <v>14696.694382353313</v>
      </c>
      <c r="Q79" s="57">
        <f>7870.85595220785*Deflactores!$N$5</f>
        <v>15539.356323180378</v>
      </c>
      <c r="R79" s="57">
        <f>6921.97566008769*Deflactores!$O$5</f>
        <v>13183.475741771725</v>
      </c>
      <c r="S79" s="57">
        <f>6469.63236206052*Deflactores!$P$5</f>
        <v>11540.648571160393</v>
      </c>
      <c r="T79" s="57">
        <f>5231.96920664025*Deflactores!$Q$5</f>
        <v>8825.4207008334015</v>
      </c>
      <c r="U79" s="57">
        <f>5573.50352266434*Deflactores!$R$5</f>
        <v>9032.1160538877648</v>
      </c>
      <c r="V79" s="57">
        <f>4461.96739629762*Deflactores!$S$5</f>
        <v>7007.9678096698253</v>
      </c>
    </row>
    <row r="80" spans="3:22" x14ac:dyDescent="0.2">
      <c r="C80" s="87" t="s">
        <v>151</v>
      </c>
      <c r="D80" s="56">
        <f>144.665488085*Deflactores!$A$5</f>
        <v>525.21660835179171</v>
      </c>
      <c r="E80" s="56">
        <f>168.7184571175*Deflactores!$B$5</f>
        <v>569.02181625239939</v>
      </c>
      <c r="F80" s="56">
        <f>137.165073188*Deflactores!$C$5</f>
        <v>432.37363483403072</v>
      </c>
      <c r="G80" s="56">
        <f>180.8746133005*Deflactores!$D$5</f>
        <v>535.40065616520212</v>
      </c>
      <c r="H80" s="56">
        <f>222.92307995768*Deflactores!$E$5</f>
        <v>625.48410690251535</v>
      </c>
      <c r="I80" s="56">
        <f>253.97432739284*Deflactores!$F$5</f>
        <v>679.61230482031624</v>
      </c>
      <c r="J80" s="56">
        <f>196.418069320079*Deflactores!$G$5</f>
        <v>503.06976518613976</v>
      </c>
      <c r="K80" s="56">
        <f>367.54313335697*Deflactores!$H$5</f>
        <v>890.64136777295732</v>
      </c>
      <c r="L80" s="56">
        <f>429.39915759823*Deflactores!$I$5</f>
        <v>966.36989645320693</v>
      </c>
      <c r="M80" s="56">
        <f>692.95606381532*Deflactores!$J$5</f>
        <v>1528.9033572799108</v>
      </c>
      <c r="N80" s="56">
        <f>619.85669036762*Deflactores!$K$5</f>
        <v>1325.583386581749</v>
      </c>
      <c r="O80" s="56">
        <f>806.44353048476*Deflactores!$L$5</f>
        <v>1662.64381974561</v>
      </c>
      <c r="P80" s="56">
        <f>1713.8504980374*Deflactores!$M$5</f>
        <v>3449.28139072052</v>
      </c>
      <c r="Q80" s="56">
        <f>2092.226253567*Deflactores!$N$5</f>
        <v>4130.6624667385095</v>
      </c>
      <c r="R80" s="56">
        <f>2185.42250531032*Deflactores!$O$5</f>
        <v>4162.3181009445498</v>
      </c>
      <c r="S80" s="56">
        <f>2280.40329289248*Deflactores!$P$5</f>
        <v>4067.8251144717624</v>
      </c>
      <c r="T80" s="56">
        <f>1485.76237457173*Deflactores!$Q$5</f>
        <v>2506.2223226434121</v>
      </c>
      <c r="U80" s="56">
        <f>1899.18062441549*Deflactores!$R$5</f>
        <v>3077.7086149244369</v>
      </c>
      <c r="V80" s="56">
        <f>1828.57377922835*Deflactores!$S$5</f>
        <v>2871.9587223052454</v>
      </c>
    </row>
    <row r="81" spans="3:22" x14ac:dyDescent="0.2">
      <c r="C81" s="79" t="s">
        <v>202</v>
      </c>
      <c r="D81" s="44">
        <f t="shared" ref="D81:V81" si="1">+SUM(D52:D80)</f>
        <v>22225.172368466789</v>
      </c>
      <c r="E81" s="44">
        <f t="shared" si="1"/>
        <v>35387.023275658619</v>
      </c>
      <c r="F81" s="44">
        <f t="shared" si="1"/>
        <v>28692.86787379178</v>
      </c>
      <c r="G81" s="44">
        <f t="shared" si="1"/>
        <v>25984.399487664101</v>
      </c>
      <c r="H81" s="44">
        <f t="shared" si="1"/>
        <v>29858.308769418545</v>
      </c>
      <c r="I81" s="44">
        <f t="shared" si="1"/>
        <v>31682.850654911603</v>
      </c>
      <c r="J81" s="44">
        <f t="shared" si="1"/>
        <v>35559.868933854079</v>
      </c>
      <c r="K81" s="44">
        <f t="shared" si="1"/>
        <v>44907.422593835043</v>
      </c>
      <c r="L81" s="44">
        <f t="shared" si="1"/>
        <v>48434.345755052942</v>
      </c>
      <c r="M81" s="44">
        <f t="shared" si="1"/>
        <v>64229.913134376533</v>
      </c>
      <c r="N81" s="44">
        <f t="shared" si="1"/>
        <v>51393.88078280857</v>
      </c>
      <c r="O81" s="44">
        <f t="shared" si="1"/>
        <v>64148.458664429119</v>
      </c>
      <c r="P81" s="44">
        <f t="shared" si="1"/>
        <v>72258.620652776037</v>
      </c>
      <c r="Q81" s="44">
        <f t="shared" si="1"/>
        <v>82053.909239144748</v>
      </c>
      <c r="R81" s="44">
        <f t="shared" si="1"/>
        <v>81339.235955492244</v>
      </c>
      <c r="S81" s="44">
        <f t="shared" si="1"/>
        <v>79563.955234744542</v>
      </c>
      <c r="T81" s="44">
        <f t="shared" si="1"/>
        <v>67351.102661493278</v>
      </c>
      <c r="U81" s="44">
        <f t="shared" si="1"/>
        <v>64232.161523412964</v>
      </c>
      <c r="V81" s="44">
        <f t="shared" si="1"/>
        <v>58777.479066270898</v>
      </c>
    </row>
    <row r="82" spans="3:22" x14ac:dyDescent="0.2">
      <c r="C82" s="1" t="s">
        <v>52</v>
      </c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</row>
    <row r="83" spans="3:22" x14ac:dyDescent="0.2"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</row>
    <row r="84" spans="3:22" x14ac:dyDescent="0.2"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</row>
    <row r="85" spans="3:22" x14ac:dyDescent="0.2"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</row>
    <row r="86" spans="3:22" ht="15" customHeight="1" x14ac:dyDescent="0.2">
      <c r="C86" s="9"/>
      <c r="D86" s="160" t="s">
        <v>204</v>
      </c>
      <c r="E86" s="158"/>
      <c r="F86" s="158"/>
      <c r="G86" s="158"/>
      <c r="H86" s="158"/>
      <c r="I86" s="158"/>
      <c r="J86" s="158"/>
      <c r="K86" s="158"/>
      <c r="L86" s="158"/>
      <c r="M86" s="158"/>
      <c r="N86" s="158"/>
      <c r="O86" s="158"/>
      <c r="P86" s="158"/>
      <c r="Q86" s="158"/>
      <c r="R86" s="158"/>
      <c r="S86" s="158"/>
      <c r="T86" s="158"/>
      <c r="U86" s="158"/>
      <c r="V86" s="158"/>
    </row>
    <row r="87" spans="3:22" ht="11.25" hidden="1" customHeight="1" x14ac:dyDescent="0.2">
      <c r="H87" s="27"/>
      <c r="I87" s="27"/>
      <c r="J87" s="27"/>
      <c r="L87" s="175"/>
      <c r="M87" s="158"/>
      <c r="N87" s="158"/>
      <c r="O87" s="158"/>
      <c r="P87" s="158"/>
      <c r="Q87" s="158"/>
      <c r="R87" s="28"/>
      <c r="S87" s="28"/>
      <c r="T87" s="28"/>
      <c r="U87" s="28"/>
      <c r="V87" s="28"/>
    </row>
    <row r="88" spans="3:22" x14ac:dyDescent="0.2"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</row>
    <row r="89" spans="3:22" ht="12" thickBot="1" x14ac:dyDescent="0.25">
      <c r="C89" s="177" t="s">
        <v>120</v>
      </c>
      <c r="D89" s="153">
        <v>2000</v>
      </c>
      <c r="E89" s="153">
        <v>2001</v>
      </c>
      <c r="F89" s="153">
        <v>2002</v>
      </c>
      <c r="G89" s="153">
        <v>2003</v>
      </c>
      <c r="H89" s="153">
        <v>2004</v>
      </c>
      <c r="I89" s="153">
        <v>2005</v>
      </c>
      <c r="J89" s="153">
        <v>2006</v>
      </c>
      <c r="K89" s="153">
        <v>2007</v>
      </c>
      <c r="L89" s="153">
        <v>2008</v>
      </c>
      <c r="M89" s="153">
        <v>2009</v>
      </c>
      <c r="N89" s="153">
        <v>2010</v>
      </c>
      <c r="O89" s="153">
        <v>2011</v>
      </c>
      <c r="P89" s="153">
        <v>2012</v>
      </c>
      <c r="Q89" s="153">
        <v>2013</v>
      </c>
      <c r="R89" s="153">
        <v>2014</v>
      </c>
      <c r="S89" s="153">
        <v>2015</v>
      </c>
      <c r="T89" s="153">
        <v>2016</v>
      </c>
      <c r="U89" s="153">
        <v>2017</v>
      </c>
      <c r="V89" s="153">
        <v>2018</v>
      </c>
    </row>
    <row r="90" spans="3:22" ht="12" customHeight="1" thickBot="1" x14ac:dyDescent="0.25">
      <c r="C90" s="156"/>
      <c r="D90" s="154"/>
      <c r="E90" s="154"/>
      <c r="F90" s="154"/>
      <c r="G90" s="154"/>
      <c r="H90" s="154"/>
      <c r="I90" s="154"/>
      <c r="J90" s="154"/>
      <c r="K90" s="154"/>
      <c r="L90" s="154"/>
      <c r="M90" s="154"/>
      <c r="N90" s="154"/>
      <c r="O90" s="154"/>
      <c r="P90" s="154"/>
      <c r="Q90" s="154"/>
      <c r="R90" s="154"/>
      <c r="S90" s="154"/>
      <c r="T90" s="154"/>
      <c r="U90" s="154"/>
      <c r="V90" s="154"/>
    </row>
    <row r="91" spans="3:22" x14ac:dyDescent="0.2">
      <c r="C91" s="87" t="s">
        <v>123</v>
      </c>
      <c r="D91" s="60">
        <f t="shared" ref="D91:V91" si="2">+IFERROR(IF(D52&gt;0,+((D52/D13)*100)," "),"")</f>
        <v>81.741481279207846</v>
      </c>
      <c r="E91" s="60">
        <f t="shared" si="2"/>
        <v>95.251202388566966</v>
      </c>
      <c r="F91" s="60">
        <f t="shared" si="2"/>
        <v>85.768151763558663</v>
      </c>
      <c r="G91" s="60">
        <f t="shared" si="2"/>
        <v>99.098643220375877</v>
      </c>
      <c r="H91" s="60">
        <f t="shared" si="2"/>
        <v>97.796966305873482</v>
      </c>
      <c r="I91" s="60">
        <f t="shared" si="2"/>
        <v>98.513812206769671</v>
      </c>
      <c r="J91" s="60">
        <f t="shared" si="2"/>
        <v>98.561719492430072</v>
      </c>
      <c r="K91" s="60">
        <f t="shared" si="2"/>
        <v>99.169458489706003</v>
      </c>
      <c r="L91" s="60">
        <f t="shared" si="2"/>
        <v>99.490188933112748</v>
      </c>
      <c r="M91" s="60">
        <f t="shared" si="2"/>
        <v>91.575614371645358</v>
      </c>
      <c r="N91" s="60">
        <f t="shared" si="2"/>
        <v>91.119811856225112</v>
      </c>
      <c r="O91" s="60">
        <f t="shared" si="2"/>
        <v>96.060657308492253</v>
      </c>
      <c r="P91" s="60">
        <f t="shared" si="2"/>
        <v>94.460669398361915</v>
      </c>
      <c r="Q91" s="60">
        <f t="shared" si="2"/>
        <v>93.704495308374888</v>
      </c>
      <c r="R91" s="60">
        <f t="shared" si="2"/>
        <v>95.418249483014947</v>
      </c>
      <c r="S91" s="60">
        <f t="shared" si="2"/>
        <v>96.096519495772952</v>
      </c>
      <c r="T91" s="60">
        <f t="shared" si="2"/>
        <v>93.487116961366809</v>
      </c>
      <c r="U91" s="60">
        <f t="shared" si="2"/>
        <v>96.797142313470218</v>
      </c>
      <c r="V91" s="60">
        <f t="shared" si="2"/>
        <v>89.530077982726482</v>
      </c>
    </row>
    <row r="92" spans="3:22" x14ac:dyDescent="0.2">
      <c r="C92" s="88" t="s">
        <v>124</v>
      </c>
      <c r="D92" s="62">
        <f t="shared" ref="D92:V92" si="3">+IFERROR(IF(D53&gt;0,+((D53/D14)*100)," "),"")</f>
        <v>56.267134061343107</v>
      </c>
      <c r="E92" s="62">
        <f t="shared" si="3"/>
        <v>89.386690927339487</v>
      </c>
      <c r="F92" s="62">
        <f t="shared" si="3"/>
        <v>80.251016114681121</v>
      </c>
      <c r="G92" s="62">
        <f t="shared" si="3"/>
        <v>97.073985160352123</v>
      </c>
      <c r="H92" s="62">
        <f t="shared" si="3"/>
        <v>97.325459769709795</v>
      </c>
      <c r="I92" s="62">
        <f t="shared" si="3"/>
        <v>97.334635915831285</v>
      </c>
      <c r="J92" s="62">
        <f t="shared" si="3"/>
        <v>98.266567254964286</v>
      </c>
      <c r="K92" s="62">
        <f t="shared" si="3"/>
        <v>98.088009206276666</v>
      </c>
      <c r="L92" s="62">
        <f t="shared" si="3"/>
        <v>95.318588477013776</v>
      </c>
      <c r="M92" s="62">
        <f t="shared" si="3"/>
        <v>94.739410840656788</v>
      </c>
      <c r="N92" s="62">
        <f t="shared" si="3"/>
        <v>89.644994811697543</v>
      </c>
      <c r="O92" s="62">
        <f t="shared" si="3"/>
        <v>95.045637195226647</v>
      </c>
      <c r="P92" s="62">
        <f t="shared" si="3"/>
        <v>90.443843720612875</v>
      </c>
      <c r="Q92" s="62">
        <f t="shared" si="3"/>
        <v>87.067247909754343</v>
      </c>
      <c r="R92" s="62">
        <f t="shared" si="3"/>
        <v>92.853728469718178</v>
      </c>
      <c r="S92" s="62">
        <f t="shared" si="3"/>
        <v>65.864843247388421</v>
      </c>
      <c r="T92" s="62">
        <f t="shared" si="3"/>
        <v>94.260264680429856</v>
      </c>
      <c r="U92" s="62">
        <f t="shared" si="3"/>
        <v>95.595765027278659</v>
      </c>
      <c r="V92" s="62">
        <f t="shared" si="3"/>
        <v>97.954636246440202</v>
      </c>
    </row>
    <row r="93" spans="3:22" x14ac:dyDescent="0.2">
      <c r="C93" s="87" t="s">
        <v>125</v>
      </c>
      <c r="D93" s="60">
        <f t="shared" ref="D93:V93" si="4">+IFERROR(IF(D54&gt;0,+((D54/D15)*100)," "),"")</f>
        <v>79.061366541040783</v>
      </c>
      <c r="E93" s="60">
        <f t="shared" si="4"/>
        <v>99.936455155361415</v>
      </c>
      <c r="F93" s="60">
        <f t="shared" si="4"/>
        <v>91.611457768206037</v>
      </c>
      <c r="G93" s="60">
        <f t="shared" si="4"/>
        <v>99.845668255802806</v>
      </c>
      <c r="H93" s="60">
        <f t="shared" si="4"/>
        <v>99.997410537776616</v>
      </c>
      <c r="I93" s="60">
        <f t="shared" si="4"/>
        <v>99.865345412431552</v>
      </c>
      <c r="J93" s="60">
        <f t="shared" si="4"/>
        <v>99.627721468689401</v>
      </c>
      <c r="K93" s="60">
        <f t="shared" si="4"/>
        <v>97.958715439563761</v>
      </c>
      <c r="L93" s="60">
        <f t="shared" si="4"/>
        <v>98.842291842336905</v>
      </c>
      <c r="M93" s="60">
        <f t="shared" si="4"/>
        <v>87.297835701853543</v>
      </c>
      <c r="N93" s="60">
        <f t="shared" si="4"/>
        <v>98.728726735528824</v>
      </c>
      <c r="O93" s="60">
        <f t="shared" si="4"/>
        <v>96.893782597576475</v>
      </c>
      <c r="P93" s="60">
        <f t="shared" si="4"/>
        <v>96.831623104969125</v>
      </c>
      <c r="Q93" s="60">
        <f t="shared" si="4"/>
        <v>98.911474162748064</v>
      </c>
      <c r="R93" s="60">
        <f t="shared" si="4"/>
        <v>99.501530553938181</v>
      </c>
      <c r="S93" s="60">
        <f t="shared" si="4"/>
        <v>99.545563452982975</v>
      </c>
      <c r="T93" s="60">
        <f t="shared" si="4"/>
        <v>99.899632305461651</v>
      </c>
      <c r="U93" s="60">
        <f t="shared" si="4"/>
        <v>99.939707188785704</v>
      </c>
      <c r="V93" s="60">
        <f t="shared" si="4"/>
        <v>99.062791312966525</v>
      </c>
    </row>
    <row r="94" spans="3:22" x14ac:dyDescent="0.2">
      <c r="C94" s="88" t="s">
        <v>126</v>
      </c>
      <c r="D94" s="62">
        <f t="shared" ref="D94:V94" si="5">+IFERROR(IF(D55&gt;0,+((D55/D16)*100)," "),"")</f>
        <v>56.400055666634962</v>
      </c>
      <c r="E94" s="62">
        <f t="shared" si="5"/>
        <v>88.371437847389885</v>
      </c>
      <c r="F94" s="62">
        <f t="shared" si="5"/>
        <v>76.329671316457976</v>
      </c>
      <c r="G94" s="62">
        <f t="shared" si="5"/>
        <v>99.756551903564301</v>
      </c>
      <c r="H94" s="62">
        <f t="shared" si="5"/>
        <v>92.047977941225952</v>
      </c>
      <c r="I94" s="62">
        <f t="shared" si="5"/>
        <v>92.641526230071022</v>
      </c>
      <c r="J94" s="62">
        <f t="shared" si="5"/>
        <v>91.972478765184334</v>
      </c>
      <c r="K94" s="62">
        <f t="shared" si="5"/>
        <v>94.495845202816426</v>
      </c>
      <c r="L94" s="62">
        <f t="shared" si="5"/>
        <v>97.112734349871175</v>
      </c>
      <c r="M94" s="62">
        <f t="shared" si="5"/>
        <v>89.703577956469559</v>
      </c>
      <c r="N94" s="62">
        <f t="shared" si="5"/>
        <v>93.986964405423947</v>
      </c>
      <c r="O94" s="62">
        <f t="shared" si="5"/>
        <v>96.087335279577985</v>
      </c>
      <c r="P94" s="62">
        <f t="shared" si="5"/>
        <v>98.057211942357171</v>
      </c>
      <c r="Q94" s="62">
        <f t="shared" si="5"/>
        <v>97.613998720264803</v>
      </c>
      <c r="R94" s="62">
        <f t="shared" si="5"/>
        <v>98.526156084687642</v>
      </c>
      <c r="S94" s="62">
        <f t="shared" si="5"/>
        <v>96.926641140390842</v>
      </c>
      <c r="T94" s="62">
        <f t="shared" si="5"/>
        <v>98.503087626128547</v>
      </c>
      <c r="U94" s="62">
        <f t="shared" si="5"/>
        <v>98.916846357246371</v>
      </c>
      <c r="V94" s="62">
        <f t="shared" si="5"/>
        <v>98.04347686004833</v>
      </c>
    </row>
    <row r="95" spans="3:22" x14ac:dyDescent="0.2">
      <c r="C95" s="87" t="s">
        <v>127</v>
      </c>
      <c r="D95" s="60" t="str">
        <f t="shared" ref="D95:V95" si="6">+IFERROR(IF(D56&gt;0,+((D56/D17)*100)," "),"")</f>
        <v xml:space="preserve"> </v>
      </c>
      <c r="E95" s="60">
        <f t="shared" si="6"/>
        <v>86.275959820053004</v>
      </c>
      <c r="F95" s="60" t="str">
        <f t="shared" si="6"/>
        <v xml:space="preserve"> </v>
      </c>
      <c r="G95" s="60">
        <f t="shared" si="6"/>
        <v>88.085089411764699</v>
      </c>
      <c r="H95" s="60" t="str">
        <f t="shared" si="6"/>
        <v xml:space="preserve"> </v>
      </c>
      <c r="I95" s="60">
        <f t="shared" si="6"/>
        <v>93.504525142857148</v>
      </c>
      <c r="J95" s="60">
        <f t="shared" si="6"/>
        <v>99.179170724705884</v>
      </c>
      <c r="K95" s="60">
        <f t="shared" si="6"/>
        <v>99.880070805755409</v>
      </c>
      <c r="L95" s="60">
        <f t="shared" si="6"/>
        <v>92.445057314136108</v>
      </c>
      <c r="M95" s="60">
        <f t="shared" si="6"/>
        <v>51.310286938032782</v>
      </c>
      <c r="N95" s="60">
        <f t="shared" si="6"/>
        <v>81.089578230025012</v>
      </c>
      <c r="O95" s="60">
        <f t="shared" si="6"/>
        <v>50.102299923999993</v>
      </c>
      <c r="P95" s="60">
        <f t="shared" si="6"/>
        <v>21.117925840680694</v>
      </c>
      <c r="Q95" s="60">
        <f t="shared" si="6"/>
        <v>61.527879768864246</v>
      </c>
      <c r="R95" s="60">
        <f t="shared" si="6"/>
        <v>88.509262768303714</v>
      </c>
      <c r="S95" s="60">
        <f t="shared" si="6"/>
        <v>97.20887210326535</v>
      </c>
      <c r="T95" s="60">
        <f t="shared" si="6"/>
        <v>99.405504612837518</v>
      </c>
      <c r="U95" s="60">
        <f t="shared" si="6"/>
        <v>97.590751183191372</v>
      </c>
      <c r="V95" s="60">
        <f t="shared" si="6"/>
        <v>98.646078351136751</v>
      </c>
    </row>
    <row r="96" spans="3:22" x14ac:dyDescent="0.2">
      <c r="C96" s="88" t="s">
        <v>128</v>
      </c>
      <c r="D96" s="62">
        <f t="shared" ref="D96:V96" si="7">+IFERROR(IF(D57&gt;0,+((D57/D18)*100)," "),"")</f>
        <v>47.218393279468764</v>
      </c>
      <c r="E96" s="62">
        <f t="shared" si="7"/>
        <v>99.862867662857994</v>
      </c>
      <c r="F96" s="62">
        <f t="shared" si="7"/>
        <v>70.27618052699809</v>
      </c>
      <c r="G96" s="62">
        <f t="shared" si="7"/>
        <v>99.961099434271659</v>
      </c>
      <c r="H96" s="62">
        <f t="shared" si="7"/>
        <v>99.896876673269773</v>
      </c>
      <c r="I96" s="62">
        <f t="shared" si="7"/>
        <v>99.904049661176046</v>
      </c>
      <c r="J96" s="62">
        <f t="shared" si="7"/>
        <v>92.137742864320614</v>
      </c>
      <c r="K96" s="62">
        <f t="shared" si="7"/>
        <v>84.53212988075461</v>
      </c>
      <c r="L96" s="62">
        <f t="shared" si="7"/>
        <v>98.835783438412903</v>
      </c>
      <c r="M96" s="62">
        <f t="shared" si="7"/>
        <v>85.677519938077168</v>
      </c>
      <c r="N96" s="62">
        <f t="shared" si="7"/>
        <v>99.364532131952302</v>
      </c>
      <c r="O96" s="62">
        <f t="shared" si="7"/>
        <v>95.583611580668205</v>
      </c>
      <c r="P96" s="62">
        <f t="shared" si="7"/>
        <v>99.38903716220446</v>
      </c>
      <c r="Q96" s="62">
        <f t="shared" si="7"/>
        <v>99.117043061941217</v>
      </c>
      <c r="R96" s="62">
        <f t="shared" si="7"/>
        <v>99.723129192564556</v>
      </c>
      <c r="S96" s="62">
        <f t="shared" si="7"/>
        <v>99.653160698196061</v>
      </c>
      <c r="T96" s="62">
        <f t="shared" si="7"/>
        <v>99.112346216238592</v>
      </c>
      <c r="U96" s="62">
        <f t="shared" si="7"/>
        <v>99.841930114921908</v>
      </c>
      <c r="V96" s="62">
        <f t="shared" si="7"/>
        <v>99.055895771724323</v>
      </c>
    </row>
    <row r="97" spans="3:22" x14ac:dyDescent="0.2">
      <c r="C97" s="87" t="s">
        <v>129</v>
      </c>
      <c r="D97" s="60">
        <f t="shared" ref="D97:V97" si="8">+IFERROR(IF(D58&gt;0,+((D58/D19)*100)," "),"")</f>
        <v>93.596184607594253</v>
      </c>
      <c r="E97" s="60">
        <f t="shared" si="8"/>
        <v>97.601176641040723</v>
      </c>
      <c r="F97" s="60">
        <f t="shared" si="8"/>
        <v>85.198913616780686</v>
      </c>
      <c r="G97" s="60">
        <f t="shared" si="8"/>
        <v>99.080177251624008</v>
      </c>
      <c r="H97" s="60">
        <f t="shared" si="8"/>
        <v>97.114913034598317</v>
      </c>
      <c r="I97" s="60">
        <f t="shared" si="8"/>
        <v>99.524297400724208</v>
      </c>
      <c r="J97" s="60">
        <f t="shared" si="8"/>
        <v>99.568478273498627</v>
      </c>
      <c r="K97" s="60">
        <f t="shared" si="8"/>
        <v>99.145645454086335</v>
      </c>
      <c r="L97" s="60">
        <f t="shared" si="8"/>
        <v>99.736140720805494</v>
      </c>
      <c r="M97" s="60">
        <f t="shared" si="8"/>
        <v>92.857962549133106</v>
      </c>
      <c r="N97" s="60">
        <f t="shared" si="8"/>
        <v>92.066885031342011</v>
      </c>
      <c r="O97" s="60">
        <f t="shared" si="8"/>
        <v>95.483098252125913</v>
      </c>
      <c r="P97" s="60">
        <f t="shared" si="8"/>
        <v>99.249063295835427</v>
      </c>
      <c r="Q97" s="60">
        <f t="shared" si="8"/>
        <v>99.039010107149878</v>
      </c>
      <c r="R97" s="60">
        <f t="shared" si="8"/>
        <v>99.36373228355086</v>
      </c>
      <c r="S97" s="60">
        <f t="shared" si="8"/>
        <v>98.792402731933961</v>
      </c>
      <c r="T97" s="60">
        <f t="shared" si="8"/>
        <v>98.317723864613058</v>
      </c>
      <c r="U97" s="60">
        <f t="shared" si="8"/>
        <v>99.59749367897264</v>
      </c>
      <c r="V97" s="60">
        <f t="shared" si="8"/>
        <v>99.043905455500408</v>
      </c>
    </row>
    <row r="98" spans="3:22" x14ac:dyDescent="0.2">
      <c r="C98" s="88" t="s">
        <v>130</v>
      </c>
      <c r="D98" s="62">
        <f t="shared" ref="D98:V98" si="9">+IFERROR(IF(D59&gt;0,+((D59/D20)*100)," "),"")</f>
        <v>83.948572674793098</v>
      </c>
      <c r="E98" s="62">
        <f t="shared" si="9"/>
        <v>98.804781476094547</v>
      </c>
      <c r="F98" s="62">
        <f t="shared" si="9"/>
        <v>88.775095128870319</v>
      </c>
      <c r="G98" s="62">
        <f t="shared" si="9"/>
        <v>96.249317951000251</v>
      </c>
      <c r="H98" s="62">
        <f t="shared" si="9"/>
        <v>99.25868760739894</v>
      </c>
      <c r="I98" s="62">
        <f t="shared" si="9"/>
        <v>99.40342697107431</v>
      </c>
      <c r="J98" s="62">
        <f t="shared" si="9"/>
        <v>97.46451519403449</v>
      </c>
      <c r="K98" s="62">
        <f t="shared" si="9"/>
        <v>96.57056611447824</v>
      </c>
      <c r="L98" s="62">
        <f t="shared" si="9"/>
        <v>98.463305688096597</v>
      </c>
      <c r="M98" s="62">
        <f t="shared" si="9"/>
        <v>93.08596604025972</v>
      </c>
      <c r="N98" s="62">
        <f t="shared" si="9"/>
        <v>98.255010683988914</v>
      </c>
      <c r="O98" s="62">
        <f t="shared" si="9"/>
        <v>99.377527885354894</v>
      </c>
      <c r="P98" s="62">
        <f t="shared" si="9"/>
        <v>94.143725387640885</v>
      </c>
      <c r="Q98" s="62">
        <f t="shared" si="9"/>
        <v>95.051529652547359</v>
      </c>
      <c r="R98" s="62">
        <f t="shared" si="9"/>
        <v>95.509726926351391</v>
      </c>
      <c r="S98" s="62">
        <f t="shared" si="9"/>
        <v>98.230277215616155</v>
      </c>
      <c r="T98" s="62">
        <f t="shared" si="9"/>
        <v>98.887004591858982</v>
      </c>
      <c r="U98" s="62">
        <f t="shared" si="9"/>
        <v>98.732996833185595</v>
      </c>
      <c r="V98" s="62">
        <f t="shared" si="9"/>
        <v>99.334745993127726</v>
      </c>
    </row>
    <row r="99" spans="3:22" x14ac:dyDescent="0.2">
      <c r="C99" s="87" t="s">
        <v>131</v>
      </c>
      <c r="D99" s="60">
        <f t="shared" ref="D99:V99" si="10">+IFERROR(IF(D60&gt;0,+((D60/D21)*100)," "),"")</f>
        <v>90.311226815294262</v>
      </c>
      <c r="E99" s="60">
        <f t="shared" si="10"/>
        <v>88.044971511227615</v>
      </c>
      <c r="F99" s="60">
        <f t="shared" si="10"/>
        <v>90.645421560357278</v>
      </c>
      <c r="G99" s="60">
        <f t="shared" si="10"/>
        <v>98.642161883947892</v>
      </c>
      <c r="H99" s="60">
        <f t="shared" si="10"/>
        <v>97.222269041135817</v>
      </c>
      <c r="I99" s="60">
        <f t="shared" si="10"/>
        <v>98.870971359710765</v>
      </c>
      <c r="J99" s="60">
        <f t="shared" si="10"/>
        <v>79.817059389533597</v>
      </c>
      <c r="K99" s="60">
        <f t="shared" si="10"/>
        <v>98.49763181557519</v>
      </c>
      <c r="L99" s="60">
        <f t="shared" si="10"/>
        <v>95.102063657005729</v>
      </c>
      <c r="M99" s="60">
        <f t="shared" si="10"/>
        <v>93.602256969740296</v>
      </c>
      <c r="N99" s="60">
        <f t="shared" si="10"/>
        <v>92.896966070172056</v>
      </c>
      <c r="O99" s="60">
        <f t="shared" si="10"/>
        <v>98.11052790351593</v>
      </c>
      <c r="P99" s="60">
        <f t="shared" si="10"/>
        <v>90.072492302769888</v>
      </c>
      <c r="Q99" s="60">
        <f t="shared" si="10"/>
        <v>94.668092333592142</v>
      </c>
      <c r="R99" s="60">
        <f t="shared" si="10"/>
        <v>99.539637084152275</v>
      </c>
      <c r="S99" s="60">
        <f t="shared" si="10"/>
        <v>99.692453954514974</v>
      </c>
      <c r="T99" s="60">
        <f t="shared" si="10"/>
        <v>99.247954405361241</v>
      </c>
      <c r="U99" s="60">
        <f t="shared" si="10"/>
        <v>99.267355755871861</v>
      </c>
      <c r="V99" s="60">
        <f t="shared" si="10"/>
        <v>99.912900345043511</v>
      </c>
    </row>
    <row r="100" spans="3:22" x14ac:dyDescent="0.2">
      <c r="C100" s="88" t="s">
        <v>132</v>
      </c>
      <c r="D100" s="62">
        <f t="shared" ref="D100:V100" si="11">+IFERROR(IF(D61&gt;0,+((D61/D22)*100)," "),"")</f>
        <v>94.126181160700881</v>
      </c>
      <c r="E100" s="62">
        <f t="shared" si="11"/>
        <v>67.44072604839053</v>
      </c>
      <c r="F100" s="62">
        <f t="shared" si="11"/>
        <v>72.044725899927869</v>
      </c>
      <c r="G100" s="62">
        <f t="shared" si="11"/>
        <v>97.794902315915834</v>
      </c>
      <c r="H100" s="62">
        <f t="shared" si="11"/>
        <v>88.685011255378001</v>
      </c>
      <c r="I100" s="62">
        <f t="shared" si="11"/>
        <v>96.335394983348763</v>
      </c>
      <c r="J100" s="62">
        <f t="shared" si="11"/>
        <v>93.313944103445522</v>
      </c>
      <c r="K100" s="62">
        <f t="shared" si="11"/>
        <v>42.09077815071803</v>
      </c>
      <c r="L100" s="62">
        <f t="shared" si="11"/>
        <v>64.528206304795162</v>
      </c>
      <c r="M100" s="62">
        <f t="shared" si="11"/>
        <v>92.045862169953622</v>
      </c>
      <c r="N100" s="62">
        <f t="shared" si="11"/>
        <v>75.233900664177028</v>
      </c>
      <c r="O100" s="62">
        <f t="shared" si="11"/>
        <v>73.418648102604806</v>
      </c>
      <c r="P100" s="62">
        <f t="shared" si="11"/>
        <v>76.068981496784204</v>
      </c>
      <c r="Q100" s="62">
        <f t="shared" si="11"/>
        <v>87.327356606307617</v>
      </c>
      <c r="R100" s="62">
        <f t="shared" si="11"/>
        <v>80.948613776041427</v>
      </c>
      <c r="S100" s="62">
        <f t="shared" si="11"/>
        <v>84.781427383647852</v>
      </c>
      <c r="T100" s="62">
        <f t="shared" si="11"/>
        <v>96.088885529269191</v>
      </c>
      <c r="U100" s="62">
        <f t="shared" si="11"/>
        <v>96.672725213384666</v>
      </c>
      <c r="V100" s="62">
        <f t="shared" si="11"/>
        <v>95.127608095883659</v>
      </c>
    </row>
    <row r="101" spans="3:22" x14ac:dyDescent="0.2">
      <c r="C101" s="87" t="s">
        <v>133</v>
      </c>
      <c r="D101" s="60">
        <f t="shared" ref="D101:V101" si="12">+IFERROR(IF(D62&gt;0,+((D62/D23)*100)," "),"")</f>
        <v>67.232714102531617</v>
      </c>
      <c r="E101" s="60">
        <f t="shared" si="12"/>
        <v>82.200445175163566</v>
      </c>
      <c r="F101" s="60">
        <f t="shared" si="12"/>
        <v>62.98455957578436</v>
      </c>
      <c r="G101" s="60">
        <f t="shared" si="12"/>
        <v>96.368893120620569</v>
      </c>
      <c r="H101" s="60">
        <f t="shared" si="12"/>
        <v>97.816628159804594</v>
      </c>
      <c r="I101" s="60">
        <f t="shared" si="12"/>
        <v>99.522485022445821</v>
      </c>
      <c r="J101" s="60">
        <f t="shared" si="12"/>
        <v>99.693797404457399</v>
      </c>
      <c r="K101" s="60">
        <f t="shared" si="12"/>
        <v>96.889480795177391</v>
      </c>
      <c r="L101" s="60">
        <f t="shared" si="12"/>
        <v>81.954352580383883</v>
      </c>
      <c r="M101" s="60">
        <f t="shared" si="12"/>
        <v>87.821367197822042</v>
      </c>
      <c r="N101" s="60">
        <f t="shared" si="12"/>
        <v>78.048852960700316</v>
      </c>
      <c r="O101" s="60">
        <f t="shared" si="12"/>
        <v>91.685398847906526</v>
      </c>
      <c r="P101" s="60">
        <f t="shared" si="12"/>
        <v>91.744545760779019</v>
      </c>
      <c r="Q101" s="60">
        <f t="shared" si="12"/>
        <v>96.580331005847157</v>
      </c>
      <c r="R101" s="60">
        <f t="shared" si="12"/>
        <v>93.086693063800013</v>
      </c>
      <c r="S101" s="60">
        <f t="shared" si="12"/>
        <v>79.026145775141373</v>
      </c>
      <c r="T101" s="60">
        <f t="shared" si="12"/>
        <v>92.303509794149065</v>
      </c>
      <c r="U101" s="60">
        <f t="shared" si="12"/>
        <v>98.825319411605363</v>
      </c>
      <c r="V101" s="60">
        <f t="shared" si="12"/>
        <v>97.232628894150253</v>
      </c>
    </row>
    <row r="102" spans="3:22" x14ac:dyDescent="0.2">
      <c r="C102" s="88" t="s">
        <v>134</v>
      </c>
      <c r="D102" s="62">
        <f t="shared" ref="D102:V102" si="13">+IFERROR(IF(D63&gt;0,+((D63/D24)*100)," "),"")</f>
        <v>98.645564056052564</v>
      </c>
      <c r="E102" s="62">
        <f t="shared" si="13"/>
        <v>97.469825302953979</v>
      </c>
      <c r="F102" s="62">
        <f t="shared" si="13"/>
        <v>86.508211969965416</v>
      </c>
      <c r="G102" s="62">
        <f t="shared" si="13"/>
        <v>99.587280928501372</v>
      </c>
      <c r="H102" s="62">
        <f t="shared" si="13"/>
        <v>92.350050122564923</v>
      </c>
      <c r="I102" s="62">
        <f t="shared" si="13"/>
        <v>85.706255484020716</v>
      </c>
      <c r="J102" s="62">
        <f t="shared" si="13"/>
        <v>98.490002215255799</v>
      </c>
      <c r="K102" s="62">
        <f t="shared" si="13"/>
        <v>82.956003195929412</v>
      </c>
      <c r="L102" s="62">
        <f t="shared" si="13"/>
        <v>90.283393433802743</v>
      </c>
      <c r="M102" s="62">
        <f t="shared" si="13"/>
        <v>94.641011532055614</v>
      </c>
      <c r="N102" s="62">
        <f t="shared" si="13"/>
        <v>96.460845273252886</v>
      </c>
      <c r="O102" s="62">
        <f t="shared" si="13"/>
        <v>94.570708646297476</v>
      </c>
      <c r="P102" s="62">
        <f t="shared" si="13"/>
        <v>83.175310756138515</v>
      </c>
      <c r="Q102" s="62">
        <f t="shared" si="13"/>
        <v>70.89158002463293</v>
      </c>
      <c r="R102" s="62">
        <f t="shared" si="13"/>
        <v>69.581519787381467</v>
      </c>
      <c r="S102" s="62">
        <f t="shared" si="13"/>
        <v>84.002733127085619</v>
      </c>
      <c r="T102" s="62">
        <f t="shared" si="13"/>
        <v>69.251710626006542</v>
      </c>
      <c r="U102" s="62">
        <f t="shared" si="13"/>
        <v>94.914174890629994</v>
      </c>
      <c r="V102" s="62">
        <f t="shared" si="13"/>
        <v>88.407581582142214</v>
      </c>
    </row>
    <row r="103" spans="3:22" x14ac:dyDescent="0.2">
      <c r="C103" s="87" t="s">
        <v>135</v>
      </c>
      <c r="D103" s="60" t="str">
        <f t="shared" ref="D103:V103" si="14">+IFERROR(IF(D64&gt;0,+((D64/D25)*100)," "),"")</f>
        <v xml:space="preserve"> </v>
      </c>
      <c r="E103" s="60" t="str">
        <f t="shared" si="14"/>
        <v xml:space="preserve"> </v>
      </c>
      <c r="F103" s="60" t="str">
        <f t="shared" si="14"/>
        <v xml:space="preserve"> </v>
      </c>
      <c r="G103" s="60" t="str">
        <f t="shared" si="14"/>
        <v xml:space="preserve"> </v>
      </c>
      <c r="H103" s="60" t="str">
        <f t="shared" si="14"/>
        <v xml:space="preserve"> </v>
      </c>
      <c r="I103" s="60" t="str">
        <f t="shared" si="14"/>
        <v xml:space="preserve"> </v>
      </c>
      <c r="J103" s="60" t="str">
        <f t="shared" si="14"/>
        <v xml:space="preserve"> </v>
      </c>
      <c r="K103" s="60" t="str">
        <f t="shared" si="14"/>
        <v xml:space="preserve"> </v>
      </c>
      <c r="L103" s="60" t="str">
        <f t="shared" si="14"/>
        <v xml:space="preserve"> </v>
      </c>
      <c r="M103" s="60" t="str">
        <f t="shared" si="14"/>
        <v xml:space="preserve"> </v>
      </c>
      <c r="N103" s="60" t="str">
        <f t="shared" si="14"/>
        <v xml:space="preserve"> </v>
      </c>
      <c r="O103" s="60" t="str">
        <f t="shared" si="14"/>
        <v xml:space="preserve"> </v>
      </c>
      <c r="P103" s="60" t="str">
        <f t="shared" si="14"/>
        <v xml:space="preserve"> </v>
      </c>
      <c r="Q103" s="60" t="str">
        <f t="shared" si="14"/>
        <v xml:space="preserve"> </v>
      </c>
      <c r="R103" s="60" t="str">
        <f t="shared" si="14"/>
        <v xml:space="preserve"> </v>
      </c>
      <c r="S103" s="60" t="str">
        <f t="shared" si="14"/>
        <v xml:space="preserve"> </v>
      </c>
      <c r="T103" s="60" t="str">
        <f t="shared" si="14"/>
        <v xml:space="preserve"> </v>
      </c>
      <c r="U103" s="60" t="str">
        <f t="shared" si="14"/>
        <v xml:space="preserve"> </v>
      </c>
      <c r="V103" s="60" t="str">
        <f t="shared" si="14"/>
        <v xml:space="preserve"> </v>
      </c>
    </row>
    <row r="104" spans="3:22" x14ac:dyDescent="0.2">
      <c r="C104" s="88" t="s">
        <v>136</v>
      </c>
      <c r="D104" s="62">
        <f t="shared" ref="D104:V104" si="15">+IFERROR(IF(D65&gt;0,+((D65/D26)*100)," "),"")</f>
        <v>77.32235210113997</v>
      </c>
      <c r="E104" s="62">
        <f t="shared" si="15"/>
        <v>80.681238332149206</v>
      </c>
      <c r="F104" s="62">
        <f t="shared" si="15"/>
        <v>90.413783145108212</v>
      </c>
      <c r="G104" s="62">
        <f t="shared" si="15"/>
        <v>96.571585692339809</v>
      </c>
      <c r="H104" s="62">
        <f t="shared" si="15"/>
        <v>99.366193938889396</v>
      </c>
      <c r="I104" s="62">
        <f t="shared" si="15"/>
        <v>98.551826488303902</v>
      </c>
      <c r="J104" s="62">
        <f t="shared" si="15"/>
        <v>99.492837821775453</v>
      </c>
      <c r="K104" s="62">
        <f t="shared" si="15"/>
        <v>96.036258417541617</v>
      </c>
      <c r="L104" s="62">
        <f t="shared" si="15"/>
        <v>98.792805615163431</v>
      </c>
      <c r="M104" s="62">
        <f t="shared" si="15"/>
        <v>99.010214324161751</v>
      </c>
      <c r="N104" s="62">
        <f t="shared" si="15"/>
        <v>97.661261820768104</v>
      </c>
      <c r="O104" s="62">
        <f t="shared" si="15"/>
        <v>93.514482638050708</v>
      </c>
      <c r="P104" s="62">
        <f t="shared" si="15"/>
        <v>96.424099610519264</v>
      </c>
      <c r="Q104" s="62">
        <f t="shared" si="15"/>
        <v>97.689746471428222</v>
      </c>
      <c r="R104" s="62">
        <f t="shared" si="15"/>
        <v>98.124000956672191</v>
      </c>
      <c r="S104" s="62">
        <f t="shared" si="15"/>
        <v>98.699299902323745</v>
      </c>
      <c r="T104" s="62">
        <f t="shared" si="15"/>
        <v>98.954814998571933</v>
      </c>
      <c r="U104" s="62">
        <f t="shared" si="15"/>
        <v>98.795898594436622</v>
      </c>
      <c r="V104" s="62">
        <f t="shared" si="15"/>
        <v>98.767131059736755</v>
      </c>
    </row>
    <row r="105" spans="3:22" x14ac:dyDescent="0.2">
      <c r="C105" s="87" t="s">
        <v>137</v>
      </c>
      <c r="D105" s="60">
        <f t="shared" ref="D105:V105" si="16">+IFERROR(IF(D66&gt;0,+((D66/D27)*100)," "),"")</f>
        <v>48.040321405312831</v>
      </c>
      <c r="E105" s="60">
        <f t="shared" si="16"/>
        <v>84.692627681414649</v>
      </c>
      <c r="F105" s="60">
        <f t="shared" si="16"/>
        <v>85.918661457449545</v>
      </c>
      <c r="G105" s="60">
        <f t="shared" si="16"/>
        <v>96.306935791157002</v>
      </c>
      <c r="H105" s="60">
        <f t="shared" si="16"/>
        <v>90.315801533064445</v>
      </c>
      <c r="I105" s="60">
        <f t="shared" si="16"/>
        <v>84.854977912865166</v>
      </c>
      <c r="J105" s="60">
        <f t="shared" si="16"/>
        <v>95.229281065929655</v>
      </c>
      <c r="K105" s="60">
        <f t="shared" si="16"/>
        <v>95.272370956976133</v>
      </c>
      <c r="L105" s="60">
        <f t="shared" si="16"/>
        <v>92.08170660243195</v>
      </c>
      <c r="M105" s="60">
        <f t="shared" si="16"/>
        <v>84.966077214146864</v>
      </c>
      <c r="N105" s="60">
        <f t="shared" si="16"/>
        <v>74.998776797980867</v>
      </c>
      <c r="O105" s="60">
        <f t="shared" si="16"/>
        <v>87.041957515128047</v>
      </c>
      <c r="P105" s="60">
        <f t="shared" si="16"/>
        <v>93.306283407857165</v>
      </c>
      <c r="Q105" s="60">
        <f t="shared" si="16"/>
        <v>89.982582042870291</v>
      </c>
      <c r="R105" s="60">
        <f t="shared" si="16"/>
        <v>98.383081210509303</v>
      </c>
      <c r="S105" s="60">
        <f t="shared" si="16"/>
        <v>98.352292446117289</v>
      </c>
      <c r="T105" s="60">
        <f t="shared" si="16"/>
        <v>97.626891114459355</v>
      </c>
      <c r="U105" s="60">
        <f t="shared" si="16"/>
        <v>98.498165290783007</v>
      </c>
      <c r="V105" s="60">
        <f t="shared" si="16"/>
        <v>97.266831815017667</v>
      </c>
    </row>
    <row r="106" spans="3:22" x14ac:dyDescent="0.2">
      <c r="C106" s="88" t="s">
        <v>138</v>
      </c>
      <c r="D106" s="62">
        <f t="shared" ref="D106:V106" si="17">+IFERROR(IF(D67&gt;0,+((D67/D28)*100)," "),"")</f>
        <v>98.054511677227723</v>
      </c>
      <c r="E106" s="62">
        <f t="shared" si="17"/>
        <v>99.328564933318319</v>
      </c>
      <c r="F106" s="62">
        <f t="shared" si="17"/>
        <v>47.189126596228085</v>
      </c>
      <c r="G106" s="62">
        <f t="shared" si="17"/>
        <v>97.803818583861101</v>
      </c>
      <c r="H106" s="62">
        <f t="shared" si="17"/>
        <v>93.88822172085186</v>
      </c>
      <c r="I106" s="62">
        <f t="shared" si="17"/>
        <v>77.777313391136872</v>
      </c>
      <c r="J106" s="62">
        <f t="shared" si="17"/>
        <v>85.596088499434174</v>
      </c>
      <c r="K106" s="62">
        <f t="shared" si="17"/>
        <v>81.886762246235818</v>
      </c>
      <c r="L106" s="62">
        <f t="shared" si="17"/>
        <v>90.555739084348318</v>
      </c>
      <c r="M106" s="62">
        <f t="shared" si="17"/>
        <v>42.086200835004369</v>
      </c>
      <c r="N106" s="62">
        <f t="shared" si="17"/>
        <v>60.835323751453842</v>
      </c>
      <c r="O106" s="62">
        <f t="shared" si="17"/>
        <v>53.105294752370092</v>
      </c>
      <c r="P106" s="62">
        <f t="shared" si="17"/>
        <v>92.791248677680443</v>
      </c>
      <c r="Q106" s="62">
        <f t="shared" si="17"/>
        <v>94.676611693474072</v>
      </c>
      <c r="R106" s="62">
        <f t="shared" si="17"/>
        <v>94.422709640588494</v>
      </c>
      <c r="S106" s="62">
        <f t="shared" si="17"/>
        <v>99.750315322031895</v>
      </c>
      <c r="T106" s="62">
        <f t="shared" si="17"/>
        <v>99.363833752019374</v>
      </c>
      <c r="U106" s="62">
        <f t="shared" si="17"/>
        <v>98.199524011969714</v>
      </c>
      <c r="V106" s="62">
        <f t="shared" si="17"/>
        <v>99.974759094086423</v>
      </c>
    </row>
    <row r="107" spans="3:22" x14ac:dyDescent="0.2">
      <c r="C107" s="87" t="s">
        <v>139</v>
      </c>
      <c r="D107" s="60">
        <f t="shared" ref="D107:V107" si="18">+IFERROR(IF(D68&gt;0,+((D68/D29)*100)," "),"")</f>
        <v>74.80144528301723</v>
      </c>
      <c r="E107" s="60">
        <f t="shared" si="18"/>
        <v>82.825919050268894</v>
      </c>
      <c r="F107" s="60">
        <f t="shared" si="18"/>
        <v>67.20397263156687</v>
      </c>
      <c r="G107" s="60">
        <f t="shared" si="18"/>
        <v>99.286254875684222</v>
      </c>
      <c r="H107" s="60">
        <f t="shared" si="18"/>
        <v>78.251000085191151</v>
      </c>
      <c r="I107" s="60">
        <f t="shared" si="18"/>
        <v>96.295258459762806</v>
      </c>
      <c r="J107" s="60">
        <f t="shared" si="18"/>
        <v>96.707585887392739</v>
      </c>
      <c r="K107" s="60">
        <f t="shared" si="18"/>
        <v>68.688742428297218</v>
      </c>
      <c r="L107" s="60">
        <f t="shared" si="18"/>
        <v>97.133676299916189</v>
      </c>
      <c r="M107" s="60">
        <f t="shared" si="18"/>
        <v>92.474044498009079</v>
      </c>
      <c r="N107" s="60">
        <f t="shared" si="18"/>
        <v>84.618158235682884</v>
      </c>
      <c r="O107" s="60">
        <f t="shared" si="18"/>
        <v>97.722607255306031</v>
      </c>
      <c r="P107" s="60">
        <f t="shared" si="18"/>
        <v>83.154022683702351</v>
      </c>
      <c r="Q107" s="60">
        <f t="shared" si="18"/>
        <v>86.16103727893595</v>
      </c>
      <c r="R107" s="60">
        <f t="shared" si="18"/>
        <v>92.098900516861747</v>
      </c>
      <c r="S107" s="60">
        <f t="shared" si="18"/>
        <v>96.368804037525152</v>
      </c>
      <c r="T107" s="60">
        <f t="shared" si="18"/>
        <v>97.098423683309306</v>
      </c>
      <c r="U107" s="60">
        <f t="shared" si="18"/>
        <v>87.266820381947042</v>
      </c>
      <c r="V107" s="60">
        <f t="shared" si="18"/>
        <v>53.59363215131485</v>
      </c>
    </row>
    <row r="108" spans="3:22" x14ac:dyDescent="0.2">
      <c r="C108" s="88" t="s">
        <v>140</v>
      </c>
      <c r="D108" s="62">
        <f t="shared" ref="D108:V108" si="19">+IFERROR(IF(D69&gt;0,+((D69/D30)*100)," "),"")</f>
        <v>83.338493623297865</v>
      </c>
      <c r="E108" s="62">
        <f t="shared" si="19"/>
        <v>74.118298848345304</v>
      </c>
      <c r="F108" s="62">
        <f t="shared" si="19"/>
        <v>77.339564616572602</v>
      </c>
      <c r="G108" s="62">
        <f t="shared" si="19"/>
        <v>99.670603374798858</v>
      </c>
      <c r="H108" s="62">
        <f t="shared" si="19"/>
        <v>98.289398107338627</v>
      </c>
      <c r="I108" s="62">
        <f t="shared" si="19"/>
        <v>92.855916021829984</v>
      </c>
      <c r="J108" s="62">
        <f t="shared" si="19"/>
        <v>82.732893588705181</v>
      </c>
      <c r="K108" s="62">
        <f t="shared" si="19"/>
        <v>61.58774592245485</v>
      </c>
      <c r="L108" s="62">
        <f t="shared" si="19"/>
        <v>97.80975769937055</v>
      </c>
      <c r="M108" s="62">
        <f t="shared" si="19"/>
        <v>88.450459191629733</v>
      </c>
      <c r="N108" s="62">
        <f t="shared" si="19"/>
        <v>94.789358032721566</v>
      </c>
      <c r="O108" s="62">
        <f t="shared" si="19"/>
        <v>96.091593130445105</v>
      </c>
      <c r="P108" s="62">
        <f t="shared" si="19"/>
        <v>96.665471566525866</v>
      </c>
      <c r="Q108" s="62">
        <f t="shared" si="19"/>
        <v>97.867413090833836</v>
      </c>
      <c r="R108" s="62">
        <f t="shared" si="19"/>
        <v>98.844267175994545</v>
      </c>
      <c r="S108" s="62">
        <f t="shared" si="19"/>
        <v>99.183886706775155</v>
      </c>
      <c r="T108" s="62">
        <f t="shared" si="19"/>
        <v>97.336187825364675</v>
      </c>
      <c r="U108" s="62">
        <f t="shared" si="19"/>
        <v>97.846633655643075</v>
      </c>
      <c r="V108" s="62">
        <f t="shared" si="19"/>
        <v>98.727615943947598</v>
      </c>
    </row>
    <row r="109" spans="3:22" x14ac:dyDescent="0.2">
      <c r="C109" s="87" t="s">
        <v>141</v>
      </c>
      <c r="D109" s="60">
        <f t="shared" ref="D109:V109" si="20">+IFERROR(IF(D70&gt;0,+((D70/D31)*100)," "),"")</f>
        <v>70.918216381042058</v>
      </c>
      <c r="E109" s="60">
        <f t="shared" si="20"/>
        <v>96.711325949547017</v>
      </c>
      <c r="F109" s="60">
        <f t="shared" si="20"/>
        <v>81.1457037047619</v>
      </c>
      <c r="G109" s="60">
        <f t="shared" si="20"/>
        <v>66.425466648137913</v>
      </c>
      <c r="H109" s="60">
        <f t="shared" si="20"/>
        <v>91.455567912074471</v>
      </c>
      <c r="I109" s="60">
        <f t="shared" si="20"/>
        <v>76.491429471604434</v>
      </c>
      <c r="J109" s="60">
        <f t="shared" si="20"/>
        <v>85.251763565367582</v>
      </c>
      <c r="K109" s="60">
        <f t="shared" si="20"/>
        <v>80.396384170992491</v>
      </c>
      <c r="L109" s="60">
        <f t="shared" si="20"/>
        <v>82.858427800739605</v>
      </c>
      <c r="M109" s="60">
        <f t="shared" si="20"/>
        <v>84.802573036322883</v>
      </c>
      <c r="N109" s="60">
        <f t="shared" si="20"/>
        <v>67.738727421457867</v>
      </c>
      <c r="O109" s="60">
        <f t="shared" si="20"/>
        <v>85.018384921282376</v>
      </c>
      <c r="P109" s="60">
        <f t="shared" si="20"/>
        <v>83.445863448093888</v>
      </c>
      <c r="Q109" s="60">
        <f t="shared" si="20"/>
        <v>81.250402228946569</v>
      </c>
      <c r="R109" s="60">
        <f t="shared" si="20"/>
        <v>92.629648589042205</v>
      </c>
      <c r="S109" s="60">
        <f t="shared" si="20"/>
        <v>94.438213354530646</v>
      </c>
      <c r="T109" s="60">
        <f t="shared" si="20"/>
        <v>90.879412768344324</v>
      </c>
      <c r="U109" s="60">
        <f t="shared" si="20"/>
        <v>92.937369628521566</v>
      </c>
      <c r="V109" s="60">
        <f t="shared" si="20"/>
        <v>97.076964476470465</v>
      </c>
    </row>
    <row r="110" spans="3:22" x14ac:dyDescent="0.2">
      <c r="C110" s="88" t="s">
        <v>142</v>
      </c>
      <c r="D110" s="62">
        <f t="shared" ref="D110:V110" si="21">+IFERROR(IF(D71&gt;0,+((D71/D32)*100)," "),"")</f>
        <v>68.316536749065008</v>
      </c>
      <c r="E110" s="62">
        <f t="shared" si="21"/>
        <v>97.221117664132848</v>
      </c>
      <c r="F110" s="62">
        <f t="shared" si="21"/>
        <v>95.600043773567762</v>
      </c>
      <c r="G110" s="62">
        <f t="shared" si="21"/>
        <v>94.663276006600597</v>
      </c>
      <c r="H110" s="62">
        <f t="shared" si="21"/>
        <v>82.248336504376667</v>
      </c>
      <c r="I110" s="62">
        <f t="shared" si="21"/>
        <v>51.757767457540723</v>
      </c>
      <c r="J110" s="62">
        <f t="shared" si="21"/>
        <v>68.686883572807616</v>
      </c>
      <c r="K110" s="62">
        <f t="shared" si="21"/>
        <v>95.958588536155688</v>
      </c>
      <c r="L110" s="62">
        <f t="shared" si="21"/>
        <v>95.212366463201775</v>
      </c>
      <c r="M110" s="62">
        <f t="shared" si="21"/>
        <v>93.481333879814613</v>
      </c>
      <c r="N110" s="62">
        <f t="shared" si="21"/>
        <v>93.43746518855292</v>
      </c>
      <c r="O110" s="62">
        <f t="shared" si="21"/>
        <v>92.168940419292227</v>
      </c>
      <c r="P110" s="62">
        <f t="shared" si="21"/>
        <v>92.302090483363955</v>
      </c>
      <c r="Q110" s="62">
        <f t="shared" si="21"/>
        <v>83.455905948496877</v>
      </c>
      <c r="R110" s="62">
        <f t="shared" si="21"/>
        <v>85.272409799471291</v>
      </c>
      <c r="S110" s="62">
        <f t="shared" si="21"/>
        <v>94.568269068570729</v>
      </c>
      <c r="T110" s="62">
        <f t="shared" si="21"/>
        <v>96.378845702818978</v>
      </c>
      <c r="U110" s="62">
        <f t="shared" si="21"/>
        <v>98.175235972707171</v>
      </c>
      <c r="V110" s="62">
        <f t="shared" si="21"/>
        <v>95.619066911461886</v>
      </c>
    </row>
    <row r="111" spans="3:22" x14ac:dyDescent="0.2">
      <c r="C111" s="87" t="s">
        <v>143</v>
      </c>
      <c r="D111" s="60">
        <f t="shared" ref="D111:V111" si="22">+IFERROR(IF(D72&gt;0,+((D72/D33)*100)," "),"")</f>
        <v>97.013622321299863</v>
      </c>
      <c r="E111" s="60">
        <f t="shared" si="22"/>
        <v>93.612083979960261</v>
      </c>
      <c r="F111" s="60">
        <f t="shared" si="22"/>
        <v>83.622869502516579</v>
      </c>
      <c r="G111" s="60">
        <f t="shared" si="22"/>
        <v>99.924967153624038</v>
      </c>
      <c r="H111" s="60">
        <f t="shared" si="22"/>
        <v>89.952257064030334</v>
      </c>
      <c r="I111" s="60">
        <f t="shared" si="22"/>
        <v>94.327359920168448</v>
      </c>
      <c r="J111" s="60">
        <f t="shared" si="22"/>
        <v>99.940643232884725</v>
      </c>
      <c r="K111" s="60">
        <f t="shared" si="22"/>
        <v>96.332225193342168</v>
      </c>
      <c r="L111" s="60">
        <f t="shared" si="22"/>
        <v>70.761160334801943</v>
      </c>
      <c r="M111" s="60">
        <f t="shared" si="22"/>
        <v>82.935342815502196</v>
      </c>
      <c r="N111" s="60">
        <f t="shared" si="22"/>
        <v>61.35926926803846</v>
      </c>
      <c r="O111" s="60">
        <f t="shared" si="22"/>
        <v>78.141440481139554</v>
      </c>
      <c r="P111" s="60">
        <f t="shared" si="22"/>
        <v>87.38223752617256</v>
      </c>
      <c r="Q111" s="60">
        <f t="shared" si="22"/>
        <v>90.901522138598295</v>
      </c>
      <c r="R111" s="60">
        <f t="shared" si="22"/>
        <v>93.783378987538384</v>
      </c>
      <c r="S111" s="60">
        <f t="shared" si="22"/>
        <v>95.556571031795585</v>
      </c>
      <c r="T111" s="60">
        <f t="shared" si="22"/>
        <v>94.918516643992831</v>
      </c>
      <c r="U111" s="60">
        <f t="shared" si="22"/>
        <v>98.795326670076946</v>
      </c>
      <c r="V111" s="60">
        <f t="shared" si="22"/>
        <v>88.821547973432885</v>
      </c>
    </row>
    <row r="112" spans="3:22" x14ac:dyDescent="0.2">
      <c r="C112" s="88" t="s">
        <v>144</v>
      </c>
      <c r="D112" s="62">
        <f t="shared" ref="D112:V112" si="23">+IFERROR(IF(D73&gt;0,+((D73/D34)*100)," "),"")</f>
        <v>64.306202573593779</v>
      </c>
      <c r="E112" s="62">
        <f t="shared" si="23"/>
        <v>95.727100082111932</v>
      </c>
      <c r="F112" s="62">
        <f t="shared" si="23"/>
        <v>74.108725222530509</v>
      </c>
      <c r="G112" s="62">
        <f t="shared" si="23"/>
        <v>98.989168990600689</v>
      </c>
      <c r="H112" s="62">
        <f t="shared" si="23"/>
        <v>99.854783472304732</v>
      </c>
      <c r="I112" s="62">
        <f t="shared" si="23"/>
        <v>98.440711182170531</v>
      </c>
      <c r="J112" s="62">
        <f t="shared" si="23"/>
        <v>97.130078225063201</v>
      </c>
      <c r="K112" s="62">
        <f t="shared" si="23"/>
        <v>93.757785705437868</v>
      </c>
      <c r="L112" s="62">
        <f t="shared" si="23"/>
        <v>91.882871309739187</v>
      </c>
      <c r="M112" s="62">
        <f t="shared" si="23"/>
        <v>98.942190202622413</v>
      </c>
      <c r="N112" s="62">
        <f t="shared" si="23"/>
        <v>87.054594863804155</v>
      </c>
      <c r="O112" s="62">
        <f t="shared" si="23"/>
        <v>77.956680575776858</v>
      </c>
      <c r="P112" s="62">
        <f t="shared" si="23"/>
        <v>53.813245988879309</v>
      </c>
      <c r="Q112" s="62">
        <f t="shared" si="23"/>
        <v>84.023336398637056</v>
      </c>
      <c r="R112" s="62">
        <f t="shared" si="23"/>
        <v>93.340369066456603</v>
      </c>
      <c r="S112" s="62">
        <f t="shared" si="23"/>
        <v>83.860590254407171</v>
      </c>
      <c r="T112" s="62">
        <f t="shared" si="23"/>
        <v>95.238760081132483</v>
      </c>
      <c r="U112" s="62">
        <f t="shared" si="23"/>
        <v>97.863583735279619</v>
      </c>
      <c r="V112" s="62">
        <f t="shared" si="23"/>
        <v>96.299697311447062</v>
      </c>
    </row>
    <row r="113" spans="3:22" x14ac:dyDescent="0.2">
      <c r="C113" s="87" t="s">
        <v>145</v>
      </c>
      <c r="D113" s="60">
        <f t="shared" ref="D113:V113" si="24">+IFERROR(IF(D74&gt;0,+((D74/D35)*100)," "),"")</f>
        <v>74.788145414587504</v>
      </c>
      <c r="E113" s="60">
        <f t="shared" si="24"/>
        <v>6.5227734399999999</v>
      </c>
      <c r="F113" s="60">
        <f t="shared" si="24"/>
        <v>98.342149469384381</v>
      </c>
      <c r="G113" s="60">
        <f t="shared" si="24"/>
        <v>97.360546900813489</v>
      </c>
      <c r="H113" s="60">
        <f t="shared" si="24"/>
        <v>99.467150378934335</v>
      </c>
      <c r="I113" s="60">
        <f t="shared" si="24"/>
        <v>95.971354496785082</v>
      </c>
      <c r="J113" s="60">
        <f t="shared" si="24"/>
        <v>91.779084536147167</v>
      </c>
      <c r="K113" s="60">
        <f t="shared" si="24"/>
        <v>96.280505540006331</v>
      </c>
      <c r="L113" s="60">
        <f t="shared" si="24"/>
        <v>98.977047064203035</v>
      </c>
      <c r="M113" s="60">
        <f t="shared" si="24"/>
        <v>99.367517729595008</v>
      </c>
      <c r="N113" s="60">
        <f t="shared" si="24"/>
        <v>81.512504812215383</v>
      </c>
      <c r="O113" s="60">
        <f t="shared" si="24"/>
        <v>86.978604623792805</v>
      </c>
      <c r="P113" s="60">
        <f t="shared" si="24"/>
        <v>84.344483371973155</v>
      </c>
      <c r="Q113" s="60">
        <f t="shared" si="24"/>
        <v>81.842417059937318</v>
      </c>
      <c r="R113" s="60">
        <f t="shared" si="24"/>
        <v>91.287929255319042</v>
      </c>
      <c r="S113" s="60">
        <f t="shared" si="24"/>
        <v>89.243033863553336</v>
      </c>
      <c r="T113" s="60">
        <f t="shared" si="24"/>
        <v>97.319214825192361</v>
      </c>
      <c r="U113" s="60">
        <f t="shared" si="24"/>
        <v>97.270086999293184</v>
      </c>
      <c r="V113" s="60">
        <f t="shared" si="24"/>
        <v>97.195512579709813</v>
      </c>
    </row>
    <row r="114" spans="3:22" x14ac:dyDescent="0.2">
      <c r="C114" s="88" t="s">
        <v>146</v>
      </c>
      <c r="D114" s="62">
        <f t="shared" ref="D114:V114" si="25">+IFERROR(IF(D75&gt;0,+((D75/D36)*100)," "),"")</f>
        <v>60.468694575144802</v>
      </c>
      <c r="E114" s="62">
        <f t="shared" si="25"/>
        <v>59.757328746428442</v>
      </c>
      <c r="F114" s="62">
        <f t="shared" si="25"/>
        <v>21.546440141223847</v>
      </c>
      <c r="G114" s="62">
        <f t="shared" si="25"/>
        <v>99.952722938897566</v>
      </c>
      <c r="H114" s="62">
        <f t="shared" si="25"/>
        <v>83.31100914538257</v>
      </c>
      <c r="I114" s="62">
        <f t="shared" si="25"/>
        <v>85.188283015953317</v>
      </c>
      <c r="J114" s="62">
        <f t="shared" si="25"/>
        <v>86.99184857324957</v>
      </c>
      <c r="K114" s="62">
        <f t="shared" si="25"/>
        <v>79.929581098136907</v>
      </c>
      <c r="L114" s="62">
        <f t="shared" si="25"/>
        <v>85.645937491170997</v>
      </c>
      <c r="M114" s="62">
        <f t="shared" si="25"/>
        <v>73.979005374965411</v>
      </c>
      <c r="N114" s="62">
        <f t="shared" si="25"/>
        <v>88.791472642928554</v>
      </c>
      <c r="O114" s="62">
        <f t="shared" si="25"/>
        <v>96.698156939953066</v>
      </c>
      <c r="P114" s="62">
        <f t="shared" si="25"/>
        <v>98.040545319197065</v>
      </c>
      <c r="Q114" s="62">
        <f t="shared" si="25"/>
        <v>97.630204501042613</v>
      </c>
      <c r="R114" s="62">
        <f t="shared" si="25"/>
        <v>98.453022713382211</v>
      </c>
      <c r="S114" s="62">
        <f t="shared" si="25"/>
        <v>98.714006160995766</v>
      </c>
      <c r="T114" s="62">
        <f t="shared" si="25"/>
        <v>97.972180166872064</v>
      </c>
      <c r="U114" s="62">
        <f t="shared" si="25"/>
        <v>99.866275299457541</v>
      </c>
      <c r="V114" s="62">
        <f t="shared" si="25"/>
        <v>99.068411198066528</v>
      </c>
    </row>
    <row r="115" spans="3:22" x14ac:dyDescent="0.2">
      <c r="C115" s="90" t="s">
        <v>147</v>
      </c>
      <c r="D115" s="61">
        <f t="shared" ref="D115:V115" si="26">+IFERROR(IF(D76&gt;0,+((D76/D37)*100)," "),"")</f>
        <v>68.384460339581736</v>
      </c>
      <c r="E115" s="61">
        <f t="shared" si="26"/>
        <v>93.489628234303751</v>
      </c>
      <c r="F115" s="61">
        <f t="shared" si="26"/>
        <v>86.08014038103056</v>
      </c>
      <c r="G115" s="61">
        <f t="shared" si="26"/>
        <v>96.95536536790965</v>
      </c>
      <c r="H115" s="61">
        <f t="shared" si="26"/>
        <v>96.218522415702168</v>
      </c>
      <c r="I115" s="61">
        <f t="shared" si="26"/>
        <v>94.972122565602305</v>
      </c>
      <c r="J115" s="61">
        <f t="shared" si="26"/>
        <v>94.771851767453654</v>
      </c>
      <c r="K115" s="61">
        <f t="shared" si="26"/>
        <v>94.102536521223229</v>
      </c>
      <c r="L115" s="61">
        <f t="shared" si="26"/>
        <v>98.047442581800794</v>
      </c>
      <c r="M115" s="61">
        <f t="shared" si="26"/>
        <v>97.422733993224355</v>
      </c>
      <c r="N115" s="61">
        <f t="shared" si="26"/>
        <v>94.971161136738374</v>
      </c>
      <c r="O115" s="61">
        <f t="shared" si="26"/>
        <v>94.099225393456834</v>
      </c>
      <c r="P115" s="61">
        <f t="shared" si="26"/>
        <v>95.449240897219681</v>
      </c>
      <c r="Q115" s="61">
        <f t="shared" si="26"/>
        <v>97.529999373414654</v>
      </c>
      <c r="R115" s="61">
        <f t="shared" si="26"/>
        <v>98.697099105656434</v>
      </c>
      <c r="S115" s="61">
        <f t="shared" si="26"/>
        <v>98.532479319017057</v>
      </c>
      <c r="T115" s="61">
        <f t="shared" si="26"/>
        <v>99.160558691312744</v>
      </c>
      <c r="U115" s="61">
        <f t="shared" si="26"/>
        <v>98.203196851293384</v>
      </c>
      <c r="V115" s="61">
        <f t="shared" si="26"/>
        <v>97.692202307021248</v>
      </c>
    </row>
    <row r="116" spans="3:22" ht="22.5" customHeight="1" x14ac:dyDescent="0.2">
      <c r="C116" s="89" t="s">
        <v>148</v>
      </c>
      <c r="D116" s="63" t="str">
        <f t="shared" ref="D116:V116" si="27">+IFERROR(IF(D77&gt;0,+((D77/D38)*100)," "),"")</f>
        <v xml:space="preserve"> </v>
      </c>
      <c r="E116" s="63" t="str">
        <f t="shared" si="27"/>
        <v xml:space="preserve"> </v>
      </c>
      <c r="F116" s="63" t="str">
        <f t="shared" si="27"/>
        <v xml:space="preserve"> </v>
      </c>
      <c r="G116" s="63" t="str">
        <f t="shared" si="27"/>
        <v xml:space="preserve"> </v>
      </c>
      <c r="H116" s="63" t="str">
        <f t="shared" si="27"/>
        <v xml:space="preserve"> </v>
      </c>
      <c r="I116" s="63" t="str">
        <f t="shared" si="27"/>
        <v xml:space="preserve"> </v>
      </c>
      <c r="J116" s="63" t="str">
        <f t="shared" si="27"/>
        <v xml:space="preserve"> </v>
      </c>
      <c r="K116" s="63" t="str">
        <f t="shared" si="27"/>
        <v xml:space="preserve"> </v>
      </c>
      <c r="L116" s="63" t="str">
        <f t="shared" si="27"/>
        <v xml:space="preserve"> </v>
      </c>
      <c r="M116" s="63" t="str">
        <f t="shared" si="27"/>
        <v xml:space="preserve"> </v>
      </c>
      <c r="N116" s="63" t="str">
        <f t="shared" si="27"/>
        <v xml:space="preserve"> </v>
      </c>
      <c r="O116" s="63" t="str">
        <f t="shared" si="27"/>
        <v xml:space="preserve"> </v>
      </c>
      <c r="P116" s="63" t="str">
        <f t="shared" si="27"/>
        <v xml:space="preserve"> </v>
      </c>
      <c r="Q116" s="63" t="str">
        <f t="shared" si="27"/>
        <v xml:space="preserve"> </v>
      </c>
      <c r="R116" s="63" t="str">
        <f t="shared" si="27"/>
        <v xml:space="preserve"> </v>
      </c>
      <c r="S116" s="63" t="str">
        <f t="shared" si="27"/>
        <v xml:space="preserve"> </v>
      </c>
      <c r="T116" s="63" t="str">
        <f t="shared" si="27"/>
        <v xml:space="preserve"> </v>
      </c>
      <c r="U116" s="63" t="str">
        <f t="shared" si="27"/>
        <v xml:space="preserve"> </v>
      </c>
      <c r="V116" s="63">
        <f t="shared" si="27"/>
        <v>93.221827626375472</v>
      </c>
    </row>
    <row r="117" spans="3:22" x14ac:dyDescent="0.2">
      <c r="C117" s="87" t="s">
        <v>149</v>
      </c>
      <c r="D117" s="60">
        <f t="shared" ref="D117:V117" si="28">+IFERROR(IF(D78&gt;0,+((D78/D39)*100)," "),"")</f>
        <v>94.314206676224401</v>
      </c>
      <c r="E117" s="60">
        <f t="shared" si="28"/>
        <v>99.371831726397758</v>
      </c>
      <c r="F117" s="60">
        <f t="shared" si="28"/>
        <v>99.369817013537059</v>
      </c>
      <c r="G117" s="60">
        <f t="shared" si="28"/>
        <v>98.739485751934453</v>
      </c>
      <c r="H117" s="60">
        <f t="shared" si="28"/>
        <v>99.81725819242682</v>
      </c>
      <c r="I117" s="60">
        <f t="shared" si="28"/>
        <v>98.630020901389045</v>
      </c>
      <c r="J117" s="60">
        <f t="shared" si="28"/>
        <v>91.850789315366711</v>
      </c>
      <c r="K117" s="60">
        <f t="shared" si="28"/>
        <v>98.764230373517449</v>
      </c>
      <c r="L117" s="60">
        <f t="shared" si="28"/>
        <v>95.529032237776121</v>
      </c>
      <c r="M117" s="60">
        <f t="shared" si="28"/>
        <v>83.120660434668324</v>
      </c>
      <c r="N117" s="60">
        <f t="shared" si="28"/>
        <v>91.836604002069208</v>
      </c>
      <c r="O117" s="60">
        <f t="shared" si="28"/>
        <v>93.913049903511848</v>
      </c>
      <c r="P117" s="60">
        <f t="shared" si="28"/>
        <v>97.215400322273354</v>
      </c>
      <c r="Q117" s="60">
        <f t="shared" si="28"/>
        <v>93.871788961543686</v>
      </c>
      <c r="R117" s="60">
        <f t="shared" si="28"/>
        <v>96.766616215057553</v>
      </c>
      <c r="S117" s="60">
        <f t="shared" si="28"/>
        <v>96.177744631396507</v>
      </c>
      <c r="T117" s="60">
        <f t="shared" si="28"/>
        <v>98.292123522449657</v>
      </c>
      <c r="U117" s="60">
        <f t="shared" si="28"/>
        <v>98.41334711950897</v>
      </c>
      <c r="V117" s="60">
        <f t="shared" si="28"/>
        <v>93.797450311702548</v>
      </c>
    </row>
    <row r="118" spans="3:22" x14ac:dyDescent="0.2">
      <c r="C118" s="88" t="s">
        <v>150</v>
      </c>
      <c r="D118" s="62">
        <f t="shared" ref="D118:V118" si="29">+IFERROR(IF(D79&gt;0,+((D79/D40)*100)," "),"")</f>
        <v>72.122237761640989</v>
      </c>
      <c r="E118" s="62">
        <f t="shared" si="29"/>
        <v>88.472095256799534</v>
      </c>
      <c r="F118" s="62">
        <f t="shared" si="29"/>
        <v>81.389204267162953</v>
      </c>
      <c r="G118" s="62">
        <f t="shared" si="29"/>
        <v>98.34016478975505</v>
      </c>
      <c r="H118" s="62">
        <f t="shared" si="29"/>
        <v>96.637668978743534</v>
      </c>
      <c r="I118" s="62">
        <f t="shared" si="29"/>
        <v>98.685184340370597</v>
      </c>
      <c r="J118" s="62">
        <f t="shared" si="29"/>
        <v>85.041168800412976</v>
      </c>
      <c r="K118" s="62">
        <f t="shared" si="29"/>
        <v>96.952864411419156</v>
      </c>
      <c r="L118" s="62">
        <f t="shared" si="29"/>
        <v>97.736252415920958</v>
      </c>
      <c r="M118" s="62">
        <f t="shared" si="29"/>
        <v>95.146179074591657</v>
      </c>
      <c r="N118" s="62">
        <f t="shared" si="29"/>
        <v>91.392928294917112</v>
      </c>
      <c r="O118" s="62">
        <f t="shared" si="29"/>
        <v>94.885700183009476</v>
      </c>
      <c r="P118" s="62">
        <f t="shared" si="29"/>
        <v>94.969169141713749</v>
      </c>
      <c r="Q118" s="62">
        <f t="shared" si="29"/>
        <v>98.969982922988137</v>
      </c>
      <c r="R118" s="62">
        <f t="shared" si="29"/>
        <v>98.189097304406815</v>
      </c>
      <c r="S118" s="62">
        <f t="shared" si="29"/>
        <v>97.603878221308875</v>
      </c>
      <c r="T118" s="62">
        <f t="shared" si="29"/>
        <v>99.812623459945499</v>
      </c>
      <c r="U118" s="62">
        <f t="shared" si="29"/>
        <v>98.746005571020106</v>
      </c>
      <c r="V118" s="62">
        <f t="shared" si="29"/>
        <v>99.150110656370387</v>
      </c>
    </row>
    <row r="119" spans="3:22" x14ac:dyDescent="0.2">
      <c r="C119" s="87" t="s">
        <v>151</v>
      </c>
      <c r="D119" s="60">
        <f t="shared" ref="D119:V119" si="30">+IFERROR(IF(D80&gt;0,+((D80/D41)*100)," "),"")</f>
        <v>94.757009227617516</v>
      </c>
      <c r="E119" s="60">
        <f t="shared" si="30"/>
        <v>88.973833495542024</v>
      </c>
      <c r="F119" s="60">
        <f t="shared" si="30"/>
        <v>85.437682621586603</v>
      </c>
      <c r="G119" s="60">
        <f t="shared" si="30"/>
        <v>92.727829064672122</v>
      </c>
      <c r="H119" s="60">
        <f t="shared" si="30"/>
        <v>95.666262223381565</v>
      </c>
      <c r="I119" s="60">
        <f t="shared" si="30"/>
        <v>99.005682640226112</v>
      </c>
      <c r="J119" s="60">
        <f t="shared" si="30"/>
        <v>90.348697939318768</v>
      </c>
      <c r="K119" s="60">
        <f t="shared" si="30"/>
        <v>99.470401449788895</v>
      </c>
      <c r="L119" s="60">
        <f t="shared" si="30"/>
        <v>99.099702042159464</v>
      </c>
      <c r="M119" s="60">
        <f t="shared" si="30"/>
        <v>97.021688286558359</v>
      </c>
      <c r="N119" s="60">
        <f t="shared" si="30"/>
        <v>99.466619411220506</v>
      </c>
      <c r="O119" s="60">
        <f t="shared" si="30"/>
        <v>98.702553903290806</v>
      </c>
      <c r="P119" s="60">
        <f t="shared" si="30"/>
        <v>99.880675592097518</v>
      </c>
      <c r="Q119" s="60">
        <f t="shared" si="30"/>
        <v>98.23533223106304</v>
      </c>
      <c r="R119" s="60">
        <f t="shared" si="30"/>
        <v>99.514945346193556</v>
      </c>
      <c r="S119" s="60">
        <f t="shared" si="30"/>
        <v>99.755266498961049</v>
      </c>
      <c r="T119" s="60">
        <f t="shared" si="30"/>
        <v>99.464652996386164</v>
      </c>
      <c r="U119" s="60">
        <f t="shared" si="30"/>
        <v>99.916072261317723</v>
      </c>
      <c r="V119" s="60">
        <f t="shared" si="30"/>
        <v>99.411453341819822</v>
      </c>
    </row>
    <row r="120" spans="3:22" x14ac:dyDescent="0.2">
      <c r="C120" s="91" t="s">
        <v>202</v>
      </c>
      <c r="D120" s="64">
        <f t="shared" ref="D120:V120" si="31">+IFERROR(IF(D81&gt;0,+((D81/D42)*100)," "),"")</f>
        <v>80.328413452784872</v>
      </c>
      <c r="E120" s="64">
        <f t="shared" si="31"/>
        <v>91.506175293855733</v>
      </c>
      <c r="F120" s="64">
        <f t="shared" si="31"/>
        <v>85.608393039852871</v>
      </c>
      <c r="G120" s="64">
        <f t="shared" si="31"/>
        <v>97.941115639634674</v>
      </c>
      <c r="H120" s="64">
        <f t="shared" si="31"/>
        <v>95.221298515952867</v>
      </c>
      <c r="I120" s="64">
        <f t="shared" si="31"/>
        <v>93.980050899499801</v>
      </c>
      <c r="J120" s="64">
        <f t="shared" si="31"/>
        <v>92.672105390482542</v>
      </c>
      <c r="K120" s="64">
        <f t="shared" si="31"/>
        <v>88.280591548463633</v>
      </c>
      <c r="L120" s="64">
        <f t="shared" si="31"/>
        <v>97.425488878885687</v>
      </c>
      <c r="M120" s="64">
        <f t="shared" si="31"/>
        <v>93.335863583955927</v>
      </c>
      <c r="N120" s="64">
        <f t="shared" si="31"/>
        <v>93.566990145436407</v>
      </c>
      <c r="O120" s="64">
        <f t="shared" si="31"/>
        <v>94.685576772045607</v>
      </c>
      <c r="P120" s="64">
        <f t="shared" si="31"/>
        <v>94.282958287672912</v>
      </c>
      <c r="Q120" s="64">
        <f t="shared" si="31"/>
        <v>95.224340682546341</v>
      </c>
      <c r="R120" s="64">
        <f t="shared" si="31"/>
        <v>96.00386460866271</v>
      </c>
      <c r="S120" s="64">
        <f t="shared" si="31"/>
        <v>96.776851394611327</v>
      </c>
      <c r="T120" s="64">
        <f t="shared" si="31"/>
        <v>97.050791297858069</v>
      </c>
      <c r="U120" s="64">
        <f t="shared" si="31"/>
        <v>98.064298787638862</v>
      </c>
      <c r="V120" s="64">
        <f t="shared" si="31"/>
        <v>96.897784348358414</v>
      </c>
    </row>
    <row r="121" spans="3:22" x14ac:dyDescent="0.2">
      <c r="C121" s="1" t="s">
        <v>52</v>
      </c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</row>
    <row r="122" spans="3:22" x14ac:dyDescent="0.2"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</row>
    <row r="126" spans="3:22" ht="18" customHeight="1" x14ac:dyDescent="0.2">
      <c r="C126" s="9"/>
      <c r="D126" s="160" t="s">
        <v>205</v>
      </c>
      <c r="E126" s="158"/>
      <c r="F126" s="158"/>
      <c r="G126" s="158"/>
      <c r="H126" s="158"/>
      <c r="I126" s="158"/>
      <c r="J126" s="158"/>
      <c r="K126" s="158"/>
      <c r="L126" s="158"/>
      <c r="M126" s="158"/>
      <c r="N126" s="158"/>
      <c r="O126" s="158"/>
      <c r="P126" s="158"/>
      <c r="Q126" s="158"/>
      <c r="R126" s="158"/>
      <c r="S126" s="158"/>
      <c r="T126" s="158"/>
      <c r="U126" s="158"/>
      <c r="V126" s="158"/>
    </row>
    <row r="127" spans="3:22" ht="15.75" customHeight="1" x14ac:dyDescent="0.2">
      <c r="C127" s="133"/>
      <c r="D127" s="133"/>
      <c r="E127" s="133"/>
      <c r="F127" s="133"/>
      <c r="G127" s="133"/>
      <c r="H127" s="133"/>
      <c r="I127" s="133"/>
      <c r="J127" s="133"/>
      <c r="K127" s="133"/>
      <c r="L127" s="133"/>
      <c r="M127" s="133"/>
      <c r="N127" s="133"/>
      <c r="O127" s="133"/>
      <c r="P127" s="133"/>
      <c r="Q127" s="133"/>
      <c r="R127" s="133"/>
      <c r="S127" s="133"/>
      <c r="T127" s="133"/>
      <c r="U127" s="133"/>
      <c r="V127" s="133"/>
    </row>
    <row r="128" spans="3:22" x14ac:dyDescent="0.2">
      <c r="C128" s="177" t="s">
        <v>120</v>
      </c>
      <c r="D128" s="153">
        <v>2000</v>
      </c>
      <c r="E128" s="153">
        <v>2001</v>
      </c>
      <c r="F128" s="153">
        <v>2002</v>
      </c>
      <c r="G128" s="153">
        <v>2003</v>
      </c>
      <c r="H128" s="153">
        <v>2004</v>
      </c>
      <c r="I128" s="153">
        <v>2005</v>
      </c>
      <c r="J128" s="153">
        <v>2006</v>
      </c>
      <c r="K128" s="153">
        <v>2007</v>
      </c>
      <c r="L128" s="153">
        <v>2008</v>
      </c>
      <c r="M128" s="153">
        <v>2009</v>
      </c>
      <c r="N128" s="153">
        <v>2010</v>
      </c>
      <c r="O128" s="153">
        <v>2011</v>
      </c>
      <c r="P128" s="153">
        <v>2012</v>
      </c>
      <c r="Q128" s="153">
        <v>2013</v>
      </c>
      <c r="R128" s="153">
        <v>2014</v>
      </c>
      <c r="S128" s="153">
        <v>2015</v>
      </c>
      <c r="T128" s="153">
        <v>2016</v>
      </c>
      <c r="U128" s="153">
        <v>2017</v>
      </c>
      <c r="V128" s="153">
        <v>2018</v>
      </c>
    </row>
    <row r="129" spans="3:22" ht="12" customHeight="1" thickBot="1" x14ac:dyDescent="0.25">
      <c r="C129" s="156"/>
      <c r="D129" s="154"/>
      <c r="E129" s="154"/>
      <c r="F129" s="154"/>
      <c r="G129" s="154"/>
      <c r="H129" s="154"/>
      <c r="I129" s="154"/>
      <c r="J129" s="154"/>
      <c r="K129" s="154"/>
      <c r="L129" s="154"/>
      <c r="M129" s="154"/>
      <c r="N129" s="154"/>
      <c r="O129" s="154"/>
      <c r="P129" s="154"/>
      <c r="Q129" s="154"/>
      <c r="R129" s="154"/>
      <c r="S129" s="154"/>
      <c r="T129" s="154"/>
      <c r="U129" s="154"/>
      <c r="V129" s="154"/>
    </row>
    <row r="130" spans="3:22" x14ac:dyDescent="0.2">
      <c r="C130" s="87" t="s">
        <v>123</v>
      </c>
      <c r="D130" s="56">
        <f>207.75689053058*Deflactores!$A$5</f>
        <v>754.27367543302682</v>
      </c>
      <c r="E130" s="56">
        <f>272.43566427354*Deflactores!$B$5</f>
        <v>918.81966647488559</v>
      </c>
      <c r="F130" s="56">
        <f>252.585938565229*Deflactores!$C$5</f>
        <v>796.20487801385639</v>
      </c>
      <c r="G130" s="56">
        <f>147.61099801293*Deflactores!$D$5</f>
        <v>436.93818469717002</v>
      </c>
      <c r="H130" s="56">
        <f>243.11482166859*Deflactores!$E$5</f>
        <v>682.13868718757351</v>
      </c>
      <c r="I130" s="56">
        <f>316.82432990279*Deflactores!$F$5</f>
        <v>847.79322098701834</v>
      </c>
      <c r="J130" s="56">
        <f>497.609970482129*Deflactores!$G$5</f>
        <v>1274.4882987154792</v>
      </c>
      <c r="K130" s="56">
        <f>914.85738942896*Deflactores!$H$5</f>
        <v>2216.9094255580499</v>
      </c>
      <c r="L130" s="56">
        <f>1098.93787471741*Deflactores!$I$5</f>
        <v>2473.1778379333</v>
      </c>
      <c r="M130" s="56">
        <f>1097.81445766062*Deflactores!$J$5</f>
        <v>2422.1625260718861</v>
      </c>
      <c r="N130" s="56">
        <f>993.3353146508*Deflactores!$K$5</f>
        <v>2124.279387264703</v>
      </c>
      <c r="O130" s="56">
        <f>1081.40990698468*Deflactores!$L$5</f>
        <v>2229.5417230006924</v>
      </c>
      <c r="P130" s="56">
        <f>1534.72406654622*Deflactores!$M$5</f>
        <v>3088.7730106510594</v>
      </c>
      <c r="Q130" s="56">
        <f>1932.12086694923*Deflactores!$N$5</f>
        <v>3814.5679190780106</v>
      </c>
      <c r="R130" s="56">
        <f>2790.43210500736*Deflactores!$O$5</f>
        <v>5314.6089746521156</v>
      </c>
      <c r="S130" s="56">
        <f>2849.83266036778*Deflactores!$P$5</f>
        <v>5083.5836380422734</v>
      </c>
      <c r="T130" s="56">
        <f>1595.16618495287*Deflactores!$Q$5</f>
        <v>2690.7674938310288</v>
      </c>
      <c r="U130" s="56">
        <f>2037.07655094953*Deflactores!$R$5</f>
        <v>3301.1752381622455</v>
      </c>
      <c r="V130" s="56">
        <f>927.172975358759*Deflactores!$S$5</f>
        <v>1456.2182526706606</v>
      </c>
    </row>
    <row r="131" spans="3:22" x14ac:dyDescent="0.2">
      <c r="C131" s="88" t="s">
        <v>124</v>
      </c>
      <c r="D131" s="57">
        <f>24.38843370814*Deflactores!$A$5</f>
        <v>88.543650629897243</v>
      </c>
      <c r="E131" s="57">
        <f>34.42623613422*Deflactores!$B$5</f>
        <v>116.10632142152267</v>
      </c>
      <c r="F131" s="57">
        <f>37.64934524624*Deflactores!$C$5</f>
        <v>118.67878516658911</v>
      </c>
      <c r="G131" s="57">
        <f>56.91737805126*Deflactores!$D$5</f>
        <v>168.47915249012584</v>
      </c>
      <c r="H131" s="57">
        <f>52.02653453181*Deflactores!$E$5</f>
        <v>145.97757438592643</v>
      </c>
      <c r="I131" s="57">
        <f>74.29435947338*Deflactores!$F$5</f>
        <v>198.80497920860455</v>
      </c>
      <c r="J131" s="57">
        <f>128.66572878166*Deflactores!$G$5</f>
        <v>329.54115774457608</v>
      </c>
      <c r="K131" s="57">
        <f>374.26508692413*Deflactores!$H$5</f>
        <v>906.93020403682817</v>
      </c>
      <c r="L131" s="57">
        <f>389.24992232481*Deflactores!$I$5</f>
        <v>876.01337933550712</v>
      </c>
      <c r="M131" s="57">
        <f>360.13403759477*Deflactores!$J$5</f>
        <v>794.5816017798162</v>
      </c>
      <c r="N131" s="57">
        <f>432.34387071055*Deflactores!$K$5</f>
        <v>924.58121564269663</v>
      </c>
      <c r="O131" s="57">
        <f>252.78436895838*Deflactores!$L$5</f>
        <v>521.16528050551096</v>
      </c>
      <c r="P131" s="57">
        <f>138.306058197201*Deflactores!$M$5</f>
        <v>278.35363312599986</v>
      </c>
      <c r="Q131" s="57">
        <f>169.891483067059*Deflactores!$N$5</f>
        <v>335.41514514848274</v>
      </c>
      <c r="R131" s="57">
        <f>184.660942707571*Deflactores!$O$5</f>
        <v>351.70205418016735</v>
      </c>
      <c r="S131" s="57">
        <f>231.280426054616*Deflactores!$P$5</f>
        <v>412.56225533570785</v>
      </c>
      <c r="T131" s="57">
        <f>236.443298020056*Deflactores!$Q$5</f>
        <v>398.83865797052761</v>
      </c>
      <c r="U131" s="57">
        <f>268.70336574514*Deflactores!$R$5</f>
        <v>435.44603024134778</v>
      </c>
      <c r="V131" s="57">
        <f>240.04557480974*Deflactores!$S$5</f>
        <v>377.01567754981875</v>
      </c>
    </row>
    <row r="132" spans="3:22" x14ac:dyDescent="0.2">
      <c r="C132" s="87" t="s">
        <v>125</v>
      </c>
      <c r="D132" s="56">
        <f>22.3760689816*Deflactores!$A$5</f>
        <v>81.237641502004152</v>
      </c>
      <c r="E132" s="56">
        <f>34.4481051749799*Deflactores!$B$5</f>
        <v>116.18007720085765</v>
      </c>
      <c r="F132" s="56">
        <f>24.7174111176699*Deflactores!$C$5</f>
        <v>77.914564110544944</v>
      </c>
      <c r="G132" s="56">
        <f>12.22815740684*Deflactores!$D$5</f>
        <v>36.196143725468936</v>
      </c>
      <c r="H132" s="56">
        <f>36.23429495413*Deflactores!$E$5</f>
        <v>101.66724604257612</v>
      </c>
      <c r="I132" s="56">
        <f>37.50168702346*Deflactores!$F$5</f>
        <v>100.35111900598466</v>
      </c>
      <c r="J132" s="56">
        <f>38.2569486918*Deflactores!$G$5</f>
        <v>97.984438304193191</v>
      </c>
      <c r="K132" s="56">
        <f>107.22378086097*Deflactores!$H$5</f>
        <v>259.82783019660286</v>
      </c>
      <c r="L132" s="56">
        <f>172.059847420899*Deflactores!$I$5</f>
        <v>387.22352849015959</v>
      </c>
      <c r="M132" s="56">
        <f>174.16763726217*Deflactores!$J$5</f>
        <v>384.27470260309207</v>
      </c>
      <c r="N132" s="56">
        <f>310.11040079419*Deflactores!$K$5</f>
        <v>663.18102504497824</v>
      </c>
      <c r="O132" s="56">
        <f>351.51111180104*Deflactores!$L$5</f>
        <v>724.7101074226448</v>
      </c>
      <c r="P132" s="56">
        <f>374.33902296769*Deflactores!$M$5</f>
        <v>753.39163318011742</v>
      </c>
      <c r="Q132" s="56">
        <f>398.39529388994*Deflactores!$N$5</f>
        <v>786.54805358207113</v>
      </c>
      <c r="R132" s="56">
        <f>336.17126917952*Deflactores!$O$5</f>
        <v>640.26601507186888</v>
      </c>
      <c r="S132" s="56">
        <f>328.274931341819*Deflactores!$P$5</f>
        <v>585.58282840837262</v>
      </c>
      <c r="T132" s="56">
        <f>281.088120646199*Deflactores!$Q$5</f>
        <v>474.14669710992729</v>
      </c>
      <c r="U132" s="56">
        <f>356.684413090219*Deflactores!$R$5</f>
        <v>578.02332061748677</v>
      </c>
      <c r="V132" s="56">
        <f>247.07504864002*Deflactores!$S$5</f>
        <v>388.05617201026564</v>
      </c>
    </row>
    <row r="133" spans="3:22" x14ac:dyDescent="0.2">
      <c r="C133" s="88" t="s">
        <v>126</v>
      </c>
      <c r="D133" s="57">
        <f>53.24243859357*Deflactores!$A$5</f>
        <v>193.29982146165293</v>
      </c>
      <c r="E133" s="57">
        <f>67.7599987169*Deflactores!$B$5</f>
        <v>228.52815393101082</v>
      </c>
      <c r="F133" s="57">
        <f>45.3434680132099*Deflactores!$C$5</f>
        <v>142.93230503351896</v>
      </c>
      <c r="G133" s="57">
        <f>25.75932846141*Deflactores!$D$5</f>
        <v>76.249292860690019</v>
      </c>
      <c r="H133" s="57">
        <f>14.07881189925*Deflactores!$E$5</f>
        <v>39.502742778911227</v>
      </c>
      <c r="I133" s="57">
        <f>16.36594000554*Deflactores!$F$5</f>
        <v>43.793773653791838</v>
      </c>
      <c r="J133" s="57">
        <f>28.45390370256*Deflactores!$G$5</f>
        <v>72.876689521622339</v>
      </c>
      <c r="K133" s="57">
        <f>80.1799888930199*Deflactores!$H$5</f>
        <v>194.29451537689988</v>
      </c>
      <c r="L133" s="57">
        <f>68.0964490781*Deflactores!$I$5</f>
        <v>153.2521833822662</v>
      </c>
      <c r="M133" s="57">
        <f>161.22756615091*Deflactores!$J$5</f>
        <v>355.72438145211237</v>
      </c>
      <c r="N133" s="57">
        <f>196.947816135099*Deflactores!$K$5</f>
        <v>421.17921311361545</v>
      </c>
      <c r="O133" s="57">
        <f>190.46371623978*Deflactores!$L$5</f>
        <v>392.67885316346553</v>
      </c>
      <c r="P133" s="57">
        <f>269.75182525852*Deflactores!$M$5</f>
        <v>542.90030083872693</v>
      </c>
      <c r="Q133" s="57">
        <f>340.227922619699*Deflactores!$N$5</f>
        <v>671.7087636700951</v>
      </c>
      <c r="R133" s="57">
        <f>265.280484673829*Deflactores!$O$5</f>
        <v>505.24864665857046</v>
      </c>
      <c r="S133" s="57">
        <f>296.32573987144*Deflactores!$P$5</f>
        <v>528.59127614419936</v>
      </c>
      <c r="T133" s="57">
        <f>283.24741470155*Deflactores!$Q$5</f>
        <v>477.78905005632743</v>
      </c>
      <c r="U133" s="57">
        <f>344.67392163169*Deflactores!$R$5</f>
        <v>558.55977272942448</v>
      </c>
      <c r="V133" s="57">
        <f>176.62144535663*Deflactores!$S$5</f>
        <v>277.4017140025872</v>
      </c>
    </row>
    <row r="134" spans="3:22" x14ac:dyDescent="0.2">
      <c r="C134" s="87" t="s">
        <v>127</v>
      </c>
      <c r="D134" s="56">
        <f>0*Deflactores!$A$5</f>
        <v>0</v>
      </c>
      <c r="E134" s="56">
        <f>0*Deflactores!$B$5</f>
        <v>0</v>
      </c>
      <c r="F134" s="56">
        <f>0*Deflactores!$C$5</f>
        <v>0</v>
      </c>
      <c r="G134" s="56">
        <f>7.4222326*Deflactores!$D$5</f>
        <v>21.970292744447679</v>
      </c>
      <c r="H134" s="56">
        <f>0*Deflactores!$E$5</f>
        <v>0</v>
      </c>
      <c r="I134" s="56">
        <f>4.468227078*Deflactores!$F$5</f>
        <v>11.956571099578532</v>
      </c>
      <c r="J134" s="56">
        <f>37.905725492*Deflactores!$G$5</f>
        <v>97.084878639122977</v>
      </c>
      <c r="K134" s="56">
        <f>12.99541459514*Deflactores!$H$5</f>
        <v>31.490872170779603</v>
      </c>
      <c r="L134" s="56">
        <f>13.60924860814*Deflactores!$I$5</f>
        <v>30.627838773171394</v>
      </c>
      <c r="M134" s="56">
        <f>10.39842512527*Deflactores!$J$5</f>
        <v>22.942561461856421</v>
      </c>
      <c r="N134" s="56">
        <f>26.66466349089*Deflactores!$K$5</f>
        <v>57.023236953938181</v>
      </c>
      <c r="O134" s="56">
        <f>13.969757142*Deflactores!$L$5</f>
        <v>28.801434319315096</v>
      </c>
      <c r="P134" s="56">
        <f>5.50236868371*Deflactores!$M$5</f>
        <v>11.07402187491741</v>
      </c>
      <c r="Q134" s="56">
        <f>36.250531477*Deflactores!$N$5</f>
        <v>71.569080789460457</v>
      </c>
      <c r="R134" s="56">
        <f>50.0090147194*Deflactores!$O$5</f>
        <v>95.246308972829127</v>
      </c>
      <c r="S134" s="56">
        <f>52.21069267632*Deflactores!$P$5</f>
        <v>93.134388805110021</v>
      </c>
      <c r="T134" s="56">
        <f>62.44311337586*Deflactores!$Q$5</f>
        <v>105.33065537013864</v>
      </c>
      <c r="U134" s="56">
        <f>64.75029318367*Deflactores!$R$5</f>
        <v>104.93079625409368</v>
      </c>
      <c r="V134" s="56">
        <f>47.1439929030099*Deflactores!$S$5</f>
        <v>74.044374451892338</v>
      </c>
    </row>
    <row r="135" spans="3:22" x14ac:dyDescent="0.2">
      <c r="C135" s="88" t="s">
        <v>128</v>
      </c>
      <c r="D135" s="57">
        <f>10.81033053774*Deflactores!$A$5</f>
        <v>39.247544216334191</v>
      </c>
      <c r="E135" s="57">
        <f>16.33027567655*Deflactores!$B$5</f>
        <v>55.075676272344452</v>
      </c>
      <c r="F135" s="57">
        <f>9.56217100551*Deflactores!$C$5</f>
        <v>30.142007279726666</v>
      </c>
      <c r="G135" s="57">
        <f>8.85966617445*Deflactores!$D$5</f>
        <v>26.22518990724534</v>
      </c>
      <c r="H135" s="57">
        <f>23.9751768125299*Deflactores!$E$5</f>
        <v>67.27025330558881</v>
      </c>
      <c r="I135" s="57">
        <f>27.54740621182*Deflactores!$F$5</f>
        <v>73.714364832153038</v>
      </c>
      <c r="J135" s="57">
        <f>41.98571098829*Deflactores!$G$5</f>
        <v>107.53461655115144</v>
      </c>
      <c r="K135" s="57">
        <f>48.8601640135099*Deflactores!$H$5</f>
        <v>118.39939141058163</v>
      </c>
      <c r="L135" s="57">
        <f>66.02130261582*Deflactores!$I$5</f>
        <v>148.58203199423048</v>
      </c>
      <c r="M135" s="57">
        <f>74.20576713338*Deflactores!$J$5</f>
        <v>163.7238671021897</v>
      </c>
      <c r="N135" s="57">
        <f>88.33363912274*Deflactores!$K$5</f>
        <v>188.90431662190619</v>
      </c>
      <c r="O135" s="57">
        <f>99.35858038635*Deflactores!$L$5</f>
        <v>204.84748574864298</v>
      </c>
      <c r="P135" s="57">
        <f>178.169738125579*Deflactores!$M$5</f>
        <v>358.58294688472699</v>
      </c>
      <c r="Q135" s="57">
        <f>184.03218067343*Deflactores!$N$5</f>
        <v>363.33299043722855</v>
      </c>
      <c r="R135" s="57">
        <f>185.030510433559*Deflactores!$O$5</f>
        <v>352.40592651225279</v>
      </c>
      <c r="S135" s="57">
        <f>215.144885750789*Deflactores!$P$5</f>
        <v>383.77938333756015</v>
      </c>
      <c r="T135" s="57">
        <f>166.25990999328*Deflactores!$Q$5</f>
        <v>280.45150753393636</v>
      </c>
      <c r="U135" s="57">
        <f>162.92680751657*Deflactores!$R$5</f>
        <v>264.03030477957373</v>
      </c>
      <c r="V135" s="57">
        <f>114.45080612089*Deflactores!$S$5</f>
        <v>179.75648270121516</v>
      </c>
    </row>
    <row r="136" spans="3:22" x14ac:dyDescent="0.2">
      <c r="C136" s="87" t="s">
        <v>129</v>
      </c>
      <c r="D136" s="56">
        <f>374.780201278269*Deflactores!$A$5</f>
        <v>1360.6616809471382</v>
      </c>
      <c r="E136" s="56">
        <f>486.1584655014*Deflactores!$B$5</f>
        <v>1639.623653228587</v>
      </c>
      <c r="F136" s="56">
        <f>594.142404962609*Deflactores!$C$5</f>
        <v>1872.8638805202072</v>
      </c>
      <c r="G136" s="56">
        <f>489.906165050439*Deflactores!$D$5</f>
        <v>1450.1542114791507</v>
      </c>
      <c r="H136" s="56">
        <f>488.87610196832*Deflactores!$E$5</f>
        <v>1371.7028855140893</v>
      </c>
      <c r="I136" s="56">
        <f>443.46374567396*Deflactores!$F$5</f>
        <v>1186.6688314349171</v>
      </c>
      <c r="J136" s="56">
        <f>780.094188589369*Deflactores!$G$5</f>
        <v>1997.9923519012432</v>
      </c>
      <c r="K136" s="56">
        <f>1051.38409716063*Deflactores!$H$5</f>
        <v>2547.7449729428381</v>
      </c>
      <c r="L136" s="56">
        <f>3178.24698326772*Deflactores!$I$5</f>
        <v>7152.6973301537855</v>
      </c>
      <c r="M136" s="56">
        <f>2692.66550749357*Deflactores!$J$5</f>
        <v>5940.9615550112439</v>
      </c>
      <c r="N136" s="56">
        <f>1654.59335431806*Deflactores!$K$5</f>
        <v>3538.4008854236981</v>
      </c>
      <c r="O136" s="56">
        <f>1221.70833427074*Deflactores!$L$5</f>
        <v>2518.7948501315877</v>
      </c>
      <c r="P136" s="56">
        <f>1728.4208645898*Deflactores!$M$5</f>
        <v>3478.605590388298</v>
      </c>
      <c r="Q136" s="56">
        <f>2611.96601479736*Deflactores!$N$5</f>
        <v>5156.7797523455138</v>
      </c>
      <c r="R136" s="56">
        <f>1954.77701016862*Deflactores!$O$5</f>
        <v>3723.034659414649</v>
      </c>
      <c r="S136" s="56">
        <f>1297.93957147016*Deflactores!$P$5</f>
        <v>2315.2883537525981</v>
      </c>
      <c r="T136" s="56">
        <f>919.92657398606*Deflactores!$Q$5</f>
        <v>1551.7558893502805</v>
      </c>
      <c r="U136" s="56">
        <f>870.369440705935*Deflactores!$R$5</f>
        <v>1410.4732806296693</v>
      </c>
      <c r="V136" s="56">
        <f>572.697959538358*Deflactores!$S$5</f>
        <v>899.47964847045273</v>
      </c>
    </row>
    <row r="137" spans="3:22" x14ac:dyDescent="0.2">
      <c r="C137" s="88" t="s">
        <v>130</v>
      </c>
      <c r="D137" s="57">
        <f>27.695599534*Deflactores!$A$5</f>
        <v>100.55051170857109</v>
      </c>
      <c r="E137" s="57">
        <f>45.9626122644199*Deflactores!$B$5</f>
        <v>155.01403674045497</v>
      </c>
      <c r="F137" s="57">
        <f>17.7510424217999*Deflactores!$C$5</f>
        <v>55.955080660272337</v>
      </c>
      <c r="G137" s="57">
        <f>18.94644900922*Deflactores!$D$5</f>
        <v>56.082725189764879</v>
      </c>
      <c r="H137" s="57">
        <f>65.29733279061*Deflactores!$E$5</f>
        <v>183.21316882668503</v>
      </c>
      <c r="I137" s="57">
        <f>55.02314283727*Deflactores!$F$5</f>
        <v>147.23694834027054</v>
      </c>
      <c r="J137" s="57">
        <f>85.7099960436*Deflactores!$G$5</f>
        <v>219.52210269155231</v>
      </c>
      <c r="K137" s="57">
        <f>68.90876094461*Deflactores!$H$5</f>
        <v>166.98174317309235</v>
      </c>
      <c r="L137" s="57">
        <f>134.61671082754*Deflactores!$I$5</f>
        <v>302.95713114789157</v>
      </c>
      <c r="M137" s="57">
        <f>109.875524249819*Deflactores!$J$5</f>
        <v>242.42382263532562</v>
      </c>
      <c r="N137" s="57">
        <f>111.83176094635*Deflactores!$K$5</f>
        <v>239.15580279490854</v>
      </c>
      <c r="O137" s="57">
        <f>137.59055559581*Deflactores!$L$5</f>
        <v>283.67031077703137</v>
      </c>
      <c r="P137" s="57">
        <f>264.16768379326*Deflactores!$M$5</f>
        <v>531.66170373744592</v>
      </c>
      <c r="Q137" s="57">
        <f>321.37163963124*Deflactores!$N$5</f>
        <v>634.48098284580044</v>
      </c>
      <c r="R137" s="57">
        <f>290.49069110278*Deflactores!$O$5</f>
        <v>553.26357205299496</v>
      </c>
      <c r="S137" s="57">
        <f>350.12694987756*Deflactores!$P$5</f>
        <v>624.56285886116177</v>
      </c>
      <c r="T137" s="57">
        <f>227.25612097164*Deflactores!$Q$5</f>
        <v>383.34149059377643</v>
      </c>
      <c r="U137" s="57">
        <f>416.07362905724*Deflactores!$R$5</f>
        <v>674.2662473120256</v>
      </c>
      <c r="V137" s="57">
        <f>366.45051589856*Deflactores!$S$5</f>
        <v>575.54732949974129</v>
      </c>
    </row>
    <row r="138" spans="3:22" x14ac:dyDescent="0.2">
      <c r="C138" s="87" t="s">
        <v>131</v>
      </c>
      <c r="D138" s="56">
        <f>169.188048669849*Deflactores!$A$5</f>
        <v>614.2472145383075</v>
      </c>
      <c r="E138" s="56">
        <f>139.11346896152*Deflactores!$B$5</f>
        <v>469.17569142140599</v>
      </c>
      <c r="F138" s="56">
        <f>196.42927268097*Deflactores!$C$5</f>
        <v>619.18706156682322</v>
      </c>
      <c r="G138" s="56">
        <f>205.01550600608*Deflactores!$D$5</f>
        <v>606.85927359709103</v>
      </c>
      <c r="H138" s="56">
        <f>230.76454297012*Deflactores!$E$5</f>
        <v>647.48591349013418</v>
      </c>
      <c r="I138" s="56">
        <f>332.8362102315*Deflactores!$F$5</f>
        <v>890.63956300279983</v>
      </c>
      <c r="J138" s="56">
        <f>327.58081383208*Deflactores!$G$5</f>
        <v>839.00632800458266</v>
      </c>
      <c r="K138" s="56">
        <f>588.49145276112*Deflactores!$H$5</f>
        <v>1426.0498560336362</v>
      </c>
      <c r="L138" s="56">
        <f>747.77543992495*Deflactores!$I$5</f>
        <v>1682.8809783708432</v>
      </c>
      <c r="M138" s="56">
        <f>847.0796552275*Deflactores!$J$5</f>
        <v>1868.9538866723772</v>
      </c>
      <c r="N138" s="56">
        <f>872.891935211169*Deflactores!$K$5</f>
        <v>1866.7073624887053</v>
      </c>
      <c r="O138" s="56">
        <f>823.59137679668*Deflactores!$L$5</f>
        <v>1697.9975173260511</v>
      </c>
      <c r="P138" s="56">
        <f>939.444264046669*Deflactores!$M$5</f>
        <v>1890.7177850728708</v>
      </c>
      <c r="Q138" s="56">
        <f>1452.86796654884*Deflactores!$N$5</f>
        <v>2868.3834591590989</v>
      </c>
      <c r="R138" s="56">
        <f>1828.69422446178*Deflactores!$O$5</f>
        <v>3482.8995551545349</v>
      </c>
      <c r="S138" s="56">
        <f>2404.93892024993*Deflactores!$P$5</f>
        <v>4289.9740449657947</v>
      </c>
      <c r="T138" s="56">
        <f>2540.95208699506*Deflactores!$Q$5</f>
        <v>4286.1435652050423</v>
      </c>
      <c r="U138" s="56">
        <f>3215.79767578864*Deflactores!$R$5</f>
        <v>5211.3464529866733</v>
      </c>
      <c r="V138" s="56">
        <f>3216.79805199394*Deflactores!$S$5</f>
        <v>5052.3043304367675</v>
      </c>
    </row>
    <row r="139" spans="3:22" x14ac:dyDescent="0.2">
      <c r="C139" s="88" t="s">
        <v>132</v>
      </c>
      <c r="D139" s="57">
        <f>10.71460767639*Deflactores!$A$5</f>
        <v>38.900016708249908</v>
      </c>
      <c r="E139" s="57">
        <f>13.4776209981599*Deflactores!$B$5</f>
        <v>45.454780171404039</v>
      </c>
      <c r="F139" s="57">
        <f>13.7587882372099*Deflactores!$C$5</f>
        <v>43.370641977352861</v>
      </c>
      <c r="G139" s="57">
        <f>4.77014016313*Deflactores!$D$5</f>
        <v>14.119926100943468</v>
      </c>
      <c r="H139" s="57">
        <f>8.00518310248*Deflactores!$E$5</f>
        <v>22.461177211423635</v>
      </c>
      <c r="I139" s="57">
        <f>7.40048757974*Deflactores!$F$5</f>
        <v>19.803034710204393</v>
      </c>
      <c r="J139" s="57">
        <f>13.73105068396*Deflactores!$G$5</f>
        <v>35.168233081866454</v>
      </c>
      <c r="K139" s="57">
        <f>18.82257105827*Deflactores!$H$5</f>
        <v>45.611409684695076</v>
      </c>
      <c r="L139" s="57">
        <f>26.45965187497*Deflactores!$I$5</f>
        <v>59.547883572066098</v>
      </c>
      <c r="M139" s="57">
        <f>54.8975614129099*Deflactores!$J$5</f>
        <v>121.1232144914848</v>
      </c>
      <c r="N139" s="57">
        <f>55.12108273146*Deflactores!$K$5</f>
        <v>117.87820096914196</v>
      </c>
      <c r="O139" s="57">
        <f>56.6895695242899*Deflactores!$L$5</f>
        <v>116.87682875568792</v>
      </c>
      <c r="P139" s="57">
        <f>80.1373566613899*Deflactores!$M$5</f>
        <v>161.28378370820607</v>
      </c>
      <c r="Q139" s="57">
        <f>102.67366818914*Deflactores!$N$5</f>
        <v>202.70765018275918</v>
      </c>
      <c r="R139" s="57">
        <f>104.075041159179*Deflactores!$O$5</f>
        <v>198.21953266281034</v>
      </c>
      <c r="S139" s="57">
        <f>129.36235917998*Deflactores!$P$5</f>
        <v>230.7589430254566</v>
      </c>
      <c r="T139" s="57">
        <f>194.748476017*Deflactores!$Q$5</f>
        <v>328.50675602502054</v>
      </c>
      <c r="U139" s="57">
        <f>255.078204177249*Deflactores!$R$5</f>
        <v>413.36583597328462</v>
      </c>
      <c r="V139" s="57">
        <f>339.458929162989*Deflactores!$S$5</f>
        <v>533.1543323810829</v>
      </c>
    </row>
    <row r="140" spans="3:22" x14ac:dyDescent="0.2">
      <c r="C140" s="87" t="s">
        <v>133</v>
      </c>
      <c r="D140" s="56">
        <f>18.9942303141999*Deflactores!$A$5</f>
        <v>68.959676256822817</v>
      </c>
      <c r="E140" s="56">
        <f>24.84059606474*Deflactores!$B$5</f>
        <v>83.777681061335699</v>
      </c>
      <c r="F140" s="56">
        <f>9.08884023026*Deflactores!$C$5</f>
        <v>28.649967484048151</v>
      </c>
      <c r="G140" s="56">
        <f>18.127861628*Deflactores!$D$5</f>
        <v>53.659653134287375</v>
      </c>
      <c r="H140" s="56">
        <f>27.88430015412*Deflactores!$E$5</f>
        <v>78.238586071089983</v>
      </c>
      <c r="I140" s="56">
        <f>33.70649794642*Deflactores!$F$5</f>
        <v>90.195536658929072</v>
      </c>
      <c r="J140" s="56">
        <f>28.05706183419*Deflactores!$G$5</f>
        <v>71.860290438645933</v>
      </c>
      <c r="K140" s="56">
        <f>64.56180970379*Deflactores!$H$5</f>
        <v>156.44808263805504</v>
      </c>
      <c r="L140" s="56">
        <f>66.9291484721199*Deflactores!$I$5</f>
        <v>150.62515408849612</v>
      </c>
      <c r="M140" s="56">
        <f>65.28756853026*Deflactores!$J$5</f>
        <v>144.04720288465418</v>
      </c>
      <c r="N140" s="56">
        <f>47.77773096756*Deflactores!$K$5</f>
        <v>102.174208011869</v>
      </c>
      <c r="O140" s="56">
        <f>77.95589247418*Deflactores!$L$5</f>
        <v>160.72158549903338</v>
      </c>
      <c r="P140" s="56">
        <f>86.19673746862*Deflactores!$M$5</f>
        <v>173.47884359330217</v>
      </c>
      <c r="Q140" s="56">
        <f>107.75934030461*Deflactores!$N$5</f>
        <v>212.74824444912772</v>
      </c>
      <c r="R140" s="56">
        <f>106.336095625098*Deflactores!$O$5</f>
        <v>202.52589809459664</v>
      </c>
      <c r="S140" s="56">
        <f>97.02218605889*Deflactores!$P$5</f>
        <v>173.06995053962737</v>
      </c>
      <c r="T140" s="56">
        <f>121.89319768445*Deflactores!$Q$5</f>
        <v>205.61259205612373</v>
      </c>
      <c r="U140" s="56">
        <f>145.77749863347*Deflactores!$R$5</f>
        <v>236.23906943787932</v>
      </c>
      <c r="V140" s="56">
        <f>91.74052183514*Deflactores!$S$5</f>
        <v>144.08770095371835</v>
      </c>
    </row>
    <row r="141" spans="3:22" x14ac:dyDescent="0.2">
      <c r="C141" s="88" t="s">
        <v>134</v>
      </c>
      <c r="D141" s="57">
        <f>801.46593205672*Deflactores!$A$5</f>
        <v>2909.7694558429007</v>
      </c>
      <c r="E141" s="57">
        <f>1559.82854455736*Deflactores!$B$5</f>
        <v>5260.6957568858861</v>
      </c>
      <c r="F141" s="57">
        <f>809.87538221251*Deflactores!$C$5</f>
        <v>2552.9003457744493</v>
      </c>
      <c r="G141" s="57">
        <f>1103.3633023722*Deflactores!$D$5</f>
        <v>3266.0273617129401</v>
      </c>
      <c r="H141" s="57">
        <f>890.26765944766*Deflactores!$E$5</f>
        <v>2497.9390737806293</v>
      </c>
      <c r="I141" s="57">
        <f>1174.51310616847*Deflactores!$F$5</f>
        <v>3142.8907296215393</v>
      </c>
      <c r="J141" s="57">
        <f>291.993925303829*Deflactores!$G$5</f>
        <v>747.86049952971496</v>
      </c>
      <c r="K141" s="57">
        <f>765.099038578859*Deflactores!$H$5</f>
        <v>1854.0105700732097</v>
      </c>
      <c r="L141" s="57">
        <f>833.782151987589*Deflactores!$I$5</f>
        <v>1876.4405044191446</v>
      </c>
      <c r="M141" s="57">
        <f>939.48507055268*Deflactores!$J$5</f>
        <v>2072.832540888418</v>
      </c>
      <c r="N141" s="57">
        <f>790.9529417306*Deflactores!$K$5</f>
        <v>1691.4782003953594</v>
      </c>
      <c r="O141" s="57">
        <f>1259.04466016327*Deflactores!$L$5</f>
        <v>2595.7711158595898</v>
      </c>
      <c r="P141" s="57">
        <f>2021.72160811752*Deflactores!$M$5</f>
        <v>4068.9002500993806</v>
      </c>
      <c r="Q141" s="57">
        <f>1814.92079018698*Deflactores!$N$5</f>
        <v>3583.1809180998225</v>
      </c>
      <c r="R141" s="57">
        <f>1015.41085541104*Deflactores!$O$5</f>
        <v>1933.9340439220114</v>
      </c>
      <c r="S141" s="57">
        <f>1110.37882274774*Deflactores!$P$5</f>
        <v>1980.7140587056736</v>
      </c>
      <c r="T141" s="57">
        <f>526.79344931591*Deflactores!$Q$5</f>
        <v>888.60878744383263</v>
      </c>
      <c r="U141" s="57">
        <f>810.35270506719*Deflactores!$R$5</f>
        <v>1313.2134297548441</v>
      </c>
      <c r="V141" s="57">
        <f>739.679385667829*Deflactores!$S$5</f>
        <v>1161.7407443491638</v>
      </c>
    </row>
    <row r="142" spans="3:22" x14ac:dyDescent="0.2">
      <c r="C142" s="87" t="s">
        <v>135</v>
      </c>
      <c r="D142" s="56"/>
      <c r="E142" s="56"/>
      <c r="F142" s="56"/>
      <c r="G142" s="56"/>
      <c r="H142" s="56"/>
      <c r="I142" s="56"/>
      <c r="J142" s="56"/>
      <c r="K142" s="56"/>
      <c r="L142" s="56"/>
      <c r="M142" s="56"/>
      <c r="N142" s="56"/>
      <c r="O142" s="56"/>
      <c r="P142" s="56"/>
      <c r="Q142" s="56"/>
      <c r="R142" s="56"/>
      <c r="S142" s="56"/>
      <c r="T142" s="56"/>
      <c r="U142" s="56"/>
      <c r="V142" s="56"/>
    </row>
    <row r="143" spans="3:22" x14ac:dyDescent="0.2">
      <c r="C143" s="88" t="s">
        <v>136</v>
      </c>
      <c r="D143" s="57">
        <f>817.00175736841*Deflactores!$A$5</f>
        <v>2966.1731882476702</v>
      </c>
      <c r="E143" s="57">
        <f>877.317112734489*Deflactores!$B$5</f>
        <v>2958.849822635736</v>
      </c>
      <c r="F143" s="57">
        <f>857.16431398532*Deflactores!$C$5</f>
        <v>2701.9651684935984</v>
      </c>
      <c r="G143" s="57">
        <f>928.74532389988*Deflactores!$D$5</f>
        <v>2749.1467528405456</v>
      </c>
      <c r="H143" s="57">
        <f>1078.94435076419*Deflactores!$E$5</f>
        <v>3027.3336603969874</v>
      </c>
      <c r="I143" s="57">
        <f>1311.52550112266*Deflactores!$F$5</f>
        <v>3509.5234931753948</v>
      </c>
      <c r="J143" s="57">
        <f>2123.84716704215*Deflactores!$G$5</f>
        <v>5439.6385185623039</v>
      </c>
      <c r="K143" s="57">
        <f>3287.63952890138*Deflactores!$H$5</f>
        <v>7966.705132051241</v>
      </c>
      <c r="L143" s="57">
        <f>4135.68846171922*Deflactores!$I$5</f>
        <v>9307.435191230099</v>
      </c>
      <c r="M143" s="57">
        <f>4964.55824101403*Deflactores!$J$5</f>
        <v>10953.551254471597</v>
      </c>
      <c r="N143" s="57">
        <f>5022.27878588627*Deflactores!$K$5</f>
        <v>10740.304048996302</v>
      </c>
      <c r="O143" s="57">
        <f>5129.14889700087*Deflactores!$L$5</f>
        <v>10574.76114790987</v>
      </c>
      <c r="P143" s="57">
        <f>6589.98532507785*Deflactores!$M$5</f>
        <v>13262.950165689603</v>
      </c>
      <c r="Q143" s="57">
        <f>7572.82294810456*Deflactores!$N$5</f>
        <v>14950.952587303367</v>
      </c>
      <c r="R143" s="57">
        <f>7946.36494688745*Deflactores!$O$5</f>
        <v>15134.50995163261</v>
      </c>
      <c r="S143" s="57">
        <f>9264.28027735149*Deflactores!$P$5</f>
        <v>16525.792651314452</v>
      </c>
      <c r="T143" s="57">
        <f>8514.94929041735*Deflactores!$Q$5</f>
        <v>14363.236243596479</v>
      </c>
      <c r="U143" s="57">
        <f>9806.64375952104*Deflactores!$R$5</f>
        <v>15892.112416354274</v>
      </c>
      <c r="V143" s="57">
        <f>9038.05083604682*Deflactores!$S$5</f>
        <v>14195.16632365612</v>
      </c>
    </row>
    <row r="144" spans="3:22" x14ac:dyDescent="0.2">
      <c r="C144" s="87" t="s">
        <v>137</v>
      </c>
      <c r="D144" s="56">
        <f>24.36744170196*Deflactores!$A$5</f>
        <v>88.467437910234068</v>
      </c>
      <c r="E144" s="56">
        <f>26.42519348584*Deflactores!$B$5</f>
        <v>89.121912617194724</v>
      </c>
      <c r="F144" s="56">
        <f>30.22770868621*Deflactores!$C$5</f>
        <v>95.284200078013967</v>
      </c>
      <c r="G144" s="56">
        <f>22.88263410236*Deflactores!$D$5</f>
        <v>67.734089873838087</v>
      </c>
      <c r="H144" s="56">
        <f>45.4067096615799*Deflactores!$E$5</f>
        <v>127.40347587807794</v>
      </c>
      <c r="I144" s="56">
        <f>137.53648224792*Deflactores!$F$5</f>
        <v>368.03517370009007</v>
      </c>
      <c r="J144" s="56">
        <f>70.83701341901*Deflactores!$G$5</f>
        <v>181.42913139583476</v>
      </c>
      <c r="K144" s="56">
        <f>95.87794444704*Deflactores!$H$5</f>
        <v>232.33426455728386</v>
      </c>
      <c r="L144" s="56">
        <f>120.604147199779*Deflactores!$I$5</f>
        <v>271.4216252616099</v>
      </c>
      <c r="M144" s="56">
        <f>110.95893645974*Deflactores!$J$5</f>
        <v>244.81420876737877</v>
      </c>
      <c r="N144" s="56">
        <f>131.72810381729*Deflactores!$K$5</f>
        <v>281.70476931136318</v>
      </c>
      <c r="O144" s="56">
        <f>159.51962882887*Deflactores!$L$5</f>
        <v>328.88145911593557</v>
      </c>
      <c r="P144" s="56">
        <f>185.62468888608*Deflactores!$M$5</f>
        <v>373.58671935868568</v>
      </c>
      <c r="Q144" s="56">
        <f>229.75940640711*Deflactores!$N$5</f>
        <v>453.61181889766237</v>
      </c>
      <c r="R144" s="56">
        <f>442.145904402699*Deflactores!$O$5</f>
        <v>842.10348190430614</v>
      </c>
      <c r="S144" s="56">
        <f>233.386044956109*Deflactores!$P$5</f>
        <v>416.31829685507239</v>
      </c>
      <c r="T144" s="56">
        <f>183.21774493076*Deflactores!$Q$5</f>
        <v>309.0564212074741</v>
      </c>
      <c r="U144" s="56">
        <f>220.72471494984*Deflactores!$R$5</f>
        <v>357.69444359034532</v>
      </c>
      <c r="V144" s="56">
        <f>424.446039833209*Deflactores!$S$5</f>
        <v>666.63512300898958</v>
      </c>
    </row>
    <row r="145" spans="3:22" x14ac:dyDescent="0.2">
      <c r="C145" s="88" t="s">
        <v>138</v>
      </c>
      <c r="D145" s="57">
        <f>7.52295500662999*Deflactores!$A$5</f>
        <v>27.312532972921428</v>
      </c>
      <c r="E145" s="57">
        <f>20.17112825247*Deflactores!$B$5</f>
        <v>68.029380010789893</v>
      </c>
      <c r="F145" s="57">
        <f>4.38859275891*Deflactores!$C$5</f>
        <v>13.833782601314786</v>
      </c>
      <c r="G145" s="57">
        <f>2.28970573560999*Deflactores!$D$5</f>
        <v>6.7776783645923997</v>
      </c>
      <c r="H145" s="57">
        <f>7.12534524595*Deflactores!$E$5</f>
        <v>19.99250238414615</v>
      </c>
      <c r="I145" s="57">
        <f>3.16276031088*Deflactores!$F$5</f>
        <v>8.4632602300258064</v>
      </c>
      <c r="J145" s="57">
        <f>2.11638848706*Deflactores!$G$5</f>
        <v>5.4205352028632579</v>
      </c>
      <c r="K145" s="57">
        <f>30.79647868335*Deflactores!$H$5</f>
        <v>74.62693601866313</v>
      </c>
      <c r="L145" s="57">
        <f>71.2173298511699*Deflactores!$I$5</f>
        <v>160.27577710886646</v>
      </c>
      <c r="M145" s="57">
        <f>25.2180316322599*Deflactores!$J$5</f>
        <v>55.639794843946568</v>
      </c>
      <c r="N145" s="57">
        <f>23.2431248755599*Deflactores!$K$5</f>
        <v>49.706167031954116</v>
      </c>
      <c r="O145" s="57">
        <f>20.1905176041299*Deflactores!$L$5</f>
        <v>41.626769938612476</v>
      </c>
      <c r="P145" s="57">
        <f>61.56805910132*Deflactores!$M$5</f>
        <v>123.91136844441955</v>
      </c>
      <c r="Q145" s="57">
        <f>35.68837414953*Deflactores!$N$5</f>
        <v>70.459218904770168</v>
      </c>
      <c r="R145" s="57">
        <f>16.94319640491*Deflactores!$O$5</f>
        <v>32.269720345907018</v>
      </c>
      <c r="S145" s="57">
        <f>15.94781464683*Deflactores!$P$5</f>
        <v>28.448003536703553</v>
      </c>
      <c r="T145" s="57">
        <f>10.34211277051*Deflactores!$Q$5</f>
        <v>17.445342762983199</v>
      </c>
      <c r="U145" s="57">
        <f>7.8715181802*Deflactores!$R$5</f>
        <v>12.756153366503497</v>
      </c>
      <c r="V145" s="57">
        <f>6.81710210028*Deflactores!$S$5</f>
        <v>10.706943334824896</v>
      </c>
    </row>
    <row r="146" spans="3:22" x14ac:dyDescent="0.2">
      <c r="C146" s="87" t="s">
        <v>139</v>
      </c>
      <c r="D146" s="56">
        <f>113.282107713959*Deflactores!$A$5</f>
        <v>411.27739026124397</v>
      </c>
      <c r="E146" s="56">
        <f>123.5719322651*Deflactores!$B$5</f>
        <v>416.76012533908107</v>
      </c>
      <c r="F146" s="56">
        <f>101.83389389402*Deflactores!$C$5</f>
        <v>321.00220434331715</v>
      </c>
      <c r="G146" s="56">
        <f>90.38338924063*Deflactores!$D$5</f>
        <v>267.54072903239432</v>
      </c>
      <c r="H146" s="56">
        <f>122.97180658007*Deflactores!$E$5</f>
        <v>345.03789660328556</v>
      </c>
      <c r="I146" s="56">
        <f>143.79416348421*Deflactores!$F$5</f>
        <v>384.78016210692147</v>
      </c>
      <c r="J146" s="56">
        <f>225.996687735199*Deflactores!$G$5</f>
        <v>578.82709582345763</v>
      </c>
      <c r="K146" s="56">
        <f>394.79532147188*Deflactores!$H$5</f>
        <v>956.67967428621148</v>
      </c>
      <c r="L146" s="56">
        <f>644.72682019834*Deflactores!$I$5</f>
        <v>1450.9683576478524</v>
      </c>
      <c r="M146" s="56">
        <f>644.77386761342*Deflactores!$J$5</f>
        <v>1422.5965863590966</v>
      </c>
      <c r="N146" s="56">
        <f>379.485892584169*Deflactores!$K$5</f>
        <v>811.5427363595627</v>
      </c>
      <c r="O146" s="56">
        <f>3871.01836837401*Deflactores!$L$5</f>
        <v>7980.8746961240722</v>
      </c>
      <c r="P146" s="56">
        <f>314.057097133329*Deflactores!$M$5</f>
        <v>632.06872595141556</v>
      </c>
      <c r="Q146" s="56">
        <f>590.26395046095*Deflactores!$N$5</f>
        <v>1165.3525241264097</v>
      </c>
      <c r="R146" s="56">
        <f>597.90107394488*Deflactores!$O$5</f>
        <v>1138.7520978702387</v>
      </c>
      <c r="S146" s="56">
        <f>653.66416680226*Deflactores!$P$5</f>
        <v>1166.0180997089371</v>
      </c>
      <c r="T146" s="56">
        <f>680.13159640313*Deflactores!$Q$5</f>
        <v>1147.2635317824374</v>
      </c>
      <c r="U146" s="56">
        <f>751.12750158627*Deflactores!$R$5</f>
        <v>1217.2362927566296</v>
      </c>
      <c r="V146" s="56">
        <f>171.16764030663*Deflactores!$S$5</f>
        <v>268.83596557010685</v>
      </c>
    </row>
    <row r="147" spans="3:22" x14ac:dyDescent="0.2">
      <c r="C147" s="88" t="s">
        <v>140</v>
      </c>
      <c r="D147" s="57">
        <f>227.03769302656*Deflactores!$A$5</f>
        <v>824.27376894039719</v>
      </c>
      <c r="E147" s="57">
        <f>374.08923224375*Deflactores!$B$5</f>
        <v>1261.657663355465</v>
      </c>
      <c r="F147" s="57">
        <f>231.66463807137*Deflactores!$C$5</f>
        <v>730.25646614966047</v>
      </c>
      <c r="G147" s="57">
        <f>324.010158458349*Deflactores!$D$5</f>
        <v>959.09120841952699</v>
      </c>
      <c r="H147" s="57">
        <f>553.23098619496*Deflactores!$E$5</f>
        <v>1552.271704556767</v>
      </c>
      <c r="I147" s="57">
        <f>546.688745857729*Deflactores!$F$5</f>
        <v>1462.8895857533578</v>
      </c>
      <c r="J147" s="57">
        <f>631.35953685754*Deflactores!$G$5</f>
        <v>1617.0502798160019</v>
      </c>
      <c r="K147" s="57">
        <f>2364.65997421346*Deflactores!$H$5</f>
        <v>5730.1138359343622</v>
      </c>
      <c r="L147" s="57">
        <f>1592.21400222523*Deflactores!$I$5</f>
        <v>3583.3039102079601</v>
      </c>
      <c r="M147" s="57">
        <f>6301.95146951901*Deflactores!$J$5</f>
        <v>13904.308313738242</v>
      </c>
      <c r="N147" s="57">
        <f>1192.31335319672*Deflactores!$K$5</f>
        <v>2549.8002960326066</v>
      </c>
      <c r="O147" s="57">
        <f>1961.63514664162*Deflactores!$L$5</f>
        <v>4044.3012187089498</v>
      </c>
      <c r="P147" s="57">
        <f>2396.12253346078*Deflactores!$M$5</f>
        <v>4822.4164674905123</v>
      </c>
      <c r="Q147" s="57">
        <f>2899.66958730926*Deflactores!$N$5</f>
        <v>5724.790189312067</v>
      </c>
      <c r="R147" s="57">
        <f>2423.08673821602*Deflactores!$O$5</f>
        <v>4614.9693096544324</v>
      </c>
      <c r="S147" s="57">
        <f>2522.46524619877*Deflactores!$P$5</f>
        <v>4499.6196553700347</v>
      </c>
      <c r="T147" s="57">
        <f>2444.9303940781*Deflactores!$Q$5</f>
        <v>4124.1716951636681</v>
      </c>
      <c r="U147" s="57">
        <f>2901.18830494239*Deflactores!$R$5</f>
        <v>4701.5076527475085</v>
      </c>
      <c r="V147" s="57">
        <f>3247.85286163991*Deflactores!$S$5</f>
        <v>5101.0790271131618</v>
      </c>
    </row>
    <row r="148" spans="3:22" x14ac:dyDescent="0.2">
      <c r="C148" s="87" t="s">
        <v>141</v>
      </c>
      <c r="D148" s="56">
        <f>5.64863593475*Deflactores!$A$5</f>
        <v>20.507706756709606</v>
      </c>
      <c r="E148" s="56">
        <f>2.66726163305*Deflactores!$B$5</f>
        <v>8.9956373759479344</v>
      </c>
      <c r="F148" s="56">
        <f>1.55640111348999*Deflactores!$C$5</f>
        <v>4.9061090484532546</v>
      </c>
      <c r="G148" s="56">
        <f>1.83048793790999*Deflactores!$D$5</f>
        <v>5.4183637226705681</v>
      </c>
      <c r="H148" s="56">
        <f>4.84555397526*Deflactores!$E$5</f>
        <v>13.595797264414292</v>
      </c>
      <c r="I148" s="56">
        <f>5.14883565759999*Deflactores!$F$5</f>
        <v>13.777818035088561</v>
      </c>
      <c r="J148" s="56">
        <f>15.54192819144*Deflactores!$G$5</f>
        <v>39.806287643864422</v>
      </c>
      <c r="K148" s="56">
        <f>26.31463174855*Deflactores!$H$5</f>
        <v>63.766392256898925</v>
      </c>
      <c r="L148" s="56">
        <f>29.1385931337199*Deflactores!$I$5</f>
        <v>65.576885122284878</v>
      </c>
      <c r="M148" s="56">
        <f>47.78993232131*Deflactores!$J$5</f>
        <v>105.44129965172435</v>
      </c>
      <c r="N148" s="56">
        <f>49.09830355952*Deflactores!$K$5</f>
        <v>104.998294798186</v>
      </c>
      <c r="O148" s="56">
        <f>38.6246968345799*Deflactores!$L$5</f>
        <v>79.632498809878783</v>
      </c>
      <c r="P148" s="56">
        <f>67.66939726001*Deflactores!$M$5</f>
        <v>136.19087134934747</v>
      </c>
      <c r="Q148" s="56">
        <f>84.7549178525399*Deflactores!$N$5</f>
        <v>167.33083118908536</v>
      </c>
      <c r="R148" s="56">
        <f>70.14538218855*Deflactores!$O$5</f>
        <v>133.5976879855628</v>
      </c>
      <c r="S148" s="56">
        <f>75.2911576258199*Deflactores!$P$5</f>
        <v>134.30574444552994</v>
      </c>
      <c r="T148" s="56">
        <f>73.5266226617762*Deflactores!$Q$5</f>
        <v>124.02660491159587</v>
      </c>
      <c r="U148" s="56">
        <f>184.88003834659*Deflactores!$R$5</f>
        <v>299.60651421556247</v>
      </c>
      <c r="V148" s="56">
        <f>187.80872071984*Deflactores!$S$5</f>
        <v>294.97245324383346</v>
      </c>
    </row>
    <row r="149" spans="3:22" x14ac:dyDescent="0.2">
      <c r="C149" s="88" t="s">
        <v>142</v>
      </c>
      <c r="D149" s="57">
        <f>73.75037041274*Deflactores!$A$5</f>
        <v>267.75508053523072</v>
      </c>
      <c r="E149" s="57">
        <f>252.48768843675*Deflactores!$B$5</f>
        <v>851.5428928774113</v>
      </c>
      <c r="F149" s="57">
        <f>76.58199002285*Deflactores!$C$5</f>
        <v>241.4028048059975</v>
      </c>
      <c r="G149" s="57">
        <f>71.36813679982*Deflactores!$D$5</f>
        <v>211.25434119618328</v>
      </c>
      <c r="H149" s="57">
        <f>178.39657636155*Deflactores!$E$5</f>
        <v>500.55033898308682</v>
      </c>
      <c r="I149" s="57">
        <f>49.46614453939*Deflactores!$F$5</f>
        <v>132.36692403555702</v>
      </c>
      <c r="J149" s="57">
        <f>77.96077735111*Deflactores!$G$5</f>
        <v>199.67465361773904</v>
      </c>
      <c r="K149" s="57">
        <f>235.402423269129*Deflactores!$H$5</f>
        <v>570.4340993193249</v>
      </c>
      <c r="L149" s="57">
        <f>216.37885741334*Deflactores!$I$5</f>
        <v>486.96419248414134</v>
      </c>
      <c r="M149" s="57">
        <f>392.20329242046*Deflactores!$J$5</f>
        <v>865.33759040412474</v>
      </c>
      <c r="N149" s="57">
        <f>364.27379815127*Deflactores!$K$5</f>
        <v>779.01118516600479</v>
      </c>
      <c r="O149" s="57">
        <f>331.60481365184*Deflactores!$L$5</f>
        <v>683.66931244982641</v>
      </c>
      <c r="P149" s="57">
        <f>479.672873293676*Deflactores!$M$5</f>
        <v>965.38567242591125</v>
      </c>
      <c r="Q149" s="57">
        <f>305.90711746438*Deflactores!$N$5</f>
        <v>603.94952327168005</v>
      </c>
      <c r="R149" s="57">
        <f>264.62577991303*Deflactores!$O$5</f>
        <v>504.0017072360896</v>
      </c>
      <c r="S149" s="57">
        <f>236.277721472553*Deflactores!$P$5</f>
        <v>421.47652232912833</v>
      </c>
      <c r="T149" s="57">
        <f>315.659091245459*Deflactores!$Q$5</f>
        <v>532.46190263280857</v>
      </c>
      <c r="U149" s="57">
        <f>356.97338186623*Deflactores!$R$5</f>
        <v>578.49160766714385</v>
      </c>
      <c r="V149" s="57">
        <f>192.89894153638*Deflactores!$S$5</f>
        <v>302.96715613117931</v>
      </c>
    </row>
    <row r="150" spans="3:22" x14ac:dyDescent="0.2">
      <c r="C150" s="87" t="s">
        <v>143</v>
      </c>
      <c r="D150" s="56">
        <f>718.40662013482*Deflactores!$A$5</f>
        <v>2608.2177127345371</v>
      </c>
      <c r="E150" s="56">
        <f>463.112746190829*Deflactores!$B$5</f>
        <v>1561.8993942293982</v>
      </c>
      <c r="F150" s="56">
        <f>548.64166500979*Deflactores!$C$5</f>
        <v>1729.435820710303</v>
      </c>
      <c r="G150" s="56">
        <f>452.383238663089*Deflactores!$D$5</f>
        <v>1339.0839012656929</v>
      </c>
      <c r="H150" s="56">
        <f>566.94882185901*Deflactores!$E$5</f>
        <v>1590.7616096423806</v>
      </c>
      <c r="I150" s="56">
        <f>494.27365250874*Deflactores!$F$5</f>
        <v>1322.6315417063329</v>
      </c>
      <c r="J150" s="56">
        <f>41.04272188957*Deflactores!$G$5</f>
        <v>105.11941459896696</v>
      </c>
      <c r="K150" s="56">
        <f>131.67513412123*Deflactores!$H$5</f>
        <v>319.07907103114957</v>
      </c>
      <c r="L150" s="56">
        <f>81.63637765991*Deflactores!$I$5</f>
        <v>183.72401629124042</v>
      </c>
      <c r="M150" s="56">
        <f>46.1006452501199*Deflactores!$J$5</f>
        <v>101.71414174169497</v>
      </c>
      <c r="N150" s="56">
        <f>46.53746680118*Deflactores!$K$5</f>
        <v>99.521863365962332</v>
      </c>
      <c r="O150" s="56">
        <f>58.33011774961*Deflactores!$L$5</f>
        <v>120.2591453900386</v>
      </c>
      <c r="P150" s="56">
        <f>372.748891778969*Deflactores!$M$5</f>
        <v>750.19134825191588</v>
      </c>
      <c r="Q150" s="56">
        <f>124.345286329229*Deflactores!$N$5</f>
        <v>245.4937205191471</v>
      </c>
      <c r="R150" s="56">
        <f>124.1417305893*Deflactores!$O$5</f>
        <v>236.43820408129895</v>
      </c>
      <c r="S150" s="56">
        <f>130.97061398072*Deflactores!$P$5</f>
        <v>233.62777736248387</v>
      </c>
      <c r="T150" s="56">
        <f>88.30376686255*Deflactores!$Q$5</f>
        <v>148.95307316435074</v>
      </c>
      <c r="U150" s="56">
        <f>65.19307945691*Deflactores!$R$5</f>
        <v>105.64835155673397</v>
      </c>
      <c r="V150" s="56">
        <f>78.5139442469199*Deflactores!$S$5</f>
        <v>123.31403280740722</v>
      </c>
    </row>
    <row r="151" spans="3:22" x14ac:dyDescent="0.2">
      <c r="C151" s="88" t="s">
        <v>144</v>
      </c>
      <c r="D151" s="57">
        <f>14.73981976564*Deflactores!$A$5</f>
        <v>53.513787203188855</v>
      </c>
      <c r="E151" s="57">
        <f>36.9019071491*Deflactores!$B$5</f>
        <v>124.45579806680384</v>
      </c>
      <c r="F151" s="57">
        <f>15.62194082882*Deflactores!$C$5</f>
        <v>49.243697264399358</v>
      </c>
      <c r="G151" s="57">
        <f>15.42717776738*Deflactores!$D$5</f>
        <v>45.665452706234689</v>
      </c>
      <c r="H151" s="57">
        <f>24.92414537975*Deflactores!$E$5</f>
        <v>69.932897105678549</v>
      </c>
      <c r="I151" s="57">
        <f>25.71910550014*Deflactores!$F$5</f>
        <v>68.82199766526395</v>
      </c>
      <c r="J151" s="57">
        <f>40.19750277736*Deflactores!$G$5</f>
        <v>102.95462303074613</v>
      </c>
      <c r="K151" s="57">
        <f>62.7475421650899*Deflactores!$H$5</f>
        <v>152.05169599517205</v>
      </c>
      <c r="L151" s="57">
        <f>66.64584190023*Deflactores!$I$5</f>
        <v>149.98756796915416</v>
      </c>
      <c r="M151" s="57">
        <f>66.84890307403*Deflactores!$J$5</f>
        <v>147.49205278273263</v>
      </c>
      <c r="N151" s="57">
        <f>57.07880841601*Deflactores!$K$5</f>
        <v>122.06486005220317</v>
      </c>
      <c r="O151" s="57">
        <f>39.60658874449*Deflactores!$L$5</f>
        <v>81.656864377904242</v>
      </c>
      <c r="P151" s="57">
        <f>44.1923291217699*Deflactores!$M$5</f>
        <v>88.941117458537519</v>
      </c>
      <c r="Q151" s="57">
        <f>181.58406608302*Deflactores!$N$5</f>
        <v>358.49970099941504</v>
      </c>
      <c r="R151" s="57">
        <f>192.71394876508*Deflactores!$O$5</f>
        <v>367.03967095620868</v>
      </c>
      <c r="S151" s="57">
        <f>147.0199113*Deflactores!$P$5</f>
        <v>262.2568075469573</v>
      </c>
      <c r="T151" s="57">
        <f>104.66538750656*Deflactores!$Q$5</f>
        <v>176.55227717869457</v>
      </c>
      <c r="U151" s="57">
        <f>173.59849377794*Deflactores!$R$5</f>
        <v>281.32425792976329</v>
      </c>
      <c r="V151" s="57">
        <f>151.81051551769*Deflactores!$S$5</f>
        <v>238.4336574938053</v>
      </c>
    </row>
    <row r="152" spans="3:22" x14ac:dyDescent="0.2">
      <c r="C152" s="87" t="s">
        <v>145</v>
      </c>
      <c r="D152" s="56">
        <f>6.68320523515*Deflactores!$A$5</f>
        <v>24.263771774384786</v>
      </c>
      <c r="E152" s="56">
        <f>0.179651677*Deflactores!$B$5</f>
        <v>0.60589531984717415</v>
      </c>
      <c r="F152" s="56">
        <f>0.061303668*Deflactores!$C$5</f>
        <v>0.19324226747933934</v>
      </c>
      <c r="G152" s="56">
        <f>8.40790062*Deflactores!$D$5</f>
        <v>24.88793439154994</v>
      </c>
      <c r="H152" s="56">
        <f>9.425352765*Deflactores!$E$5</f>
        <v>26.445930845636848</v>
      </c>
      <c r="I152" s="56">
        <f>54.204262007*Deflactores!$F$5</f>
        <v>145.04569738138068</v>
      </c>
      <c r="J152" s="56">
        <f>89.03308216332*Deflactores!$G$5</f>
        <v>228.03325525367538</v>
      </c>
      <c r="K152" s="56">
        <f>11.112593046*Deflactores!$H$5</f>
        <v>26.928363426616048</v>
      </c>
      <c r="L152" s="56">
        <f>99.338879946*Deflactores!$I$5</f>
        <v>223.5637900738846</v>
      </c>
      <c r="M152" s="56">
        <f>96.725080599*Deflactores!$J$5</f>
        <v>213.40934610883713</v>
      </c>
      <c r="N152" s="56">
        <f>55.392725633*Deflactores!$K$5</f>
        <v>118.45911801490413</v>
      </c>
      <c r="O152" s="56">
        <f>41.18434711021*Deflactores!$L$5</f>
        <v>84.90972722155486</v>
      </c>
      <c r="P152" s="56">
        <f>49.59683279394*Deflactores!$M$5</f>
        <v>99.818177017608946</v>
      </c>
      <c r="Q152" s="56">
        <f>53.04030926297*Deflactores!$N$5</f>
        <v>104.71697997443039</v>
      </c>
      <c r="R152" s="56">
        <f>63.97678277378*Deflactores!$O$5</f>
        <v>121.84907967793156</v>
      </c>
      <c r="S152" s="56">
        <f>75.8594413196*Deflactores!$P$5</f>
        <v>135.31945929540251</v>
      </c>
      <c r="T152" s="56">
        <f>77.4344168357599*Deflactores!$Q$5</f>
        <v>130.61837298888136</v>
      </c>
      <c r="U152" s="56">
        <f>91.0800743556*Deflactores!$R$5</f>
        <v>147.59940465297331</v>
      </c>
      <c r="V152" s="56">
        <f>71.3016582573999*Deflactores!$S$5</f>
        <v>111.98641349521141</v>
      </c>
    </row>
    <row r="153" spans="3:22" x14ac:dyDescent="0.2">
      <c r="C153" s="88" t="s">
        <v>146</v>
      </c>
      <c r="D153" s="57">
        <f>3.22159064087999*Deflactores!$A$5</f>
        <v>11.696175309668112</v>
      </c>
      <c r="E153" s="57">
        <f>4.15648078777*Deflactores!$B$5</f>
        <v>14.01819508951502</v>
      </c>
      <c r="F153" s="57">
        <f>1.22104400305*Deflactores!$C$5</f>
        <v>3.8489917412679344</v>
      </c>
      <c r="G153" s="57">
        <f>2.72121537173*Deflactores!$D$5</f>
        <v>8.0549750404748988</v>
      </c>
      <c r="H153" s="57">
        <f>2.51507912359*Deflactores!$E$5</f>
        <v>7.0568826687057244</v>
      </c>
      <c r="I153" s="57">
        <f>4.06416115487*Deflactores!$F$5</f>
        <v>10.875327274123007</v>
      </c>
      <c r="J153" s="57">
        <f>4.29933402766*Deflactores!$G$5</f>
        <v>11.011537620946342</v>
      </c>
      <c r="K153" s="57">
        <f>4.2471910791*Deflactores!$H$5</f>
        <v>10.291918767011275</v>
      </c>
      <c r="L153" s="57">
        <f>8.28613521355*Deflactores!$I$5</f>
        <v>18.64808415811525</v>
      </c>
      <c r="M153" s="57">
        <f>9.8050009605*Deflactores!$J$5</f>
        <v>21.633260273535075</v>
      </c>
      <c r="N153" s="57">
        <f>12.12643918677*Deflactores!$K$5</f>
        <v>25.932778615074394</v>
      </c>
      <c r="O153" s="57">
        <f>12.2800177855892*Deflactores!$L$5</f>
        <v>25.31770037922314</v>
      </c>
      <c r="P153" s="57">
        <f>66.5097178681379*Deflactores!$M$5</f>
        <v>133.85691016068651</v>
      </c>
      <c r="Q153" s="57">
        <f>56.5490803393421*Deflactores!$N$5</f>
        <v>111.64431346182838</v>
      </c>
      <c r="R153" s="57">
        <f>54.5006118748415*Deflactores!$O$5</f>
        <v>103.80092763206663</v>
      </c>
      <c r="S153" s="57">
        <f>70.0090265771473*Deflactores!$P$5</f>
        <v>124.8833824428565</v>
      </c>
      <c r="T153" s="57">
        <f>83.3066685856979*Deflactores!$Q$5</f>
        <v>140.52383881016968</v>
      </c>
      <c r="U153" s="57">
        <f>90.76807237012*Deflactores!$R$5</f>
        <v>147.09379123935662</v>
      </c>
      <c r="V153" s="57">
        <f>72.205492557945*Deflactores!$S$5</f>
        <v>113.40597601571557</v>
      </c>
    </row>
    <row r="154" spans="3:22" x14ac:dyDescent="0.2">
      <c r="C154" s="90" t="s">
        <v>147</v>
      </c>
      <c r="D154" s="58">
        <f>971.46803810106*Deflactores!$A$5</f>
        <v>3526.9721538133217</v>
      </c>
      <c r="E154" s="58">
        <f>1444.16817623228*Deflactores!$B$5</f>
        <v>4870.6182634263278</v>
      </c>
      <c r="F154" s="58">
        <f>1237.23579845466*Deflactores!$C$5</f>
        <v>3900.0317419830308</v>
      </c>
      <c r="G154" s="58">
        <f>1286.61709889984*Deflactores!$D$5</f>
        <v>3808.4705554554398</v>
      </c>
      <c r="H154" s="58">
        <f>1757.78294595062*Deflactores!$E$5</f>
        <v>4932.0388731625271</v>
      </c>
      <c r="I154" s="58">
        <f>2013.19805546808*Deflactores!$F$5</f>
        <v>5387.1357179348224</v>
      </c>
      <c r="J154" s="58">
        <f>2374.70064626304*Deflactores!$G$5</f>
        <v>6082.1293103953694</v>
      </c>
      <c r="K154" s="58">
        <f>2846.84021725201*Deflactores!$H$5</f>
        <v>6898.5472310859877</v>
      </c>
      <c r="L154" s="58">
        <f>2543.73241313696*Deflactores!$I$5</f>
        <v>5724.7118099561985</v>
      </c>
      <c r="M154" s="58">
        <f>3177.62275260752*Deflactores!$J$5</f>
        <v>7010.9467949261652</v>
      </c>
      <c r="N154" s="58">
        <f>3843.70821348829*Deflactores!$K$5</f>
        <v>8219.8931298879652</v>
      </c>
      <c r="O154" s="58">
        <f>4958.18497879838*Deflactores!$L$5</f>
        <v>10222.285008845307</v>
      </c>
      <c r="P154" s="58">
        <f>5518.05437003525*Deflactores!$M$5</f>
        <v>11105.590757970116</v>
      </c>
      <c r="Q154" s="58">
        <f>6865.41331515895*Deflactores!$N$5</f>
        <v>13554.320452305583</v>
      </c>
      <c r="R154" s="58">
        <f>7804.77834762242*Deflactores!$O$5</f>
        <v>14864.846550830242</v>
      </c>
      <c r="S154" s="58">
        <f>8685.5361302055*Deflactores!$P$5</f>
        <v>15493.418253350888</v>
      </c>
      <c r="T154" s="58">
        <f>8754.06241530257*Deflactores!$Q$5</f>
        <v>14766.57843443443</v>
      </c>
      <c r="U154" s="58">
        <f>4904.71281720446*Deflactores!$R$5</f>
        <v>7948.3102855929455</v>
      </c>
      <c r="V154" s="58">
        <f>4882.98883149726*Deflactores!$S$5</f>
        <v>7669.2242472467315</v>
      </c>
    </row>
    <row r="155" spans="3:22" ht="22.5" customHeight="1" x14ac:dyDescent="0.2">
      <c r="C155" s="89" t="s">
        <v>148</v>
      </c>
      <c r="D155" s="59">
        <f>0*Deflactores!$A$5</f>
        <v>0</v>
      </c>
      <c r="E155" s="59">
        <f>0*Deflactores!$B$5</f>
        <v>0</v>
      </c>
      <c r="F155" s="59">
        <f>0*Deflactores!$C$5</f>
        <v>0</v>
      </c>
      <c r="G155" s="59">
        <f>0*Deflactores!$D$5</f>
        <v>0</v>
      </c>
      <c r="H155" s="59">
        <f>0*Deflactores!$E$5</f>
        <v>0</v>
      </c>
      <c r="I155" s="59">
        <f>0*Deflactores!$F$5</f>
        <v>0</v>
      </c>
      <c r="J155" s="59">
        <f>0*Deflactores!$G$5</f>
        <v>0</v>
      </c>
      <c r="K155" s="59">
        <f>0*Deflactores!$H$5</f>
        <v>0</v>
      </c>
      <c r="L155" s="59">
        <f>0*Deflactores!$I$5</f>
        <v>0</v>
      </c>
      <c r="M155" s="59">
        <f>0*Deflactores!$J$5</f>
        <v>0</v>
      </c>
      <c r="N155" s="59">
        <f>0*Deflactores!$K$5</f>
        <v>0</v>
      </c>
      <c r="O155" s="59">
        <f>0*Deflactores!$L$5</f>
        <v>0</v>
      </c>
      <c r="P155" s="59">
        <f>0*Deflactores!$M$5</f>
        <v>0</v>
      </c>
      <c r="Q155" s="59">
        <f>0*Deflactores!$N$5</f>
        <v>0</v>
      </c>
      <c r="R155" s="59">
        <f>0*Deflactores!$O$5</f>
        <v>0</v>
      </c>
      <c r="S155" s="59">
        <f>0*Deflactores!$P$5</f>
        <v>0</v>
      </c>
      <c r="T155" s="59">
        <f>0*Deflactores!$Q$5</f>
        <v>0</v>
      </c>
      <c r="U155" s="59">
        <f>0*Deflactores!$R$5</f>
        <v>0</v>
      </c>
      <c r="V155" s="59">
        <f>12.311477938*Deflactores!$S$5</f>
        <v>19.336412263019891</v>
      </c>
    </row>
    <row r="156" spans="3:22" x14ac:dyDescent="0.2">
      <c r="C156" s="87" t="s">
        <v>149</v>
      </c>
      <c r="D156" s="56">
        <f>94.40266373272*Deflactores!$A$5</f>
        <v>342.73445257338409</v>
      </c>
      <c r="E156" s="56">
        <f>81.43017299833*Deflactores!$B$5</f>
        <v>274.63234152851174</v>
      </c>
      <c r="F156" s="56">
        <f>35.13029292422*Deflactores!$C$5</f>
        <v>110.73819370628301</v>
      </c>
      <c r="G156" s="56">
        <f>7.24933269774*Deflactores!$D$5</f>
        <v>21.458497753256133</v>
      </c>
      <c r="H156" s="56">
        <f>109.438533897589*Deflactores!$E$5</f>
        <v>307.0658437369928</v>
      </c>
      <c r="I156" s="56">
        <f>51.41709900302*Deflactores!$F$5</f>
        <v>137.58750153737756</v>
      </c>
      <c r="J156" s="56">
        <f>164.40030992394*Deflactores!$G$5</f>
        <v>421.06525940437257</v>
      </c>
      <c r="K156" s="56">
        <f>291.67470827661*Deflactores!$H$5</f>
        <v>706.79476107081484</v>
      </c>
      <c r="L156" s="56">
        <f>380.42160236914*Deflactores!$I$5</f>
        <v>856.14509946012117</v>
      </c>
      <c r="M156" s="56">
        <f>555.316363883059*Deflactores!$J$5</f>
        <v>1225.2220558092347</v>
      </c>
      <c r="N156" s="56">
        <f>627.407203402709*Deflactores!$K$5</f>
        <v>1341.7304005529088</v>
      </c>
      <c r="O156" s="56">
        <f>727.71011415458*Deflactores!$L$5</f>
        <v>1500.3192140907747</v>
      </c>
      <c r="P156" s="56">
        <f>788.17832313196*Deflactores!$M$5</f>
        <v>1586.2811987752782</v>
      </c>
      <c r="Q156" s="56">
        <f>983.85580846924*Deflactores!$N$5</f>
        <v>1942.4171997641072</v>
      </c>
      <c r="R156" s="56">
        <f>1446.93779287466*Deflactores!$O$5</f>
        <v>2755.8128241055015</v>
      </c>
      <c r="S156" s="56">
        <f>1032.25091600697*Deflactores!$P$5</f>
        <v>1841.3480692897845</v>
      </c>
      <c r="T156" s="56">
        <f>1051.63255207066*Deflactores!$Q$5</f>
        <v>1773.9209326643941</v>
      </c>
      <c r="U156" s="56">
        <f>1023.37485997553*Deflactores!$R$5</f>
        <v>1658.4255243300747</v>
      </c>
      <c r="V156" s="56">
        <f>945.31420821359*Deflactores!$S$5</f>
        <v>1484.7108803801034</v>
      </c>
    </row>
    <row r="157" spans="3:22" x14ac:dyDescent="0.2">
      <c r="C157" s="88" t="s">
        <v>150</v>
      </c>
      <c r="D157" s="57">
        <f>682.09655497948*Deflactores!$A$5</f>
        <v>2476.3918742269102</v>
      </c>
      <c r="E157" s="57">
        <f>1131.43884252533*Deflactores!$B$5</f>
        <v>3815.9037022482198</v>
      </c>
      <c r="F157" s="57">
        <f>758.15952853007*Deflactores!$C$5</f>
        <v>2389.8809187766319</v>
      </c>
      <c r="G157" s="57">
        <f>625.27694496387*Deflactores!$D$5</f>
        <v>1850.860552013706</v>
      </c>
      <c r="H157" s="57">
        <f>722.12438531332*Deflactores!$E$5</f>
        <v>2026.1577504939232</v>
      </c>
      <c r="I157" s="57">
        <f>1055.88292690967*Deflactores!$F$5</f>
        <v>2825.4471109103629</v>
      </c>
      <c r="J157" s="57">
        <f>1468.84770911653*Deflactores!$G$5</f>
        <v>3762.0412148298929</v>
      </c>
      <c r="K157" s="57">
        <f>2482.14491252525*Deflactores!$H$5</f>
        <v>6014.8068056955672</v>
      </c>
      <c r="L157" s="57">
        <f>1982.43551078557*Deflactores!$I$5</f>
        <v>4461.5038604139745</v>
      </c>
      <c r="M157" s="57">
        <f>3001.02539719712*Deflactores!$J$5</f>
        <v>6621.3112845777459</v>
      </c>
      <c r="N157" s="57">
        <f>2785.10933767969*Deflactores!$K$5</f>
        <v>5956.0455266721956</v>
      </c>
      <c r="O157" s="57">
        <f>4038.06054733299*Deflactores!$L$5</f>
        <v>8325.2653893150036</v>
      </c>
      <c r="P157" s="57">
        <f>6577.41866073648*Deflactores!$M$5</f>
        <v>13237.658600581821</v>
      </c>
      <c r="Q157" s="57">
        <f>7327.1784824746*Deflactores!$N$5</f>
        <v>14465.979046506902</v>
      </c>
      <c r="R157" s="57">
        <f>6250.32099694961*Deflactores!$O$5</f>
        <v>11904.253826938155</v>
      </c>
      <c r="S157" s="57">
        <f>5623.62541849055*Deflactores!$P$5</f>
        <v>10031.525907288815</v>
      </c>
      <c r="T157" s="57">
        <f>4614.80123962273*Deflactores!$Q$5</f>
        <v>7784.3658442614578</v>
      </c>
      <c r="U157" s="57">
        <f>4113.60200255287*Deflactores!$R$5</f>
        <v>6666.2792147660466</v>
      </c>
      <c r="V157" s="57">
        <f>3163.7539422333*Deflactores!$S$5</f>
        <v>4968.9932300455794</v>
      </c>
    </row>
    <row r="158" spans="3:22" x14ac:dyDescent="0.2">
      <c r="C158" s="87" t="s">
        <v>151</v>
      </c>
      <c r="D158" s="56">
        <f>100.948252663*Deflactores!$A$5</f>
        <v>366.49860021588711</v>
      </c>
      <c r="E158" s="56">
        <f>22.2915544975*Deflactores!$B$5</f>
        <v>75.180754044135512</v>
      </c>
      <c r="F158" s="56">
        <f>62.2780432594*Deflactores!$C$5</f>
        <v>196.31370660598711</v>
      </c>
      <c r="G158" s="56">
        <f>37.7819633763*Deflactores!$D$5</f>
        <v>111.83707660109059</v>
      </c>
      <c r="H158" s="56">
        <f>11.2291030325*Deflactores!$E$5</f>
        <v>31.506946175931912</v>
      </c>
      <c r="I158" s="56">
        <f>41.03221104073*Deflactores!$F$5</f>
        <v>109.79848161633639</v>
      </c>
      <c r="J158" s="56">
        <f>125.64485526255*Deflactores!$G$5</f>
        <v>321.80403795118679</v>
      </c>
      <c r="K158" s="56">
        <f>325.9551277969*Deflactores!$H$5</f>
        <v>789.86408534446048</v>
      </c>
      <c r="L158" s="56">
        <f>389.407859120639*Deflactores!$I$5</f>
        <v>876.36881870312288</v>
      </c>
      <c r="M158" s="56">
        <f>650.05388572466*Deflactores!$J$5</f>
        <v>1434.2461523825566</v>
      </c>
      <c r="N158" s="56">
        <f>306.21313702589*Deflactores!$K$5</f>
        <v>654.84660164572176</v>
      </c>
      <c r="O158" s="56">
        <f>637.29823071676*Deflactores!$L$5</f>
        <v>1313.9171244874374</v>
      </c>
      <c r="P158" s="56">
        <f>1657.54176837605*Deflactores!$M$5</f>
        <v>3335.9549053716391</v>
      </c>
      <c r="Q158" s="56">
        <f>2016.43837959365*Deflactores!$N$5</f>
        <v>3981.035185309503</v>
      </c>
      <c r="R158" s="56">
        <f>2151.24944030729*Deflactores!$O$5</f>
        <v>4097.2326693260684</v>
      </c>
      <c r="S158" s="56">
        <f>2217.50120484273*Deflactores!$P$5</f>
        <v>3955.6192189974877</v>
      </c>
      <c r="T158" s="56">
        <f>1425.55479938684*Deflactores!$Q$5</f>
        <v>2404.662630795583</v>
      </c>
      <c r="U158" s="56">
        <f>1825.77093120336*Deflactores!$R$5</f>
        <v>2958.7448669199689</v>
      </c>
      <c r="V158" s="56">
        <f>347.66261301993*Deflactores!$S$5</f>
        <v>546.03904158757655</v>
      </c>
    </row>
    <row r="159" spans="3:22" x14ac:dyDescent="0.2">
      <c r="C159" s="79" t="s">
        <v>202</v>
      </c>
      <c r="D159" s="44">
        <f t="shared" ref="D159:V159" si="32">+SUM(D130:D158)</f>
        <v>20265.74652272059</v>
      </c>
      <c r="E159" s="44">
        <f t="shared" si="32"/>
        <v>25480.723272974083</v>
      </c>
      <c r="F159" s="44">
        <f t="shared" si="32"/>
        <v>18827.136566163128</v>
      </c>
      <c r="G159" s="44">
        <f t="shared" si="32"/>
        <v>17690.243516316525</v>
      </c>
      <c r="H159" s="44">
        <f t="shared" si="32"/>
        <v>20414.749418493167</v>
      </c>
      <c r="I159" s="44">
        <f t="shared" si="32"/>
        <v>22641.028465618223</v>
      </c>
      <c r="J159" s="44">
        <f t="shared" si="32"/>
        <v>24986.925040270973</v>
      </c>
      <c r="K159" s="44">
        <f t="shared" si="32"/>
        <v>40437.723140136033</v>
      </c>
      <c r="L159" s="44">
        <f t="shared" si="32"/>
        <v>43114.62476774949</v>
      </c>
      <c r="M159" s="44">
        <f t="shared" si="32"/>
        <v>58861.41599989307</v>
      </c>
      <c r="N159" s="44">
        <f t="shared" si="32"/>
        <v>43790.504831228434</v>
      </c>
      <c r="O159" s="44">
        <f t="shared" si="32"/>
        <v>56883.254369673639</v>
      </c>
      <c r="P159" s="44">
        <f t="shared" si="32"/>
        <v>65992.526509452538</v>
      </c>
      <c r="Q159" s="44">
        <f t="shared" si="32"/>
        <v>76601.97625163343</v>
      </c>
      <c r="R159" s="44">
        <f t="shared" si="32"/>
        <v>74204.832897526023</v>
      </c>
      <c r="S159" s="44">
        <f t="shared" si="32"/>
        <v>71971.579829058057</v>
      </c>
      <c r="T159" s="44">
        <f t="shared" si="32"/>
        <v>60015.130288901368</v>
      </c>
      <c r="U159" s="44">
        <f t="shared" si="32"/>
        <v>57473.900556564367</v>
      </c>
      <c r="V159" s="44">
        <f t="shared" si="32"/>
        <v>47234.613642870732</v>
      </c>
    </row>
    <row r="160" spans="3:22" x14ac:dyDescent="0.2">
      <c r="C160" s="1" t="s">
        <v>52</v>
      </c>
      <c r="D160" s="12"/>
      <c r="E160" s="12"/>
      <c r="F160" s="12"/>
      <c r="G160" s="12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</row>
    <row r="161" spans="2:22" x14ac:dyDescent="0.2">
      <c r="B161" s="9"/>
    </row>
    <row r="162" spans="2:22" x14ac:dyDescent="0.2">
      <c r="D162" s="11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</row>
    <row r="163" spans="2:22" x14ac:dyDescent="0.2"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</row>
    <row r="164" spans="2:22" ht="18" customHeight="1" x14ac:dyDescent="0.2">
      <c r="C164" s="9"/>
      <c r="D164" s="160" t="s">
        <v>206</v>
      </c>
      <c r="E164" s="158"/>
      <c r="F164" s="158"/>
      <c r="G164" s="158"/>
      <c r="H164" s="158"/>
      <c r="I164" s="158"/>
      <c r="J164" s="158"/>
      <c r="K164" s="158"/>
      <c r="L164" s="158"/>
      <c r="M164" s="158"/>
      <c r="N164" s="158"/>
      <c r="O164" s="158"/>
      <c r="P164" s="158"/>
      <c r="Q164" s="158"/>
      <c r="R164" s="158"/>
      <c r="S164" s="158"/>
      <c r="T164" s="158"/>
      <c r="U164" s="158"/>
      <c r="V164" s="158"/>
    </row>
    <row r="165" spans="2:22" ht="1.5" customHeight="1" x14ac:dyDescent="0.2">
      <c r="H165" s="27"/>
      <c r="I165" s="27"/>
      <c r="J165" s="27"/>
      <c r="L165" s="175"/>
      <c r="M165" s="158"/>
      <c r="N165" s="158"/>
      <c r="O165" s="158"/>
      <c r="P165" s="158"/>
      <c r="Q165" s="158"/>
      <c r="R165" s="28"/>
      <c r="S165" s="28"/>
      <c r="T165" s="28"/>
      <c r="U165" s="28"/>
      <c r="V165" s="28"/>
    </row>
    <row r="166" spans="2:22" x14ac:dyDescent="0.2"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</row>
    <row r="167" spans="2:22" x14ac:dyDescent="0.2">
      <c r="C167" s="177" t="s">
        <v>120</v>
      </c>
      <c r="D167" s="153">
        <v>2000</v>
      </c>
      <c r="E167" s="153">
        <v>2001</v>
      </c>
      <c r="F167" s="153">
        <v>2002</v>
      </c>
      <c r="G167" s="153">
        <v>2003</v>
      </c>
      <c r="H167" s="153">
        <v>2004</v>
      </c>
      <c r="I167" s="153">
        <v>2005</v>
      </c>
      <c r="J167" s="153">
        <v>2006</v>
      </c>
      <c r="K167" s="153">
        <v>2007</v>
      </c>
      <c r="L167" s="153">
        <v>2008</v>
      </c>
      <c r="M167" s="153">
        <v>2009</v>
      </c>
      <c r="N167" s="153">
        <v>2010</v>
      </c>
      <c r="O167" s="153">
        <v>2011</v>
      </c>
      <c r="P167" s="153">
        <v>2012</v>
      </c>
      <c r="Q167" s="153">
        <v>2013</v>
      </c>
      <c r="R167" s="153">
        <v>2014</v>
      </c>
      <c r="S167" s="153">
        <v>2015</v>
      </c>
      <c r="T167" s="153">
        <v>2016</v>
      </c>
      <c r="U167" s="153">
        <v>2017</v>
      </c>
      <c r="V167" s="153">
        <v>2018</v>
      </c>
    </row>
    <row r="168" spans="2:22" ht="12" customHeight="1" thickBot="1" x14ac:dyDescent="0.25">
      <c r="C168" s="156"/>
      <c r="D168" s="154"/>
      <c r="E168" s="154"/>
      <c r="F168" s="154"/>
      <c r="G168" s="154"/>
      <c r="H168" s="154"/>
      <c r="I168" s="154"/>
      <c r="J168" s="154"/>
      <c r="K168" s="154"/>
      <c r="L168" s="154"/>
      <c r="M168" s="154"/>
      <c r="N168" s="154"/>
      <c r="O168" s="154"/>
      <c r="P168" s="154"/>
      <c r="Q168" s="154"/>
      <c r="R168" s="154"/>
      <c r="S168" s="154"/>
      <c r="T168" s="154"/>
      <c r="U168" s="154"/>
      <c r="V168" s="154"/>
    </row>
    <row r="169" spans="2:22" x14ac:dyDescent="0.2">
      <c r="C169" s="87" t="s">
        <v>123</v>
      </c>
      <c r="D169" s="60">
        <f t="shared" ref="D169:V169" si="33">+IFERROR(IF(D130&gt;0,+((D130/D13)*100)," "),"")</f>
        <v>79.018396143070163</v>
      </c>
      <c r="E169" s="60">
        <f t="shared" si="33"/>
        <v>55.154954001706514</v>
      </c>
      <c r="F169" s="60">
        <f t="shared" si="33"/>
        <v>48.992902465314167</v>
      </c>
      <c r="G169" s="60">
        <f t="shared" si="33"/>
        <v>58.079822161071974</v>
      </c>
      <c r="H169" s="60">
        <f t="shared" si="33"/>
        <v>64.643652946145522</v>
      </c>
      <c r="I169" s="60">
        <f t="shared" si="33"/>
        <v>80.222120944124555</v>
      </c>
      <c r="J169" s="60">
        <f t="shared" si="33"/>
        <v>79.786377568310257</v>
      </c>
      <c r="K169" s="60">
        <f t="shared" si="33"/>
        <v>93.018582868121484</v>
      </c>
      <c r="L169" s="60">
        <f t="shared" si="33"/>
        <v>96.240865771644039</v>
      </c>
      <c r="M169" s="60">
        <f t="shared" si="33"/>
        <v>84.800534812813623</v>
      </c>
      <c r="N169" s="60">
        <f t="shared" si="33"/>
        <v>77.490075603889807</v>
      </c>
      <c r="O169" s="60">
        <f t="shared" si="33"/>
        <v>74.277722565511638</v>
      </c>
      <c r="P169" s="60">
        <f t="shared" si="33"/>
        <v>84.576449877024444</v>
      </c>
      <c r="Q169" s="60">
        <f t="shared" si="33"/>
        <v>82.821098556276937</v>
      </c>
      <c r="R169" s="60">
        <f t="shared" si="33"/>
        <v>91.737664048981401</v>
      </c>
      <c r="S169" s="60">
        <f t="shared" si="33"/>
        <v>86.686388826959018</v>
      </c>
      <c r="T169" s="60">
        <f t="shared" si="33"/>
        <v>77.505568746829397</v>
      </c>
      <c r="U169" s="60">
        <f t="shared" si="33"/>
        <v>90.628290397157642</v>
      </c>
      <c r="V169" s="60">
        <f t="shared" si="33"/>
        <v>53.071962070529629</v>
      </c>
    </row>
    <row r="170" spans="2:22" x14ac:dyDescent="0.2">
      <c r="C170" s="88" t="s">
        <v>124</v>
      </c>
      <c r="D170" s="62">
        <f t="shared" ref="D170:V170" si="34">+IFERROR(IF(D131&gt;0,+((D131/D14)*100)," "),"")</f>
        <v>45.427422852954336</v>
      </c>
      <c r="E170" s="62">
        <f t="shared" si="34"/>
        <v>53.282234970435816</v>
      </c>
      <c r="F170" s="62">
        <f t="shared" si="34"/>
        <v>50.517007225708568</v>
      </c>
      <c r="G170" s="62">
        <f t="shared" si="34"/>
        <v>55.454828045229313</v>
      </c>
      <c r="H170" s="62">
        <f t="shared" si="34"/>
        <v>22.368191467314404</v>
      </c>
      <c r="I170" s="62">
        <f t="shared" si="34"/>
        <v>37.616036401121633</v>
      </c>
      <c r="J170" s="62">
        <f t="shared" si="34"/>
        <v>40.457263877603964</v>
      </c>
      <c r="K170" s="62">
        <f t="shared" si="34"/>
        <v>94.10323867703589</v>
      </c>
      <c r="L170" s="62">
        <f t="shared" si="34"/>
        <v>92.271274121312388</v>
      </c>
      <c r="M170" s="62">
        <f t="shared" si="34"/>
        <v>78.663488505760554</v>
      </c>
      <c r="N170" s="62">
        <f t="shared" si="34"/>
        <v>83.039734660623594</v>
      </c>
      <c r="O170" s="62">
        <f t="shared" si="34"/>
        <v>83.424497014563144</v>
      </c>
      <c r="P170" s="62">
        <f t="shared" si="34"/>
        <v>77.618213029522735</v>
      </c>
      <c r="Q170" s="62">
        <f t="shared" si="34"/>
        <v>57.242801522640164</v>
      </c>
      <c r="R170" s="62">
        <f t="shared" si="34"/>
        <v>59.688797283372232</v>
      </c>
      <c r="S170" s="62">
        <f t="shared" si="34"/>
        <v>53.425270769267932</v>
      </c>
      <c r="T170" s="62">
        <f t="shared" si="34"/>
        <v>57.761011630239402</v>
      </c>
      <c r="U170" s="62">
        <f t="shared" si="34"/>
        <v>62.299374196312876</v>
      </c>
      <c r="V170" s="62">
        <f t="shared" si="34"/>
        <v>62.674553195269347</v>
      </c>
    </row>
    <row r="171" spans="2:22" x14ac:dyDescent="0.2">
      <c r="C171" s="87" t="s">
        <v>125</v>
      </c>
      <c r="D171" s="60">
        <f t="shared" ref="D171:V171" si="35">+IFERROR(IF(D132&gt;0,+((D132/D15)*100)," "),"")</f>
        <v>60.3886967411309</v>
      </c>
      <c r="E171" s="60">
        <f t="shared" si="35"/>
        <v>49.296107561265273</v>
      </c>
      <c r="F171" s="60">
        <f t="shared" si="35"/>
        <v>29.940145790694906</v>
      </c>
      <c r="G171" s="60">
        <f t="shared" si="35"/>
        <v>18.211423679428094</v>
      </c>
      <c r="H171" s="60">
        <f t="shared" si="35"/>
        <v>41.471657885409883</v>
      </c>
      <c r="I171" s="60">
        <f t="shared" si="35"/>
        <v>40.493980455974786</v>
      </c>
      <c r="J171" s="60">
        <f t="shared" si="35"/>
        <v>31.039083972286779</v>
      </c>
      <c r="K171" s="60">
        <f t="shared" si="35"/>
        <v>83.164763024500743</v>
      </c>
      <c r="L171" s="60">
        <f t="shared" si="35"/>
        <v>90.28818053024203</v>
      </c>
      <c r="M171" s="60">
        <f t="shared" si="35"/>
        <v>83.693273712992692</v>
      </c>
      <c r="N171" s="60">
        <f t="shared" si="35"/>
        <v>93.86654801209778</v>
      </c>
      <c r="O171" s="60">
        <f t="shared" si="35"/>
        <v>95.235448712212687</v>
      </c>
      <c r="P171" s="60">
        <f t="shared" si="35"/>
        <v>91.692770258591793</v>
      </c>
      <c r="Q171" s="60">
        <f t="shared" si="35"/>
        <v>96.575461161576214</v>
      </c>
      <c r="R171" s="60">
        <f t="shared" si="35"/>
        <v>94.96817664683158</v>
      </c>
      <c r="S171" s="60">
        <f t="shared" si="35"/>
        <v>98.468155598670251</v>
      </c>
      <c r="T171" s="60">
        <f t="shared" si="35"/>
        <v>98.750892667861862</v>
      </c>
      <c r="U171" s="60">
        <f t="shared" si="35"/>
        <v>99.939707188785704</v>
      </c>
      <c r="V171" s="60">
        <f t="shared" si="35"/>
        <v>79.425433055381617</v>
      </c>
    </row>
    <row r="172" spans="2:22" x14ac:dyDescent="0.2">
      <c r="C172" s="88" t="s">
        <v>126</v>
      </c>
      <c r="D172" s="62">
        <f t="shared" ref="D172:V172" si="36">+IFERROR(IF(D133&gt;0,+((D133/D16)*100)," "),"")</f>
        <v>55.40268167453867</v>
      </c>
      <c r="E172" s="62">
        <f t="shared" si="36"/>
        <v>48.364853975738725</v>
      </c>
      <c r="F172" s="62">
        <f t="shared" si="36"/>
        <v>33.645308085070255</v>
      </c>
      <c r="G172" s="62">
        <f t="shared" si="36"/>
        <v>50.24724146524678</v>
      </c>
      <c r="H172" s="62">
        <f t="shared" si="36"/>
        <v>32.314558088893996</v>
      </c>
      <c r="I172" s="62">
        <f t="shared" si="36"/>
        <v>34.328101006664866</v>
      </c>
      <c r="J172" s="62">
        <f t="shared" si="36"/>
        <v>48.796894889719567</v>
      </c>
      <c r="K172" s="62">
        <f t="shared" si="36"/>
        <v>89.376360283047802</v>
      </c>
      <c r="L172" s="62">
        <f t="shared" si="36"/>
        <v>92.641770122558896</v>
      </c>
      <c r="M172" s="62">
        <f t="shared" si="36"/>
        <v>88.472896462350931</v>
      </c>
      <c r="N172" s="62">
        <f t="shared" si="36"/>
        <v>89.893188081359057</v>
      </c>
      <c r="O172" s="62">
        <f t="shared" si="36"/>
        <v>89.622183256298541</v>
      </c>
      <c r="P172" s="62">
        <f t="shared" si="36"/>
        <v>93.955393421055632</v>
      </c>
      <c r="Q172" s="62">
        <f t="shared" si="36"/>
        <v>92.104464598508102</v>
      </c>
      <c r="R172" s="62">
        <f t="shared" si="36"/>
        <v>94.950716076893869</v>
      </c>
      <c r="S172" s="62">
        <f t="shared" si="36"/>
        <v>95.631336853011092</v>
      </c>
      <c r="T172" s="62">
        <f t="shared" si="36"/>
        <v>97.818281250817662</v>
      </c>
      <c r="U172" s="62">
        <f t="shared" si="36"/>
        <v>96.384840169530477</v>
      </c>
      <c r="V172" s="62">
        <f t="shared" si="36"/>
        <v>70.060226583987344</v>
      </c>
    </row>
    <row r="173" spans="2:22" x14ac:dyDescent="0.2">
      <c r="C173" s="87" t="s">
        <v>127</v>
      </c>
      <c r="D173" s="60" t="str">
        <f t="shared" ref="D173:V173" si="37">+IFERROR(IF(D134&gt;0,+((D134/D17)*100)," "),"")</f>
        <v xml:space="preserve"> </v>
      </c>
      <c r="E173" s="60" t="str">
        <f t="shared" si="37"/>
        <v xml:space="preserve"> </v>
      </c>
      <c r="F173" s="60" t="str">
        <f t="shared" si="37"/>
        <v xml:space="preserve"> </v>
      </c>
      <c r="G173" s="60">
        <f t="shared" si="37"/>
        <v>43.660191764705885</v>
      </c>
      <c r="H173" s="60" t="str">
        <f t="shared" si="37"/>
        <v xml:space="preserve"> </v>
      </c>
      <c r="I173" s="60">
        <f t="shared" si="37"/>
        <v>51.065452320000006</v>
      </c>
      <c r="J173" s="60">
        <f t="shared" si="37"/>
        <v>89.18994233411766</v>
      </c>
      <c r="K173" s="60">
        <f t="shared" si="37"/>
        <v>93.492191331942436</v>
      </c>
      <c r="L173" s="60">
        <f t="shared" si="37"/>
        <v>71.252610513821992</v>
      </c>
      <c r="M173" s="60">
        <f t="shared" si="37"/>
        <v>48.70456733147541</v>
      </c>
      <c r="N173" s="60">
        <f t="shared" si="37"/>
        <v>66.661658727224989</v>
      </c>
      <c r="O173" s="60">
        <f t="shared" si="37"/>
        <v>27.939514284000001</v>
      </c>
      <c r="P173" s="60">
        <f t="shared" si="37"/>
        <v>12.418999828489419</v>
      </c>
      <c r="Q173" s="60">
        <f t="shared" si="37"/>
        <v>58.007980926966198</v>
      </c>
      <c r="R173" s="60">
        <f t="shared" si="37"/>
        <v>83.064423898218493</v>
      </c>
      <c r="S173" s="60">
        <f t="shared" si="37"/>
        <v>94.475704184733573</v>
      </c>
      <c r="T173" s="60">
        <f t="shared" si="37"/>
        <v>94.677585228277508</v>
      </c>
      <c r="U173" s="60">
        <f t="shared" si="37"/>
        <v>93.474552255921111</v>
      </c>
      <c r="V173" s="60">
        <f t="shared" si="37"/>
        <v>65.555159428505732</v>
      </c>
    </row>
    <row r="174" spans="2:22" x14ac:dyDescent="0.2">
      <c r="C174" s="88" t="s">
        <v>128</v>
      </c>
      <c r="D174" s="62">
        <f t="shared" ref="D174:V174" si="38">+IFERROR(IF(D135&gt;0,+((D135/D18)*100)," "),"")</f>
        <v>43.822572482041508</v>
      </c>
      <c r="E174" s="62">
        <f t="shared" si="38"/>
        <v>65.191397900936295</v>
      </c>
      <c r="F174" s="62">
        <f t="shared" si="38"/>
        <v>55.33984030042248</v>
      </c>
      <c r="G174" s="62">
        <f t="shared" si="38"/>
        <v>70.509824283054826</v>
      </c>
      <c r="H174" s="62">
        <f t="shared" si="38"/>
        <v>65.34492586046467</v>
      </c>
      <c r="I174" s="62">
        <f t="shared" si="38"/>
        <v>81.301537981302275</v>
      </c>
      <c r="J174" s="62">
        <f t="shared" si="38"/>
        <v>76.512171663724246</v>
      </c>
      <c r="K174" s="62">
        <f t="shared" si="38"/>
        <v>77.039334639712337</v>
      </c>
      <c r="L174" s="62">
        <f t="shared" si="38"/>
        <v>87.767293717641905</v>
      </c>
      <c r="M174" s="62">
        <f t="shared" si="38"/>
        <v>76.599534017844334</v>
      </c>
      <c r="N174" s="62">
        <f t="shared" si="38"/>
        <v>86.354071593388397</v>
      </c>
      <c r="O174" s="62">
        <f t="shared" si="38"/>
        <v>83.257239715771192</v>
      </c>
      <c r="P174" s="62">
        <f t="shared" si="38"/>
        <v>92.090300383232645</v>
      </c>
      <c r="Q174" s="62">
        <f t="shared" si="38"/>
        <v>92.682477274170296</v>
      </c>
      <c r="R174" s="62">
        <f t="shared" si="38"/>
        <v>96.536220450728365</v>
      </c>
      <c r="S174" s="62">
        <f t="shared" si="38"/>
        <v>97.600455414699709</v>
      </c>
      <c r="T174" s="62">
        <f t="shared" si="38"/>
        <v>96.834783441487687</v>
      </c>
      <c r="U174" s="62">
        <f t="shared" si="38"/>
        <v>87.439786872909011</v>
      </c>
      <c r="V174" s="62">
        <f t="shared" si="38"/>
        <v>79.852003479037791</v>
      </c>
    </row>
    <row r="175" spans="2:22" x14ac:dyDescent="0.2">
      <c r="C175" s="87" t="s">
        <v>129</v>
      </c>
      <c r="D175" s="60">
        <f t="shared" ref="D175:V175" si="39">+IFERROR(IF(D136&gt;0,+((D136/D19)*100)," "),"")</f>
        <v>78.520878243874591</v>
      </c>
      <c r="E175" s="60">
        <f t="shared" si="39"/>
        <v>55.643977807899283</v>
      </c>
      <c r="F175" s="60">
        <f t="shared" si="39"/>
        <v>58.997604604334299</v>
      </c>
      <c r="G175" s="60">
        <f t="shared" si="39"/>
        <v>52.9938958632154</v>
      </c>
      <c r="H175" s="60">
        <f t="shared" si="39"/>
        <v>55.348108075475757</v>
      </c>
      <c r="I175" s="60">
        <f t="shared" si="39"/>
        <v>56.466712670806771</v>
      </c>
      <c r="J175" s="60">
        <f t="shared" si="39"/>
        <v>68.257799147121588</v>
      </c>
      <c r="K175" s="60">
        <f t="shared" si="39"/>
        <v>93.115833299189006</v>
      </c>
      <c r="L175" s="60">
        <f t="shared" si="39"/>
        <v>93.471712042320902</v>
      </c>
      <c r="M175" s="60">
        <f t="shared" si="39"/>
        <v>85.931977076698359</v>
      </c>
      <c r="N175" s="60">
        <f t="shared" si="39"/>
        <v>78.263378029140554</v>
      </c>
      <c r="O175" s="60">
        <f t="shared" si="39"/>
        <v>80.336729896328393</v>
      </c>
      <c r="P175" s="60">
        <f t="shared" si="39"/>
        <v>90.200204663502049</v>
      </c>
      <c r="Q175" s="60">
        <f t="shared" si="39"/>
        <v>89.798565787296354</v>
      </c>
      <c r="R175" s="60">
        <f t="shared" si="39"/>
        <v>82.092416162272968</v>
      </c>
      <c r="S175" s="60">
        <f t="shared" si="39"/>
        <v>88.226620936981348</v>
      </c>
      <c r="T175" s="60">
        <f t="shared" si="39"/>
        <v>88.007273036184955</v>
      </c>
      <c r="U175" s="60">
        <f t="shared" si="39"/>
        <v>87.072431097109842</v>
      </c>
      <c r="V175" s="60">
        <f t="shared" si="39"/>
        <v>68.382880959212173</v>
      </c>
    </row>
    <row r="176" spans="2:22" x14ac:dyDescent="0.2">
      <c r="C176" s="88" t="s">
        <v>130</v>
      </c>
      <c r="D176" s="62">
        <f t="shared" ref="D176:V176" si="40">+IFERROR(IF(D137&gt;0,+((D137/D20)*100)," "),"")</f>
        <v>83.948572674793098</v>
      </c>
      <c r="E176" s="62">
        <f t="shared" si="40"/>
        <v>63.938325036318552</v>
      </c>
      <c r="F176" s="62">
        <f t="shared" si="40"/>
        <v>57.563729592180543</v>
      </c>
      <c r="G176" s="62">
        <f t="shared" si="40"/>
        <v>58.057675884776138</v>
      </c>
      <c r="H176" s="62">
        <f t="shared" si="40"/>
        <v>80.512352065727669</v>
      </c>
      <c r="I176" s="62">
        <f t="shared" si="40"/>
        <v>86.031463072486204</v>
      </c>
      <c r="J176" s="62">
        <f t="shared" si="40"/>
        <v>91.435982427563033</v>
      </c>
      <c r="K176" s="62">
        <f t="shared" si="40"/>
        <v>89.903304951311497</v>
      </c>
      <c r="L176" s="62">
        <f t="shared" si="40"/>
        <v>92.46796411716403</v>
      </c>
      <c r="M176" s="62">
        <f t="shared" si="40"/>
        <v>81.141755464283534</v>
      </c>
      <c r="N176" s="62">
        <f t="shared" si="40"/>
        <v>87.106883832014134</v>
      </c>
      <c r="O176" s="62">
        <f t="shared" si="40"/>
        <v>84.201235081794081</v>
      </c>
      <c r="P176" s="62">
        <f t="shared" si="40"/>
        <v>84.805898209628154</v>
      </c>
      <c r="Q176" s="62">
        <f t="shared" si="40"/>
        <v>88.273391390315979</v>
      </c>
      <c r="R176" s="62">
        <f t="shared" si="40"/>
        <v>88.64432415815952</v>
      </c>
      <c r="S176" s="62">
        <f t="shared" si="40"/>
        <v>85.882842038393321</v>
      </c>
      <c r="T176" s="62">
        <f t="shared" si="40"/>
        <v>65.824877622423841</v>
      </c>
      <c r="U176" s="62">
        <f t="shared" si="40"/>
        <v>77.907867147495409</v>
      </c>
      <c r="V176" s="62">
        <f t="shared" si="40"/>
        <v>68.995934225392048</v>
      </c>
    </row>
    <row r="177" spans="3:22" x14ac:dyDescent="0.2">
      <c r="C177" s="87" t="s">
        <v>131</v>
      </c>
      <c r="D177" s="60">
        <f t="shared" ref="D177:V177" si="41">+IFERROR(IF(D138&gt;0,+((D138/D21)*100)," "),"")</f>
        <v>81.153054045001255</v>
      </c>
      <c r="E177" s="60">
        <f t="shared" si="41"/>
        <v>58.637918909102424</v>
      </c>
      <c r="F177" s="60">
        <f t="shared" si="41"/>
        <v>70.056314298586827</v>
      </c>
      <c r="G177" s="60">
        <f t="shared" si="41"/>
        <v>79.082405400024072</v>
      </c>
      <c r="H177" s="60">
        <f t="shared" si="41"/>
        <v>55.660375205503584</v>
      </c>
      <c r="I177" s="60">
        <f t="shared" si="41"/>
        <v>53.123545995220624</v>
      </c>
      <c r="J177" s="60">
        <f t="shared" si="41"/>
        <v>48.086881710254922</v>
      </c>
      <c r="K177" s="60">
        <f t="shared" si="41"/>
        <v>91.328175276102442</v>
      </c>
      <c r="L177" s="60">
        <f t="shared" si="41"/>
        <v>87.780068443446226</v>
      </c>
      <c r="M177" s="60">
        <f t="shared" si="41"/>
        <v>85.518877305604732</v>
      </c>
      <c r="N177" s="60">
        <f t="shared" si="41"/>
        <v>84.196820559018917</v>
      </c>
      <c r="O177" s="60">
        <f t="shared" si="41"/>
        <v>87.034364269195521</v>
      </c>
      <c r="P177" s="60">
        <f t="shared" si="41"/>
        <v>77.37728207691633</v>
      </c>
      <c r="Q177" s="60">
        <f t="shared" si="41"/>
        <v>92.430782799445893</v>
      </c>
      <c r="R177" s="60">
        <f t="shared" si="41"/>
        <v>95.97635169093806</v>
      </c>
      <c r="S177" s="60">
        <f t="shared" si="41"/>
        <v>97.577170664557002</v>
      </c>
      <c r="T177" s="60">
        <f t="shared" si="41"/>
        <v>97.783952038520411</v>
      </c>
      <c r="U177" s="60">
        <f t="shared" si="41"/>
        <v>98.198968672832791</v>
      </c>
      <c r="V177" s="60">
        <f t="shared" si="41"/>
        <v>93.875947762775169</v>
      </c>
    </row>
    <row r="178" spans="3:22" x14ac:dyDescent="0.2">
      <c r="C178" s="88" t="s">
        <v>132</v>
      </c>
      <c r="D178" s="62">
        <f t="shared" ref="D178:V178" si="42">+IFERROR(IF(D139&gt;0,+((D139/D22)*100)," "),"")</f>
        <v>93.987786634999992</v>
      </c>
      <c r="E178" s="62">
        <f t="shared" si="42"/>
        <v>63.301276465225989</v>
      </c>
      <c r="F178" s="62">
        <f t="shared" si="42"/>
        <v>70.899661121353702</v>
      </c>
      <c r="G178" s="62">
        <f t="shared" si="42"/>
        <v>94.480074464676647</v>
      </c>
      <c r="H178" s="62">
        <f t="shared" si="42"/>
        <v>63.193109957285444</v>
      </c>
      <c r="I178" s="62">
        <f t="shared" si="42"/>
        <v>47.695084793132708</v>
      </c>
      <c r="J178" s="62">
        <f t="shared" si="42"/>
        <v>71.786177021466003</v>
      </c>
      <c r="K178" s="62">
        <f t="shared" si="42"/>
        <v>41.36858575122691</v>
      </c>
      <c r="L178" s="62">
        <f t="shared" si="42"/>
        <v>60.912291373451424</v>
      </c>
      <c r="M178" s="62">
        <f t="shared" si="42"/>
        <v>83.106115681206731</v>
      </c>
      <c r="N178" s="62">
        <f t="shared" si="42"/>
        <v>63.343414763478748</v>
      </c>
      <c r="O178" s="62">
        <f t="shared" si="42"/>
        <v>59.756953715458081</v>
      </c>
      <c r="P178" s="62">
        <f t="shared" si="42"/>
        <v>71.460908047750451</v>
      </c>
      <c r="Q178" s="62">
        <f t="shared" si="42"/>
        <v>85.014483483916294</v>
      </c>
      <c r="R178" s="62">
        <f t="shared" si="42"/>
        <v>76.390644778614643</v>
      </c>
      <c r="S178" s="62">
        <f t="shared" si="42"/>
        <v>79.593406538152081</v>
      </c>
      <c r="T178" s="62">
        <f t="shared" si="42"/>
        <v>91.481068965618462</v>
      </c>
      <c r="U178" s="62">
        <f t="shared" si="42"/>
        <v>89.370315322567492</v>
      </c>
      <c r="V178" s="62">
        <f t="shared" si="42"/>
        <v>91.316412585665873</v>
      </c>
    </row>
    <row r="179" spans="3:22" x14ac:dyDescent="0.2">
      <c r="C179" s="87" t="s">
        <v>133</v>
      </c>
      <c r="D179" s="60">
        <f t="shared" ref="D179:V179" si="43">+IFERROR(IF(D140&gt;0,+((D140/D23)*100)," "),"")</f>
        <v>66.856704083298837</v>
      </c>
      <c r="E179" s="60">
        <f t="shared" si="43"/>
        <v>65.010719876315108</v>
      </c>
      <c r="F179" s="60">
        <f t="shared" si="43"/>
        <v>31.493231730364691</v>
      </c>
      <c r="G179" s="60">
        <f t="shared" si="43"/>
        <v>61.661162158306048</v>
      </c>
      <c r="H179" s="60">
        <f t="shared" si="43"/>
        <v>69.184138022705667</v>
      </c>
      <c r="I179" s="60">
        <f t="shared" si="43"/>
        <v>71.775562602819747</v>
      </c>
      <c r="J179" s="60">
        <f t="shared" si="43"/>
        <v>50.628552416342806</v>
      </c>
      <c r="K179" s="60">
        <f t="shared" si="43"/>
        <v>87.775425342390719</v>
      </c>
      <c r="L179" s="60">
        <f t="shared" si="43"/>
        <v>67.933890715806683</v>
      </c>
      <c r="M179" s="60">
        <f t="shared" si="43"/>
        <v>63.787610758895056</v>
      </c>
      <c r="N179" s="60">
        <f t="shared" si="43"/>
        <v>40.708201372622177</v>
      </c>
      <c r="O179" s="60">
        <f t="shared" si="43"/>
        <v>60.725135325554049</v>
      </c>
      <c r="P179" s="60">
        <f t="shared" si="43"/>
        <v>62.335828887183794</v>
      </c>
      <c r="Q179" s="60">
        <f t="shared" si="43"/>
        <v>69.681357937586796</v>
      </c>
      <c r="R179" s="60">
        <f t="shared" si="43"/>
        <v>69.146418246094527</v>
      </c>
      <c r="S179" s="60">
        <f t="shared" si="43"/>
        <v>59.903550208003011</v>
      </c>
      <c r="T179" s="60">
        <f t="shared" si="43"/>
        <v>66.647901769265047</v>
      </c>
      <c r="U179" s="60">
        <f t="shared" si="43"/>
        <v>85.408137172665818</v>
      </c>
      <c r="V179" s="60">
        <f t="shared" si="43"/>
        <v>64.455029855976505</v>
      </c>
    </row>
    <row r="180" spans="3:22" x14ac:dyDescent="0.2">
      <c r="C180" s="88" t="s">
        <v>134</v>
      </c>
      <c r="D180" s="62">
        <f t="shared" ref="D180:V180" si="44">+IFERROR(IF(D141&gt;0,+((D141/D24)*100)," "),"")</f>
        <v>90.980232759711939</v>
      </c>
      <c r="E180" s="62">
        <f t="shared" si="44"/>
        <v>86.756406183038294</v>
      </c>
      <c r="F180" s="62">
        <f t="shared" si="44"/>
        <v>70.168438629194213</v>
      </c>
      <c r="G180" s="62">
        <f t="shared" si="44"/>
        <v>84.16853099589845</v>
      </c>
      <c r="H180" s="62">
        <f t="shared" si="44"/>
        <v>58.688714074368008</v>
      </c>
      <c r="I180" s="62">
        <f t="shared" si="44"/>
        <v>60.078365179123075</v>
      </c>
      <c r="J180" s="62">
        <f t="shared" si="44"/>
        <v>33.694508431156549</v>
      </c>
      <c r="K180" s="62">
        <f t="shared" si="44"/>
        <v>80.260183158148592</v>
      </c>
      <c r="L180" s="62">
        <f t="shared" si="44"/>
        <v>84.791224664089313</v>
      </c>
      <c r="M180" s="62">
        <f t="shared" si="44"/>
        <v>92.225462164266446</v>
      </c>
      <c r="N180" s="62">
        <f t="shared" si="44"/>
        <v>95.242063978983154</v>
      </c>
      <c r="O180" s="62">
        <f t="shared" si="44"/>
        <v>87.977408396691104</v>
      </c>
      <c r="P180" s="62">
        <f t="shared" si="44"/>
        <v>81.457057624029304</v>
      </c>
      <c r="Q180" s="62">
        <f t="shared" si="44"/>
        <v>69.862764804735605</v>
      </c>
      <c r="R180" s="62">
        <f t="shared" si="44"/>
        <v>34.832550627724892</v>
      </c>
      <c r="S180" s="62">
        <f t="shared" si="44"/>
        <v>35.486388612389327</v>
      </c>
      <c r="T180" s="62">
        <f t="shared" si="44"/>
        <v>25.837551530722497</v>
      </c>
      <c r="U180" s="62">
        <f t="shared" si="44"/>
        <v>52.891134396750125</v>
      </c>
      <c r="V180" s="62">
        <f t="shared" si="44"/>
        <v>47.951445822997904</v>
      </c>
    </row>
    <row r="181" spans="3:22" x14ac:dyDescent="0.2">
      <c r="C181" s="87" t="s">
        <v>135</v>
      </c>
      <c r="D181" s="60"/>
      <c r="E181" s="60"/>
      <c r="F181" s="60"/>
      <c r="G181" s="60"/>
      <c r="H181" s="60"/>
      <c r="I181" s="60"/>
      <c r="J181" s="60"/>
      <c r="K181" s="60"/>
      <c r="L181" s="60"/>
      <c r="M181" s="60"/>
      <c r="N181" s="60"/>
      <c r="O181" s="60"/>
      <c r="P181" s="60"/>
      <c r="Q181" s="60"/>
      <c r="R181" s="60"/>
      <c r="S181" s="60"/>
      <c r="T181" s="60"/>
      <c r="U181" s="60"/>
      <c r="V181" s="60"/>
    </row>
    <row r="182" spans="3:22" x14ac:dyDescent="0.2">
      <c r="C182" s="88" t="s">
        <v>136</v>
      </c>
      <c r="D182" s="62">
        <f t="shared" ref="D182:V182" si="45">+IFERROR(IF(D143&gt;0,+((D143/D26)*100)," "),"")</f>
        <v>77.296509399212582</v>
      </c>
      <c r="E182" s="62">
        <f t="shared" si="45"/>
        <v>75.07515505002003</v>
      </c>
      <c r="F182" s="62">
        <f t="shared" si="45"/>
        <v>77.872088777176941</v>
      </c>
      <c r="G182" s="62">
        <f t="shared" si="45"/>
        <v>83.618555275676343</v>
      </c>
      <c r="H182" s="62">
        <f t="shared" si="45"/>
        <v>84.426179575635345</v>
      </c>
      <c r="I182" s="62">
        <f t="shared" si="45"/>
        <v>81.822249086861007</v>
      </c>
      <c r="J182" s="62">
        <f t="shared" si="45"/>
        <v>81.135347929647111</v>
      </c>
      <c r="K182" s="62">
        <f t="shared" si="45"/>
        <v>90.7719519253519</v>
      </c>
      <c r="L182" s="62">
        <f t="shared" si="45"/>
        <v>87.75678285161014</v>
      </c>
      <c r="M182" s="62">
        <f t="shared" si="45"/>
        <v>91.668314657426535</v>
      </c>
      <c r="N182" s="62">
        <f t="shared" si="45"/>
        <v>87.278974760953687</v>
      </c>
      <c r="O182" s="62">
        <f t="shared" si="45"/>
        <v>85.283520942692888</v>
      </c>
      <c r="P182" s="62">
        <f t="shared" si="45"/>
        <v>89.40964620410432</v>
      </c>
      <c r="Q182" s="62">
        <f t="shared" si="45"/>
        <v>90.63300023686547</v>
      </c>
      <c r="R182" s="62">
        <f t="shared" si="45"/>
        <v>91.607354393634935</v>
      </c>
      <c r="S182" s="62">
        <f t="shared" si="45"/>
        <v>94.649920697665024</v>
      </c>
      <c r="T182" s="62">
        <f t="shared" si="45"/>
        <v>88.668239640286927</v>
      </c>
      <c r="U182" s="62">
        <f t="shared" si="45"/>
        <v>96.116153047755986</v>
      </c>
      <c r="V182" s="62">
        <f t="shared" si="45"/>
        <v>92.227441751141242</v>
      </c>
    </row>
    <row r="183" spans="3:22" x14ac:dyDescent="0.2">
      <c r="C183" s="87" t="s">
        <v>137</v>
      </c>
      <c r="D183" s="60">
        <f t="shared" ref="D183:V183" si="46">+IFERROR(IF(D144&gt;0,+((D144/D27)*100)," "),"")</f>
        <v>47.637692079934936</v>
      </c>
      <c r="E183" s="60">
        <f t="shared" si="46"/>
        <v>65.382279000583083</v>
      </c>
      <c r="F183" s="60">
        <f t="shared" si="46"/>
        <v>53.800109285346196</v>
      </c>
      <c r="G183" s="60">
        <f t="shared" si="46"/>
        <v>53.754806658054022</v>
      </c>
      <c r="H183" s="60">
        <f t="shared" si="46"/>
        <v>58.064195826744417</v>
      </c>
      <c r="I183" s="60">
        <f t="shared" si="46"/>
        <v>63.499498239798889</v>
      </c>
      <c r="J183" s="60">
        <f t="shared" si="46"/>
        <v>78.286253382018089</v>
      </c>
      <c r="K183" s="60">
        <f t="shared" si="46"/>
        <v>84.200196231559417</v>
      </c>
      <c r="L183" s="60">
        <f t="shared" si="46"/>
        <v>84.170645372621394</v>
      </c>
      <c r="M183" s="60">
        <f t="shared" si="46"/>
        <v>79.606279120569539</v>
      </c>
      <c r="N183" s="60">
        <f t="shared" si="46"/>
        <v>70.867212301083242</v>
      </c>
      <c r="O183" s="60">
        <f t="shared" si="46"/>
        <v>83.471558350105042</v>
      </c>
      <c r="P183" s="60">
        <f t="shared" si="46"/>
        <v>84.8064401416447</v>
      </c>
      <c r="Q183" s="60">
        <f t="shared" si="46"/>
        <v>83.421145528831843</v>
      </c>
      <c r="R183" s="60">
        <f t="shared" si="46"/>
        <v>96.08442521103801</v>
      </c>
      <c r="S183" s="60">
        <f t="shared" si="46"/>
        <v>90.502743454289444</v>
      </c>
      <c r="T183" s="60">
        <f t="shared" si="46"/>
        <v>91.005950775228627</v>
      </c>
      <c r="U183" s="60">
        <f t="shared" si="46"/>
        <v>88.013590558176119</v>
      </c>
      <c r="V183" s="60">
        <f t="shared" si="46"/>
        <v>90.998857987332244</v>
      </c>
    </row>
    <row r="184" spans="3:22" x14ac:dyDescent="0.2">
      <c r="C184" s="88" t="s">
        <v>138</v>
      </c>
      <c r="D184" s="62">
        <f t="shared" ref="D184:V184" si="47">+IFERROR(IF(D145&gt;0,+((D145/D28)*100)," "),"")</f>
        <v>67.713366396309553</v>
      </c>
      <c r="E184" s="62">
        <f t="shared" si="47"/>
        <v>90.758732294578166</v>
      </c>
      <c r="F184" s="62">
        <f t="shared" si="47"/>
        <v>36.126943856944109</v>
      </c>
      <c r="G184" s="62">
        <f t="shared" si="47"/>
        <v>5.4901343762483865</v>
      </c>
      <c r="H184" s="62">
        <f t="shared" si="47"/>
        <v>26.390167577592592</v>
      </c>
      <c r="I184" s="62">
        <f t="shared" si="47"/>
        <v>13.80816551355599</v>
      </c>
      <c r="J184" s="62">
        <f t="shared" si="47"/>
        <v>4.7015998212564831</v>
      </c>
      <c r="K184" s="62">
        <f t="shared" si="47"/>
        <v>69.833284996258499</v>
      </c>
      <c r="L184" s="62">
        <f t="shared" si="47"/>
        <v>69.327344266720644</v>
      </c>
      <c r="M184" s="62">
        <f t="shared" si="47"/>
        <v>29.878147856785791</v>
      </c>
      <c r="N184" s="62">
        <f t="shared" si="47"/>
        <v>29.935901064134701</v>
      </c>
      <c r="O184" s="62">
        <f t="shared" si="47"/>
        <v>39.712280406219072</v>
      </c>
      <c r="P184" s="62">
        <f t="shared" si="47"/>
        <v>81.601138636607018</v>
      </c>
      <c r="Q184" s="62">
        <f t="shared" si="47"/>
        <v>90.15279792140727</v>
      </c>
      <c r="R184" s="62">
        <f t="shared" si="47"/>
        <v>83.820776135423685</v>
      </c>
      <c r="S184" s="62">
        <f t="shared" si="47"/>
        <v>94.527974908600569</v>
      </c>
      <c r="T184" s="62">
        <f t="shared" si="47"/>
        <v>97.182040692632981</v>
      </c>
      <c r="U184" s="62">
        <f t="shared" si="47"/>
        <v>91.201744670202686</v>
      </c>
      <c r="V184" s="62">
        <f t="shared" si="47"/>
        <v>96.85860163507715</v>
      </c>
    </row>
    <row r="185" spans="3:22" x14ac:dyDescent="0.2">
      <c r="C185" s="87" t="s">
        <v>139</v>
      </c>
      <c r="D185" s="60">
        <f t="shared" ref="D185:V185" si="48">+IFERROR(IF(D146&gt;0,+((D146/D29)*100)," "),"")</f>
        <v>70.774749807173308</v>
      </c>
      <c r="E185" s="60">
        <f t="shared" si="48"/>
        <v>64.596209948302814</v>
      </c>
      <c r="F185" s="60">
        <f t="shared" si="48"/>
        <v>53.395999876516967</v>
      </c>
      <c r="G185" s="60">
        <f t="shared" si="48"/>
        <v>80.861225421998384</v>
      </c>
      <c r="H185" s="60">
        <f t="shared" si="48"/>
        <v>45.933031884935694</v>
      </c>
      <c r="I185" s="60">
        <f t="shared" si="48"/>
        <v>78.966651416639053</v>
      </c>
      <c r="J185" s="60">
        <f t="shared" si="48"/>
        <v>83.033688797781863</v>
      </c>
      <c r="K185" s="60">
        <f t="shared" si="48"/>
        <v>66.359182256436881</v>
      </c>
      <c r="L185" s="60">
        <f t="shared" si="48"/>
        <v>82.46182374439293</v>
      </c>
      <c r="M185" s="60">
        <f t="shared" si="48"/>
        <v>83.105844593111328</v>
      </c>
      <c r="N185" s="60">
        <f t="shared" si="48"/>
        <v>71.180506664988414</v>
      </c>
      <c r="O185" s="60">
        <f t="shared" si="48"/>
        <v>95.921603191778743</v>
      </c>
      <c r="P185" s="60">
        <f t="shared" si="48"/>
        <v>63.944096357953882</v>
      </c>
      <c r="Q185" s="60">
        <f t="shared" si="48"/>
        <v>75.686345353439833</v>
      </c>
      <c r="R185" s="60">
        <f t="shared" si="48"/>
        <v>80.1508722980671</v>
      </c>
      <c r="S185" s="60">
        <f t="shared" si="48"/>
        <v>78.938054642423936</v>
      </c>
      <c r="T185" s="60">
        <f t="shared" si="48"/>
        <v>70.500809073799758</v>
      </c>
      <c r="U185" s="60">
        <f t="shared" si="48"/>
        <v>65.161363203058968</v>
      </c>
      <c r="V185" s="60">
        <f t="shared" si="48"/>
        <v>33.833637536664725</v>
      </c>
    </row>
    <row r="186" spans="3:22" x14ac:dyDescent="0.2">
      <c r="C186" s="88" t="s">
        <v>140</v>
      </c>
      <c r="D186" s="62">
        <f t="shared" ref="D186:V186" si="49">+IFERROR(IF(D147&gt;0,+((D147/D30)*100)," "),"")</f>
        <v>83.266142120787876</v>
      </c>
      <c r="E186" s="62">
        <f t="shared" si="49"/>
        <v>70.35770711748782</v>
      </c>
      <c r="F186" s="62">
        <f t="shared" si="49"/>
        <v>73.90477643225563</v>
      </c>
      <c r="G186" s="62">
        <f t="shared" si="49"/>
        <v>94.488713647575025</v>
      </c>
      <c r="H186" s="62">
        <f t="shared" si="49"/>
        <v>83.095361691564548</v>
      </c>
      <c r="I186" s="62">
        <f t="shared" si="49"/>
        <v>62.343056232372632</v>
      </c>
      <c r="J186" s="62">
        <f t="shared" si="49"/>
        <v>66.724835717083792</v>
      </c>
      <c r="K186" s="62">
        <f t="shared" si="49"/>
        <v>59.980990374354469</v>
      </c>
      <c r="L186" s="62">
        <f t="shared" si="49"/>
        <v>92.55043130029064</v>
      </c>
      <c r="M186" s="62">
        <f t="shared" si="49"/>
        <v>87.511093948473857</v>
      </c>
      <c r="N186" s="62">
        <f t="shared" si="49"/>
        <v>83.590387181305331</v>
      </c>
      <c r="O186" s="62">
        <f t="shared" si="49"/>
        <v>88.85992335885669</v>
      </c>
      <c r="P186" s="62">
        <f t="shared" si="49"/>
        <v>92.750816884196226</v>
      </c>
      <c r="Q186" s="62">
        <f t="shared" si="49"/>
        <v>92.335451223611642</v>
      </c>
      <c r="R186" s="62">
        <f t="shared" si="49"/>
        <v>94.912373812136678</v>
      </c>
      <c r="S186" s="62">
        <f t="shared" si="49"/>
        <v>94.530498934415292</v>
      </c>
      <c r="T186" s="62">
        <f t="shared" si="49"/>
        <v>90.114519164041312</v>
      </c>
      <c r="U186" s="62">
        <f t="shared" si="49"/>
        <v>90.479867999785327</v>
      </c>
      <c r="V186" s="62">
        <f t="shared" si="49"/>
        <v>92.022684325549605</v>
      </c>
    </row>
    <row r="187" spans="3:22" x14ac:dyDescent="0.2">
      <c r="C187" s="87" t="s">
        <v>141</v>
      </c>
      <c r="D187" s="60">
        <f t="shared" ref="D187:V187" si="50">+IFERROR(IF(D148&gt;0,+((D148/D31)*100)," "),"")</f>
        <v>70.918216381042058</v>
      </c>
      <c r="E187" s="60">
        <f t="shared" si="50"/>
        <v>12.840658737964569</v>
      </c>
      <c r="F187" s="60">
        <f t="shared" si="50"/>
        <v>7.4114338737618581</v>
      </c>
      <c r="G187" s="60">
        <f t="shared" si="50"/>
        <v>9.8471646873872398</v>
      </c>
      <c r="H187" s="60">
        <f t="shared" si="50"/>
        <v>19.957529773328087</v>
      </c>
      <c r="I187" s="60">
        <f t="shared" si="50"/>
        <v>16.557019609322495</v>
      </c>
      <c r="J187" s="60">
        <f t="shared" si="50"/>
        <v>43.873939858961542</v>
      </c>
      <c r="K187" s="60">
        <f t="shared" si="50"/>
        <v>55.317180620637387</v>
      </c>
      <c r="L187" s="60">
        <f t="shared" si="50"/>
        <v>52.357414797402093</v>
      </c>
      <c r="M187" s="60">
        <f t="shared" si="50"/>
        <v>69.384345945524402</v>
      </c>
      <c r="N187" s="60">
        <f t="shared" si="50"/>
        <v>46.758475365311284</v>
      </c>
      <c r="O187" s="60">
        <f t="shared" si="50"/>
        <v>41.619050506977928</v>
      </c>
      <c r="P187" s="60">
        <f t="shared" si="50"/>
        <v>75.850216528538354</v>
      </c>
      <c r="Q187" s="60">
        <f t="shared" si="50"/>
        <v>72.030695493596141</v>
      </c>
      <c r="R187" s="60">
        <f t="shared" si="50"/>
        <v>85.563311585332997</v>
      </c>
      <c r="S187" s="60">
        <f t="shared" si="50"/>
        <v>46.382743162945708</v>
      </c>
      <c r="T187" s="60">
        <f t="shared" si="50"/>
        <v>75.826076492363242</v>
      </c>
      <c r="U187" s="60">
        <f t="shared" si="50"/>
        <v>80.151906933408469</v>
      </c>
      <c r="V187" s="60">
        <f t="shared" si="50"/>
        <v>83.459393215535883</v>
      </c>
    </row>
    <row r="188" spans="3:22" x14ac:dyDescent="0.2">
      <c r="C188" s="88" t="s">
        <v>142</v>
      </c>
      <c r="D188" s="62">
        <f t="shared" ref="D188:V188" si="51">+IFERROR(IF(D149&gt;0,+((D149/D32)*100)," "),"")</f>
        <v>15.758938379423808</v>
      </c>
      <c r="E188" s="62">
        <f t="shared" si="51"/>
        <v>23.907403925443802</v>
      </c>
      <c r="F188" s="62">
        <f t="shared" si="51"/>
        <v>8.9635828780653899</v>
      </c>
      <c r="G188" s="62">
        <f t="shared" si="51"/>
        <v>18.322004129512194</v>
      </c>
      <c r="H188" s="62">
        <f t="shared" si="51"/>
        <v>61.376351147917553</v>
      </c>
      <c r="I188" s="62">
        <f t="shared" si="51"/>
        <v>19.235966975786933</v>
      </c>
      <c r="J188" s="62">
        <f t="shared" si="51"/>
        <v>23.174936229005844</v>
      </c>
      <c r="K188" s="62">
        <f t="shared" si="51"/>
        <v>63.7122897617636</v>
      </c>
      <c r="L188" s="62">
        <f t="shared" si="51"/>
        <v>36.926726211807285</v>
      </c>
      <c r="M188" s="62">
        <f t="shared" si="51"/>
        <v>35.477341966961184</v>
      </c>
      <c r="N188" s="62">
        <f t="shared" si="51"/>
        <v>41.39595202300999</v>
      </c>
      <c r="O188" s="62">
        <f t="shared" si="51"/>
        <v>38.1819466957568</v>
      </c>
      <c r="P188" s="62">
        <f t="shared" si="51"/>
        <v>50.164196423351918</v>
      </c>
      <c r="Q188" s="62">
        <f t="shared" si="51"/>
        <v>56.65095319755423</v>
      </c>
      <c r="R188" s="62">
        <f t="shared" si="51"/>
        <v>84.337872090173036</v>
      </c>
      <c r="S188" s="62">
        <f t="shared" si="51"/>
        <v>93.893013168650853</v>
      </c>
      <c r="T188" s="62">
        <f t="shared" si="51"/>
        <v>79.80267082781134</v>
      </c>
      <c r="U188" s="62">
        <f t="shared" si="51"/>
        <v>97.735159581830828</v>
      </c>
      <c r="V188" s="62">
        <f t="shared" si="51"/>
        <v>60.271292638798847</v>
      </c>
    </row>
    <row r="189" spans="3:22" x14ac:dyDescent="0.2">
      <c r="C189" s="87" t="s">
        <v>143</v>
      </c>
      <c r="D189" s="60">
        <f t="shared" ref="D189:V189" si="52">+IFERROR(IF(D150&gt;0,+((D150/D33)*100)," "),"")</f>
        <v>96.948052426058311</v>
      </c>
      <c r="E189" s="60">
        <f t="shared" si="52"/>
        <v>60.014283834613188</v>
      </c>
      <c r="F189" s="60">
        <f t="shared" si="52"/>
        <v>49.185174382135841</v>
      </c>
      <c r="G189" s="60">
        <f t="shared" si="52"/>
        <v>59.563853457369589</v>
      </c>
      <c r="H189" s="60">
        <f t="shared" si="52"/>
        <v>74.393691847597836</v>
      </c>
      <c r="I189" s="60">
        <f t="shared" si="52"/>
        <v>83.312624988370075</v>
      </c>
      <c r="J189" s="60">
        <f t="shared" si="52"/>
        <v>85.44842247444106</v>
      </c>
      <c r="K189" s="60">
        <f t="shared" si="52"/>
        <v>95.877397004671963</v>
      </c>
      <c r="L189" s="60">
        <f t="shared" si="52"/>
        <v>69.70633981634343</v>
      </c>
      <c r="M189" s="60">
        <f t="shared" si="52"/>
        <v>78.819129209559605</v>
      </c>
      <c r="N189" s="60">
        <f t="shared" si="52"/>
        <v>59.579415115492985</v>
      </c>
      <c r="O189" s="60">
        <f t="shared" si="52"/>
        <v>68.205216850179781</v>
      </c>
      <c r="P189" s="60">
        <f t="shared" si="52"/>
        <v>84.809858144077211</v>
      </c>
      <c r="Q189" s="60">
        <f t="shared" si="52"/>
        <v>87.399865868612267</v>
      </c>
      <c r="R189" s="60">
        <f t="shared" si="52"/>
        <v>87.19352134163239</v>
      </c>
      <c r="S189" s="60">
        <f t="shared" si="52"/>
        <v>91.584675236614643</v>
      </c>
      <c r="T189" s="60">
        <f t="shared" si="52"/>
        <v>92.748780906212758</v>
      </c>
      <c r="U189" s="60">
        <f t="shared" si="52"/>
        <v>77.647099176385808</v>
      </c>
      <c r="V189" s="60">
        <f t="shared" si="52"/>
        <v>8.9147718003496959</v>
      </c>
    </row>
    <row r="190" spans="3:22" x14ac:dyDescent="0.2">
      <c r="C190" s="88" t="s">
        <v>144</v>
      </c>
      <c r="D190" s="62">
        <f t="shared" ref="D190:V190" si="53">+IFERROR(IF(D151&gt;0,+((D151/D34)*100)," "),"")</f>
        <v>62.280016848992211</v>
      </c>
      <c r="E190" s="62">
        <f t="shared" si="53"/>
        <v>77.934334000211194</v>
      </c>
      <c r="F190" s="62">
        <f t="shared" si="53"/>
        <v>37.437260128618156</v>
      </c>
      <c r="G190" s="62">
        <f t="shared" si="53"/>
        <v>41.0454624461089</v>
      </c>
      <c r="H190" s="62">
        <f t="shared" si="53"/>
        <v>36.880893472647259</v>
      </c>
      <c r="I190" s="62">
        <f t="shared" si="53"/>
        <v>36.717418211854678</v>
      </c>
      <c r="J190" s="62">
        <f t="shared" si="53"/>
        <v>48.352535717539844</v>
      </c>
      <c r="K190" s="62">
        <f t="shared" si="53"/>
        <v>67.510760496373493</v>
      </c>
      <c r="L190" s="62">
        <f t="shared" si="53"/>
        <v>64.0988672156208</v>
      </c>
      <c r="M190" s="62">
        <f t="shared" si="53"/>
        <v>76.295734050083695</v>
      </c>
      <c r="N190" s="62">
        <f t="shared" si="53"/>
        <v>37.551919218540391</v>
      </c>
      <c r="O190" s="62">
        <f t="shared" si="53"/>
        <v>17.187246214677028</v>
      </c>
      <c r="P190" s="62">
        <f t="shared" si="53"/>
        <v>21.978689645097433</v>
      </c>
      <c r="Q190" s="62">
        <f t="shared" si="53"/>
        <v>54.708816799519333</v>
      </c>
      <c r="R190" s="62">
        <f t="shared" si="53"/>
        <v>71.806678646760602</v>
      </c>
      <c r="S190" s="62">
        <f t="shared" si="53"/>
        <v>58.833159399031878</v>
      </c>
      <c r="T190" s="62">
        <f t="shared" si="53"/>
        <v>63.224141448955841</v>
      </c>
      <c r="U190" s="62">
        <f t="shared" si="53"/>
        <v>73.567404360881198</v>
      </c>
      <c r="V190" s="62">
        <f t="shared" si="53"/>
        <v>68.019877489688668</v>
      </c>
    </row>
    <row r="191" spans="3:22" x14ac:dyDescent="0.2">
      <c r="C191" s="87" t="s">
        <v>145</v>
      </c>
      <c r="D191" s="60">
        <f t="shared" ref="D191:V191" si="54">+IFERROR(IF(D152&gt;0,+((D152/D35)*100)," "),"")</f>
        <v>19.1545740103527</v>
      </c>
      <c r="E191" s="60">
        <f t="shared" si="54"/>
        <v>3.5930335399999991</v>
      </c>
      <c r="F191" s="60">
        <f t="shared" si="54"/>
        <v>0.42299979299780582</v>
      </c>
      <c r="G191" s="60">
        <f t="shared" si="54"/>
        <v>54.50262626822132</v>
      </c>
      <c r="H191" s="60">
        <f t="shared" si="54"/>
        <v>40.88457092911429</v>
      </c>
      <c r="I191" s="60">
        <f t="shared" si="54"/>
        <v>92.594178995073435</v>
      </c>
      <c r="J191" s="60">
        <f t="shared" si="54"/>
        <v>88.981455467216136</v>
      </c>
      <c r="K191" s="60">
        <f t="shared" si="54"/>
        <v>10.890448576865037</v>
      </c>
      <c r="L191" s="60">
        <f t="shared" si="54"/>
        <v>89.768586071461542</v>
      </c>
      <c r="M191" s="60">
        <f t="shared" si="54"/>
        <v>79.83317838460205</v>
      </c>
      <c r="N191" s="60">
        <f t="shared" si="54"/>
        <v>59.354648414679879</v>
      </c>
      <c r="O191" s="60">
        <f t="shared" si="54"/>
        <v>58.800968414213038</v>
      </c>
      <c r="P191" s="60">
        <f t="shared" si="54"/>
        <v>64.23346274583804</v>
      </c>
      <c r="Q191" s="60">
        <f t="shared" si="54"/>
        <v>71.783579919639507</v>
      </c>
      <c r="R191" s="60">
        <f t="shared" si="54"/>
        <v>85.099337854341201</v>
      </c>
      <c r="S191" s="60">
        <f t="shared" si="54"/>
        <v>84.711738941047457</v>
      </c>
      <c r="T191" s="60">
        <f t="shared" si="54"/>
        <v>91.478346069794682</v>
      </c>
      <c r="U191" s="60">
        <f t="shared" si="54"/>
        <v>94.423311773242986</v>
      </c>
      <c r="V191" s="60">
        <f t="shared" si="54"/>
        <v>70.839697463837609</v>
      </c>
    </row>
    <row r="192" spans="3:22" x14ac:dyDescent="0.2">
      <c r="C192" s="88" t="s">
        <v>146</v>
      </c>
      <c r="D192" s="62">
        <f t="shared" ref="D192:V192" si="55">+IFERROR(IF(D153&gt;0,+((D153/D36)*100)," "),"")</f>
        <v>60.468694575144802</v>
      </c>
      <c r="E192" s="62">
        <f t="shared" si="55"/>
        <v>54.979904600132279</v>
      </c>
      <c r="F192" s="62">
        <f t="shared" si="55"/>
        <v>16.711296991472754</v>
      </c>
      <c r="G192" s="62">
        <f t="shared" si="55"/>
        <v>99.468425807063028</v>
      </c>
      <c r="H192" s="62">
        <f t="shared" si="55"/>
        <v>74.355860327238744</v>
      </c>
      <c r="I192" s="62">
        <f t="shared" si="55"/>
        <v>79.069283168677046</v>
      </c>
      <c r="J192" s="62">
        <f t="shared" si="55"/>
        <v>63.730659605698094</v>
      </c>
      <c r="K192" s="62">
        <f t="shared" si="55"/>
        <v>56.702479661971239</v>
      </c>
      <c r="L192" s="62">
        <f t="shared" si="55"/>
        <v>77.008691575743498</v>
      </c>
      <c r="M192" s="62">
        <f t="shared" si="55"/>
        <v>66.519680871777481</v>
      </c>
      <c r="N192" s="62">
        <f t="shared" si="55"/>
        <v>86.61742276264286</v>
      </c>
      <c r="O192" s="62">
        <f t="shared" si="55"/>
        <v>92.952976955485582</v>
      </c>
      <c r="P192" s="62">
        <f t="shared" si="55"/>
        <v>93.346958035049127</v>
      </c>
      <c r="Q192" s="62">
        <f t="shared" si="55"/>
        <v>92.121984750903479</v>
      </c>
      <c r="R192" s="62">
        <f t="shared" si="55"/>
        <v>96.329019177875139</v>
      </c>
      <c r="S192" s="62">
        <f t="shared" si="55"/>
        <v>98.221480248893201</v>
      </c>
      <c r="T192" s="62">
        <f t="shared" si="55"/>
        <v>96.913240432959185</v>
      </c>
      <c r="U192" s="62">
        <f t="shared" si="55"/>
        <v>96.847790204877541</v>
      </c>
      <c r="V192" s="62">
        <f t="shared" si="55"/>
        <v>97.638012526598999</v>
      </c>
    </row>
    <row r="193" spans="3:23" x14ac:dyDescent="0.2">
      <c r="C193" s="90" t="s">
        <v>147</v>
      </c>
      <c r="D193" s="61">
        <f t="shared" ref="D193:V193" si="56">+IFERROR(IF(D154&gt;0,+((D154/D37)*100)," "),"")</f>
        <v>67.118750888815853</v>
      </c>
      <c r="E193" s="61">
        <f t="shared" si="56"/>
        <v>76.89224114202527</v>
      </c>
      <c r="F193" s="61">
        <f t="shared" si="56"/>
        <v>71.250089160578185</v>
      </c>
      <c r="G193" s="61">
        <f t="shared" si="56"/>
        <v>70.186527330792103</v>
      </c>
      <c r="H193" s="61">
        <f t="shared" si="56"/>
        <v>71.689341174263447</v>
      </c>
      <c r="I193" s="61">
        <f t="shared" si="56"/>
        <v>79.002479719272344</v>
      </c>
      <c r="J193" s="61">
        <f t="shared" si="56"/>
        <v>70.978903405987765</v>
      </c>
      <c r="K193" s="61">
        <f t="shared" si="56"/>
        <v>75.400025398456407</v>
      </c>
      <c r="L193" s="61">
        <f t="shared" si="56"/>
        <v>83.827420722694413</v>
      </c>
      <c r="M193" s="61">
        <f t="shared" si="56"/>
        <v>90.805687202882751</v>
      </c>
      <c r="N193" s="61">
        <f t="shared" si="56"/>
        <v>85.77507836941723</v>
      </c>
      <c r="O193" s="61">
        <f t="shared" si="56"/>
        <v>87.843341166859659</v>
      </c>
      <c r="P193" s="61">
        <f t="shared" si="56"/>
        <v>89.140813414680622</v>
      </c>
      <c r="Q193" s="61">
        <f t="shared" si="56"/>
        <v>94.612028976462071</v>
      </c>
      <c r="R193" s="61">
        <f t="shared" si="56"/>
        <v>94.083589926093339</v>
      </c>
      <c r="S193" s="61">
        <f t="shared" si="56"/>
        <v>95.63578566463832</v>
      </c>
      <c r="T193" s="61">
        <f t="shared" si="56"/>
        <v>95.155988337890605</v>
      </c>
      <c r="U193" s="61">
        <f t="shared" si="56"/>
        <v>91.524083550008086</v>
      </c>
      <c r="V193" s="61">
        <f t="shared" si="56"/>
        <v>91.531018792996207</v>
      </c>
    </row>
    <row r="194" spans="3:23" ht="22.5" customHeight="1" x14ac:dyDescent="0.2">
      <c r="C194" s="89" t="s">
        <v>148</v>
      </c>
      <c r="D194" s="63" t="str">
        <f t="shared" ref="D194:V194" si="57">+IFERROR(IF(D155&gt;0,+((D155/D38)*100)," "),"")</f>
        <v xml:space="preserve"> </v>
      </c>
      <c r="E194" s="63" t="str">
        <f t="shared" si="57"/>
        <v xml:space="preserve"> </v>
      </c>
      <c r="F194" s="63" t="str">
        <f t="shared" si="57"/>
        <v xml:space="preserve"> </v>
      </c>
      <c r="G194" s="63" t="str">
        <f t="shared" si="57"/>
        <v xml:space="preserve"> </v>
      </c>
      <c r="H194" s="63" t="str">
        <f t="shared" si="57"/>
        <v xml:space="preserve"> </v>
      </c>
      <c r="I194" s="63" t="str">
        <f t="shared" si="57"/>
        <v xml:space="preserve"> </v>
      </c>
      <c r="J194" s="63" t="str">
        <f t="shared" si="57"/>
        <v xml:space="preserve"> </v>
      </c>
      <c r="K194" s="63" t="str">
        <f t="shared" si="57"/>
        <v xml:space="preserve"> </v>
      </c>
      <c r="L194" s="63" t="str">
        <f t="shared" si="57"/>
        <v xml:space="preserve"> </v>
      </c>
      <c r="M194" s="63" t="str">
        <f t="shared" si="57"/>
        <v xml:space="preserve"> </v>
      </c>
      <c r="N194" s="63" t="str">
        <f t="shared" si="57"/>
        <v xml:space="preserve"> </v>
      </c>
      <c r="O194" s="63" t="str">
        <f t="shared" si="57"/>
        <v xml:space="preserve"> </v>
      </c>
      <c r="P194" s="63" t="str">
        <f t="shared" si="57"/>
        <v xml:space="preserve"> </v>
      </c>
      <c r="Q194" s="63" t="str">
        <f t="shared" si="57"/>
        <v xml:space="preserve"> </v>
      </c>
      <c r="R194" s="63" t="str">
        <f t="shared" si="57"/>
        <v xml:space="preserve"> </v>
      </c>
      <c r="S194" s="63" t="str">
        <f t="shared" si="57"/>
        <v xml:space="preserve"> </v>
      </c>
      <c r="T194" s="63" t="str">
        <f t="shared" si="57"/>
        <v xml:space="preserve"> </v>
      </c>
      <c r="U194" s="63" t="str">
        <f t="shared" si="57"/>
        <v xml:space="preserve"> </v>
      </c>
      <c r="V194" s="63">
        <f t="shared" si="57"/>
        <v>56.255603915121867</v>
      </c>
    </row>
    <row r="195" spans="3:23" x14ac:dyDescent="0.2">
      <c r="C195" s="87" t="s">
        <v>149</v>
      </c>
      <c r="D195" s="60">
        <f t="shared" ref="D195:V195" si="58">+IFERROR(IF(D156&gt;0,+((D156/D39)*100)," "),"")</f>
        <v>93.791611384549668</v>
      </c>
      <c r="E195" s="60">
        <f t="shared" si="58"/>
        <v>64.75234114906398</v>
      </c>
      <c r="F195" s="60">
        <f t="shared" si="58"/>
        <v>27.466828138854488</v>
      </c>
      <c r="G195" s="60">
        <f t="shared" si="58"/>
        <v>11.46182019854704</v>
      </c>
      <c r="H195" s="60">
        <f t="shared" si="58"/>
        <v>94.828423066932146</v>
      </c>
      <c r="I195" s="60">
        <f t="shared" si="58"/>
        <v>37.304193313586126</v>
      </c>
      <c r="J195" s="60">
        <f t="shared" si="58"/>
        <v>88.124905707481474</v>
      </c>
      <c r="K195" s="60">
        <f t="shared" si="58"/>
        <v>98.713023115262388</v>
      </c>
      <c r="L195" s="60">
        <f t="shared" si="58"/>
        <v>94.93936819236886</v>
      </c>
      <c r="M195" s="60">
        <f t="shared" si="58"/>
        <v>83.074993722442557</v>
      </c>
      <c r="N195" s="60">
        <f t="shared" si="58"/>
        <v>91.762659616443344</v>
      </c>
      <c r="O195" s="60">
        <f t="shared" si="58"/>
        <v>93.901477307825019</v>
      </c>
      <c r="P195" s="60">
        <f t="shared" si="58"/>
        <v>97.188847258502449</v>
      </c>
      <c r="Q195" s="60">
        <f t="shared" si="58"/>
        <v>92.968685983166054</v>
      </c>
      <c r="R195" s="60">
        <f t="shared" si="58"/>
        <v>96.735077909065737</v>
      </c>
      <c r="S195" s="60">
        <f t="shared" si="58"/>
        <v>91.422745722450799</v>
      </c>
      <c r="T195" s="60">
        <f t="shared" si="58"/>
        <v>96.843563979058828</v>
      </c>
      <c r="U195" s="60">
        <f t="shared" si="58"/>
        <v>89.672740344398576</v>
      </c>
      <c r="V195" s="60">
        <f t="shared" si="58"/>
        <v>91.513409838564215</v>
      </c>
    </row>
    <row r="196" spans="3:23" x14ac:dyDescent="0.2">
      <c r="C196" s="88" t="s">
        <v>150</v>
      </c>
      <c r="D196" s="62">
        <f t="shared" ref="D196:V196" si="59">+IFERROR(IF(D157&gt;0,+((D157/D40)*100)," "),"")</f>
        <v>70.076013750642133</v>
      </c>
      <c r="E196" s="62">
        <f t="shared" si="59"/>
        <v>72.903077651130459</v>
      </c>
      <c r="F196" s="62">
        <f t="shared" si="59"/>
        <v>49.465091125500088</v>
      </c>
      <c r="G196" s="62">
        <f t="shared" si="59"/>
        <v>67.092746591923117</v>
      </c>
      <c r="H196" s="62">
        <f t="shared" si="59"/>
        <v>62.128937737553478</v>
      </c>
      <c r="I196" s="62">
        <f t="shared" si="59"/>
        <v>71.803100840871238</v>
      </c>
      <c r="J196" s="62">
        <f t="shared" si="59"/>
        <v>57.125596457087603</v>
      </c>
      <c r="K196" s="62">
        <f t="shared" si="59"/>
        <v>86.246927571648172</v>
      </c>
      <c r="L196" s="62">
        <f t="shared" si="59"/>
        <v>85.026900340269961</v>
      </c>
      <c r="M196" s="62">
        <f t="shared" si="59"/>
        <v>85.080006728926833</v>
      </c>
      <c r="N196" s="62">
        <f t="shared" si="59"/>
        <v>73.516048117685813</v>
      </c>
      <c r="O196" s="62">
        <f t="shared" si="59"/>
        <v>81.250726231883846</v>
      </c>
      <c r="P196" s="62">
        <f t="shared" si="59"/>
        <v>85.540966286162373</v>
      </c>
      <c r="Q196" s="62">
        <f t="shared" si="59"/>
        <v>92.13365530857925</v>
      </c>
      <c r="R196" s="62">
        <f t="shared" si="59"/>
        <v>88.661591240771216</v>
      </c>
      <c r="S196" s="62">
        <f t="shared" si="59"/>
        <v>84.840624596757294</v>
      </c>
      <c r="T196" s="62">
        <f t="shared" si="59"/>
        <v>88.038633310065123</v>
      </c>
      <c r="U196" s="62">
        <f t="shared" si="59"/>
        <v>72.88086651587254</v>
      </c>
      <c r="V196" s="62">
        <f t="shared" si="59"/>
        <v>70.302296184917353</v>
      </c>
    </row>
    <row r="197" spans="3:23" x14ac:dyDescent="0.2">
      <c r="C197" s="87" t="s">
        <v>151</v>
      </c>
      <c r="D197" s="60">
        <f t="shared" ref="D197:V197" si="60">+IFERROR(IF(D158&gt;0,+((D158/D41)*100)," "),"")</f>
        <v>66.121883219855434</v>
      </c>
      <c r="E197" s="60">
        <f t="shared" si="60"/>
        <v>11.755471761077674</v>
      </c>
      <c r="F197" s="60">
        <f t="shared" si="60"/>
        <v>38.791884629385081</v>
      </c>
      <c r="G197" s="60">
        <f t="shared" si="60"/>
        <v>19.369437079955123</v>
      </c>
      <c r="H197" s="60">
        <f t="shared" si="60"/>
        <v>4.8189102512151294</v>
      </c>
      <c r="I197" s="60">
        <f t="shared" si="60"/>
        <v>15.995404362432513</v>
      </c>
      <c r="J197" s="60">
        <f t="shared" si="60"/>
        <v>57.794321647907076</v>
      </c>
      <c r="K197" s="60">
        <f t="shared" si="60"/>
        <v>88.215190202138032</v>
      </c>
      <c r="L197" s="60">
        <f t="shared" si="60"/>
        <v>89.870234090765734</v>
      </c>
      <c r="M197" s="60">
        <f t="shared" si="60"/>
        <v>91.014898005211222</v>
      </c>
      <c r="N197" s="60">
        <f t="shared" si="60"/>
        <v>49.137140943346623</v>
      </c>
      <c r="O197" s="60">
        <f t="shared" si="60"/>
        <v>78.000455818625468</v>
      </c>
      <c r="P197" s="60">
        <f t="shared" si="60"/>
        <v>96.599085997935788</v>
      </c>
      <c r="Q197" s="60">
        <f t="shared" si="60"/>
        <v>94.676899214478411</v>
      </c>
      <c r="R197" s="60">
        <f t="shared" si="60"/>
        <v>97.958847755075581</v>
      </c>
      <c r="S197" s="60">
        <f t="shared" si="60"/>
        <v>97.003641566519889</v>
      </c>
      <c r="T197" s="60">
        <f t="shared" si="60"/>
        <v>95.434045090296777</v>
      </c>
      <c r="U197" s="60">
        <f t="shared" si="60"/>
        <v>96.05398135886773</v>
      </c>
      <c r="V197" s="60">
        <f t="shared" si="60"/>
        <v>18.900875658137668</v>
      </c>
    </row>
    <row r="198" spans="3:23" x14ac:dyDescent="0.2">
      <c r="C198" s="91" t="s">
        <v>202</v>
      </c>
      <c r="D198" s="64">
        <f t="shared" ref="D198:V198" si="61">+IFERROR(IF(D159&gt;0,+((D159/D42)*100)," "),"")</f>
        <v>73.246463002290739</v>
      </c>
      <c r="E198" s="64">
        <f t="shared" si="61"/>
        <v>65.889789945537586</v>
      </c>
      <c r="F198" s="64">
        <f t="shared" si="61"/>
        <v>56.17287592375073</v>
      </c>
      <c r="G198" s="64">
        <f t="shared" si="61"/>
        <v>66.678554058845734</v>
      </c>
      <c r="H198" s="64">
        <f t="shared" si="61"/>
        <v>65.104790881448466</v>
      </c>
      <c r="I198" s="64">
        <f t="shared" si="61"/>
        <v>67.159518907935251</v>
      </c>
      <c r="J198" s="64">
        <f t="shared" si="61"/>
        <v>65.118095767545583</v>
      </c>
      <c r="K198" s="64">
        <f t="shared" si="61"/>
        <v>79.493899081491307</v>
      </c>
      <c r="L198" s="64">
        <f t="shared" si="61"/>
        <v>86.724891816867199</v>
      </c>
      <c r="M198" s="64">
        <f t="shared" si="61"/>
        <v>85.534618155728396</v>
      </c>
      <c r="N198" s="64">
        <f t="shared" si="61"/>
        <v>79.724388810463466</v>
      </c>
      <c r="O198" s="64">
        <f t="shared" si="61"/>
        <v>83.961857553564727</v>
      </c>
      <c r="P198" s="64">
        <f t="shared" si="61"/>
        <v>86.106966448851338</v>
      </c>
      <c r="Q198" s="64">
        <f t="shared" si="61"/>
        <v>88.897320690505282</v>
      </c>
      <c r="R198" s="64">
        <f t="shared" si="61"/>
        <v>87.583201970333988</v>
      </c>
      <c r="S198" s="64">
        <f t="shared" si="61"/>
        <v>87.541938622862148</v>
      </c>
      <c r="T198" s="64">
        <f t="shared" si="61"/>
        <v>86.479889032492167</v>
      </c>
      <c r="U198" s="64">
        <f t="shared" si="61"/>
        <v>87.746350472972466</v>
      </c>
      <c r="V198" s="64">
        <f t="shared" si="61"/>
        <v>77.868759927326664</v>
      </c>
    </row>
    <row r="199" spans="3:23" x14ac:dyDescent="0.2">
      <c r="C199" s="1" t="s">
        <v>52</v>
      </c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</row>
    <row r="203" spans="3:23" ht="18" customHeight="1" x14ac:dyDescent="0.2">
      <c r="C203" s="9"/>
      <c r="D203" s="160" t="s">
        <v>207</v>
      </c>
      <c r="E203" s="158"/>
      <c r="F203" s="158"/>
      <c r="G203" s="158"/>
      <c r="H203" s="158"/>
      <c r="I203" s="158"/>
      <c r="J203" s="158"/>
      <c r="K203" s="158"/>
      <c r="L203" s="158"/>
      <c r="M203" s="158"/>
      <c r="N203" s="158"/>
      <c r="O203" s="158"/>
      <c r="P203" s="158"/>
      <c r="Q203" s="158"/>
      <c r="R203" s="158"/>
      <c r="S203" s="158"/>
      <c r="T203" s="158"/>
      <c r="U203" s="158"/>
      <c r="V203" s="158"/>
    </row>
    <row r="204" spans="3:23" ht="15.75" customHeight="1" x14ac:dyDescent="0.2">
      <c r="C204" s="150"/>
      <c r="D204" s="150"/>
      <c r="E204" s="150"/>
      <c r="F204" s="150"/>
      <c r="G204" s="150"/>
      <c r="H204" s="150"/>
      <c r="I204" s="150"/>
      <c r="J204" s="150"/>
      <c r="K204" s="150"/>
      <c r="L204" s="150"/>
      <c r="M204" s="150"/>
      <c r="N204" s="150"/>
      <c r="O204" s="150"/>
      <c r="P204" s="150"/>
      <c r="Q204" s="150"/>
      <c r="R204" s="150"/>
      <c r="S204" s="150"/>
      <c r="T204" s="150"/>
      <c r="U204" s="150"/>
      <c r="V204" s="150"/>
    </row>
    <row r="205" spans="3:23" x14ac:dyDescent="0.2">
      <c r="C205" s="177" t="s">
        <v>120</v>
      </c>
      <c r="D205" s="153">
        <v>2000</v>
      </c>
      <c r="E205" s="153">
        <v>2001</v>
      </c>
      <c r="F205" s="153">
        <v>2002</v>
      </c>
      <c r="G205" s="153">
        <v>2003</v>
      </c>
      <c r="H205" s="153">
        <v>2004</v>
      </c>
      <c r="I205" s="153">
        <v>2005</v>
      </c>
      <c r="J205" s="153">
        <v>2006</v>
      </c>
      <c r="K205" s="153">
        <v>2007</v>
      </c>
      <c r="L205" s="153">
        <v>2008</v>
      </c>
      <c r="M205" s="153">
        <v>2009</v>
      </c>
      <c r="N205" s="153">
        <v>2010</v>
      </c>
      <c r="O205" s="153">
        <v>2011</v>
      </c>
      <c r="P205" s="153">
        <v>2012</v>
      </c>
      <c r="Q205" s="153">
        <v>2013</v>
      </c>
      <c r="R205" s="153">
        <v>2014</v>
      </c>
      <c r="S205" s="153">
        <v>2015</v>
      </c>
      <c r="T205" s="153">
        <v>2016</v>
      </c>
      <c r="U205" s="153">
        <v>2017</v>
      </c>
      <c r="V205" s="153">
        <v>2018</v>
      </c>
    </row>
    <row r="206" spans="3:23" ht="12" customHeight="1" thickBot="1" x14ac:dyDescent="0.25">
      <c r="C206" s="156"/>
      <c r="D206" s="154"/>
      <c r="E206" s="154"/>
      <c r="F206" s="154"/>
      <c r="G206" s="154"/>
      <c r="H206" s="154"/>
      <c r="I206" s="154"/>
      <c r="J206" s="154"/>
      <c r="K206" s="154"/>
      <c r="L206" s="154"/>
      <c r="M206" s="154"/>
      <c r="N206" s="154"/>
      <c r="O206" s="154"/>
      <c r="P206" s="154"/>
      <c r="Q206" s="154"/>
      <c r="R206" s="154"/>
      <c r="S206" s="154"/>
      <c r="T206" s="154"/>
      <c r="U206" s="154"/>
      <c r="V206" s="154"/>
    </row>
    <row r="207" spans="3:23" x14ac:dyDescent="0.2">
      <c r="C207" s="87" t="s">
        <v>123</v>
      </c>
      <c r="D207" s="56">
        <f>99.10952180939*Deflactores!$A$5</f>
        <v>359.82297913038389</v>
      </c>
      <c r="E207" s="56">
        <f>248.04562709175*Deflactores!$B$5</f>
        <v>836.56154550368467</v>
      </c>
      <c r="F207" s="56">
        <f>230.283060488229*Deflactores!$C$5</f>
        <v>725.90143824391112</v>
      </c>
      <c r="G207" s="56">
        <f>111.354457543919*Deflactores!$D$5</f>
        <v>329.61645942476531</v>
      </c>
      <c r="H207" s="56">
        <f>197.1877969146*Deflactores!$E$5</f>
        <v>553.27529598378862</v>
      </c>
      <c r="I207" s="56">
        <f>260.52354861379*Deflactores!$F$5</f>
        <v>697.1374278295541</v>
      </c>
      <c r="J207" s="56">
        <f>475.930595846129*Deflactores!$G$5</f>
        <v>1218.9626643109261</v>
      </c>
      <c r="K207" s="56">
        <f>861.41880649804*Deflactores!$H$5</f>
        <v>2087.4154743073873</v>
      </c>
      <c r="L207" s="56">
        <f>1031.93177930338*Deflactores!$I$5</f>
        <v>2322.3795134811216</v>
      </c>
      <c r="M207" s="56">
        <f>925.12756592372*Deflactores!$J$5</f>
        <v>2041.1548658154582</v>
      </c>
      <c r="N207" s="56">
        <f>926.83479651271*Deflactores!$K$5</f>
        <v>1982.0658991911134</v>
      </c>
      <c r="O207" s="56">
        <f>1071.02721173368*Deflactores!$L$5</f>
        <v>2208.1357305922711</v>
      </c>
      <c r="P207" s="56">
        <f>1062.66447960915*Deflactores!$M$5</f>
        <v>2138.7097756151884</v>
      </c>
      <c r="Q207" s="56">
        <f>1383.90511387535*Deflactores!$N$5</f>
        <v>2732.2307526093432</v>
      </c>
      <c r="R207" s="56">
        <f>1612.388401401*Deflactores!$O$5</f>
        <v>3070.9272063396543</v>
      </c>
      <c r="S207" s="56">
        <f>1764.32221134968*Deflactores!$P$5</f>
        <v>3147.2302393693199</v>
      </c>
      <c r="T207" s="56">
        <f>837.936984161919*Deflactores!$Q$5</f>
        <v>1413.4537329904051</v>
      </c>
      <c r="U207" s="56">
        <f>1231.74448211525*Deflactores!$R$5</f>
        <v>1996.0979778626813</v>
      </c>
      <c r="V207" s="56">
        <f>926.520736244369*Deflactores!$S$5</f>
        <v>1455.1938456519886</v>
      </c>
      <c r="W207" s="56"/>
    </row>
    <row r="208" spans="3:23" x14ac:dyDescent="0.2">
      <c r="C208" s="88" t="s">
        <v>124</v>
      </c>
      <c r="D208" s="57">
        <f>11.79249974571*Deflactores!$A$5</f>
        <v>42.813367600101252</v>
      </c>
      <c r="E208" s="57">
        <f>30.24559771309*Deflactores!$B$5</f>
        <v>102.00665201884881</v>
      </c>
      <c r="F208" s="57">
        <f>30.67455127769*Deflactores!$C$5</f>
        <v>96.692743455613154</v>
      </c>
      <c r="G208" s="57">
        <f>40.11175035109*Deflactores!$D$5</f>
        <v>118.73339804867463</v>
      </c>
      <c r="H208" s="57">
        <f>36.60003396981*Deflactores!$E$5</f>
        <v>102.69344728484067</v>
      </c>
      <c r="I208" s="57">
        <f>58.06870917372*Deflactores!$F$5</f>
        <v>155.38660810567052</v>
      </c>
      <c r="J208" s="57">
        <f>94.13472899466*Deflactores!$G$5</f>
        <v>241.0996919740289</v>
      </c>
      <c r="K208" s="57">
        <f>310.55155166785*Deflactores!$H$5</f>
        <v>752.53768507446114</v>
      </c>
      <c r="L208" s="57">
        <f>130.636880893619*Deflactores!$I$5</f>
        <v>294.00045814774768</v>
      </c>
      <c r="M208" s="57">
        <f>117.32464622693*Deflactores!$J$5</f>
        <v>258.85919017780213</v>
      </c>
      <c r="N208" s="57">
        <f>258.3054795625*Deflactores!$K$5</f>
        <v>552.39454166092844</v>
      </c>
      <c r="O208" s="57">
        <f>244.223000420019*Deflactores!$L$5</f>
        <v>503.51431555783017</v>
      </c>
      <c r="P208" s="57">
        <f>124.401494611401*Deflactores!$M$5</f>
        <v>250.36942302277797</v>
      </c>
      <c r="Q208" s="57">
        <f>151.46329180815*Deflactores!$N$5</f>
        <v>299.03254176929403</v>
      </c>
      <c r="R208" s="57">
        <f>172.053184590821*Deflactores!$O$5</f>
        <v>327.68953500176366</v>
      </c>
      <c r="S208" s="57">
        <f>203.891573619706*Deflactores!$P$5</f>
        <v>363.70551927567055</v>
      </c>
      <c r="T208" s="57">
        <f>192.433107145286*Deflactores!$Q$5</f>
        <v>324.6011320499108</v>
      </c>
      <c r="U208" s="57">
        <f>224.18491433572*Deflactores!$R$5</f>
        <v>363.30185413485668</v>
      </c>
      <c r="V208" s="57">
        <f>236.9849627421*Deflactores!$S$5</f>
        <v>372.20867899001183</v>
      </c>
      <c r="W208" s="56"/>
    </row>
    <row r="209" spans="3:23" x14ac:dyDescent="0.2">
      <c r="C209" s="87" t="s">
        <v>125</v>
      </c>
      <c r="D209" s="56">
        <f>22.3760689816*Deflactores!$A$5</f>
        <v>81.237641502004152</v>
      </c>
      <c r="E209" s="56">
        <f>34.4481051749799*Deflactores!$B$5</f>
        <v>116.18007720085765</v>
      </c>
      <c r="F209" s="56">
        <f>24.7174111176699*Deflactores!$C$5</f>
        <v>77.914564110544944</v>
      </c>
      <c r="G209" s="56">
        <f>12.22815740684*Deflactores!$D$5</f>
        <v>36.196143725468936</v>
      </c>
      <c r="H209" s="56">
        <f>36.23429495413*Deflactores!$E$5</f>
        <v>101.66724604257612</v>
      </c>
      <c r="I209" s="56">
        <f>37.50168702346*Deflactores!$F$5</f>
        <v>100.35111900598466</v>
      </c>
      <c r="J209" s="56">
        <f>38.2569486918*Deflactores!$G$5</f>
        <v>97.984438304193191</v>
      </c>
      <c r="K209" s="56">
        <f>72.76630529198*Deflactores!$H$5</f>
        <v>176.32945848042638</v>
      </c>
      <c r="L209" s="56">
        <f>99.59513083283*Deflactores!$I$5</f>
        <v>224.14048692712723</v>
      </c>
      <c r="M209" s="56">
        <f>110.82101792925*Deflactores!$J$5</f>
        <v>244.50991226820926</v>
      </c>
      <c r="N209" s="56">
        <f>211.80156890719*Deflactores!$K$5</f>
        <v>452.94443918772441</v>
      </c>
      <c r="O209" s="56">
        <f>225.14783206324*Deflactores!$L$5</f>
        <v>464.18706004628643</v>
      </c>
      <c r="P209" s="56">
        <f>302.43796730171*Deflactores!$M$5</f>
        <v>608.684160990549</v>
      </c>
      <c r="Q209" s="56">
        <f>356.01186820313*Deflactores!$N$5</f>
        <v>702.87085786873467</v>
      </c>
      <c r="R209" s="56">
        <f>280.1938069688*Deflactores!$O$5</f>
        <v>533.65230370097083</v>
      </c>
      <c r="S209" s="56">
        <f>158.76243391372*Deflactores!$P$5</f>
        <v>283.20333421801621</v>
      </c>
      <c r="T209" s="56">
        <f>223.529243989709*Deflactores!$Q$5</f>
        <v>377.05489830572378</v>
      </c>
      <c r="U209" s="56">
        <f>314.70929897612*Deflactores!$R$5</f>
        <v>510.00073832036662</v>
      </c>
      <c r="V209" s="56">
        <f>185.78409540762*Deflactores!$S$5</f>
        <v>291.79257590397356</v>
      </c>
      <c r="W209" s="56"/>
    </row>
    <row r="210" spans="3:23" x14ac:dyDescent="0.2">
      <c r="C210" s="88" t="s">
        <v>126</v>
      </c>
      <c r="D210" s="57">
        <f>9.59445011314999*Deflactores!$A$5</f>
        <v>34.833218441624993</v>
      </c>
      <c r="E210" s="57">
        <f>43.2465215259*Deflactores!$B$5</f>
        <v>145.8537177596894</v>
      </c>
      <c r="F210" s="57">
        <f>19.38046691521*Deflactores!$C$5</f>
        <v>61.09137501370224</v>
      </c>
      <c r="G210" s="57">
        <f>17.89597695497*Deflactores!$D$5</f>
        <v>52.973259373275397</v>
      </c>
      <c r="H210" s="57">
        <f>13.88397897636*Deflactores!$E$5</f>
        <v>38.956074857437173</v>
      </c>
      <c r="I210" s="57">
        <f>16.20907985154*Deflactores!$F$5</f>
        <v>43.374030084082456</v>
      </c>
      <c r="J210" s="57">
        <f>27.86076352156*Deflactores!$G$5</f>
        <v>71.357527396614969</v>
      </c>
      <c r="K210" s="57">
        <f>68.40286172874*Deflactores!$H$5</f>
        <v>165.7558332629755</v>
      </c>
      <c r="L210" s="57">
        <f>53.0932955901*Deflactores!$I$5</f>
        <v>119.48733865419194</v>
      </c>
      <c r="M210" s="57">
        <f>118.10005971117*Deflactores!$J$5</f>
        <v>260.57002343439746</v>
      </c>
      <c r="N210" s="57">
        <f>140.75106105054*Deflactores!$K$5</f>
        <v>301.00065236320262</v>
      </c>
      <c r="O210" s="57">
        <f>183.57477467994*Deflactores!$L$5</f>
        <v>378.47592924370679</v>
      </c>
      <c r="P210" s="57">
        <f>255.174679400579*Deflactores!$M$5</f>
        <v>513.56245719647632</v>
      </c>
      <c r="Q210" s="57">
        <f>209.82133514067*Deflactores!$N$5</f>
        <v>414.24827372704254</v>
      </c>
      <c r="R210" s="57">
        <f>160.209098350569*Deflactores!$O$5</f>
        <v>305.1314921394985</v>
      </c>
      <c r="S210" s="57">
        <f>185.005664369249*Deflactores!$P$5</f>
        <v>330.01648883176216</v>
      </c>
      <c r="T210" s="57">
        <f>153.55685876968*Deflactores!$Q$5</f>
        <v>259.02367284977572</v>
      </c>
      <c r="U210" s="57">
        <f>201.466669682769*Deflactores!$R$5</f>
        <v>326.48590499054205</v>
      </c>
      <c r="V210" s="57">
        <f>166.19074602031*Deflactores!$S$5</f>
        <v>261.01925337727448</v>
      </c>
      <c r="W210" s="56"/>
    </row>
    <row r="211" spans="3:23" x14ac:dyDescent="0.2">
      <c r="C211" s="87" t="s">
        <v>127</v>
      </c>
      <c r="D211" s="56">
        <f>0*Deflactores!$A$5</f>
        <v>0</v>
      </c>
      <c r="E211" s="56">
        <f>0*Deflactores!$B$5</f>
        <v>0</v>
      </c>
      <c r="F211" s="56">
        <f>0*Deflactores!$C$5</f>
        <v>0</v>
      </c>
      <c r="G211" s="56">
        <f>0*Deflactores!$D$5</f>
        <v>0</v>
      </c>
      <c r="H211" s="56">
        <f>0*Deflactores!$E$5</f>
        <v>0</v>
      </c>
      <c r="I211" s="56">
        <f>4.468227078*Deflactores!$F$5</f>
        <v>11.956571099578532</v>
      </c>
      <c r="J211" s="56">
        <f>31.797907981*Deflactores!$G$5</f>
        <v>81.44141807719565</v>
      </c>
      <c r="K211" s="56">
        <f>12.99541459514*Deflactores!$H$5</f>
        <v>31.490872170779603</v>
      </c>
      <c r="L211" s="56">
        <f>8.836132524*Deflactores!$I$5</f>
        <v>19.885862189450862</v>
      </c>
      <c r="M211" s="56">
        <f>9.923878953*Deflactores!$J$5</f>
        <v>21.895546688692825</v>
      </c>
      <c r="N211" s="56">
        <f>26.64836349315*Deflactores!$K$5</f>
        <v>56.988378886676458</v>
      </c>
      <c r="O211" s="56">
        <f>1.199999998*Deflactores!$L$5</f>
        <v>2.4740387949669946</v>
      </c>
      <c r="P211" s="56">
        <f>3.34611318076*Deflactores!$M$5</f>
        <v>6.7343598165983378</v>
      </c>
      <c r="Q211" s="56">
        <f>28.966133127*Deflactores!$N$5</f>
        <v>57.187562153118876</v>
      </c>
      <c r="R211" s="56">
        <f>43.05397549005*Deflactores!$O$5</f>
        <v>81.999860925936574</v>
      </c>
      <c r="S211" s="56">
        <f>43.87115787607*Deflactores!$P$5</f>
        <v>78.258174054323973</v>
      </c>
      <c r="T211" s="56">
        <f>58.97808824486*Deflactores!$Q$5</f>
        <v>99.485761542930362</v>
      </c>
      <c r="U211" s="56">
        <f>55.78819161467*Deflactores!$R$5</f>
        <v>90.407302884299938</v>
      </c>
      <c r="V211" s="56">
        <f>47.1439929030099*Deflactores!$S$5</f>
        <v>74.044374451892338</v>
      </c>
      <c r="W211" s="56"/>
    </row>
    <row r="212" spans="3:23" x14ac:dyDescent="0.2">
      <c r="C212" s="88" t="s">
        <v>128</v>
      </c>
      <c r="D212" s="57">
        <f>4.10312942716*Deflactores!$A$5</f>
        <v>14.896653997359685</v>
      </c>
      <c r="E212" s="57">
        <f>13.42606802691*Deflactores!$B$5</f>
        <v>45.280912025411006</v>
      </c>
      <c r="F212" s="57">
        <f>7.14830031751*Deflactores!$C$5</f>
        <v>22.532970816345181</v>
      </c>
      <c r="G212" s="57">
        <f>6.47514687759999*Deflactores!$D$5</f>
        <v>19.166857215464802</v>
      </c>
      <c r="H212" s="57">
        <f>20.41717044523*Deflactores!$E$5</f>
        <v>57.287094830358122</v>
      </c>
      <c r="I212" s="57">
        <f>25.71573524032*Deflactores!$F$5</f>
        <v>68.812979155134897</v>
      </c>
      <c r="J212" s="57">
        <f>37.39930309461*Deflactores!$G$5</f>
        <v>95.787819781850374</v>
      </c>
      <c r="K212" s="57">
        <f>39.6394909088699*Deflactores!$H$5</f>
        <v>96.05558422067061</v>
      </c>
      <c r="L212" s="57">
        <f>55.20090815678*Deflactores!$I$5</f>
        <v>124.23055554641444</v>
      </c>
      <c r="M212" s="57">
        <f>68.2507084578399*Deflactores!$J$5</f>
        <v>150.58492557723525</v>
      </c>
      <c r="N212" s="57">
        <f>85.79462953474*Deflactores!$K$5</f>
        <v>183.47456329258665</v>
      </c>
      <c r="O212" s="57">
        <f>92.72451465079*Deflactores!$L$5</f>
        <v>191.17003906073333</v>
      </c>
      <c r="P212" s="57">
        <f>140.96836186717*Deflactores!$M$5</f>
        <v>283.71176355557168</v>
      </c>
      <c r="Q212" s="57">
        <f>153.18849911612*Deflactores!$N$5</f>
        <v>302.4386022095668</v>
      </c>
      <c r="R212" s="57">
        <f>154.802878534549*Deflactores!$O$5</f>
        <v>294.83489889804196</v>
      </c>
      <c r="S212" s="57">
        <f>154.63654659041*Deflactores!$P$5</f>
        <v>275.84350092644394</v>
      </c>
      <c r="T212" s="57">
        <f>111.25321987576*Deflactores!$Q$5</f>
        <v>187.66480285850326</v>
      </c>
      <c r="U212" s="57">
        <f>123.081120579779*Deflactores!$R$5</f>
        <v>199.45855611259975</v>
      </c>
      <c r="V212" s="57">
        <f>112.746356184529*Deflactores!$S$5</f>
        <v>177.07947293706431</v>
      </c>
      <c r="W212" s="56"/>
    </row>
    <row r="213" spans="3:23" x14ac:dyDescent="0.2">
      <c r="C213" s="87" t="s">
        <v>129</v>
      </c>
      <c r="D213" s="56">
        <f>251.33962662551*Deflactores!$A$5</f>
        <v>912.50337580925498</v>
      </c>
      <c r="E213" s="56">
        <f>456.730409311789*Deflactores!$B$5</f>
        <v>1540.3742511899691</v>
      </c>
      <c r="F213" s="56">
        <f>506.52419642324*Deflactores!$C$5</f>
        <v>1596.672555547201</v>
      </c>
      <c r="G213" s="56">
        <f>455.710385368369*Deflactores!$D$5</f>
        <v>1348.9324725862314</v>
      </c>
      <c r="H213" s="56">
        <f>384.269138216949*Deflactores!$E$5</f>
        <v>1078.1936028044147</v>
      </c>
      <c r="I213" s="56">
        <f>412.31490886202*Deflactores!$F$5</f>
        <v>1103.3173643967127</v>
      </c>
      <c r="J213" s="56">
        <f>710.94531026178*Deflactores!$G$5</f>
        <v>1820.8869048129848</v>
      </c>
      <c r="K213" s="56">
        <f>904.64642908678*Deflactores!$H$5</f>
        <v>2192.1659251085343</v>
      </c>
      <c r="L213" s="56">
        <f>2834.13479323062*Deflactores!$I$5</f>
        <v>6378.267162860393</v>
      </c>
      <c r="M213" s="56">
        <f>2140.38796457311*Deflactores!$J$5</f>
        <v>4722.4442007184507</v>
      </c>
      <c r="N213" s="56">
        <f>1294.60013594795*Deflactores!$K$5</f>
        <v>2768.5438572281992</v>
      </c>
      <c r="O213" s="56">
        <f>914.505739566958*Deflactores!$L$5</f>
        <v>1885.4355680662568</v>
      </c>
      <c r="P213" s="56">
        <f>1247.86470014724*Deflactores!$M$5</f>
        <v>2511.4422134742049</v>
      </c>
      <c r="Q213" s="56">
        <f>1983.96393522953*Deflactores!$N$5</f>
        <v>3916.9211975252642</v>
      </c>
      <c r="R213" s="56">
        <f>1437.05069074995*Deflactores!$O$5</f>
        <v>2736.9820195175694</v>
      </c>
      <c r="S213" s="56">
        <f>864.421850627061*Deflactores!$P$5</f>
        <v>1541.9715119858452</v>
      </c>
      <c r="T213" s="56">
        <f>596.35593403256*Deflactores!$Q$5</f>
        <v>1005.9485821506829</v>
      </c>
      <c r="U213" s="56">
        <f>613.539566776885*Deflactores!$R$5</f>
        <v>994.26878412230315</v>
      </c>
      <c r="V213" s="56">
        <f>563.324780220478*Deflactores!$S$5</f>
        <v>884.75812921675538</v>
      </c>
      <c r="W213" s="56"/>
    </row>
    <row r="214" spans="3:23" x14ac:dyDescent="0.2">
      <c r="C214" s="88" t="s">
        <v>130</v>
      </c>
      <c r="D214" s="57">
        <f>15.86642732*Deflactores!$A$5</f>
        <v>57.604002543953456</v>
      </c>
      <c r="E214" s="57">
        <f>43.5584501775699*Deflactores!$B$5</f>
        <v>146.90573193138584</v>
      </c>
      <c r="F214" s="57">
        <f>10.93158825608*Deflactores!$C$5</f>
        <v>34.458703217487994</v>
      </c>
      <c r="G214" s="57">
        <f>17.79043233722*Deflactores!$D$5</f>
        <v>52.660840418691798</v>
      </c>
      <c r="H214" s="57">
        <f>63.11924261658*Deflactores!$E$5</f>
        <v>177.10181962266842</v>
      </c>
      <c r="I214" s="57">
        <f>55.00723608441*Deflactores!$F$5</f>
        <v>147.19438330984261</v>
      </c>
      <c r="J214" s="57">
        <f>84.5471889526*Deflactores!$G$5</f>
        <v>216.54389863807037</v>
      </c>
      <c r="K214" s="57">
        <f>65.30390673963*Deflactores!$H$5</f>
        <v>158.24635407625073</v>
      </c>
      <c r="L214" s="57">
        <f>132.16047828905*Deflactores!$I$5</f>
        <v>297.42933925104188</v>
      </c>
      <c r="M214" s="57">
        <f>108.55928077982*Deflactores!$J$5</f>
        <v>239.51972933798268</v>
      </c>
      <c r="N214" s="57">
        <f>111.57337177835*Deflactores!$K$5</f>
        <v>238.60322928284344</v>
      </c>
      <c r="O214" s="57">
        <f>131.77889197481*Deflactores!$L$5</f>
        <v>271.68840970568459</v>
      </c>
      <c r="P214" s="57">
        <f>193.71980723772*Deflactores!$M$5</f>
        <v>389.87888785177597</v>
      </c>
      <c r="Q214" s="57">
        <f>256.20865386694*Deflactores!$N$5</f>
        <v>505.83031752778669</v>
      </c>
      <c r="R214" s="57">
        <f>226.49123761855*Deflactores!$O$5</f>
        <v>431.37131413001566</v>
      </c>
      <c r="S214" s="57">
        <f>325.0860494505*Deflactores!$P$5</f>
        <v>579.89444254915986</v>
      </c>
      <c r="T214" s="57">
        <f>167.41430137339*Deflactores!$Q$5</f>
        <v>282.39876471005971</v>
      </c>
      <c r="U214" s="57">
        <f>304.53929787559*Deflactores!$R$5</f>
        <v>493.51978880008318</v>
      </c>
      <c r="V214" s="57">
        <f>366.44756503056*Deflactores!$S$5</f>
        <v>575.5426948652588</v>
      </c>
      <c r="W214" s="56"/>
    </row>
    <row r="215" spans="3:23" x14ac:dyDescent="0.2">
      <c r="C215" s="87" t="s">
        <v>131</v>
      </c>
      <c r="D215" s="56">
        <f>101.3266476055*Deflactores!$A$5</f>
        <v>367.87238542857409</v>
      </c>
      <c r="E215" s="56">
        <f>132.98561860058*Deflactores!$B$5</f>
        <v>448.50883255085193</v>
      </c>
      <c r="F215" s="56">
        <f>147.61557335903*Deflactores!$C$5</f>
        <v>465.31584555693661</v>
      </c>
      <c r="G215" s="56">
        <f>202.744610962079*Deflactores!$D$5</f>
        <v>600.13727610692661</v>
      </c>
      <c r="H215" s="56">
        <f>228.35638374012*Deflactores!$E$5</f>
        <v>640.72902979042237</v>
      </c>
      <c r="I215" s="56">
        <f>329.81623798795*Deflactores!$F$5</f>
        <v>882.55839071266598</v>
      </c>
      <c r="J215" s="56">
        <f>325.17123831642*Deflactores!$G$5</f>
        <v>832.8348765029084</v>
      </c>
      <c r="K215" s="56">
        <f>533.83948090443*Deflactores!$H$5</f>
        <v>1293.6155849282191</v>
      </c>
      <c r="L215" s="56">
        <f>558.81806546503*Deflactores!$I$5</f>
        <v>1257.629286187143</v>
      </c>
      <c r="M215" s="56">
        <f>688.98115584056*Deflactores!$J$5</f>
        <v>1520.1333205274668</v>
      </c>
      <c r="N215" s="56">
        <f>742.326055941519*Deflactores!$K$5</f>
        <v>1587.4880475989366</v>
      </c>
      <c r="O215" s="56">
        <f>688.6629508671*Deflactores!$L$5</f>
        <v>1419.8157166177384</v>
      </c>
      <c r="P215" s="56">
        <f>812.645474767819*Deflactores!$M$5</f>
        <v>1635.5235865553957</v>
      </c>
      <c r="Q215" s="56">
        <f>1047.10378402491*Deflactores!$N$5</f>
        <v>2067.2870785736241</v>
      </c>
      <c r="R215" s="56">
        <f>1606.97712408397*Deflactores!$O$5</f>
        <v>3060.6209806687939</v>
      </c>
      <c r="S215" s="56">
        <f>2220.49186767588*Deflactores!$P$5</f>
        <v>3960.9540180742652</v>
      </c>
      <c r="T215" s="56">
        <f>2297.61973005704*Deflactores!$Q$5</f>
        <v>3875.6842648372512</v>
      </c>
      <c r="U215" s="56">
        <f>3059.87061754035*Deflactores!$R$5</f>
        <v>4958.6595603861942</v>
      </c>
      <c r="V215" s="56">
        <f>3216.29382060894*Deflactores!$S$5</f>
        <v>5051.512384418148</v>
      </c>
      <c r="W215" s="56"/>
    </row>
    <row r="216" spans="3:23" x14ac:dyDescent="0.2">
      <c r="C216" s="88" t="s">
        <v>132</v>
      </c>
      <c r="D216" s="57">
        <f>10.70356688839*Deflactores!$A$5</f>
        <v>38.859932474590224</v>
      </c>
      <c r="E216" s="57">
        <f>10.2167416666*Deflactores!$B$5</f>
        <v>34.457100892415042</v>
      </c>
      <c r="F216" s="57">
        <f>13.06264461278*Deflactores!$C$5</f>
        <v>41.176248446510307</v>
      </c>
      <c r="G216" s="57">
        <f>4.75706574913*Deflactores!$D$5</f>
        <v>14.081224982489957</v>
      </c>
      <c r="H216" s="57">
        <f>7.37017654489*Deflactores!$E$5</f>
        <v>20.679457213535461</v>
      </c>
      <c r="I216" s="57">
        <f>7.38255884273*Deflactores!$F$5</f>
        <v>19.755059033265063</v>
      </c>
      <c r="J216" s="57">
        <f>13.7152646739599*Deflactores!$G$5</f>
        <v>35.127801647164617</v>
      </c>
      <c r="K216" s="57">
        <f>17.02925426187*Deflactores!$H$5</f>
        <v>41.265791498857119</v>
      </c>
      <c r="L216" s="57">
        <f>25.01225941873*Deflactores!$I$5</f>
        <v>56.290502943079119</v>
      </c>
      <c r="M216" s="57">
        <f>54.64302449591*Deflactores!$J$5</f>
        <v>120.56161705800517</v>
      </c>
      <c r="N216" s="57">
        <f>54.39664415689*Deflactores!$K$5</f>
        <v>116.3289658733984</v>
      </c>
      <c r="O216" s="57">
        <f>43.13201319949*Deflactores!$L$5</f>
        <v>88.925228448680997</v>
      </c>
      <c r="P216" s="57">
        <f>74.54781542092*Deflactores!$M$5</f>
        <v>150.0343190638302</v>
      </c>
      <c r="Q216" s="57">
        <f>94.29165650773*Deflactores!$N$5</f>
        <v>186.15912394706385</v>
      </c>
      <c r="R216" s="57">
        <f>90.3101493444599*Deflactores!$O$5</f>
        <v>172.00315655305059</v>
      </c>
      <c r="S216" s="57">
        <f>120.95737216115*Deflactores!$P$5</f>
        <v>215.76597340970108</v>
      </c>
      <c r="T216" s="57">
        <f>180.37285380277*Deflactores!$Q$5</f>
        <v>304.25758542290669</v>
      </c>
      <c r="U216" s="57">
        <f>242.47644017462*Deflactores!$R$5</f>
        <v>392.94410402450137</v>
      </c>
      <c r="V216" s="57">
        <f>317.64550307918*Deflactores!$S$5</f>
        <v>498.89415649078171</v>
      </c>
      <c r="W216" s="56"/>
    </row>
    <row r="217" spans="3:23" x14ac:dyDescent="0.2">
      <c r="C217" s="87" t="s">
        <v>133</v>
      </c>
      <c r="D217" s="56">
        <f>3.744977924*Deflactores!$A$5</f>
        <v>13.596363788161577</v>
      </c>
      <c r="E217" s="56">
        <f>23.12764849674*Deflactores!$B$5</f>
        <v>78.000574318297623</v>
      </c>
      <c r="F217" s="56">
        <f>6.87315140566*Deflactores!$C$5</f>
        <v>21.665642622861437</v>
      </c>
      <c r="G217" s="56">
        <f>8.3630042725*Deflactores!$D$5</f>
        <v>24.755038273779196</v>
      </c>
      <c r="H217" s="56">
        <f>26.39959301021*Deflactores!$E$5</f>
        <v>74.072751281365086</v>
      </c>
      <c r="I217" s="56">
        <f>32.83502680942*Deflactores!$F$5</f>
        <v>87.863558800848722</v>
      </c>
      <c r="J217" s="56">
        <f>27.14047124247*Deflactores!$G$5</f>
        <v>69.512700854120524</v>
      </c>
      <c r="K217" s="56">
        <f>39.5604750035*Deflactores!$H$5</f>
        <v>95.864110546841644</v>
      </c>
      <c r="L217" s="56">
        <f>46.86995712771*Deflactores!$I$5</f>
        <v>105.48161265525982</v>
      </c>
      <c r="M217" s="56">
        <f>51.75586886743*Deflactores!$J$5</f>
        <v>114.19154229587843</v>
      </c>
      <c r="N217" s="56">
        <f>43.12275618106*Deflactores!$K$5</f>
        <v>92.219395330438175</v>
      </c>
      <c r="O217" s="56">
        <f>55.03815352405*Deflactores!$L$5</f>
        <v>113.4721060406611</v>
      </c>
      <c r="P217" s="56">
        <f>74.1126851630499*Deflactores!$M$5</f>
        <v>149.15857949218758</v>
      </c>
      <c r="Q217" s="56">
        <f>87.33037008419*Deflactores!$N$5</f>
        <v>172.41552212536334</v>
      </c>
      <c r="R217" s="56">
        <f>92.9876124304584*Deflactores!$O$5</f>
        <v>177.10260667785835</v>
      </c>
      <c r="S217" s="56">
        <f>67.5441921339799*Deflactores!$P$5</f>
        <v>120.48656566830535</v>
      </c>
      <c r="T217" s="56">
        <f>71.12712063498*Deflactores!$Q$5</f>
        <v>119.97906295892111</v>
      </c>
      <c r="U217" s="56">
        <f>81.88406834613*Deflactores!$R$5</f>
        <v>132.69685849470389</v>
      </c>
      <c r="V217" s="56">
        <f>84.12088707808*Deflactores!$S$5</f>
        <v>132.12029950133982</v>
      </c>
      <c r="W217" s="56"/>
    </row>
    <row r="218" spans="3:23" x14ac:dyDescent="0.2">
      <c r="C218" s="88" t="s">
        <v>134</v>
      </c>
      <c r="D218" s="57">
        <f>600.0017996225*Deflactores!$A$5</f>
        <v>2178.342010760312</v>
      </c>
      <c r="E218" s="57">
        <f>1525.1343357527*Deflactores!$B$5</f>
        <v>5143.6856677424157</v>
      </c>
      <c r="F218" s="57">
        <f>806.60995070965*Deflactores!$C$5</f>
        <v>2542.6070075697739</v>
      </c>
      <c r="G218" s="57">
        <f>1095.16576919778*Deflactores!$D$5</f>
        <v>3241.7621286853023</v>
      </c>
      <c r="H218" s="57">
        <f>888.48737650609*Deflactores!$E$5</f>
        <v>2492.9439037607594</v>
      </c>
      <c r="I218" s="57">
        <f>1141.81960916971*Deflactores!$F$5</f>
        <v>3055.4058917796588</v>
      </c>
      <c r="J218" s="57">
        <f>246.129195043199*Deflactores!$G$5</f>
        <v>630.39086365349021</v>
      </c>
      <c r="K218" s="57">
        <f>690.77638095937*Deflactores!$H$5</f>
        <v>1673.9097127013151</v>
      </c>
      <c r="L218" s="57">
        <f>738.42863547642*Deflactores!$I$5</f>
        <v>1661.8458405805973</v>
      </c>
      <c r="M218" s="57">
        <f>811.43965903707*Deflactores!$J$5</f>
        <v>1790.3195941474273</v>
      </c>
      <c r="N218" s="57">
        <f>581.56753154947*Deflactores!$K$5</f>
        <v>1243.7007940337392</v>
      </c>
      <c r="O218" s="57">
        <f>964.0394671779*Deflactores!$L$5</f>
        <v>1987.5592047104612</v>
      </c>
      <c r="P218" s="57">
        <f>727.15072667143*Deflactores!$M$5</f>
        <v>1463.4575609884575</v>
      </c>
      <c r="Q218" s="57">
        <f>1036.96661835913*Deflactores!$N$5</f>
        <v>2047.2733684582106</v>
      </c>
      <c r="R218" s="57">
        <f>635.09606372685*Deflactores!$O$5</f>
        <v>1209.5930354270513</v>
      </c>
      <c r="S218" s="57">
        <f>606.78003128684*Deflactores!$P$5</f>
        <v>1082.3853210182799</v>
      </c>
      <c r="T218" s="57">
        <f>513.02211601607*Deflactores!$Q$5</f>
        <v>865.37894697989543</v>
      </c>
      <c r="U218" s="57">
        <f>562.3983082129*Deflactores!$R$5</f>
        <v>911.39204768292586</v>
      </c>
      <c r="V218" s="57">
        <f>732.78622770376*Deflactores!$S$5</f>
        <v>1150.9143476436998</v>
      </c>
      <c r="W218" s="56"/>
    </row>
    <row r="219" spans="3:23" x14ac:dyDescent="0.2">
      <c r="C219" s="87" t="s">
        <v>135</v>
      </c>
      <c r="D219" s="56"/>
      <c r="E219" s="56"/>
      <c r="F219" s="56"/>
      <c r="G219" s="56"/>
      <c r="H219" s="56"/>
      <c r="I219" s="56"/>
      <c r="J219" s="56"/>
      <c r="K219" s="56"/>
      <c r="L219" s="56"/>
      <c r="M219" s="56"/>
      <c r="N219" s="56"/>
      <c r="O219" s="56"/>
      <c r="P219" s="56"/>
      <c r="Q219" s="56"/>
      <c r="R219" s="56"/>
      <c r="S219" s="56"/>
      <c r="T219" s="56"/>
      <c r="U219" s="56"/>
      <c r="V219" s="56"/>
      <c r="W219" s="56"/>
    </row>
    <row r="220" spans="3:23" x14ac:dyDescent="0.2">
      <c r="C220" s="88" t="s">
        <v>136</v>
      </c>
      <c r="D220" s="57">
        <f>718.21287463968*Deflactores!$A$5</f>
        <v>2607.5143082585432</v>
      </c>
      <c r="E220" s="57">
        <f>864.26322158208*Deflactores!$B$5</f>
        <v>2914.8241186338801</v>
      </c>
      <c r="F220" s="57">
        <f>845.281439885219*Deflactores!$C$5</f>
        <v>2664.5078089229601</v>
      </c>
      <c r="G220" s="57">
        <f>877.95683123884*Deflactores!$D$5</f>
        <v>2598.8095009721146</v>
      </c>
      <c r="H220" s="57">
        <f>1024.64514130099*Deflactores!$E$5</f>
        <v>2874.9793481245665</v>
      </c>
      <c r="I220" s="57">
        <f>1301.0884302723*Deflactores!$F$5</f>
        <v>3481.594836570609</v>
      </c>
      <c r="J220" s="57">
        <f>2097.63983424213*Deflactores!$G$5</f>
        <v>5372.5157899686501</v>
      </c>
      <c r="K220" s="57">
        <f>2743.43158082295*Deflactores!$H$5</f>
        <v>6647.9643714702597</v>
      </c>
      <c r="L220" s="57">
        <f>3894.97751457531*Deflactores!$I$5</f>
        <v>8765.711228920276</v>
      </c>
      <c r="M220" s="57">
        <f>4572.26997866078*Deflactores!$J$5</f>
        <v>10088.026190687422</v>
      </c>
      <c r="N220" s="57">
        <f>4779.42855508494*Deflactores!$K$5</f>
        <v>10220.961051848259</v>
      </c>
      <c r="O220" s="57">
        <f>4412.6075730229*Deflactores!$L$5</f>
        <v>9097.4686173489572</v>
      </c>
      <c r="P220" s="57">
        <f>5803.6491555047*Deflactores!$M$5</f>
        <v>11680.376469987976</v>
      </c>
      <c r="Q220" s="57">
        <f>7021.98178589549*Deflactores!$N$5</f>
        <v>13863.43210045715</v>
      </c>
      <c r="R220" s="57">
        <f>7665.80308278757*Deflactores!$O$5</f>
        <v>14600.156652652624</v>
      </c>
      <c r="S220" s="57">
        <f>8941.56216394183*Deflactores!$P$5</f>
        <v>15950.122176396986</v>
      </c>
      <c r="T220" s="57">
        <f>8014.04712896545*Deflactores!$Q$5</f>
        <v>13518.30154880523</v>
      </c>
      <c r="U220" s="57">
        <f>8955.62195862728*Deflactores!$R$5</f>
        <v>14512.992866361317</v>
      </c>
      <c r="V220" s="57">
        <f>9018.34166360566*Deflactores!$S$5</f>
        <v>14164.211089393881</v>
      </c>
      <c r="W220" s="56"/>
    </row>
    <row r="221" spans="3:23" x14ac:dyDescent="0.2">
      <c r="C221" s="87" t="s">
        <v>137</v>
      </c>
      <c r="D221" s="56">
        <f>20.77944408432*Deflactores!$A$5</f>
        <v>75.441000406328897</v>
      </c>
      <c r="E221" s="56">
        <f>25.73290710087*Deflactores!$B$5</f>
        <v>86.787099563113173</v>
      </c>
      <c r="F221" s="56">
        <f>28.47007463664*Deflactores!$C$5</f>
        <v>89.743761793998061</v>
      </c>
      <c r="G221" s="56">
        <f>22.12272885689*Deflactores!$D$5</f>
        <v>65.484720768776995</v>
      </c>
      <c r="H221" s="56">
        <f>44.9163779731599*Deflactores!$E$5</f>
        <v>126.02768886546529</v>
      </c>
      <c r="I221" s="56">
        <f>134.31068601913*Deflactores!$F$5</f>
        <v>359.4032350611202</v>
      </c>
      <c r="J221" s="56">
        <f>70.09370745139*Deflactores!$G$5</f>
        <v>179.52536174833509</v>
      </c>
      <c r="K221" s="56">
        <f>79.6700816598*Deflactores!$H$5</f>
        <v>193.05889312085517</v>
      </c>
      <c r="L221" s="56">
        <f>109.749520816189*Deflactores!$I$5</f>
        <v>246.993109302194</v>
      </c>
      <c r="M221" s="56">
        <f>101.23946465667*Deflactores!$J$5</f>
        <v>223.36965571897431</v>
      </c>
      <c r="N221" s="56">
        <f>126.74894218223*Deflactores!$K$5</f>
        <v>271.05667267046658</v>
      </c>
      <c r="O221" s="56">
        <f>149.46853691812*Deflactores!$L$5</f>
        <v>308.15913298225303</v>
      </c>
      <c r="P221" s="56">
        <f>173.546596279419*Deflactores!$M$5</f>
        <v>349.27844969848934</v>
      </c>
      <c r="Q221" s="56">
        <f>201.10007995124*Deflactores!$N$5</f>
        <v>397.02998224809312</v>
      </c>
      <c r="R221" s="56">
        <f>370.604376066579*Deflactores!$O$5</f>
        <v>705.84671798835734</v>
      </c>
      <c r="S221" s="56">
        <f>194.927242185719*Deflactores!$P$5</f>
        <v>347.71478085879681</v>
      </c>
      <c r="T221" s="56">
        <f>160.832958985449*Deflactores!$Q$5</f>
        <v>271.29718649815254</v>
      </c>
      <c r="U221" s="56">
        <f>171.64058285422*Deflactores!$R$5</f>
        <v>278.15137419257672</v>
      </c>
      <c r="V221" s="56">
        <f>423.475557647899*Deflactores!$S$5</f>
        <v>665.11088329353277</v>
      </c>
      <c r="W221" s="56"/>
    </row>
    <row r="222" spans="3:23" x14ac:dyDescent="0.2">
      <c r="C222" s="88" t="s">
        <v>138</v>
      </c>
      <c r="D222" s="57">
        <f>7.24496737172*Deflactores!$A$5</f>
        <v>26.303282427377525</v>
      </c>
      <c r="E222" s="57">
        <f>20.17112825247*Deflactores!$B$5</f>
        <v>68.029380010789893</v>
      </c>
      <c r="F222" s="57">
        <f>4.38859275891*Deflactores!$C$5</f>
        <v>13.833782601314786</v>
      </c>
      <c r="G222" s="57">
        <f>2.28970573560999*Deflactores!$D$5</f>
        <v>6.7776783645923997</v>
      </c>
      <c r="H222" s="57">
        <f>7.12534524595*Deflactores!$E$5</f>
        <v>19.99250238414615</v>
      </c>
      <c r="I222" s="57">
        <f>3.15838128155*Deflactores!$F$5</f>
        <v>8.4515423440237551</v>
      </c>
      <c r="J222" s="57">
        <f>2.11638848706*Deflactores!$G$5</f>
        <v>5.4205352028632579</v>
      </c>
      <c r="K222" s="57">
        <f>30.60837305353*Deflactores!$H$5</f>
        <v>74.171112905064206</v>
      </c>
      <c r="L222" s="57">
        <f>62.4726873660299*Deflactores!$I$5</f>
        <v>140.59581476298811</v>
      </c>
      <c r="M222" s="57">
        <f>19.4183777286499*Deflactores!$J$5</f>
        <v>42.843730580550435</v>
      </c>
      <c r="N222" s="57">
        <f>21.59827802569*Deflactores!$K$5</f>
        <v>46.188609358476818</v>
      </c>
      <c r="O222" s="57">
        <f>17.8279177389099*Deflactores!$L$5</f>
        <v>36.755800160879133</v>
      </c>
      <c r="P222" s="57">
        <f>53.97807110646*Deflactores!$M$5</f>
        <v>108.63582114525748</v>
      </c>
      <c r="Q222" s="57">
        <f>32.26212360938*Deflactores!$N$5</f>
        <v>63.694804930081013</v>
      </c>
      <c r="R222" s="57">
        <f>12.17846894599*Deflactores!$O$5</f>
        <v>23.1949024101806</v>
      </c>
      <c r="S222" s="57">
        <f>12.17252577943*Deflactores!$P$5</f>
        <v>21.713574185079448</v>
      </c>
      <c r="T222" s="57">
        <f>8.00388973008*Deflactores!$Q$5</f>
        <v>13.501167786191241</v>
      </c>
      <c r="U222" s="57">
        <f>6.77227321476*Deflactores!$R$5</f>
        <v>10.974776884164838</v>
      </c>
      <c r="V222" s="57">
        <f>6.81710210028*Deflactores!$S$5</f>
        <v>10.706943334824896</v>
      </c>
      <c r="W222" s="56"/>
    </row>
    <row r="223" spans="3:23" x14ac:dyDescent="0.2">
      <c r="C223" s="87" t="s">
        <v>139</v>
      </c>
      <c r="D223" s="56">
        <f>71.2512946188*Deflactores!$A$5</f>
        <v>258.68203809862678</v>
      </c>
      <c r="E223" s="56">
        <f>121.63396262124*Deflactores!$B$5</f>
        <v>410.22410654521991</v>
      </c>
      <c r="F223" s="56">
        <f>97.69612731028*Deflactores!$C$5</f>
        <v>307.95907946957948</v>
      </c>
      <c r="G223" s="56">
        <f>89.00476583863*Deflactores!$D$5</f>
        <v>263.45991381699855</v>
      </c>
      <c r="H223" s="56">
        <f>95.98804812384*Deflactores!$E$5</f>
        <v>269.32607680395233</v>
      </c>
      <c r="I223" s="56">
        <f>125.03447486157*Deflactores!$F$5</f>
        <v>334.58093388798591</v>
      </c>
      <c r="J223" s="56">
        <f>186.9996999458*Deflactores!$G$5</f>
        <v>478.94725504256553</v>
      </c>
      <c r="K223" s="56">
        <f>377.98799618666*Deflactores!$H$5</f>
        <v>915.95166763319446</v>
      </c>
      <c r="L223" s="56">
        <f>366.724692972789*Deflactores!$I$5</f>
        <v>825.31997863520962</v>
      </c>
      <c r="M223" s="56">
        <f>555.61148729536*Deflactores!$J$5</f>
        <v>1225.8732012417381</v>
      </c>
      <c r="N223" s="56">
        <f>322.784660748929*Deflactores!$K$5</f>
        <v>690.28533591924861</v>
      </c>
      <c r="O223" s="56">
        <f>1837.69771958284*Deflactores!$L$5</f>
        <v>3788.7795493732351</v>
      </c>
      <c r="P223" s="56">
        <f>297.412739599029*Deflactores!$M$5</f>
        <v>598.57042912254769</v>
      </c>
      <c r="Q223" s="56">
        <f>430.8283247003*Deflactores!$N$5</f>
        <v>850.58027897955151</v>
      </c>
      <c r="R223" s="56">
        <f>431.36495485138*Deflactores!$O$5</f>
        <v>821.57027088731195</v>
      </c>
      <c r="S223" s="56">
        <f>511.373278225449*Deflactores!$P$5</f>
        <v>912.19700941438566</v>
      </c>
      <c r="T223" s="56">
        <f>374.90768523261*Deflactores!$Q$5</f>
        <v>632.40396024389599</v>
      </c>
      <c r="U223" s="56">
        <f>299.483204839969*Deflactores!$R$5</f>
        <v>485.3261599827191</v>
      </c>
      <c r="V223" s="56">
        <f>170.52609260397*Deflactores!$S$5</f>
        <v>267.82835048705192</v>
      </c>
      <c r="W223" s="56"/>
    </row>
    <row r="224" spans="3:23" x14ac:dyDescent="0.2">
      <c r="C224" s="88" t="s">
        <v>140</v>
      </c>
      <c r="D224" s="57">
        <f>195.61822388637*Deflactores!$A$5</f>
        <v>710.20352843957789</v>
      </c>
      <c r="E224" s="57">
        <f>363.318579015919*Deflactores!$B$5</f>
        <v>1225.3324339369849</v>
      </c>
      <c r="F224" s="57">
        <f>205.32052735121*Deflactores!$C$5</f>
        <v>647.21419712441241</v>
      </c>
      <c r="G224" s="57">
        <f>289.50881697081*Deflactores!$D$5</f>
        <v>856.96498664666183</v>
      </c>
      <c r="H224" s="57">
        <f>542.0916073189*Deflactores!$E$5</f>
        <v>1521.0165090468904</v>
      </c>
      <c r="I224" s="57">
        <f>520.16111077437*Deflactores!$F$5</f>
        <v>1391.904036129092</v>
      </c>
      <c r="J224" s="57">
        <f>623.315397549739*Deflactores!$G$5</f>
        <v>1596.4474743475014</v>
      </c>
      <c r="K224" s="57">
        <f>2262.41722930846*Deflactores!$H$5</f>
        <v>5482.3561990678099</v>
      </c>
      <c r="L224" s="57">
        <f>1534.98696702197*Deflactores!$I$5</f>
        <v>3454.5135222784093</v>
      </c>
      <c r="M224" s="57">
        <f>6288.69592941564*Deflactores!$J$5</f>
        <v>13875.061957692209</v>
      </c>
      <c r="N224" s="57">
        <f>1187.811498224*Deflactores!$K$5</f>
        <v>2540.1729349774259</v>
      </c>
      <c r="O224" s="57">
        <f>1929.6361863134*Deflactores!$L$5</f>
        <v>3978.3289942234742</v>
      </c>
      <c r="P224" s="57">
        <f>2241.41150176858*Deflactores!$M$5</f>
        <v>4511.0463198806874</v>
      </c>
      <c r="Q224" s="57">
        <f>2656.92605572163*Deflactores!$N$5</f>
        <v>5245.5439351064779</v>
      </c>
      <c r="R224" s="57">
        <f>2165.51482300643*Deflactores!$O$5</f>
        <v>4124.4022717627831</v>
      </c>
      <c r="S224" s="57">
        <f>2384.03076015752*Deflactores!$P$5</f>
        <v>4252.6776864723706</v>
      </c>
      <c r="T224" s="57">
        <f>2387.70491730661*Deflactores!$Q$5</f>
        <v>4027.6422838909116</v>
      </c>
      <c r="U224" s="57">
        <f>2615.70326519034*Deflactores!$R$5</f>
        <v>4238.8661562087855</v>
      </c>
      <c r="V224" s="57">
        <f>3230.78175839413*Deflactores!$S$5</f>
        <v>5074.2671454034835</v>
      </c>
      <c r="W224" s="56"/>
    </row>
    <row r="225" spans="2:23" x14ac:dyDescent="0.2">
      <c r="C225" s="87" t="s">
        <v>141</v>
      </c>
      <c r="D225" s="56">
        <f>0.50997717775*Deflactores!$A$5</f>
        <v>1.8515022980276825</v>
      </c>
      <c r="E225" s="56">
        <f>2.01979671507*Deflactores!$B$5</f>
        <v>6.8119897188803273</v>
      </c>
      <c r="F225" s="56">
        <f>1.23149935904999*Deflactores!$C$5</f>
        <v>3.8819492586018365</v>
      </c>
      <c r="G225" s="56">
        <f>1.65200836502*Deflactores!$D$5</f>
        <v>4.8900525423800074</v>
      </c>
      <c r="H225" s="56">
        <f>3.22899349088999*Deflactores!$E$5</f>
        <v>9.0600045101959843</v>
      </c>
      <c r="I225" s="56">
        <f>3.07963480564999*Deflactores!$F$5</f>
        <v>8.2408239043599512</v>
      </c>
      <c r="J225" s="56">
        <f>13.57879981068*Deflactores!$G$5</f>
        <v>34.778285195017304</v>
      </c>
      <c r="K225" s="56">
        <f>18.98929350189*Deflactores!$H$5</f>
        <v>46.015416430428367</v>
      </c>
      <c r="L225" s="56">
        <f>25.9493086861799*Deflactores!$I$5</f>
        <v>58.399347796483291</v>
      </c>
      <c r="M225" s="56">
        <f>43.61357929084*Deflactores!$J$5</f>
        <v>96.226804674488037</v>
      </c>
      <c r="N225" s="56">
        <f>45.57912019648*Deflactores!$K$5</f>
        <v>97.472408455628255</v>
      </c>
      <c r="O225" s="56">
        <f>33.7722522734399*Deflactores!$L$5</f>
        <v>69.628218714299194</v>
      </c>
      <c r="P225" s="56">
        <f>51.5931416035099*Deflactores!$M$5</f>
        <v>103.83593167874545</v>
      </c>
      <c r="Q225" s="56">
        <f>63.4935462330899*Deflactores!$N$5</f>
        <v>125.35470667094941</v>
      </c>
      <c r="R225" s="56">
        <f>42.9919971538*Deflactores!$O$5</f>
        <v>81.881818053122288</v>
      </c>
      <c r="S225" s="56">
        <f>37.2615806565999*Deflactores!$P$5</f>
        <v>66.46788928618642</v>
      </c>
      <c r="T225" s="56">
        <f>45.0617977053662*Deflactores!$Q$5</f>
        <v>76.01140346563416</v>
      </c>
      <c r="U225" s="56">
        <f>163.5910267423*Deflactores!$R$5</f>
        <v>265.1067022569631</v>
      </c>
      <c r="V225" s="56">
        <f>187.07936476754*Deflactores!$S$5</f>
        <v>293.82692648813583</v>
      </c>
      <c r="W225" s="56"/>
    </row>
    <row r="226" spans="2:23" x14ac:dyDescent="0.2">
      <c r="C226" s="88" t="s">
        <v>142</v>
      </c>
      <c r="D226" s="57">
        <f>70.63357127525*Deflactores!$A$5</f>
        <v>256.43935697478867</v>
      </c>
      <c r="E226" s="57">
        <f>235.63606969175*Deflactores!$B$5</f>
        <v>794.70892895374357</v>
      </c>
      <c r="F226" s="57">
        <f>74.8456918235799*Deflactores!$C$5</f>
        <v>235.92962168345991</v>
      </c>
      <c r="G226" s="57">
        <f>71.21573308882*Deflactores!$D$5</f>
        <v>210.80321626835362</v>
      </c>
      <c r="H226" s="57">
        <f>158.973680149549*Deflactores!$E$5</f>
        <v>446.0530079174564</v>
      </c>
      <c r="I226" s="57">
        <f>49.29369756039*Deflactores!$F$5</f>
        <v>131.90547153340623</v>
      </c>
      <c r="J226" s="57">
        <f>74.1701642299499*Deflactores!$G$5</f>
        <v>189.96606184013638</v>
      </c>
      <c r="K226" s="57">
        <f>153.581341325569*Deflactores!$H$5</f>
        <v>372.16283883001904</v>
      </c>
      <c r="L226" s="57">
        <f>175.71901463452*Deflactores!$I$5</f>
        <v>395.4585447419625</v>
      </c>
      <c r="M226" s="57">
        <f>330.115466509639*Deflactores!$J$5</f>
        <v>728.35013847446862</v>
      </c>
      <c r="N226" s="57">
        <f>329.01173752047*Deflactores!$K$5</f>
        <v>703.6021390506761</v>
      </c>
      <c r="O226" s="57">
        <f>288.39815569576*Deflactores!$L$5</f>
        <v>594.59018898118518</v>
      </c>
      <c r="P226" s="57">
        <f>461.475308407236*Deflactores!$M$5</f>
        <v>928.76140327810322</v>
      </c>
      <c r="Q226" s="57">
        <f>292.20892426328*Deflactores!$N$5</f>
        <v>576.90531023714334</v>
      </c>
      <c r="R226" s="57">
        <f>237.31708894872*Deflactores!$O$5</f>
        <v>451.99004430242354</v>
      </c>
      <c r="S226" s="57">
        <f>160.945413628413*Deflactores!$P$5</f>
        <v>287.0973733713044</v>
      </c>
      <c r="T226" s="57">
        <f>207.35384785543*Deflactores!$Q$5</f>
        <v>349.76982260106047</v>
      </c>
      <c r="U226" s="57">
        <f>226.89264958024*Deflactores!$R$5</f>
        <v>367.68986230104076</v>
      </c>
      <c r="V226" s="57">
        <f>186.76520905418*Deflactores!$S$5</f>
        <v>293.33351339679911</v>
      </c>
      <c r="W226" s="56"/>
    </row>
    <row r="227" spans="2:23" x14ac:dyDescent="0.2">
      <c r="C227" s="87" t="s">
        <v>143</v>
      </c>
      <c r="D227" s="56">
        <f>478.573798976619*Deflactores!$A$5</f>
        <v>1737.4904745549632</v>
      </c>
      <c r="E227" s="56">
        <f>385.81379488361*Deflactores!$B$5</f>
        <v>1301.2000586694046</v>
      </c>
      <c r="F227" s="56">
        <f>537.47258786779*Deflactores!$C$5</f>
        <v>1694.2285017522963</v>
      </c>
      <c r="G227" s="56">
        <f>451.080899457589*Deflactores!$D$5</f>
        <v>1335.228892248944</v>
      </c>
      <c r="H227" s="56">
        <f>473.59513337546*Deflactores!$E$5</f>
        <v>1328.8270962744784</v>
      </c>
      <c r="I227" s="56">
        <f>452.902909477739*Deflactores!$F$5</f>
        <v>1211.927179135314</v>
      </c>
      <c r="J227" s="56">
        <f>40.8277992175699*Deflactores!$G$5</f>
        <v>104.56895048682829</v>
      </c>
      <c r="K227" s="56">
        <f>115.79532016356*Deflactores!$H$5</f>
        <v>280.59863719999174</v>
      </c>
      <c r="L227" s="56">
        <f>49.31787309361*Deflactores!$I$5</f>
        <v>110.99068796813296</v>
      </c>
      <c r="M227" s="56">
        <f>32.04724265598*Deflactores!$J$5</f>
        <v>70.707422081741157</v>
      </c>
      <c r="N227" s="56">
        <f>45.79105077182*Deflactores!$K$5</f>
        <v>97.925628779204658</v>
      </c>
      <c r="O227" s="56">
        <f>56.45846049696*Deflactores!$L$5</f>
        <v>116.40035150532607</v>
      </c>
      <c r="P227" s="56">
        <f>70.5414569754*Deflactores!$M$5</f>
        <v>141.9711550676048</v>
      </c>
      <c r="Q227" s="56">
        <f>100.732296572849*Deflactores!$N$5</f>
        <v>198.87481859691465</v>
      </c>
      <c r="R227" s="56">
        <f>97.04198805532*Deflactores!$O$5</f>
        <v>184.82450073284502</v>
      </c>
      <c r="S227" s="56">
        <f>66.81325477469*Deflactores!$P$5</f>
        <v>119.18270623410247</v>
      </c>
      <c r="T227" s="56">
        <f>62.10434169297*Deflactores!$Q$5</f>
        <v>104.75920655135756</v>
      </c>
      <c r="U227" s="56">
        <f>51.98171971707*Deflactores!$R$5</f>
        <v>84.238741979084892</v>
      </c>
      <c r="V227" s="56">
        <f>78.4672454852099*Deflactores!$S$5</f>
        <v>123.24068771324836</v>
      </c>
      <c r="W227" s="56"/>
    </row>
    <row r="228" spans="2:23" x14ac:dyDescent="0.2">
      <c r="C228" s="88" t="s">
        <v>144</v>
      </c>
      <c r="D228" s="57">
        <f>3.30990141816*Deflactores!$A$5</f>
        <v>12.016792808270576</v>
      </c>
      <c r="E228" s="57">
        <f>34.91933000916*Deflactores!$B$5</f>
        <v>117.76933551669003</v>
      </c>
      <c r="F228" s="57">
        <f>15.15585196482*Deflactores!$C$5</f>
        <v>47.774485521209222</v>
      </c>
      <c r="G228" s="57">
        <f>15.02365065738*Deflactores!$D$5</f>
        <v>44.470986133330335</v>
      </c>
      <c r="H228" s="57">
        <f>24.71888923175*Deflactores!$E$5</f>
        <v>69.356983393906731</v>
      </c>
      <c r="I228" s="57">
        <f>25.54293371844*Deflactores!$F$5</f>
        <v>68.350577928338154</v>
      </c>
      <c r="J228" s="57">
        <f>39.96841163936*Deflactores!$G$5</f>
        <v>102.3678703689425</v>
      </c>
      <c r="K228" s="57">
        <f>51.29681523284*Deflactores!$H$5</f>
        <v>124.30395655630576</v>
      </c>
      <c r="L228" s="57">
        <f>60.72293143023*Deflactores!$I$5</f>
        <v>136.65796012918966</v>
      </c>
      <c r="M228" s="57">
        <f>58.95885193803*Deflactores!$J$5</f>
        <v>130.08384135223778</v>
      </c>
      <c r="N228" s="57">
        <f>56.35410637401*Deflactores!$K$5</f>
        <v>120.51506152292163</v>
      </c>
      <c r="O228" s="57">
        <f>35.96286998739*Deflactores!$L$5</f>
        <v>74.144613062871898</v>
      </c>
      <c r="P228" s="57">
        <f>38.0838349023699*Deflactores!$M$5</f>
        <v>76.647212324788498</v>
      </c>
      <c r="Q228" s="57">
        <f>104.62414360902*Deflactores!$N$5</f>
        <v>206.55845532176292</v>
      </c>
      <c r="R228" s="57">
        <f>116.67564795315*Deflactores!$O$5</f>
        <v>222.21843155489577</v>
      </c>
      <c r="S228" s="57">
        <f>66.749551135*Deflactores!$P$5</f>
        <v>119.06907051614772</v>
      </c>
      <c r="T228" s="57">
        <f>58.830486963*Deflactores!$Q$5</f>
        <v>99.236783890932045</v>
      </c>
      <c r="U228" s="57">
        <f>89.7059556029899*Deflactores!$R$5</f>
        <v>145.37258269171886</v>
      </c>
      <c r="V228" s="57">
        <f>114.282096487289*Deflactores!$S$5</f>
        <v>179.4915072819779</v>
      </c>
      <c r="W228" s="56"/>
    </row>
    <row r="229" spans="2:23" x14ac:dyDescent="0.2">
      <c r="C229" s="87" t="s">
        <v>145</v>
      </c>
      <c r="D229" s="56">
        <f>6.46794301177*Deflactores!$A$5</f>
        <v>23.482249544262562</v>
      </c>
      <c r="E229" s="56">
        <f>0.092233314*Deflactores!$B$5</f>
        <v>0.31106713958809773</v>
      </c>
      <c r="F229" s="56">
        <f>0.061303668*Deflactores!$C$5</f>
        <v>0.19324226747933934</v>
      </c>
      <c r="G229" s="56">
        <f>4.482766776*Deflactores!$D$5</f>
        <v>13.269282125947374</v>
      </c>
      <c r="H229" s="56">
        <f>8.925352765*Deflactores!$E$5</f>
        <v>25.043016201219459</v>
      </c>
      <c r="I229" s="56">
        <f>53.421271057*Deflactores!$F$5</f>
        <v>142.95048449256035</v>
      </c>
      <c r="J229" s="56">
        <f>86.70101822622*Deflactores!$G$5</f>
        <v>222.06032790897089</v>
      </c>
      <c r="K229" s="56">
        <f>5.158753478*Deflactores!$H$5</f>
        <v>12.500843674276988</v>
      </c>
      <c r="L229" s="56">
        <f>67.277743976*Deflactores!$I$5</f>
        <v>151.40967402764295</v>
      </c>
      <c r="M229" s="56">
        <f>49.2395479505*Deflactores!$J$5</f>
        <v>108.63965856358848</v>
      </c>
      <c r="N229" s="56">
        <f>49.362647968*Deflactores!$K$5</f>
        <v>105.56360378276604</v>
      </c>
      <c r="O229" s="56">
        <f>30.99865425609*Deflactores!$L$5</f>
        <v>63.909894457629328</v>
      </c>
      <c r="P229" s="56">
        <f>42.38621083284*Deflactores!$M$5</f>
        <v>85.306138672126508</v>
      </c>
      <c r="Q229" s="56">
        <f>45.82001927172*Deflactores!$N$5</f>
        <v>90.462029863286006</v>
      </c>
      <c r="R229" s="56">
        <f>43.98351716436*Deflactores!$O$5</f>
        <v>83.770250005010055</v>
      </c>
      <c r="S229" s="56">
        <f>43.91209795516*Deflactores!$P$5</f>
        <v>78.331203716414805</v>
      </c>
      <c r="T229" s="56">
        <f>50.19785864576*Deflactores!$Q$5</f>
        <v>84.675043627461676</v>
      </c>
      <c r="U229" s="56">
        <f>67.9554022781*Deflactores!$R$5</f>
        <v>110.12482137465631</v>
      </c>
      <c r="V229" s="56">
        <f>69.8594663844*Deflactores!$S$5</f>
        <v>109.72130635217468</v>
      </c>
      <c r="W229" s="56"/>
    </row>
    <row r="230" spans="2:23" x14ac:dyDescent="0.2">
      <c r="C230" s="88" t="s">
        <v>146</v>
      </c>
      <c r="D230" s="57">
        <f>3.21439404988999*Deflactores!$A$5</f>
        <v>11.670047660554994</v>
      </c>
      <c r="E230" s="57">
        <f>4.15648078777*Deflactores!$B$5</f>
        <v>14.01819508951502</v>
      </c>
      <c r="F230" s="57">
        <f>1.17608422715*Deflactores!$C$5</f>
        <v>3.7072689158037395</v>
      </c>
      <c r="G230" s="57">
        <f>2.72121537173*Deflactores!$D$5</f>
        <v>8.0549750404748988</v>
      </c>
      <c r="H230" s="57">
        <f>2.29439912359*Deflactores!$E$5</f>
        <v>6.4376922612456653</v>
      </c>
      <c r="I230" s="57">
        <f>4.06416115487*Deflactores!$F$5</f>
        <v>10.875327274123007</v>
      </c>
      <c r="J230" s="57">
        <f>4.29933402766*Deflactores!$G$5</f>
        <v>11.011537620946342</v>
      </c>
      <c r="K230" s="57">
        <f>3.76203384482*Deflactores!$H$5</f>
        <v>9.1162714388256774</v>
      </c>
      <c r="L230" s="57">
        <f>7.25781744755*Deflactores!$I$5</f>
        <v>16.333838041265135</v>
      </c>
      <c r="M230" s="57">
        <f>9.4035134516*Deflactores!$J$5</f>
        <v>20.747438455506003</v>
      </c>
      <c r="N230" s="57">
        <f>11.7246408356*Deflactores!$K$5</f>
        <v>25.073519971353036</v>
      </c>
      <c r="O230" s="57">
        <f>11.0856960125892*Deflactores!$L$5</f>
        <v>22.855368375056113</v>
      </c>
      <c r="P230" s="57">
        <f>56.3440275460279*Deflactores!$M$5</f>
        <v>113.39752558073903</v>
      </c>
      <c r="Q230" s="57">
        <f>44.7565573076721*Deflactores!$N$5</f>
        <v>88.362446984901098</v>
      </c>
      <c r="R230" s="57">
        <f>50.8315086598214*Deflactores!$O$5</f>
        <v>96.812816779815904</v>
      </c>
      <c r="S230" s="57">
        <f>64.8400880475273*Deflactores!$P$5</f>
        <v>115.66293532655762</v>
      </c>
      <c r="T230" s="57">
        <f>76.245319800748*Deflactores!$Q$5</f>
        <v>128.61257341827712</v>
      </c>
      <c r="U230" s="57">
        <f>82.79957096354*Deflactores!$R$5</f>
        <v>134.18047214175016</v>
      </c>
      <c r="V230" s="57">
        <f>72.147775937515*Deflactores!$S$5</f>
        <v>113.31532626816427</v>
      </c>
      <c r="W230" s="56"/>
    </row>
    <row r="231" spans="2:23" x14ac:dyDescent="0.2">
      <c r="C231" s="90" t="s">
        <v>147</v>
      </c>
      <c r="D231" s="58">
        <f>878.59762666681*Deflactores!$A$5</f>
        <v>3189.8006338093755</v>
      </c>
      <c r="E231" s="58">
        <f>1438.52602774484*Deflactores!$B$5</f>
        <v>4851.5894883015462</v>
      </c>
      <c r="F231" s="58">
        <f>1215.45894303325*Deflactores!$C$5</f>
        <v>3831.3864380804489</v>
      </c>
      <c r="G231" s="58">
        <f>1278.77542820178*Deflactores!$D$5</f>
        <v>3785.2586985753505</v>
      </c>
      <c r="H231" s="58">
        <f>1751.08751968309*Deflactores!$E$5</f>
        <v>4913.2526500398581</v>
      </c>
      <c r="I231" s="58">
        <f>2010.67097841978*Deflactores!$F$5</f>
        <v>5380.3734885595786</v>
      </c>
      <c r="J231" s="58">
        <f>2274.30174319385*Deflactores!$G$5</f>
        <v>5824.9856943991381</v>
      </c>
      <c r="K231" s="58">
        <f>2644.57921860708*Deflactores!$H$5</f>
        <v>6408.4224099938065</v>
      </c>
      <c r="L231" s="58">
        <f>2317.30194685782*Deflactores!$I$5</f>
        <v>5215.1263056996668</v>
      </c>
      <c r="M231" s="58">
        <f>2637.0894052911*Deflactores!$J$5</f>
        <v>5818.3412422975453</v>
      </c>
      <c r="N231" s="58">
        <f>3731.01549729052*Deflactores!$K$5</f>
        <v>7978.8961467111931</v>
      </c>
      <c r="O231" s="58">
        <f>3796.95894203751*Deflactores!$L$5</f>
        <v>7828.1864509616744</v>
      </c>
      <c r="P231" s="58">
        <f>5081.164751733*Deflactores!$M$5</f>
        <v>10226.310312018373</v>
      </c>
      <c r="Q231" s="58">
        <f>6417.92411705893*Deflactores!$N$5</f>
        <v>12670.846768849353</v>
      </c>
      <c r="R231" s="58">
        <f>7380.55780966715*Deflactores!$O$5</f>
        <v>14056.883413435475</v>
      </c>
      <c r="S231" s="58">
        <f>8272.28495713563*Deflactores!$P$5</f>
        <v>14756.253250284126</v>
      </c>
      <c r="T231" s="58">
        <f>8541.72378699712*Deflactores!$Q$5</f>
        <v>14408.400155507428</v>
      </c>
      <c r="U231" s="58">
        <f>4681.37189553516*Deflactores!$R$5</f>
        <v>7586.3761599758391</v>
      </c>
      <c r="V231" s="58">
        <f>4856.63202229209*Deflactores!$S$5</f>
        <v>7627.8282319758209</v>
      </c>
      <c r="W231" s="56"/>
    </row>
    <row r="232" spans="2:23" ht="22.5" customHeight="1" x14ac:dyDescent="0.2">
      <c r="C232" s="89" t="s">
        <v>148</v>
      </c>
      <c r="D232" s="59">
        <f>0*Deflactores!$A$5</f>
        <v>0</v>
      </c>
      <c r="E232" s="59">
        <f>0*Deflactores!$B$5</f>
        <v>0</v>
      </c>
      <c r="F232" s="59">
        <f>0*Deflactores!$C$5</f>
        <v>0</v>
      </c>
      <c r="G232" s="59">
        <f>0*Deflactores!$D$5</f>
        <v>0</v>
      </c>
      <c r="H232" s="59">
        <f>0*Deflactores!$E$5</f>
        <v>0</v>
      </c>
      <c r="I232" s="59">
        <f>0*Deflactores!$F$5</f>
        <v>0</v>
      </c>
      <c r="J232" s="59">
        <f>0*Deflactores!$G$5</f>
        <v>0</v>
      </c>
      <c r="K232" s="59">
        <f>0*Deflactores!$H$5</f>
        <v>0</v>
      </c>
      <c r="L232" s="59">
        <f>0*Deflactores!$I$5</f>
        <v>0</v>
      </c>
      <c r="M232" s="59">
        <f>0*Deflactores!$J$5</f>
        <v>0</v>
      </c>
      <c r="N232" s="59">
        <f>0*Deflactores!$K$5</f>
        <v>0</v>
      </c>
      <c r="O232" s="59">
        <f>0*Deflactores!$L$5</f>
        <v>0</v>
      </c>
      <c r="P232" s="59">
        <f>0*Deflactores!$M$5</f>
        <v>0</v>
      </c>
      <c r="Q232" s="59">
        <f>0*Deflactores!$N$5</f>
        <v>0</v>
      </c>
      <c r="R232" s="59">
        <f>0*Deflactores!$O$5</f>
        <v>0</v>
      </c>
      <c r="S232" s="59">
        <f>0*Deflactores!$P$5</f>
        <v>0</v>
      </c>
      <c r="T232" s="59">
        <f>0*Deflactores!$Q$5</f>
        <v>0</v>
      </c>
      <c r="U232" s="59">
        <f>0*Deflactores!$R$5</f>
        <v>0</v>
      </c>
      <c r="V232" s="59">
        <f>12.311477938*Deflactores!$S$5</f>
        <v>19.336412263019891</v>
      </c>
      <c r="W232" s="56"/>
    </row>
    <row r="233" spans="2:23" x14ac:dyDescent="0.2">
      <c r="C233" s="87" t="s">
        <v>149</v>
      </c>
      <c r="D233" s="56">
        <f>70.77222704172*Deflactores!$A$5</f>
        <v>256.94275493347112</v>
      </c>
      <c r="E233" s="56">
        <f>65.54006019833*Deflactores!$B$5</f>
        <v>221.04116365510021</v>
      </c>
      <c r="F233" s="56">
        <f>30.08063461922*Deflactores!$C$5</f>
        <v>94.820591176299374</v>
      </c>
      <c r="G233" s="56">
        <f>7.18767991274*Deflactores!$D$5</f>
        <v>21.276001487245757</v>
      </c>
      <c r="H233" s="56">
        <f>108.86624710759*Deflactores!$E$5</f>
        <v>305.46010470000033</v>
      </c>
      <c r="I233" s="56">
        <f>50.89808838202*Deflactores!$F$5</f>
        <v>136.19867610771732</v>
      </c>
      <c r="J233" s="56">
        <f>132.76658405094*Deflactores!$G$5</f>
        <v>340.04434772358553</v>
      </c>
      <c r="K233" s="56">
        <f>253.37822816682*Deflactores!$H$5</f>
        <v>613.99360025373608</v>
      </c>
      <c r="L233" s="56">
        <f>250.42949043714*Deflactores!$I$5</f>
        <v>563.59570450998467</v>
      </c>
      <c r="M233" s="56">
        <f>414.23078004695*Deflactores!$J$5</f>
        <v>913.93792965096873</v>
      </c>
      <c r="N233" s="56">
        <f>349.11715396406*Deflactores!$K$5</f>
        <v>746.59821609894391</v>
      </c>
      <c r="O233" s="56">
        <f>528.0017893263*Deflactores!$L$5</f>
        <v>1088.5807606520148</v>
      </c>
      <c r="P233" s="56">
        <f>428.44097780168*Deflactores!$M$5</f>
        <v>862.27678169463582</v>
      </c>
      <c r="Q233" s="56">
        <f>775.45260526634*Deflactores!$N$5</f>
        <v>1530.9687304837601</v>
      </c>
      <c r="R233" s="56">
        <f>1158.31637178594*Deflactores!$O$5</f>
        <v>2206.1094315583773</v>
      </c>
      <c r="S233" s="56">
        <f>861.90654690102*Deflactores!$P$5</f>
        <v>1537.4846671811545</v>
      </c>
      <c r="T233" s="56">
        <f>916.889344831579*Deflactores!$Q$5</f>
        <v>1546.6326128181649</v>
      </c>
      <c r="U233" s="56">
        <f>873.98815849204*Deflactores!$R$5</f>
        <v>1416.3375774543611</v>
      </c>
      <c r="V233" s="56">
        <f>908.964528727519*Deflactores!$S$5</f>
        <v>1427.6200589766183</v>
      </c>
      <c r="W233" s="56"/>
    </row>
    <row r="234" spans="2:23" x14ac:dyDescent="0.2">
      <c r="C234" s="88" t="s">
        <v>150</v>
      </c>
      <c r="D234" s="57">
        <f>456.55228560835*Deflactores!$A$5</f>
        <v>1657.5400681715132</v>
      </c>
      <c r="E234" s="57">
        <f>1040.3849312907*Deflactores!$B$5</f>
        <v>3508.8142300422778</v>
      </c>
      <c r="F234" s="57">
        <f>581.47455495515*Deflactores!$C$5</f>
        <v>1832.9321090717262</v>
      </c>
      <c r="G234" s="57">
        <f>574.5736802995*Deflactores!$D$5</f>
        <v>1700.7755805759448</v>
      </c>
      <c r="H234" s="57">
        <f>709.52533218795*Deflactores!$E$5</f>
        <v>1990.8069582231747</v>
      </c>
      <c r="I234" s="57">
        <f>1013.30491506711*Deflactores!$F$5</f>
        <v>2711.5122063078561</v>
      </c>
      <c r="J234" s="57">
        <f>1388.51858200609*Deflactores!$G$5</f>
        <v>3556.3006979164334</v>
      </c>
      <c r="K234" s="57">
        <f>2027.24498967906*Deflactores!$H$5</f>
        <v>4912.4798875375127</v>
      </c>
      <c r="L234" s="57">
        <f>1709.10271139325*Deflactores!$I$5</f>
        <v>3846.3638808121368</v>
      </c>
      <c r="M234" s="57">
        <f>2421.86227268834*Deflactores!$J$5</f>
        <v>5343.4749372069728</v>
      </c>
      <c r="N234" s="57">
        <f>2405.66155366826*Deflactores!$K$5</f>
        <v>5144.5842867160663</v>
      </c>
      <c r="O234" s="57">
        <f>3380.09026371731*Deflactores!$L$5</f>
        <v>6968.7287140535846</v>
      </c>
      <c r="P234" s="57">
        <f>5332.07289356132*Deflactores!$M$5</f>
        <v>10731.285970851948</v>
      </c>
      <c r="Q234" s="57">
        <f>5420.34369781411*Deflactores!$N$5</f>
        <v>10701.333200083742</v>
      </c>
      <c r="R234" s="57">
        <f>5381.23630769837*Deflactores!$O$5</f>
        <v>10249.010081376677</v>
      </c>
      <c r="S234" s="57">
        <f>4681.28736398429*Deflactores!$P$5</f>
        <v>8350.5660453247128</v>
      </c>
      <c r="T234" s="57">
        <f>3315.06489311057*Deflactores!$Q$5</f>
        <v>5591.9370272921778</v>
      </c>
      <c r="U234" s="57">
        <f>3298.80780281824*Deflactores!$R$5</f>
        <v>5345.8681408138118</v>
      </c>
      <c r="V234" s="57">
        <f>3063.99095289962*Deflactores!$S$5</f>
        <v>4812.3054383716681</v>
      </c>
      <c r="W234" s="56"/>
    </row>
    <row r="235" spans="2:23" x14ac:dyDescent="0.2">
      <c r="C235" s="87" t="s">
        <v>151</v>
      </c>
      <c r="D235" s="56">
        <f>63.953565918*Deflactores!$A$5</f>
        <v>232.1872025463239</v>
      </c>
      <c r="E235" s="56">
        <f>21.9711616745*Deflactores!$B$5</f>
        <v>74.100193510496155</v>
      </c>
      <c r="F235" s="56">
        <f>56.0764394204*Deflactores!$C$5</f>
        <v>176.76492548155366</v>
      </c>
      <c r="G235" s="56">
        <f>35.2659554043*Deflactores!$D$5</f>
        <v>104.38952885215531</v>
      </c>
      <c r="H235" s="56">
        <f>9.5346043585*Deflactores!$E$5</f>
        <v>26.752472166531021</v>
      </c>
      <c r="I235" s="56">
        <f>22.65820576873*Deflactores!$F$5</f>
        <v>60.631307123263596</v>
      </c>
      <c r="J235" s="56">
        <f>105.59388483823*Deflactores!$G$5</f>
        <v>270.44910396759661</v>
      </c>
      <c r="K235" s="56">
        <f>276.6781556009*Deflactores!$H$5</f>
        <v>670.45467204512443</v>
      </c>
      <c r="L235" s="56">
        <f>203.12475467744*Deflactores!$I$5</f>
        <v>457.13561536230151</v>
      </c>
      <c r="M235" s="56">
        <f>240.12921720191*Deflactores!$J$5</f>
        <v>529.80901031388078</v>
      </c>
      <c r="N235" s="56">
        <f>175.59608600289*Deflactores!$K$5</f>
        <v>375.51785432236454</v>
      </c>
      <c r="O235" s="56">
        <f>468.302105733759*Deflactores!$L$5</f>
        <v>965.49798273420936</v>
      </c>
      <c r="P235" s="56">
        <f>732.85055749066*Deflactores!$M$5</f>
        <v>1474.9289935302918</v>
      </c>
      <c r="Q235" s="56">
        <f>551.64323463517*Deflactores!$N$5</f>
        <v>1089.1040108367283</v>
      </c>
      <c r="R235" s="56">
        <f>713.7241593518*Deflactores!$O$5</f>
        <v>1359.3467534688891</v>
      </c>
      <c r="S235" s="56">
        <f>542.36887843788*Deflactores!$P$5</f>
        <v>967.487528146415</v>
      </c>
      <c r="T235" s="56">
        <f>330.25736957812*Deflactores!$Q$5</f>
        <v>557.08665532249938</v>
      </c>
      <c r="U235" s="56">
        <f>357.64562416536*Deflactores!$R$5</f>
        <v>579.58100690002914</v>
      </c>
      <c r="V235" s="56">
        <f>347.59598352293*Deflactores!$S$5</f>
        <v>545.93439327245483</v>
      </c>
      <c r="W235" s="56"/>
    </row>
    <row r="236" spans="2:23" x14ac:dyDescent="0.2">
      <c r="C236" s="79" t="s">
        <v>202</v>
      </c>
      <c r="D236" s="44">
        <f t="shared" ref="D236:V236" si="62">+SUM(D207:D235)</f>
        <v>15159.947172408323</v>
      </c>
      <c r="E236" s="44">
        <f t="shared" si="62"/>
        <v>24233.376852421057</v>
      </c>
      <c r="F236" s="44">
        <f t="shared" si="62"/>
        <v>17330.906857722031</v>
      </c>
      <c r="G236" s="44">
        <f t="shared" si="62"/>
        <v>16858.929113260343</v>
      </c>
      <c r="H236" s="44">
        <f t="shared" si="62"/>
        <v>19269.991834385255</v>
      </c>
      <c r="I236" s="44">
        <f t="shared" si="62"/>
        <v>21812.013509672346</v>
      </c>
      <c r="J236" s="44">
        <f t="shared" si="62"/>
        <v>23701.319899691058</v>
      </c>
      <c r="K236" s="44">
        <f t="shared" si="62"/>
        <v>35528.20316453393</v>
      </c>
      <c r="L236" s="44">
        <f t="shared" si="62"/>
        <v>37245.673172411414</v>
      </c>
      <c r="M236" s="44">
        <f t="shared" si="62"/>
        <v>50700.237627039292</v>
      </c>
      <c r="N236" s="44">
        <f t="shared" si="62"/>
        <v>38740.166234114782</v>
      </c>
      <c r="O236" s="44">
        <f t="shared" si="62"/>
        <v>44516.86798447193</v>
      </c>
      <c r="P236" s="44">
        <f t="shared" si="62"/>
        <v>52093.896002155328</v>
      </c>
      <c r="Q236" s="44">
        <f t="shared" si="62"/>
        <v>61102.946778144309</v>
      </c>
      <c r="R236" s="44">
        <f t="shared" si="62"/>
        <v>61669.926766948985</v>
      </c>
      <c r="S236" s="44">
        <f t="shared" si="62"/>
        <v>59861.742986095829</v>
      </c>
      <c r="T236" s="44">
        <f t="shared" si="62"/>
        <v>50525.198639376344</v>
      </c>
      <c r="U236" s="44">
        <f t="shared" si="62"/>
        <v>46930.420879334881</v>
      </c>
      <c r="V236" s="44">
        <f t="shared" si="62"/>
        <v>46653.158427721035</v>
      </c>
    </row>
    <row r="237" spans="2:23" x14ac:dyDescent="0.2">
      <c r="C237" s="1" t="s">
        <v>52</v>
      </c>
      <c r="D237" s="12"/>
      <c r="E237" s="12"/>
      <c r="F237" s="12"/>
      <c r="G237" s="12"/>
      <c r="H237" s="13"/>
      <c r="I237" s="13"/>
      <c r="J237" s="13"/>
      <c r="K237" s="13"/>
      <c r="L237" s="13"/>
      <c r="M237" s="13"/>
      <c r="N237" s="13"/>
      <c r="O237" s="13"/>
      <c r="P237" s="13"/>
      <c r="Q237" s="13"/>
      <c r="R237" s="13"/>
      <c r="S237" s="13"/>
      <c r="T237" s="13"/>
      <c r="U237" s="13"/>
    </row>
    <row r="238" spans="2:23" x14ac:dyDescent="0.2">
      <c r="B238" s="9"/>
    </row>
    <row r="241" spans="3:22" ht="18" customHeight="1" x14ac:dyDescent="0.2">
      <c r="C241" s="9"/>
      <c r="D241" s="160" t="s">
        <v>208</v>
      </c>
      <c r="E241" s="158"/>
      <c r="F241" s="158"/>
      <c r="G241" s="158"/>
      <c r="H241" s="158"/>
      <c r="I241" s="158"/>
      <c r="J241" s="158"/>
      <c r="K241" s="158"/>
      <c r="L241" s="158"/>
      <c r="M241" s="158"/>
      <c r="N241" s="158"/>
      <c r="O241" s="158"/>
      <c r="P241" s="158"/>
      <c r="Q241" s="158"/>
      <c r="R241" s="158"/>
      <c r="S241" s="158"/>
      <c r="T241" s="158"/>
      <c r="U241" s="158"/>
      <c r="V241" s="158"/>
    </row>
    <row r="242" spans="3:22" ht="5.25" customHeight="1" x14ac:dyDescent="0.2">
      <c r="H242" s="27"/>
      <c r="I242" s="27"/>
      <c r="J242" s="27"/>
      <c r="L242" s="175"/>
      <c r="M242" s="158"/>
      <c r="N242" s="158"/>
      <c r="O242" s="158"/>
      <c r="P242" s="158"/>
      <c r="Q242" s="158"/>
      <c r="R242" s="28"/>
      <c r="S242" s="28"/>
      <c r="T242" s="28"/>
      <c r="U242" s="28"/>
      <c r="V242" s="28"/>
    </row>
    <row r="243" spans="3:22" x14ac:dyDescent="0.2"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</row>
    <row r="244" spans="3:22" ht="13.5" customHeight="1" x14ac:dyDescent="0.2">
      <c r="C244" s="177" t="s">
        <v>120</v>
      </c>
      <c r="D244" s="153">
        <v>2000</v>
      </c>
      <c r="E244" s="153">
        <v>2001</v>
      </c>
      <c r="F244" s="153">
        <v>2002</v>
      </c>
      <c r="G244" s="153">
        <v>2003</v>
      </c>
      <c r="H244" s="153">
        <v>2004</v>
      </c>
      <c r="I244" s="153">
        <v>2005</v>
      </c>
      <c r="J244" s="153">
        <v>2006</v>
      </c>
      <c r="K244" s="153">
        <v>2007</v>
      </c>
      <c r="L244" s="153">
        <v>2008</v>
      </c>
      <c r="M244" s="153">
        <v>2009</v>
      </c>
      <c r="N244" s="153">
        <v>2010</v>
      </c>
      <c r="O244" s="153">
        <v>2011</v>
      </c>
      <c r="P244" s="153">
        <v>2012</v>
      </c>
      <c r="Q244" s="153">
        <v>2013</v>
      </c>
      <c r="R244" s="153">
        <v>2014</v>
      </c>
      <c r="S244" s="153">
        <v>2015</v>
      </c>
      <c r="T244" s="153">
        <v>2016</v>
      </c>
      <c r="U244" s="153">
        <v>2017</v>
      </c>
      <c r="V244" s="153">
        <v>2018</v>
      </c>
    </row>
    <row r="245" spans="3:22" ht="12" customHeight="1" thickBot="1" x14ac:dyDescent="0.25">
      <c r="C245" s="156"/>
      <c r="D245" s="154"/>
      <c r="E245" s="154"/>
      <c r="F245" s="154"/>
      <c r="G245" s="154"/>
      <c r="H245" s="154"/>
      <c r="I245" s="154"/>
      <c r="J245" s="154"/>
      <c r="K245" s="154"/>
      <c r="L245" s="154"/>
      <c r="M245" s="154"/>
      <c r="N245" s="154"/>
      <c r="O245" s="154"/>
      <c r="P245" s="154"/>
      <c r="Q245" s="154"/>
      <c r="R245" s="154"/>
      <c r="S245" s="154"/>
      <c r="T245" s="154"/>
      <c r="U245" s="154"/>
      <c r="V245" s="154"/>
    </row>
    <row r="246" spans="3:22" x14ac:dyDescent="0.2">
      <c r="C246" s="87" t="s">
        <v>123</v>
      </c>
      <c r="D246" s="60">
        <f t="shared" ref="D246:V246" si="63">+IFERROR(IF(D207&gt;0,+((D207/D13)*100)," "),"")</f>
        <v>37.695382501558512</v>
      </c>
      <c r="E246" s="60">
        <f t="shared" si="63"/>
        <v>50.217159302731808</v>
      </c>
      <c r="F246" s="60">
        <f t="shared" si="63"/>
        <v>44.666918459517767</v>
      </c>
      <c r="G246" s="60">
        <f t="shared" si="63"/>
        <v>43.814127524745395</v>
      </c>
      <c r="H246" s="60">
        <f t="shared" si="63"/>
        <v>52.431766280127668</v>
      </c>
      <c r="I246" s="60">
        <f t="shared" si="63"/>
        <v>65.966372065240591</v>
      </c>
      <c r="J246" s="60">
        <f t="shared" si="63"/>
        <v>76.310324288114046</v>
      </c>
      <c r="K246" s="60">
        <f t="shared" si="63"/>
        <v>87.585188207760851</v>
      </c>
      <c r="L246" s="60">
        <f t="shared" si="63"/>
        <v>90.372722737369301</v>
      </c>
      <c r="M246" s="60">
        <f t="shared" si="63"/>
        <v>71.461358349737182</v>
      </c>
      <c r="N246" s="60">
        <f t="shared" si="63"/>
        <v>72.302371006847494</v>
      </c>
      <c r="O246" s="60">
        <f t="shared" si="63"/>
        <v>73.564576743233758</v>
      </c>
      <c r="P246" s="60">
        <f t="shared" si="63"/>
        <v>58.56192070931521</v>
      </c>
      <c r="Q246" s="60">
        <f t="shared" si="63"/>
        <v>59.321621017313809</v>
      </c>
      <c r="R246" s="60">
        <f t="shared" si="63"/>
        <v>53.008544884058018</v>
      </c>
      <c r="S246" s="60">
        <f t="shared" si="63"/>
        <v>53.667263820803001</v>
      </c>
      <c r="T246" s="60">
        <f t="shared" si="63"/>
        <v>40.713490007557631</v>
      </c>
      <c r="U246" s="60">
        <f t="shared" si="63"/>
        <v>54.799558989672526</v>
      </c>
      <c r="V246" s="60">
        <f t="shared" si="63"/>
        <v>53.034627494932849</v>
      </c>
    </row>
    <row r="247" spans="3:22" x14ac:dyDescent="0.2">
      <c r="C247" s="88" t="s">
        <v>124</v>
      </c>
      <c r="D247" s="62">
        <f t="shared" ref="D247:V247" si="64">+IFERROR(IF(D208&gt;0,+((D208/D14)*100)," "),"")</f>
        <v>21.965448000989333</v>
      </c>
      <c r="E247" s="62">
        <f t="shared" si="64"/>
        <v>46.811769892214237</v>
      </c>
      <c r="F247" s="62">
        <f t="shared" si="64"/>
        <v>41.158392487454719</v>
      </c>
      <c r="G247" s="62">
        <f t="shared" si="64"/>
        <v>39.081038067311681</v>
      </c>
      <c r="H247" s="62">
        <f t="shared" si="64"/>
        <v>15.735750514890956</v>
      </c>
      <c r="I247" s="62">
        <f t="shared" si="64"/>
        <v>29.400814456546286</v>
      </c>
      <c r="J247" s="62">
        <f t="shared" si="64"/>
        <v>29.599440403018573</v>
      </c>
      <c r="K247" s="62">
        <f t="shared" si="64"/>
        <v>78.083443551462551</v>
      </c>
      <c r="L247" s="62">
        <f t="shared" si="64"/>
        <v>30.967331670344837</v>
      </c>
      <c r="M247" s="62">
        <f t="shared" si="64"/>
        <v>25.627030484409179</v>
      </c>
      <c r="N247" s="62">
        <f t="shared" si="64"/>
        <v>49.612403314526091</v>
      </c>
      <c r="O247" s="62">
        <f t="shared" si="64"/>
        <v>80.599053863105183</v>
      </c>
      <c r="P247" s="62">
        <f t="shared" si="64"/>
        <v>69.81488617202281</v>
      </c>
      <c r="Q247" s="62">
        <f t="shared" si="64"/>
        <v>51.033653920823063</v>
      </c>
      <c r="R247" s="62">
        <f t="shared" si="64"/>
        <v>55.6135342234397</v>
      </c>
      <c r="S247" s="62">
        <f t="shared" si="64"/>
        <v>47.098505974010052</v>
      </c>
      <c r="T247" s="62">
        <f t="shared" si="64"/>
        <v>47.009710289691284</v>
      </c>
      <c r="U247" s="62">
        <f t="shared" si="64"/>
        <v>51.977688588450356</v>
      </c>
      <c r="V247" s="62">
        <f t="shared" si="64"/>
        <v>61.875444551023676</v>
      </c>
    </row>
    <row r="248" spans="3:22" x14ac:dyDescent="0.2">
      <c r="C248" s="87" t="s">
        <v>125</v>
      </c>
      <c r="D248" s="60">
        <f t="shared" ref="D248:V248" si="65">+IFERROR(IF(D209&gt;0,+((D209/D15)*100)," "),"")</f>
        <v>60.3886967411309</v>
      </c>
      <c r="E248" s="60">
        <f t="shared" si="65"/>
        <v>49.296107561265273</v>
      </c>
      <c r="F248" s="60">
        <f t="shared" si="65"/>
        <v>29.940145790694906</v>
      </c>
      <c r="G248" s="60">
        <f t="shared" si="65"/>
        <v>18.211423679428094</v>
      </c>
      <c r="H248" s="60">
        <f t="shared" si="65"/>
        <v>41.471657885409883</v>
      </c>
      <c r="I248" s="60">
        <f t="shared" si="65"/>
        <v>40.493980455974786</v>
      </c>
      <c r="J248" s="60">
        <f t="shared" si="65"/>
        <v>31.039083972286779</v>
      </c>
      <c r="K248" s="60">
        <f t="shared" si="65"/>
        <v>56.43890270594629</v>
      </c>
      <c r="L248" s="60">
        <f t="shared" si="65"/>
        <v>52.262415010577293</v>
      </c>
      <c r="M248" s="60">
        <f t="shared" si="65"/>
        <v>53.253141240836918</v>
      </c>
      <c r="N248" s="60">
        <f t="shared" si="65"/>
        <v>64.109691535495443</v>
      </c>
      <c r="O248" s="60">
        <f t="shared" si="65"/>
        <v>60.9996500630144</v>
      </c>
      <c r="P248" s="60">
        <f t="shared" si="65"/>
        <v>74.080908886874838</v>
      </c>
      <c r="Q248" s="60">
        <f t="shared" si="65"/>
        <v>86.30124621956476</v>
      </c>
      <c r="R248" s="60">
        <f t="shared" si="65"/>
        <v>79.154578023594865</v>
      </c>
      <c r="S248" s="60">
        <f t="shared" si="65"/>
        <v>47.621802803948334</v>
      </c>
      <c r="T248" s="60">
        <f t="shared" si="65"/>
        <v>78.529510000672971</v>
      </c>
      <c r="U248" s="60">
        <f t="shared" si="65"/>
        <v>88.178664485980946</v>
      </c>
      <c r="V248" s="60">
        <f t="shared" si="65"/>
        <v>59.722672579745272</v>
      </c>
    </row>
    <row r="249" spans="3:22" x14ac:dyDescent="0.2">
      <c r="C249" s="88" t="s">
        <v>126</v>
      </c>
      <c r="D249" s="62">
        <f t="shared" ref="D249:V249" si="66">+IFERROR(IF(D210&gt;0,+((D210/D16)*100)," "),"")</f>
        <v>9.9837325168138662</v>
      </c>
      <c r="E249" s="62">
        <f t="shared" si="66"/>
        <v>30.867941826526728</v>
      </c>
      <c r="F249" s="62">
        <f t="shared" si="66"/>
        <v>14.380500847548467</v>
      </c>
      <c r="G249" s="62">
        <f t="shared" si="66"/>
        <v>34.908653642116263</v>
      </c>
      <c r="H249" s="62">
        <f t="shared" si="66"/>
        <v>31.867365538172198</v>
      </c>
      <c r="I249" s="62">
        <f t="shared" si="66"/>
        <v>33.999081640309484</v>
      </c>
      <c r="J249" s="62">
        <f t="shared" si="66"/>
        <v>47.779691789235237</v>
      </c>
      <c r="K249" s="62">
        <f t="shared" si="66"/>
        <v>76.24843678160687</v>
      </c>
      <c r="L249" s="62">
        <f t="shared" si="66"/>
        <v>72.230739659653835</v>
      </c>
      <c r="M249" s="62">
        <f t="shared" si="66"/>
        <v>64.806872698455294</v>
      </c>
      <c r="N249" s="62">
        <f t="shared" si="66"/>
        <v>64.243218594451676</v>
      </c>
      <c r="O249" s="62">
        <f t="shared" si="66"/>
        <v>86.380610556222422</v>
      </c>
      <c r="P249" s="62">
        <f t="shared" si="66"/>
        <v>88.878128521267158</v>
      </c>
      <c r="Q249" s="62">
        <f t="shared" si="66"/>
        <v>56.801574619956277</v>
      </c>
      <c r="R249" s="62">
        <f t="shared" si="66"/>
        <v>57.342961466327445</v>
      </c>
      <c r="S249" s="62">
        <f t="shared" si="66"/>
        <v>59.705711075543164</v>
      </c>
      <c r="T249" s="62">
        <f t="shared" si="66"/>
        <v>53.030203346962615</v>
      </c>
      <c r="U249" s="62">
        <f t="shared" si="66"/>
        <v>56.338270864632548</v>
      </c>
      <c r="V249" s="62">
        <f t="shared" si="66"/>
        <v>65.922693016325411</v>
      </c>
    </row>
    <row r="250" spans="3:22" x14ac:dyDescent="0.2">
      <c r="C250" s="87" t="s">
        <v>127</v>
      </c>
      <c r="D250" s="60" t="str">
        <f t="shared" ref="D250:V250" si="67">+IFERROR(IF(D211&gt;0,+((D211/D17)*100)," "),"")</f>
        <v xml:space="preserve"> </v>
      </c>
      <c r="E250" s="60" t="str">
        <f t="shared" si="67"/>
        <v xml:space="preserve"> </v>
      </c>
      <c r="F250" s="60" t="str">
        <f t="shared" si="67"/>
        <v xml:space="preserve"> </v>
      </c>
      <c r="G250" s="60" t="str">
        <f t="shared" si="67"/>
        <v xml:space="preserve"> </v>
      </c>
      <c r="H250" s="60" t="str">
        <f t="shared" si="67"/>
        <v xml:space="preserve"> </v>
      </c>
      <c r="I250" s="60">
        <f t="shared" si="67"/>
        <v>51.065452320000006</v>
      </c>
      <c r="J250" s="60">
        <f t="shared" si="67"/>
        <v>74.818607014117646</v>
      </c>
      <c r="K250" s="60">
        <f t="shared" si="67"/>
        <v>93.492191331942436</v>
      </c>
      <c r="L250" s="60">
        <f t="shared" si="67"/>
        <v>46.262473947643976</v>
      </c>
      <c r="M250" s="60">
        <f t="shared" si="67"/>
        <v>46.481868632318488</v>
      </c>
      <c r="N250" s="60">
        <f t="shared" si="67"/>
        <v>66.620908732874994</v>
      </c>
      <c r="O250" s="60">
        <f t="shared" si="67"/>
        <v>2.3999999959999996</v>
      </c>
      <c r="P250" s="60">
        <f t="shared" si="67"/>
        <v>7.5522709230646647</v>
      </c>
      <c r="Q250" s="60">
        <f t="shared" si="67"/>
        <v>46.351510708886131</v>
      </c>
      <c r="R250" s="60">
        <f t="shared" si="67"/>
        <v>71.512180167422628</v>
      </c>
      <c r="S250" s="60">
        <f t="shared" si="67"/>
        <v>79.385243161525338</v>
      </c>
      <c r="T250" s="60">
        <f t="shared" si="67"/>
        <v>89.423839948414468</v>
      </c>
      <c r="U250" s="60">
        <f t="shared" si="67"/>
        <v>80.536720004597228</v>
      </c>
      <c r="V250" s="60">
        <f t="shared" si="67"/>
        <v>65.555159428505732</v>
      </c>
    </row>
    <row r="251" spans="3:22" x14ac:dyDescent="0.2">
      <c r="C251" s="88" t="s">
        <v>128</v>
      </c>
      <c r="D251" s="62">
        <f t="shared" ref="D251:V251" si="68">+IFERROR(IF(D212&gt;0,+((D212/D18)*100)," "),"")</f>
        <v>16.633134953383895</v>
      </c>
      <c r="E251" s="62">
        <f t="shared" si="68"/>
        <v>53.597634254527208</v>
      </c>
      <c r="F251" s="62">
        <f t="shared" si="68"/>
        <v>41.369872779153887</v>
      </c>
      <c r="G251" s="62">
        <f t="shared" si="68"/>
        <v>51.532581426510603</v>
      </c>
      <c r="H251" s="62">
        <f t="shared" si="68"/>
        <v>55.647493215848456</v>
      </c>
      <c r="I251" s="62">
        <f t="shared" si="68"/>
        <v>75.895669061608544</v>
      </c>
      <c r="J251" s="62">
        <f t="shared" si="68"/>
        <v>68.154184629064375</v>
      </c>
      <c r="K251" s="62">
        <f t="shared" si="68"/>
        <v>62.500813632796714</v>
      </c>
      <c r="L251" s="62">
        <f t="shared" si="68"/>
        <v>73.382895031152671</v>
      </c>
      <c r="M251" s="62">
        <f t="shared" si="68"/>
        <v>70.452374070351524</v>
      </c>
      <c r="N251" s="62">
        <f t="shared" si="68"/>
        <v>83.871961517137635</v>
      </c>
      <c r="O251" s="62">
        <f t="shared" si="68"/>
        <v>77.698243209500831</v>
      </c>
      <c r="P251" s="62">
        <f t="shared" si="68"/>
        <v>72.862086039156523</v>
      </c>
      <c r="Q251" s="62">
        <f t="shared" si="68"/>
        <v>77.148950450076896</v>
      </c>
      <c r="R251" s="62">
        <f t="shared" si="68"/>
        <v>80.765516852339275</v>
      </c>
      <c r="S251" s="62">
        <f t="shared" si="68"/>
        <v>70.150853543703604</v>
      </c>
      <c r="T251" s="62">
        <f t="shared" si="68"/>
        <v>64.797228954790555</v>
      </c>
      <c r="U251" s="62">
        <f t="shared" si="68"/>
        <v>66.055347892827001</v>
      </c>
      <c r="V251" s="62">
        <f t="shared" si="68"/>
        <v>78.662813582861958</v>
      </c>
    </row>
    <row r="252" spans="3:22" x14ac:dyDescent="0.2">
      <c r="C252" s="87" t="s">
        <v>129</v>
      </c>
      <c r="D252" s="60">
        <f t="shared" ref="D252:V252" si="69">+IFERROR(IF(D213&gt;0,+((D213/D19)*100)," "),"")</f>
        <v>52.65862004665852</v>
      </c>
      <c r="E252" s="60">
        <f t="shared" si="69"/>
        <v>52.275746620449958</v>
      </c>
      <c r="F252" s="60">
        <f t="shared" si="69"/>
        <v>50.297225065070286</v>
      </c>
      <c r="G252" s="60">
        <f t="shared" si="69"/>
        <v>49.29488630442264</v>
      </c>
      <c r="H252" s="60">
        <f t="shared" si="69"/>
        <v>43.505030633466852</v>
      </c>
      <c r="I252" s="60">
        <f t="shared" si="69"/>
        <v>52.500497990468943</v>
      </c>
      <c r="J252" s="60">
        <f t="shared" si="69"/>
        <v>62.207311504509711</v>
      </c>
      <c r="K252" s="60">
        <f t="shared" si="69"/>
        <v>80.120011623764881</v>
      </c>
      <c r="L252" s="60">
        <f t="shared" si="69"/>
        <v>83.35143010490836</v>
      </c>
      <c r="M252" s="60">
        <f t="shared" si="69"/>
        <v>68.306950490164724</v>
      </c>
      <c r="N252" s="60">
        <f t="shared" si="69"/>
        <v>61.235456779669015</v>
      </c>
      <c r="O252" s="60">
        <f t="shared" si="69"/>
        <v>60.135793893955366</v>
      </c>
      <c r="P252" s="60">
        <f t="shared" si="69"/>
        <v>65.121668947425931</v>
      </c>
      <c r="Q252" s="60">
        <f t="shared" si="69"/>
        <v>68.208052841435602</v>
      </c>
      <c r="R252" s="60">
        <f t="shared" si="69"/>
        <v>60.350087369377484</v>
      </c>
      <c r="S252" s="60">
        <f t="shared" si="69"/>
        <v>58.758528225264904</v>
      </c>
      <c r="T252" s="60">
        <f t="shared" si="69"/>
        <v>57.052009363899423</v>
      </c>
      <c r="U252" s="60">
        <f t="shared" si="69"/>
        <v>61.378972141073071</v>
      </c>
      <c r="V252" s="60">
        <f t="shared" si="69"/>
        <v>67.263678428753366</v>
      </c>
    </row>
    <row r="253" spans="3:22" x14ac:dyDescent="0.2">
      <c r="C253" s="88" t="s">
        <v>130</v>
      </c>
      <c r="D253" s="62">
        <f t="shared" ref="D253:V253" si="70">+IFERROR(IF(D214&gt;0,+((D214/D20)*100)," "),"")</f>
        <v>48.092980450817876</v>
      </c>
      <c r="E253" s="62">
        <f t="shared" si="70"/>
        <v>60.593909012601735</v>
      </c>
      <c r="F253" s="62">
        <f t="shared" si="70"/>
        <v>35.449354208812728</v>
      </c>
      <c r="G253" s="62">
        <f t="shared" si="70"/>
        <v>54.515289592352012</v>
      </c>
      <c r="H253" s="62">
        <f t="shared" si="70"/>
        <v>77.826742172828276</v>
      </c>
      <c r="I253" s="62">
        <f t="shared" si="70"/>
        <v>86.006592060931567</v>
      </c>
      <c r="J253" s="62">
        <f t="shared" si="70"/>
        <v>90.19549224383654</v>
      </c>
      <c r="K253" s="62">
        <f t="shared" si="70"/>
        <v>85.200153966550047</v>
      </c>
      <c r="L253" s="62">
        <f t="shared" si="70"/>
        <v>90.780782631029851</v>
      </c>
      <c r="M253" s="62">
        <f t="shared" si="70"/>
        <v>80.169725464851751</v>
      </c>
      <c r="N253" s="62">
        <f t="shared" si="70"/>
        <v>86.905621909193982</v>
      </c>
      <c r="O253" s="62">
        <f t="shared" si="70"/>
        <v>80.644673712817152</v>
      </c>
      <c r="P253" s="62">
        <f t="shared" si="70"/>
        <v>62.189977282187279</v>
      </c>
      <c r="Q253" s="62">
        <f t="shared" si="70"/>
        <v>70.374619261157363</v>
      </c>
      <c r="R253" s="62">
        <f t="shared" si="70"/>
        <v>69.114650835189337</v>
      </c>
      <c r="S253" s="62">
        <f t="shared" si="70"/>
        <v>79.740545089733999</v>
      </c>
      <c r="T253" s="62">
        <f t="shared" si="70"/>
        <v>48.491657135704621</v>
      </c>
      <c r="U253" s="62">
        <f t="shared" si="70"/>
        <v>57.023578287916365</v>
      </c>
      <c r="V253" s="62">
        <f t="shared" si="70"/>
        <v>68.995378630883096</v>
      </c>
    </row>
    <row r="254" spans="3:22" x14ac:dyDescent="0.2">
      <c r="C254" s="87" t="s">
        <v>131</v>
      </c>
      <c r="D254" s="60">
        <f t="shared" ref="D254:V254" si="71">+IFERROR(IF(D215&gt;0,+((D215/D21)*100)," "),"")</f>
        <v>48.602528216246007</v>
      </c>
      <c r="E254" s="60">
        <f t="shared" si="71"/>
        <v>56.054959866859676</v>
      </c>
      <c r="F254" s="60">
        <f t="shared" si="71"/>
        <v>52.646954608452198</v>
      </c>
      <c r="G254" s="60">
        <f t="shared" si="71"/>
        <v>78.206433401665734</v>
      </c>
      <c r="H254" s="60">
        <f t="shared" si="71"/>
        <v>55.079527538998107</v>
      </c>
      <c r="I254" s="60">
        <f t="shared" si="71"/>
        <v>52.641532231535074</v>
      </c>
      <c r="J254" s="60">
        <f t="shared" si="71"/>
        <v>47.733170601725639</v>
      </c>
      <c r="K254" s="60">
        <f t="shared" si="71"/>
        <v>82.846718423170984</v>
      </c>
      <c r="L254" s="60">
        <f t="shared" si="71"/>
        <v>65.598688342689798</v>
      </c>
      <c r="M254" s="60">
        <f t="shared" si="71"/>
        <v>69.55767922011799</v>
      </c>
      <c r="N254" s="60">
        <f t="shared" si="71"/>
        <v>71.602785187002596</v>
      </c>
      <c r="O254" s="60">
        <f t="shared" si="71"/>
        <v>72.775582422426226</v>
      </c>
      <c r="P254" s="60">
        <f t="shared" si="71"/>
        <v>66.933505835440812</v>
      </c>
      <c r="Q254" s="60">
        <f t="shared" si="71"/>
        <v>66.616254648099712</v>
      </c>
      <c r="R254" s="60">
        <f t="shared" si="71"/>
        <v>84.339852752457119</v>
      </c>
      <c r="S254" s="60">
        <f t="shared" si="71"/>
        <v>90.093478926671935</v>
      </c>
      <c r="T254" s="60">
        <f t="shared" si="71"/>
        <v>88.419745746702304</v>
      </c>
      <c r="U254" s="60">
        <f t="shared" si="71"/>
        <v>93.437513552862995</v>
      </c>
      <c r="V254" s="60">
        <f t="shared" si="71"/>
        <v>93.861232757856129</v>
      </c>
    </row>
    <row r="255" spans="3:22" x14ac:dyDescent="0.2">
      <c r="C255" s="88" t="s">
        <v>132</v>
      </c>
      <c r="D255" s="62">
        <f t="shared" ref="D255:V255" si="72">+IFERROR(IF(D216&gt;0,+((D216/D22)*100)," "),"")</f>
        <v>93.890937617456132</v>
      </c>
      <c r="E255" s="62">
        <f t="shared" si="72"/>
        <v>47.98567854813092</v>
      </c>
      <c r="F255" s="62">
        <f t="shared" si="72"/>
        <v>67.312401385035557</v>
      </c>
      <c r="G255" s="62">
        <f t="shared" si="72"/>
        <v>94.221115279818747</v>
      </c>
      <c r="H255" s="62">
        <f t="shared" si="72"/>
        <v>58.18035275939566</v>
      </c>
      <c r="I255" s="62">
        <f t="shared" si="72"/>
        <v>47.579536645431375</v>
      </c>
      <c r="J255" s="62">
        <f t="shared" si="72"/>
        <v>71.703647480616411</v>
      </c>
      <c r="K255" s="62">
        <f t="shared" si="72"/>
        <v>37.42720179037881</v>
      </c>
      <c r="L255" s="62">
        <f t="shared" si="72"/>
        <v>57.580275085299625</v>
      </c>
      <c r="M255" s="62">
        <f t="shared" si="72"/>
        <v>82.72078755505872</v>
      </c>
      <c r="N255" s="62">
        <f t="shared" si="72"/>
        <v>62.51091273656445</v>
      </c>
      <c r="O255" s="62">
        <f t="shared" si="72"/>
        <v>45.465819162943021</v>
      </c>
      <c r="P255" s="62">
        <f t="shared" si="72"/>
        <v>66.476544833699307</v>
      </c>
      <c r="Q255" s="62">
        <f t="shared" si="72"/>
        <v>78.074121790219664</v>
      </c>
      <c r="R255" s="62">
        <f t="shared" si="72"/>
        <v>66.287271776570648</v>
      </c>
      <c r="S255" s="62">
        <f t="shared" si="72"/>
        <v>74.422029385027628</v>
      </c>
      <c r="T255" s="62">
        <f t="shared" si="72"/>
        <v>84.72827010372211</v>
      </c>
      <c r="U255" s="62">
        <f t="shared" si="72"/>
        <v>84.955106166739569</v>
      </c>
      <c r="V255" s="62">
        <f t="shared" si="72"/>
        <v>85.448474979524363</v>
      </c>
    </row>
    <row r="256" spans="3:22" x14ac:dyDescent="0.2">
      <c r="C256" s="87" t="s">
        <v>133</v>
      </c>
      <c r="D256" s="60">
        <f t="shared" ref="D256:V256" si="73">+IFERROR(IF(D217&gt;0,+((D217/D23)*100)," "),"")</f>
        <v>13.181733438083853</v>
      </c>
      <c r="E256" s="60">
        <f t="shared" si="73"/>
        <v>60.527737494739611</v>
      </c>
      <c r="F256" s="60">
        <f t="shared" si="73"/>
        <v>23.815772359565401</v>
      </c>
      <c r="G256" s="60">
        <f t="shared" si="73"/>
        <v>28.446408802058006</v>
      </c>
      <c r="H256" s="60">
        <f t="shared" si="73"/>
        <v>65.500409781371644</v>
      </c>
      <c r="I256" s="60">
        <f t="shared" si="73"/>
        <v>69.919827508366311</v>
      </c>
      <c r="J256" s="60">
        <f t="shared" si="73"/>
        <v>48.974578272811023</v>
      </c>
      <c r="K256" s="60">
        <f t="shared" si="73"/>
        <v>53.784699284465439</v>
      </c>
      <c r="L256" s="60">
        <f t="shared" si="73"/>
        <v>47.573570231432896</v>
      </c>
      <c r="M256" s="60">
        <f t="shared" si="73"/>
        <v>50.566796897542417</v>
      </c>
      <c r="N256" s="60">
        <f t="shared" si="73"/>
        <v>36.742009442704365</v>
      </c>
      <c r="O256" s="60">
        <f t="shared" si="73"/>
        <v>42.872953085920159</v>
      </c>
      <c r="P256" s="60">
        <f t="shared" si="73"/>
        <v>53.596873807149301</v>
      </c>
      <c r="Q256" s="60">
        <f t="shared" si="73"/>
        <v>56.471195531233519</v>
      </c>
      <c r="R256" s="60">
        <f t="shared" si="73"/>
        <v>60.466394811891412</v>
      </c>
      <c r="S256" s="60">
        <f t="shared" si="73"/>
        <v>41.703213142414306</v>
      </c>
      <c r="T256" s="60">
        <f t="shared" si="73"/>
        <v>38.890384691380994</v>
      </c>
      <c r="U256" s="60">
        <f t="shared" si="73"/>
        <v>47.974247103431331</v>
      </c>
      <c r="V256" s="60">
        <f t="shared" si="73"/>
        <v>59.101629025746874</v>
      </c>
    </row>
    <row r="257" spans="3:22" x14ac:dyDescent="0.2">
      <c r="C257" s="88" t="s">
        <v>134</v>
      </c>
      <c r="D257" s="62">
        <f t="shared" ref="D257:V257" si="74">+IFERROR(IF(D218&gt;0,+((D218/D24)*100)," "),"")</f>
        <v>68.110572393035753</v>
      </c>
      <c r="E257" s="62">
        <f t="shared" si="74"/>
        <v>84.826742258269988</v>
      </c>
      <c r="F257" s="62">
        <f t="shared" si="74"/>
        <v>69.885518274978352</v>
      </c>
      <c r="G257" s="62">
        <f t="shared" si="74"/>
        <v>83.54319360829669</v>
      </c>
      <c r="H257" s="62">
        <f t="shared" si="74"/>
        <v>58.571353283576066</v>
      </c>
      <c r="I257" s="62">
        <f t="shared" si="74"/>
        <v>58.406036584952126</v>
      </c>
      <c r="J257" s="62">
        <f t="shared" si="74"/>
        <v>28.401968393374975</v>
      </c>
      <c r="K257" s="62">
        <f t="shared" si="74"/>
        <v>72.463610672028906</v>
      </c>
      <c r="L257" s="62">
        <f t="shared" si="74"/>
        <v>75.094277539788393</v>
      </c>
      <c r="M257" s="62">
        <f t="shared" si="74"/>
        <v>79.655760286945721</v>
      </c>
      <c r="N257" s="62">
        <f t="shared" si="74"/>
        <v>70.029061307669764</v>
      </c>
      <c r="O257" s="62">
        <f t="shared" si="74"/>
        <v>67.363530935781228</v>
      </c>
      <c r="P257" s="62">
        <f t="shared" si="74"/>
        <v>29.297584002666703</v>
      </c>
      <c r="Q257" s="62">
        <f t="shared" si="74"/>
        <v>39.916538154440524</v>
      </c>
      <c r="R257" s="62">
        <f t="shared" si="74"/>
        <v>21.786270725143339</v>
      </c>
      <c r="S257" s="62">
        <f t="shared" si="74"/>
        <v>19.391969255319967</v>
      </c>
      <c r="T257" s="62">
        <f t="shared" si="74"/>
        <v>25.162111214895798</v>
      </c>
      <c r="U257" s="62">
        <f t="shared" si="74"/>
        <v>36.707330423148314</v>
      </c>
      <c r="V257" s="62">
        <f t="shared" si="74"/>
        <v>47.504580739195426</v>
      </c>
    </row>
    <row r="258" spans="3:22" x14ac:dyDescent="0.2">
      <c r="C258" s="87" t="s">
        <v>135</v>
      </c>
      <c r="D258" s="60" t="str">
        <f t="shared" ref="D258:V258" si="75">+IFERROR(IF(D219&gt;0,+((D219/D25)*100)," "),"")</f>
        <v xml:space="preserve"> </v>
      </c>
      <c r="E258" s="60" t="str">
        <f t="shared" si="75"/>
        <v xml:space="preserve"> </v>
      </c>
      <c r="F258" s="60" t="str">
        <f t="shared" si="75"/>
        <v xml:space="preserve"> </v>
      </c>
      <c r="G258" s="60" t="str">
        <f t="shared" si="75"/>
        <v xml:space="preserve"> </v>
      </c>
      <c r="H258" s="60" t="str">
        <f t="shared" si="75"/>
        <v xml:space="preserve"> </v>
      </c>
      <c r="I258" s="60" t="str">
        <f t="shared" si="75"/>
        <v xml:space="preserve"> </v>
      </c>
      <c r="J258" s="60" t="str">
        <f t="shared" si="75"/>
        <v xml:space="preserve"> </v>
      </c>
      <c r="K258" s="60" t="str">
        <f t="shared" si="75"/>
        <v xml:space="preserve"> </v>
      </c>
      <c r="L258" s="60" t="str">
        <f t="shared" si="75"/>
        <v xml:space="preserve"> </v>
      </c>
      <c r="M258" s="60" t="str">
        <f t="shared" si="75"/>
        <v xml:space="preserve"> </v>
      </c>
      <c r="N258" s="60" t="str">
        <f t="shared" si="75"/>
        <v xml:space="preserve"> </v>
      </c>
      <c r="O258" s="60" t="str">
        <f t="shared" si="75"/>
        <v xml:space="preserve"> </v>
      </c>
      <c r="P258" s="60" t="str">
        <f t="shared" si="75"/>
        <v xml:space="preserve"> </v>
      </c>
      <c r="Q258" s="60" t="str">
        <f t="shared" si="75"/>
        <v xml:space="preserve"> </v>
      </c>
      <c r="R258" s="60" t="str">
        <f t="shared" si="75"/>
        <v xml:space="preserve"> </v>
      </c>
      <c r="S258" s="60" t="str">
        <f t="shared" si="75"/>
        <v xml:space="preserve"> </v>
      </c>
      <c r="T258" s="60" t="str">
        <f t="shared" si="75"/>
        <v xml:space="preserve"> </v>
      </c>
      <c r="U258" s="60" t="str">
        <f t="shared" si="75"/>
        <v xml:space="preserve"> </v>
      </c>
      <c r="V258" s="60" t="str">
        <f t="shared" si="75"/>
        <v xml:space="preserve"> </v>
      </c>
    </row>
    <row r="259" spans="3:22" x14ac:dyDescent="0.2">
      <c r="C259" s="88" t="s">
        <v>136</v>
      </c>
      <c r="D259" s="62">
        <f t="shared" ref="D259:V259" si="76">+IFERROR(IF(D220&gt;0,+((D220/D26)*100)," "),"")</f>
        <v>67.950096452715485</v>
      </c>
      <c r="E259" s="62">
        <f t="shared" si="76"/>
        <v>73.958087016069811</v>
      </c>
      <c r="F259" s="62">
        <f t="shared" si="76"/>
        <v>76.792547536654723</v>
      </c>
      <c r="G259" s="62">
        <f t="shared" si="76"/>
        <v>79.045869662452986</v>
      </c>
      <c r="H259" s="62">
        <f t="shared" si="76"/>
        <v>80.1773276253858</v>
      </c>
      <c r="I259" s="62">
        <f t="shared" si="76"/>
        <v>81.171110691058274</v>
      </c>
      <c r="J259" s="62">
        <f t="shared" si="76"/>
        <v>80.134173693555994</v>
      </c>
      <c r="K259" s="62">
        <f t="shared" si="76"/>
        <v>75.746333311720889</v>
      </c>
      <c r="L259" s="62">
        <f t="shared" si="76"/>
        <v>82.649043592707599</v>
      </c>
      <c r="M259" s="62">
        <f t="shared" si="76"/>
        <v>84.424889940856445</v>
      </c>
      <c r="N259" s="62">
        <f t="shared" si="76"/>
        <v>83.058635733903699</v>
      </c>
      <c r="O259" s="62">
        <f t="shared" si="76"/>
        <v>73.369425985240596</v>
      </c>
      <c r="P259" s="62">
        <f t="shared" si="76"/>
        <v>78.741027800436569</v>
      </c>
      <c r="Q259" s="62">
        <f t="shared" si="76"/>
        <v>84.040427357888319</v>
      </c>
      <c r="R259" s="62">
        <f t="shared" si="76"/>
        <v>88.372978639976182</v>
      </c>
      <c r="S259" s="62">
        <f t="shared" si="76"/>
        <v>91.352822280144252</v>
      </c>
      <c r="T259" s="62">
        <f t="shared" si="76"/>
        <v>83.452223505236304</v>
      </c>
      <c r="U259" s="62">
        <f t="shared" si="76"/>
        <v>87.775180981521132</v>
      </c>
      <c r="V259" s="62">
        <f t="shared" si="76"/>
        <v>92.026322440544931</v>
      </c>
    </row>
    <row r="260" spans="3:22" x14ac:dyDescent="0.2">
      <c r="C260" s="87" t="s">
        <v>137</v>
      </c>
      <c r="D260" s="60">
        <f t="shared" ref="D260:V260" si="77">+IFERROR(IF(D221&gt;0,+((D221/D27)*100)," "),"")</f>
        <v>40.623253396413794</v>
      </c>
      <c r="E260" s="60">
        <f t="shared" si="77"/>
        <v>63.669396118773037</v>
      </c>
      <c r="F260" s="60">
        <f t="shared" si="77"/>
        <v>50.671823746665886</v>
      </c>
      <c r="G260" s="60">
        <f t="shared" si="77"/>
        <v>51.969673033753836</v>
      </c>
      <c r="H260" s="60">
        <f t="shared" si="77"/>
        <v>57.437180229519427</v>
      </c>
      <c r="I260" s="60">
        <f t="shared" si="77"/>
        <v>62.010173817622928</v>
      </c>
      <c r="J260" s="60">
        <f t="shared" si="77"/>
        <v>77.464781152842349</v>
      </c>
      <c r="K260" s="60">
        <f t="shared" si="77"/>
        <v>69.966419787451173</v>
      </c>
      <c r="L260" s="60">
        <f t="shared" si="77"/>
        <v>76.595110623621252</v>
      </c>
      <c r="M260" s="60">
        <f t="shared" si="77"/>
        <v>72.633150051867304</v>
      </c>
      <c r="N260" s="60">
        <f t="shared" si="77"/>
        <v>68.188518123851097</v>
      </c>
      <c r="O260" s="60">
        <f t="shared" si="77"/>
        <v>78.21214099143954</v>
      </c>
      <c r="P260" s="60">
        <f t="shared" si="77"/>
        <v>79.288316212016667</v>
      </c>
      <c r="Q260" s="60">
        <f t="shared" si="77"/>
        <v>73.015504774358476</v>
      </c>
      <c r="R260" s="60">
        <f t="shared" si="77"/>
        <v>80.537460825646974</v>
      </c>
      <c r="S260" s="60">
        <f t="shared" si="77"/>
        <v>75.589138995452601</v>
      </c>
      <c r="T260" s="60">
        <f t="shared" si="77"/>
        <v>79.887220279867151</v>
      </c>
      <c r="U260" s="60">
        <f t="shared" si="77"/>
        <v>68.441379507188586</v>
      </c>
      <c r="V260" s="60">
        <f t="shared" si="77"/>
        <v>90.790792032482116</v>
      </c>
    </row>
    <row r="261" spans="3:22" x14ac:dyDescent="0.2">
      <c r="C261" s="88" t="s">
        <v>138</v>
      </c>
      <c r="D261" s="62">
        <f t="shared" ref="D261:V261" si="78">+IFERROR(IF(D222&gt;0,+((D222/D28)*100)," "),"")</f>
        <v>65.211227468226824</v>
      </c>
      <c r="E261" s="62">
        <f t="shared" si="78"/>
        <v>90.758732294578166</v>
      </c>
      <c r="F261" s="62">
        <f t="shared" si="78"/>
        <v>36.126943856944109</v>
      </c>
      <c r="G261" s="62">
        <f t="shared" si="78"/>
        <v>5.4901343762483865</v>
      </c>
      <c r="H261" s="62">
        <f t="shared" si="78"/>
        <v>26.390167577592592</v>
      </c>
      <c r="I261" s="62">
        <f t="shared" si="78"/>
        <v>13.789047289019866</v>
      </c>
      <c r="J261" s="62">
        <f t="shared" si="78"/>
        <v>4.7015998212564831</v>
      </c>
      <c r="K261" s="62">
        <f t="shared" si="78"/>
        <v>69.406741617981865</v>
      </c>
      <c r="L261" s="62">
        <f t="shared" si="78"/>
        <v>60.814769570033491</v>
      </c>
      <c r="M261" s="62">
        <f t="shared" si="78"/>
        <v>23.006758393201565</v>
      </c>
      <c r="N261" s="62">
        <f t="shared" si="78"/>
        <v>27.81742633980301</v>
      </c>
      <c r="O261" s="62">
        <f t="shared" si="78"/>
        <v>35.065335232504431</v>
      </c>
      <c r="P261" s="62">
        <f t="shared" si="78"/>
        <v>71.541512400874737</v>
      </c>
      <c r="Q261" s="62">
        <f t="shared" si="78"/>
        <v>81.497708415786747</v>
      </c>
      <c r="R261" s="62">
        <f t="shared" si="78"/>
        <v>60.248886620839428</v>
      </c>
      <c r="S261" s="62">
        <f t="shared" si="78"/>
        <v>72.150588462035458</v>
      </c>
      <c r="T261" s="62">
        <f t="shared" si="78"/>
        <v>75.210390246946062</v>
      </c>
      <c r="U261" s="62">
        <f t="shared" si="78"/>
        <v>78.465566416782522</v>
      </c>
      <c r="V261" s="62">
        <f t="shared" si="78"/>
        <v>96.85860163507715</v>
      </c>
    </row>
    <row r="262" spans="3:22" x14ac:dyDescent="0.2">
      <c r="C262" s="87" t="s">
        <v>139</v>
      </c>
      <c r="D262" s="60">
        <f t="shared" ref="D262:V262" si="79">+IFERROR(IF(D223&gt;0,+((D223/D29)*100)," "),"")</f>
        <v>44.515348909432198</v>
      </c>
      <c r="E262" s="60">
        <f t="shared" si="79"/>
        <v>63.583152276600664</v>
      </c>
      <c r="F262" s="60">
        <f t="shared" si="79"/>
        <v>51.226386444820314</v>
      </c>
      <c r="G262" s="60">
        <f t="shared" si="79"/>
        <v>79.627844171109729</v>
      </c>
      <c r="H262" s="60">
        <f t="shared" si="79"/>
        <v>35.85392617757681</v>
      </c>
      <c r="I262" s="60">
        <f t="shared" si="79"/>
        <v>68.664496195218177</v>
      </c>
      <c r="J262" s="60">
        <f t="shared" si="79"/>
        <v>68.705763107340303</v>
      </c>
      <c r="K262" s="60">
        <f t="shared" si="79"/>
        <v>63.534122532610894</v>
      </c>
      <c r="L262" s="60">
        <f t="shared" si="79"/>
        <v>46.904806884465636</v>
      </c>
      <c r="M262" s="60">
        <f t="shared" si="79"/>
        <v>71.61357529613781</v>
      </c>
      <c r="N262" s="60">
        <f t="shared" si="79"/>
        <v>60.545006138005917</v>
      </c>
      <c r="O262" s="60">
        <f t="shared" si="79"/>
        <v>45.537089899758008</v>
      </c>
      <c r="P262" s="60">
        <f t="shared" si="79"/>
        <v>60.555195385155059</v>
      </c>
      <c r="Q262" s="60">
        <f t="shared" si="79"/>
        <v>55.242779684997977</v>
      </c>
      <c r="R262" s="60">
        <f t="shared" si="79"/>
        <v>57.826083472366896</v>
      </c>
      <c r="S262" s="60">
        <f t="shared" si="79"/>
        <v>61.754665207841086</v>
      </c>
      <c r="T262" s="60">
        <f t="shared" si="79"/>
        <v>38.862030931464048</v>
      </c>
      <c r="U262" s="60">
        <f t="shared" si="79"/>
        <v>25.98058764002263</v>
      </c>
      <c r="V262" s="60">
        <f t="shared" si="79"/>
        <v>33.706826812421561</v>
      </c>
    </row>
    <row r="263" spans="3:22" x14ac:dyDescent="0.2">
      <c r="C263" s="88" t="s">
        <v>140</v>
      </c>
      <c r="D263" s="62">
        <f t="shared" ref="D263:V263" si="80">+IFERROR(IF(D224&gt;0,+((D224/D30)*100)," "),"")</f>
        <v>71.743042375052212</v>
      </c>
      <c r="E263" s="62">
        <f t="shared" si="80"/>
        <v>68.331991325770005</v>
      </c>
      <c r="F263" s="62">
        <f t="shared" si="80"/>
        <v>65.500577892121896</v>
      </c>
      <c r="G263" s="62">
        <f t="shared" si="80"/>
        <v>84.427339671572554</v>
      </c>
      <c r="H263" s="62">
        <f t="shared" si="80"/>
        <v>81.422225623948506</v>
      </c>
      <c r="I263" s="62">
        <f t="shared" si="80"/>
        <v>59.317909184359117</v>
      </c>
      <c r="J263" s="62">
        <f t="shared" si="80"/>
        <v>65.874695911688761</v>
      </c>
      <c r="K263" s="62">
        <f t="shared" si="80"/>
        <v>57.387543043714786</v>
      </c>
      <c r="L263" s="62">
        <f t="shared" si="80"/>
        <v>89.22400232610967</v>
      </c>
      <c r="M263" s="62">
        <f t="shared" si="80"/>
        <v>87.327022899857496</v>
      </c>
      <c r="N263" s="62">
        <f t="shared" si="80"/>
        <v>83.274772331236903</v>
      </c>
      <c r="O263" s="62">
        <f t="shared" si="80"/>
        <v>87.410405507794138</v>
      </c>
      <c r="P263" s="62">
        <f t="shared" si="80"/>
        <v>86.762152126838075</v>
      </c>
      <c r="Q263" s="62">
        <f t="shared" si="80"/>
        <v>84.605662416344217</v>
      </c>
      <c r="R263" s="62">
        <f t="shared" si="80"/>
        <v>84.823274848275688</v>
      </c>
      <c r="S263" s="62">
        <f t="shared" si="80"/>
        <v>89.342605442154479</v>
      </c>
      <c r="T263" s="62">
        <f t="shared" si="80"/>
        <v>88.005319517423004</v>
      </c>
      <c r="U263" s="62">
        <f t="shared" si="80"/>
        <v>81.576396043596034</v>
      </c>
      <c r="V263" s="62">
        <f t="shared" si="80"/>
        <v>91.539002086237204</v>
      </c>
    </row>
    <row r="264" spans="3:22" x14ac:dyDescent="0.2">
      <c r="C264" s="87" t="s">
        <v>141</v>
      </c>
      <c r="D264" s="60">
        <f t="shared" ref="D264:V264" si="81">+IFERROR(IF(D225&gt;0,+((D225/D31)*100)," "),"")</f>
        <v>6.4027266509730065</v>
      </c>
      <c r="E264" s="60">
        <f t="shared" si="81"/>
        <v>9.7236506598786843</v>
      </c>
      <c r="F264" s="60">
        <f t="shared" si="81"/>
        <v>5.8642826621428101</v>
      </c>
      <c r="G264" s="60">
        <f t="shared" si="81"/>
        <v>8.8870284793393655</v>
      </c>
      <c r="H264" s="60">
        <f t="shared" si="81"/>
        <v>13.299353192915724</v>
      </c>
      <c r="I264" s="60">
        <f t="shared" si="81"/>
        <v>9.9031270868852239</v>
      </c>
      <c r="J264" s="60">
        <f t="shared" si="81"/>
        <v>38.332145079577437</v>
      </c>
      <c r="K264" s="60">
        <f t="shared" si="81"/>
        <v>39.91825492903682</v>
      </c>
      <c r="L264" s="60">
        <f t="shared" si="81"/>
        <v>46.626778182228016</v>
      </c>
      <c r="M264" s="60">
        <f t="shared" si="81"/>
        <v>63.320861245263451</v>
      </c>
      <c r="N264" s="60">
        <f t="shared" si="81"/>
        <v>43.407002164465567</v>
      </c>
      <c r="O264" s="60">
        <f t="shared" si="81"/>
        <v>36.39042344131277</v>
      </c>
      <c r="P264" s="60">
        <f t="shared" si="81"/>
        <v>57.830439171451061</v>
      </c>
      <c r="Q264" s="60">
        <f t="shared" si="81"/>
        <v>53.961285202133091</v>
      </c>
      <c r="R264" s="60">
        <f t="shared" si="81"/>
        <v>52.441622432941784</v>
      </c>
      <c r="S264" s="60">
        <f t="shared" si="81"/>
        <v>22.954811427255407</v>
      </c>
      <c r="T264" s="60">
        <f t="shared" si="81"/>
        <v>46.471049478338081</v>
      </c>
      <c r="U264" s="60">
        <f t="shared" si="81"/>
        <v>70.922382253126614</v>
      </c>
      <c r="V264" s="60">
        <f t="shared" si="81"/>
        <v>83.1352783129702</v>
      </c>
    </row>
    <row r="265" spans="3:22" x14ac:dyDescent="0.2">
      <c r="C265" s="88" t="s">
        <v>142</v>
      </c>
      <c r="D265" s="62">
        <f t="shared" ref="D265:V265" si="82">+IFERROR(IF(D226&gt;0,+((D226/D32)*100)," "),"")</f>
        <v>15.092942462740776</v>
      </c>
      <c r="E265" s="62">
        <f t="shared" si="82"/>
        <v>22.311767882242354</v>
      </c>
      <c r="F265" s="62">
        <f t="shared" si="82"/>
        <v>8.7603568610142588</v>
      </c>
      <c r="G265" s="62">
        <f t="shared" si="82"/>
        <v>18.282878245784463</v>
      </c>
      <c r="H265" s="62">
        <f t="shared" si="82"/>
        <v>54.694011595608373</v>
      </c>
      <c r="I265" s="62">
        <f t="shared" si="82"/>
        <v>19.168907284274557</v>
      </c>
      <c r="J265" s="62">
        <f t="shared" si="82"/>
        <v>22.048123229744913</v>
      </c>
      <c r="K265" s="62">
        <f t="shared" si="82"/>
        <v>41.567197077440596</v>
      </c>
      <c r="L265" s="62">
        <f t="shared" si="82"/>
        <v>29.987809443056239</v>
      </c>
      <c r="M265" s="62">
        <f t="shared" si="82"/>
        <v>29.861093775291387</v>
      </c>
      <c r="N265" s="62">
        <f t="shared" si="82"/>
        <v>37.388783301259373</v>
      </c>
      <c r="O265" s="62">
        <f t="shared" si="82"/>
        <v>33.207005913645851</v>
      </c>
      <c r="P265" s="62">
        <f t="shared" si="82"/>
        <v>48.261094809283421</v>
      </c>
      <c r="Q265" s="62">
        <f t="shared" si="82"/>
        <v>54.114184166618116</v>
      </c>
      <c r="R265" s="62">
        <f t="shared" si="82"/>
        <v>75.634423445619277</v>
      </c>
      <c r="S265" s="62">
        <f t="shared" si="82"/>
        <v>63.957150708353915</v>
      </c>
      <c r="T265" s="62">
        <f t="shared" si="82"/>
        <v>52.421714831649091</v>
      </c>
      <c r="U265" s="62">
        <f t="shared" si="82"/>
        <v>62.120568202418646</v>
      </c>
      <c r="V265" s="62">
        <f t="shared" si="82"/>
        <v>58.354807341065559</v>
      </c>
    </row>
    <row r="266" spans="3:22" x14ac:dyDescent="0.2">
      <c r="C266" s="87" t="s">
        <v>143</v>
      </c>
      <c r="D266" s="60">
        <f t="shared" ref="D266:V266" si="83">+IFERROR(IF(D227&gt;0,+((D227/D33)*100)," "),"")</f>
        <v>64.582920664367066</v>
      </c>
      <c r="E266" s="60">
        <f t="shared" si="83"/>
        <v>49.997195680537999</v>
      </c>
      <c r="F266" s="60">
        <f t="shared" si="83"/>
        <v>48.18387783112199</v>
      </c>
      <c r="G266" s="60">
        <f t="shared" si="83"/>
        <v>59.392378621525886</v>
      </c>
      <c r="H266" s="60">
        <f t="shared" si="83"/>
        <v>62.1440402633338</v>
      </c>
      <c r="I266" s="60">
        <f t="shared" si="83"/>
        <v>76.339351818461296</v>
      </c>
      <c r="J266" s="60">
        <f t="shared" si="83"/>
        <v>85.00096669103047</v>
      </c>
      <c r="K266" s="60">
        <f t="shared" si="83"/>
        <v>84.314733808307835</v>
      </c>
      <c r="L266" s="60">
        <f t="shared" si="83"/>
        <v>42.110741797044469</v>
      </c>
      <c r="M266" s="60">
        <f t="shared" si="83"/>
        <v>54.791765842045962</v>
      </c>
      <c r="N266" s="60">
        <f t="shared" si="83"/>
        <v>58.623818828911901</v>
      </c>
      <c r="O266" s="60">
        <f t="shared" si="83"/>
        <v>66.016694115934854</v>
      </c>
      <c r="P266" s="60">
        <f t="shared" si="83"/>
        <v>16.049976515846335</v>
      </c>
      <c r="Q266" s="60">
        <f t="shared" si="83"/>
        <v>70.802757941253617</v>
      </c>
      <c r="R266" s="60">
        <f t="shared" si="83"/>
        <v>68.159454652111066</v>
      </c>
      <c r="S266" s="60">
        <f t="shared" si="83"/>
        <v>46.720940324384181</v>
      </c>
      <c r="T266" s="60">
        <f t="shared" si="83"/>
        <v>65.230535294964099</v>
      </c>
      <c r="U266" s="60">
        <f t="shared" si="83"/>
        <v>61.911935743090794</v>
      </c>
      <c r="V266" s="60">
        <f t="shared" si="83"/>
        <v>8.9094694453604415</v>
      </c>
    </row>
    <row r="267" spans="3:22" x14ac:dyDescent="0.2">
      <c r="C267" s="88" t="s">
        <v>144</v>
      </c>
      <c r="D267" s="62">
        <f t="shared" ref="D267:V267" si="84">+IFERROR(IF(D228&gt;0,+((D228/D34)*100)," "),"")</f>
        <v>13.985294214522401</v>
      </c>
      <c r="E267" s="62">
        <f t="shared" si="84"/>
        <v>73.747265066863775</v>
      </c>
      <c r="F267" s="62">
        <f t="shared" si="84"/>
        <v>36.320299679476697</v>
      </c>
      <c r="G267" s="62">
        <f t="shared" si="84"/>
        <v>39.971840485615687</v>
      </c>
      <c r="H267" s="62">
        <f t="shared" si="84"/>
        <v>36.577170716514388</v>
      </c>
      <c r="I267" s="62">
        <f t="shared" si="84"/>
        <v>36.465909737511694</v>
      </c>
      <c r="J267" s="62">
        <f t="shared" si="84"/>
        <v>48.076967916871496</v>
      </c>
      <c r="K267" s="62">
        <f t="shared" si="84"/>
        <v>55.190799319271214</v>
      </c>
      <c r="L267" s="62">
        <f t="shared" si="84"/>
        <v>58.402309997319236</v>
      </c>
      <c r="M267" s="62">
        <f t="shared" si="84"/>
        <v>67.290691103497522</v>
      </c>
      <c r="N267" s="62">
        <f t="shared" si="84"/>
        <v>37.075140650558552</v>
      </c>
      <c r="O267" s="62">
        <f t="shared" si="84"/>
        <v>15.606057493292205</v>
      </c>
      <c r="P267" s="62">
        <f t="shared" si="84"/>
        <v>18.940680530956236</v>
      </c>
      <c r="Q267" s="62">
        <f t="shared" si="84"/>
        <v>31.521835747942418</v>
      </c>
      <c r="R267" s="62">
        <f t="shared" si="84"/>
        <v>43.474231170922558</v>
      </c>
      <c r="S267" s="62">
        <f t="shared" si="84"/>
        <v>26.711259359461227</v>
      </c>
      <c r="T267" s="62">
        <f t="shared" si="84"/>
        <v>35.53712567133563</v>
      </c>
      <c r="U267" s="62">
        <f t="shared" si="84"/>
        <v>38.015504430966644</v>
      </c>
      <c r="V267" s="62">
        <f t="shared" si="84"/>
        <v>51.204978626295237</v>
      </c>
    </row>
    <row r="268" spans="3:22" x14ac:dyDescent="0.2">
      <c r="C268" s="87" t="s">
        <v>145</v>
      </c>
      <c r="D268" s="60">
        <f t="shared" ref="D268:V268" si="85">+IFERROR(IF(D229&gt;0,+((D229/D35)*100)," "),"")</f>
        <v>18.53761612199111</v>
      </c>
      <c r="E268" s="60">
        <f t="shared" si="85"/>
        <v>1.84466628</v>
      </c>
      <c r="F268" s="60">
        <f t="shared" si="85"/>
        <v>0.42299979299780582</v>
      </c>
      <c r="G268" s="60">
        <f t="shared" si="85"/>
        <v>29.058688165123364</v>
      </c>
      <c r="H268" s="60">
        <f t="shared" si="85"/>
        <v>38.715709351808947</v>
      </c>
      <c r="I268" s="60">
        <f t="shared" si="85"/>
        <v>91.256638338833881</v>
      </c>
      <c r="J268" s="60">
        <f t="shared" si="85"/>
        <v>86.6507438000056</v>
      </c>
      <c r="K268" s="60">
        <f t="shared" si="85"/>
        <v>5.0556282624877715</v>
      </c>
      <c r="L268" s="60">
        <f t="shared" si="85"/>
        <v>60.796215480648705</v>
      </c>
      <c r="M268" s="60">
        <f t="shared" si="85"/>
        <v>40.640437730998109</v>
      </c>
      <c r="N268" s="60">
        <f t="shared" si="85"/>
        <v>52.893274008036428</v>
      </c>
      <c r="O268" s="60">
        <f t="shared" si="85"/>
        <v>44.258341279946649</v>
      </c>
      <c r="P268" s="60">
        <f t="shared" si="85"/>
        <v>54.894898345225144</v>
      </c>
      <c r="Q268" s="60">
        <f t="shared" si="85"/>
        <v>62.011799346864514</v>
      </c>
      <c r="R268" s="60">
        <f t="shared" si="85"/>
        <v>58.505101771483424</v>
      </c>
      <c r="S268" s="60">
        <f t="shared" si="85"/>
        <v>49.036350830204519</v>
      </c>
      <c r="T268" s="60">
        <f t="shared" si="85"/>
        <v>59.302016762123202</v>
      </c>
      <c r="U268" s="60">
        <f t="shared" si="85"/>
        <v>70.449812227087435</v>
      </c>
      <c r="V268" s="60">
        <f t="shared" si="85"/>
        <v>69.406849498376516</v>
      </c>
    </row>
    <row r="269" spans="3:22" x14ac:dyDescent="0.2">
      <c r="C269" s="88" t="s">
        <v>146</v>
      </c>
      <c r="D269" s="62">
        <f t="shared" ref="D269:V269" si="86">+IFERROR(IF(D230&gt;0,+((D230/D36)*100)," "),"")</f>
        <v>60.333615817144171</v>
      </c>
      <c r="E269" s="62">
        <f t="shared" si="86"/>
        <v>54.979904600132279</v>
      </c>
      <c r="F269" s="62">
        <f t="shared" si="86"/>
        <v>16.095974230083137</v>
      </c>
      <c r="G269" s="62">
        <f t="shared" si="86"/>
        <v>99.468425807063028</v>
      </c>
      <c r="H269" s="62">
        <f t="shared" si="86"/>
        <v>67.831671444626878</v>
      </c>
      <c r="I269" s="62">
        <f t="shared" si="86"/>
        <v>79.069283168677046</v>
      </c>
      <c r="J269" s="62">
        <f t="shared" si="86"/>
        <v>63.730659605698094</v>
      </c>
      <c r="K269" s="62">
        <f t="shared" si="86"/>
        <v>50.22534743568832</v>
      </c>
      <c r="L269" s="62">
        <f t="shared" si="86"/>
        <v>67.451835014405205</v>
      </c>
      <c r="M269" s="62">
        <f t="shared" si="86"/>
        <v>63.795885017639087</v>
      </c>
      <c r="N269" s="62">
        <f t="shared" si="86"/>
        <v>83.74743454</v>
      </c>
      <c r="O269" s="62">
        <f t="shared" si="86"/>
        <v>83.912618367944873</v>
      </c>
      <c r="P269" s="62">
        <f t="shared" si="86"/>
        <v>79.079324697967976</v>
      </c>
      <c r="Q269" s="62">
        <f t="shared" si="86"/>
        <v>72.911227999791649</v>
      </c>
      <c r="R269" s="62">
        <f t="shared" si="86"/>
        <v>89.843933931916098</v>
      </c>
      <c r="S269" s="62">
        <f t="shared" si="86"/>
        <v>90.969546912334863</v>
      </c>
      <c r="T269" s="62">
        <f t="shared" si="86"/>
        <v>88.698553611425197</v>
      </c>
      <c r="U269" s="62">
        <f t="shared" si="86"/>
        <v>88.345552222728031</v>
      </c>
      <c r="V269" s="62">
        <f t="shared" si="86"/>
        <v>97.559966717216611</v>
      </c>
    </row>
    <row r="270" spans="3:22" x14ac:dyDescent="0.2">
      <c r="C270" s="90" t="s">
        <v>147</v>
      </c>
      <c r="D270" s="61">
        <f t="shared" ref="D270:V270" si="87">+IFERROR(IF(D231&gt;0,+((D231/D37)*100)," "),"")</f>
        <v>60.702331855430401</v>
      </c>
      <c r="E270" s="61">
        <f t="shared" si="87"/>
        <v>76.591834687157089</v>
      </c>
      <c r="F270" s="61">
        <f t="shared" si="87"/>
        <v>69.996000899997242</v>
      </c>
      <c r="G270" s="61">
        <f t="shared" si="87"/>
        <v>69.75875465837926</v>
      </c>
      <c r="H270" s="61">
        <f t="shared" si="87"/>
        <v>71.416275208351209</v>
      </c>
      <c r="I270" s="61">
        <f t="shared" si="87"/>
        <v>78.903311456758345</v>
      </c>
      <c r="J270" s="61">
        <f t="shared" si="87"/>
        <v>67.978018197896645</v>
      </c>
      <c r="K270" s="61">
        <f t="shared" si="87"/>
        <v>70.043038960465935</v>
      </c>
      <c r="L270" s="61">
        <f t="shared" si="87"/>
        <v>76.365518730491672</v>
      </c>
      <c r="M270" s="61">
        <f t="shared" si="87"/>
        <v>75.359076361849247</v>
      </c>
      <c r="N270" s="61">
        <f t="shared" si="87"/>
        <v>83.260260379434143</v>
      </c>
      <c r="O270" s="61">
        <f t="shared" si="87"/>
        <v>67.270092013144804</v>
      </c>
      <c r="P270" s="61">
        <f t="shared" si="87"/>
        <v>82.083127256426422</v>
      </c>
      <c r="Q270" s="61">
        <f t="shared" si="87"/>
        <v>88.4451954540272</v>
      </c>
      <c r="R270" s="61">
        <f t="shared" si="87"/>
        <v>88.969775112458194</v>
      </c>
      <c r="S270" s="61">
        <f t="shared" si="87"/>
        <v>91.085508051270608</v>
      </c>
      <c r="T270" s="61">
        <f t="shared" si="87"/>
        <v>92.847883702561859</v>
      </c>
      <c r="U270" s="61">
        <f t="shared" si="87"/>
        <v>87.356444396234409</v>
      </c>
      <c r="V270" s="61">
        <f t="shared" si="87"/>
        <v>91.036963680045631</v>
      </c>
    </row>
    <row r="271" spans="3:22" ht="22.5" customHeight="1" x14ac:dyDescent="0.2">
      <c r="C271" s="89" t="s">
        <v>148</v>
      </c>
      <c r="D271" s="63" t="str">
        <f t="shared" ref="D271:V271" si="88">+IFERROR(IF(D232&gt;0,+((D232/D38)*100)," "),"")</f>
        <v xml:space="preserve"> </v>
      </c>
      <c r="E271" s="63" t="str">
        <f t="shared" si="88"/>
        <v xml:space="preserve"> </v>
      </c>
      <c r="F271" s="63" t="str">
        <f t="shared" si="88"/>
        <v xml:space="preserve"> </v>
      </c>
      <c r="G271" s="63" t="str">
        <f t="shared" si="88"/>
        <v xml:space="preserve"> </v>
      </c>
      <c r="H271" s="63" t="str">
        <f t="shared" si="88"/>
        <v xml:space="preserve"> </v>
      </c>
      <c r="I271" s="63" t="str">
        <f t="shared" si="88"/>
        <v xml:space="preserve"> </v>
      </c>
      <c r="J271" s="63" t="str">
        <f t="shared" si="88"/>
        <v xml:space="preserve"> </v>
      </c>
      <c r="K271" s="63" t="str">
        <f t="shared" si="88"/>
        <v xml:space="preserve"> </v>
      </c>
      <c r="L271" s="63" t="str">
        <f t="shared" si="88"/>
        <v xml:space="preserve"> </v>
      </c>
      <c r="M271" s="63" t="str">
        <f t="shared" si="88"/>
        <v xml:space="preserve"> </v>
      </c>
      <c r="N271" s="63" t="str">
        <f t="shared" si="88"/>
        <v xml:space="preserve"> </v>
      </c>
      <c r="O271" s="63" t="str">
        <f t="shared" si="88"/>
        <v xml:space="preserve"> </v>
      </c>
      <c r="P271" s="63" t="str">
        <f t="shared" si="88"/>
        <v xml:space="preserve"> </v>
      </c>
      <c r="Q271" s="63" t="str">
        <f t="shared" si="88"/>
        <v xml:space="preserve"> </v>
      </c>
      <c r="R271" s="63" t="str">
        <f t="shared" si="88"/>
        <v xml:space="preserve"> </v>
      </c>
      <c r="S271" s="63" t="str">
        <f t="shared" si="88"/>
        <v xml:space="preserve"> </v>
      </c>
      <c r="T271" s="63" t="str">
        <f t="shared" si="88"/>
        <v xml:space="preserve"> </v>
      </c>
      <c r="U271" s="63" t="str">
        <f t="shared" si="88"/>
        <v xml:space="preserve"> </v>
      </c>
      <c r="V271" s="63">
        <f t="shared" si="88"/>
        <v>56.255603915121867</v>
      </c>
    </row>
    <row r="272" spans="3:22" x14ac:dyDescent="0.2">
      <c r="C272" s="87" t="s">
        <v>149</v>
      </c>
      <c r="D272" s="60">
        <f t="shared" ref="D272:V272" si="89">+IFERROR(IF(D233&gt;0,+((D233/D39)*100)," "),"")</f>
        <v>70.314130481632176</v>
      </c>
      <c r="E272" s="60">
        <f t="shared" si="89"/>
        <v>52.11670540082838</v>
      </c>
      <c r="F272" s="60">
        <f t="shared" si="89"/>
        <v>23.518722806440618</v>
      </c>
      <c r="G272" s="60">
        <f t="shared" si="89"/>
        <v>11.364341828347534</v>
      </c>
      <c r="H272" s="60">
        <f t="shared" si="89"/>
        <v>94.332536911435696</v>
      </c>
      <c r="I272" s="60">
        <f t="shared" si="89"/>
        <v>36.927640125774985</v>
      </c>
      <c r="J272" s="60">
        <f t="shared" si="89"/>
        <v>71.168008782991578</v>
      </c>
      <c r="K272" s="60">
        <f t="shared" si="89"/>
        <v>85.752141629693966</v>
      </c>
      <c r="L272" s="60">
        <f t="shared" si="89"/>
        <v>62.498074375304313</v>
      </c>
      <c r="M272" s="60">
        <f t="shared" si="89"/>
        <v>61.968675317642052</v>
      </c>
      <c r="N272" s="60">
        <f t="shared" si="89"/>
        <v>51.060807704662004</v>
      </c>
      <c r="O272" s="60">
        <f t="shared" si="89"/>
        <v>68.131728657522501</v>
      </c>
      <c r="P272" s="60">
        <f t="shared" si="89"/>
        <v>52.830284123253449</v>
      </c>
      <c r="Q272" s="60">
        <f t="shared" si="89"/>
        <v>73.275788111676675</v>
      </c>
      <c r="R272" s="60">
        <f t="shared" si="89"/>
        <v>77.439282476303035</v>
      </c>
      <c r="S272" s="60">
        <f t="shared" si="89"/>
        <v>76.335958488328913</v>
      </c>
      <c r="T272" s="60">
        <f t="shared" si="89"/>
        <v>84.435225738379529</v>
      </c>
      <c r="U272" s="60">
        <f t="shared" si="89"/>
        <v>76.582800951754621</v>
      </c>
      <c r="V272" s="60">
        <f t="shared" si="89"/>
        <v>87.994491909047966</v>
      </c>
    </row>
    <row r="273" spans="3:22" x14ac:dyDescent="0.2">
      <c r="C273" s="88" t="s">
        <v>150</v>
      </c>
      <c r="D273" s="62">
        <f t="shared" ref="D273:V273" si="90">+IFERROR(IF(D234&gt;0,+((D234/D40)*100)," "),"")</f>
        <v>46.90445071246593</v>
      </c>
      <c r="E273" s="62">
        <f t="shared" si="90"/>
        <v>67.036114177999764</v>
      </c>
      <c r="F273" s="62">
        <f t="shared" si="90"/>
        <v>37.937519434440922</v>
      </c>
      <c r="G273" s="62">
        <f t="shared" si="90"/>
        <v>61.652243283894784</v>
      </c>
      <c r="H273" s="62">
        <f t="shared" si="90"/>
        <v>61.04496134359939</v>
      </c>
      <c r="I273" s="62">
        <f t="shared" si="90"/>
        <v>68.907672569402749</v>
      </c>
      <c r="J273" s="62">
        <f t="shared" si="90"/>
        <v>54.001481362935898</v>
      </c>
      <c r="K273" s="62">
        <f t="shared" si="90"/>
        <v>70.440549587798458</v>
      </c>
      <c r="L273" s="62">
        <f t="shared" si="90"/>
        <v>73.303623306936188</v>
      </c>
      <c r="M273" s="62">
        <f t="shared" si="90"/>
        <v>68.660551373309019</v>
      </c>
      <c r="N273" s="62">
        <f t="shared" si="90"/>
        <v>63.500103260463916</v>
      </c>
      <c r="O273" s="62">
        <f t="shared" si="90"/>
        <v>68.011557884573747</v>
      </c>
      <c r="P273" s="62">
        <f t="shared" si="90"/>
        <v>69.344934715227311</v>
      </c>
      <c r="Q273" s="62">
        <f t="shared" si="90"/>
        <v>68.156668914631723</v>
      </c>
      <c r="R273" s="62">
        <f t="shared" si="90"/>
        <v>76.333515369210133</v>
      </c>
      <c r="S273" s="62">
        <f t="shared" si="90"/>
        <v>70.624075097793082</v>
      </c>
      <c r="T273" s="62">
        <f t="shared" si="90"/>
        <v>63.242980004809787</v>
      </c>
      <c r="U273" s="62">
        <f t="shared" si="90"/>
        <v>58.445122058359601</v>
      </c>
      <c r="V273" s="62">
        <f t="shared" si="90"/>
        <v>68.085446406935489</v>
      </c>
    </row>
    <row r="274" spans="3:22" x14ac:dyDescent="0.2">
      <c r="C274" s="87" t="s">
        <v>151</v>
      </c>
      <c r="D274" s="60">
        <f t="shared" ref="D274:V274" si="91">+IFERROR(IF(D235&gt;0,+((D235/D41)*100)," "),"")</f>
        <v>41.890078387391988</v>
      </c>
      <c r="E274" s="60">
        <f t="shared" si="91"/>
        <v>11.586512311271207</v>
      </c>
      <c r="F274" s="60">
        <f t="shared" si="91"/>
        <v>34.929015983406416</v>
      </c>
      <c r="G274" s="60">
        <f t="shared" si="91"/>
        <v>18.079571394020729</v>
      </c>
      <c r="H274" s="60">
        <f t="shared" si="91"/>
        <v>4.0917250960717917</v>
      </c>
      <c r="I274" s="60">
        <f t="shared" si="91"/>
        <v>8.8327475952558245</v>
      </c>
      <c r="J274" s="60">
        <f t="shared" si="91"/>
        <v>48.571244175818762</v>
      </c>
      <c r="K274" s="60">
        <f t="shared" si="91"/>
        <v>74.879067821623821</v>
      </c>
      <c r="L274" s="60">
        <f t="shared" si="91"/>
        <v>46.878533200932424</v>
      </c>
      <c r="M274" s="60">
        <f t="shared" si="91"/>
        <v>33.620806969470536</v>
      </c>
      <c r="N274" s="60">
        <f t="shared" si="91"/>
        <v>28.177398627722848</v>
      </c>
      <c r="O274" s="60">
        <f t="shared" si="91"/>
        <v>57.31661559294318</v>
      </c>
      <c r="P274" s="60">
        <f t="shared" si="91"/>
        <v>42.709448037640371</v>
      </c>
      <c r="Q274" s="60">
        <f t="shared" si="91"/>
        <v>25.901049819547545</v>
      </c>
      <c r="R274" s="60">
        <f t="shared" si="91"/>
        <v>32.499995098232468</v>
      </c>
      <c r="S274" s="60">
        <f t="shared" si="91"/>
        <v>23.725694563739747</v>
      </c>
      <c r="T274" s="60">
        <f t="shared" si="91"/>
        <v>22.109144252663988</v>
      </c>
      <c r="U274" s="60">
        <f t="shared" si="91"/>
        <v>18.815770110885683</v>
      </c>
      <c r="V274" s="60">
        <f t="shared" si="91"/>
        <v>18.897253307643833</v>
      </c>
    </row>
    <row r="275" spans="3:22" x14ac:dyDescent="0.2">
      <c r="C275" s="91" t="s">
        <v>202</v>
      </c>
      <c r="D275" s="64">
        <f t="shared" ref="D275:V275" si="92">+IFERROR(IF(D236&gt;0,+((D236/D42)*100)," "),"")</f>
        <v>54.792578622039343</v>
      </c>
      <c r="E275" s="64">
        <f t="shared" si="92"/>
        <v>62.6643166040203</v>
      </c>
      <c r="F275" s="64">
        <f t="shared" si="92"/>
        <v>51.708706586564055</v>
      </c>
      <c r="G275" s="64">
        <f t="shared" si="92"/>
        <v>63.545140869086516</v>
      </c>
      <c r="H275" s="64">
        <f t="shared" si="92"/>
        <v>61.45403810484158</v>
      </c>
      <c r="I275" s="64">
        <f t="shared" si="92"/>
        <v>64.700432489075965</v>
      </c>
      <c r="J275" s="64">
        <f t="shared" si="92"/>
        <v>61.767697167933669</v>
      </c>
      <c r="K275" s="64">
        <f t="shared" si="92"/>
        <v>69.842591956048466</v>
      </c>
      <c r="L275" s="64">
        <f t="shared" si="92"/>
        <v>74.91951962759434</v>
      </c>
      <c r="M275" s="64">
        <f t="shared" si="92"/>
        <v>73.675180798256307</v>
      </c>
      <c r="N275" s="64">
        <f t="shared" si="92"/>
        <v>70.529812052498173</v>
      </c>
      <c r="O275" s="64">
        <f t="shared" si="92"/>
        <v>65.708598600079043</v>
      </c>
      <c r="P275" s="64">
        <f t="shared" si="92"/>
        <v>67.972050662509957</v>
      </c>
      <c r="Q275" s="64">
        <f t="shared" si="92"/>
        <v>70.910549840491143</v>
      </c>
      <c r="R275" s="64">
        <f t="shared" si="92"/>
        <v>72.788381034215305</v>
      </c>
      <c r="S275" s="64">
        <f t="shared" si="92"/>
        <v>72.812255098373797</v>
      </c>
      <c r="T275" s="64">
        <f t="shared" si="92"/>
        <v>72.805200132772669</v>
      </c>
      <c r="U275" s="64">
        <f t="shared" si="92"/>
        <v>71.649446417324981</v>
      </c>
      <c r="V275" s="64">
        <f t="shared" si="92"/>
        <v>76.910200238465578</v>
      </c>
    </row>
    <row r="276" spans="3:22" x14ac:dyDescent="0.2">
      <c r="C276" s="1" t="s">
        <v>52</v>
      </c>
      <c r="D276" s="11"/>
      <c r="E276" s="11"/>
      <c r="F276" s="11"/>
      <c r="G276" s="11"/>
      <c r="H276" s="11"/>
      <c r="I276" s="11"/>
      <c r="J276" s="11"/>
      <c r="K276" s="11"/>
      <c r="L276" s="11"/>
      <c r="M276" s="11"/>
      <c r="N276" s="11"/>
      <c r="O276" s="11"/>
      <c r="P276" s="11"/>
      <c r="Q276" s="11"/>
      <c r="R276" s="11"/>
      <c r="S276" s="11"/>
      <c r="T276" s="11"/>
      <c r="U276" s="11"/>
      <c r="V276" s="11"/>
    </row>
  </sheetData>
  <mergeCells count="173">
    <mergeCell ref="V205:V206"/>
    <mergeCell ref="L50:L51"/>
    <mergeCell ref="H205:H206"/>
    <mergeCell ref="E244:E245"/>
    <mergeCell ref="D203:V203"/>
    <mergeCell ref="M205:M206"/>
    <mergeCell ref="M167:M168"/>
    <mergeCell ref="U50:U51"/>
    <mergeCell ref="D244:D245"/>
    <mergeCell ref="F244:F245"/>
    <mergeCell ref="R244:R245"/>
    <mergeCell ref="L242:Q242"/>
    <mergeCell ref="I6:I7"/>
    <mergeCell ref="K6:K7"/>
    <mergeCell ref="C244:C245"/>
    <mergeCell ref="P205:P206"/>
    <mergeCell ref="P244:P245"/>
    <mergeCell ref="G11:G12"/>
    <mergeCell ref="R167:R168"/>
    <mergeCell ref="P89:P90"/>
    <mergeCell ref="P6:P7"/>
    <mergeCell ref="Q244:Q245"/>
    <mergeCell ref="D9:V9"/>
    <mergeCell ref="S244:S245"/>
    <mergeCell ref="R6:R7"/>
    <mergeCell ref="H11:H12"/>
    <mergeCell ref="T50:T51"/>
    <mergeCell ref="J11:J12"/>
    <mergeCell ref="S128:S129"/>
    <mergeCell ref="R205:R206"/>
    <mergeCell ref="H128:H129"/>
    <mergeCell ref="E89:E90"/>
    <mergeCell ref="H244:H245"/>
    <mergeCell ref="J244:J245"/>
    <mergeCell ref="N89:N90"/>
    <mergeCell ref="M50:M51"/>
    <mergeCell ref="J50:J51"/>
    <mergeCell ref="F167:F168"/>
    <mergeCell ref="G89:G90"/>
    <mergeCell ref="U244:U245"/>
    <mergeCell ref="M244:M245"/>
    <mergeCell ref="O244:O245"/>
    <mergeCell ref="Q89:Q90"/>
    <mergeCell ref="S89:S90"/>
    <mergeCell ref="U89:U90"/>
    <mergeCell ref="L167:L168"/>
    <mergeCell ref="N205:N206"/>
    <mergeCell ref="G244:G245"/>
    <mergeCell ref="J167:J168"/>
    <mergeCell ref="H50:H51"/>
    <mergeCell ref="T205:T206"/>
    <mergeCell ref="K89:K90"/>
    <mergeCell ref="J205:J206"/>
    <mergeCell ref="S50:S51"/>
    <mergeCell ref="T244:T245"/>
    <mergeCell ref="J128:J129"/>
    <mergeCell ref="A7:C7"/>
    <mergeCell ref="P128:P129"/>
    <mergeCell ref="S11:S12"/>
    <mergeCell ref="R128:R129"/>
    <mergeCell ref="U205:U206"/>
    <mergeCell ref="O11:O12"/>
    <mergeCell ref="Q11:Q12"/>
    <mergeCell ref="E50:E51"/>
    <mergeCell ref="D167:D168"/>
    <mergeCell ref="G50:G51"/>
    <mergeCell ref="I50:I51"/>
    <mergeCell ref="P167:P168"/>
    <mergeCell ref="F11:F12"/>
    <mergeCell ref="C128:C129"/>
    <mergeCell ref="L6:L7"/>
    <mergeCell ref="N6:N7"/>
    <mergeCell ref="I11:I12"/>
    <mergeCell ref="T128:T129"/>
    <mergeCell ref="T11:T12"/>
    <mergeCell ref="C50:C51"/>
    <mergeCell ref="O205:O206"/>
    <mergeCell ref="Q205:Q206"/>
    <mergeCell ref="D164:V164"/>
    <mergeCell ref="K11:K12"/>
    <mergeCell ref="G6:G7"/>
    <mergeCell ref="J89:J90"/>
    <mergeCell ref="L89:L90"/>
    <mergeCell ref="Q6:Q7"/>
    <mergeCell ref="F50:F51"/>
    <mergeCell ref="S6:S7"/>
    <mergeCell ref="V89:V90"/>
    <mergeCell ref="C167:C168"/>
    <mergeCell ref="O167:O168"/>
    <mergeCell ref="R50:R51"/>
    <mergeCell ref="Q167:Q168"/>
    <mergeCell ref="S205:S206"/>
    <mergeCell ref="C11:C12"/>
    <mergeCell ref="T6:T7"/>
    <mergeCell ref="V50:V51"/>
    <mergeCell ref="I128:I129"/>
    <mergeCell ref="S167:S168"/>
    <mergeCell ref="N50:N51"/>
    <mergeCell ref="P50:P51"/>
    <mergeCell ref="N167:N168"/>
    <mergeCell ref="L128:L129"/>
    <mergeCell ref="N128:N129"/>
    <mergeCell ref="T167:T168"/>
    <mergeCell ref="V167:V168"/>
    <mergeCell ref="E167:E168"/>
    <mergeCell ref="U11:U12"/>
    <mergeCell ref="M11:M12"/>
    <mergeCell ref="F89:F90"/>
    <mergeCell ref="M128:M129"/>
    <mergeCell ref="V128:V129"/>
    <mergeCell ref="D86:V86"/>
    <mergeCell ref="N11:N12"/>
    <mergeCell ref="U128:U129"/>
    <mergeCell ref="D48:V48"/>
    <mergeCell ref="R11:R12"/>
    <mergeCell ref="D6:D7"/>
    <mergeCell ref="I89:I90"/>
    <mergeCell ref="F6:F7"/>
    <mergeCell ref="D128:D129"/>
    <mergeCell ref="F128:F129"/>
    <mergeCell ref="E11:E12"/>
    <mergeCell ref="Q50:Q51"/>
    <mergeCell ref="R89:R90"/>
    <mergeCell ref="T89:T90"/>
    <mergeCell ref="D11:D12"/>
    <mergeCell ref="L244:L245"/>
    <mergeCell ref="D241:V241"/>
    <mergeCell ref="M6:M7"/>
    <mergeCell ref="I205:I206"/>
    <mergeCell ref="N244:N245"/>
    <mergeCell ref="E6:E7"/>
    <mergeCell ref="O50:O51"/>
    <mergeCell ref="D89:D90"/>
    <mergeCell ref="V11:V12"/>
    <mergeCell ref="I244:I245"/>
    <mergeCell ref="D205:D206"/>
    <mergeCell ref="G167:G168"/>
    <mergeCell ref="M89:M90"/>
    <mergeCell ref="I167:I168"/>
    <mergeCell ref="O89:O90"/>
    <mergeCell ref="U6:U7"/>
    <mergeCell ref="P11:P12"/>
    <mergeCell ref="E128:E129"/>
    <mergeCell ref="O128:O129"/>
    <mergeCell ref="G128:G129"/>
    <mergeCell ref="G205:G206"/>
    <mergeCell ref="U167:U168"/>
    <mergeCell ref="L11:L12"/>
    <mergeCell ref="K128:K129"/>
    <mergeCell ref="D2:V2"/>
    <mergeCell ref="Q128:Q129"/>
    <mergeCell ref="A5:C6"/>
    <mergeCell ref="K205:K206"/>
    <mergeCell ref="V244:V245"/>
    <mergeCell ref="D126:V126"/>
    <mergeCell ref="L165:Q165"/>
    <mergeCell ref="O6:O7"/>
    <mergeCell ref="D50:D51"/>
    <mergeCell ref="L87:Q87"/>
    <mergeCell ref="K167:K168"/>
    <mergeCell ref="D4:V4"/>
    <mergeCell ref="C89:C90"/>
    <mergeCell ref="H89:H90"/>
    <mergeCell ref="F205:F206"/>
    <mergeCell ref="H6:H7"/>
    <mergeCell ref="J6:J7"/>
    <mergeCell ref="K244:K245"/>
    <mergeCell ref="C205:C206"/>
    <mergeCell ref="V6:V7"/>
    <mergeCell ref="H167:H168"/>
    <mergeCell ref="E205:E206"/>
    <mergeCell ref="K50:K51"/>
    <mergeCell ref="L205:L206"/>
  </mergeCells>
  <pageMargins left="0.7" right="0.7" top="0.75" bottom="0.75" header="0.3" footer="0.3"/>
  <pageSetup orientation="portrait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Hoja23"/>
  <dimension ref="A1:K300"/>
  <sheetViews>
    <sheetView showGridLines="0" zoomScaleNormal="100" workbookViewId="0">
      <pane xSplit="3" ySplit="9" topLeftCell="D10" activePane="bottomRight" state="frozen"/>
      <selection activeCell="C204" sqref="C204:V204"/>
      <selection pane="topRight" activeCell="C204" sqref="C204:V204"/>
      <selection pane="bottomLeft" activeCell="C204" sqref="C204:V204"/>
      <selection pane="bottomRight" activeCell="N15" sqref="N15"/>
    </sheetView>
  </sheetViews>
  <sheetFormatPr baseColWidth="10" defaultColWidth="11.42578125" defaultRowHeight="11.25" x14ac:dyDescent="0.2"/>
  <cols>
    <col min="1" max="2" width="2.7109375" style="3" customWidth="1"/>
    <col min="3" max="3" width="45.7109375" style="3" customWidth="1"/>
    <col min="4" max="4" width="10.7109375" style="3" customWidth="1"/>
    <col min="5" max="33" width="10.7109375" style="9" customWidth="1"/>
    <col min="34" max="34" width="11.42578125" style="9" customWidth="1"/>
    <col min="35" max="16384" width="11.42578125" style="9"/>
  </cols>
  <sheetData>
    <row r="1" spans="1:11" ht="16.5" customHeight="1" x14ac:dyDescent="0.2">
      <c r="I1" s="9" t="s">
        <v>209</v>
      </c>
    </row>
    <row r="2" spans="1:11" ht="16.5" customHeight="1" x14ac:dyDescent="0.2">
      <c r="D2" s="179"/>
      <c r="E2" s="178"/>
      <c r="F2" s="178"/>
      <c r="G2" s="178"/>
      <c r="H2" s="178"/>
      <c r="I2" s="178"/>
      <c r="J2" s="178"/>
      <c r="K2" s="178"/>
    </row>
    <row r="3" spans="1:11" ht="16.5" customHeight="1" x14ac:dyDescent="0.2">
      <c r="D3" s="158"/>
      <c r="E3" s="178"/>
      <c r="F3" s="178"/>
      <c r="G3" s="178"/>
      <c r="H3" s="178"/>
      <c r="I3" s="178"/>
      <c r="J3" s="178"/>
      <c r="K3" s="178"/>
    </row>
    <row r="4" spans="1:11" ht="16.5" customHeight="1" x14ac:dyDescent="0.2">
      <c r="D4" s="158"/>
      <c r="E4" s="178"/>
      <c r="F4" s="178"/>
      <c r="G4" s="178"/>
      <c r="H4" s="178"/>
      <c r="I4" s="178"/>
      <c r="J4" s="178"/>
      <c r="K4" s="178"/>
    </row>
    <row r="5" spans="1:11" ht="16.5" customHeight="1" x14ac:dyDescent="0.2">
      <c r="D5" s="139"/>
      <c r="E5" s="139"/>
      <c r="F5" s="139"/>
      <c r="G5" s="139"/>
      <c r="H5" s="139"/>
      <c r="I5" s="139"/>
      <c r="J5" s="139"/>
      <c r="K5" s="139"/>
    </row>
    <row r="6" spans="1:11" ht="16.5" customHeight="1" x14ac:dyDescent="0.2">
      <c r="D6" s="161"/>
      <c r="E6" s="178"/>
      <c r="F6" s="178"/>
      <c r="G6" s="178"/>
      <c r="H6" s="178"/>
      <c r="I6" s="178"/>
      <c r="J6" s="178"/>
      <c r="K6" s="178"/>
    </row>
    <row r="7" spans="1:11" ht="20.25" customHeight="1" x14ac:dyDescent="0.2">
      <c r="A7" s="165" t="s">
        <v>21</v>
      </c>
      <c r="B7" s="158"/>
      <c r="C7" s="158"/>
      <c r="D7" s="147"/>
      <c r="E7" s="147"/>
      <c r="F7" s="147"/>
      <c r="G7" s="147"/>
      <c r="H7" s="147"/>
      <c r="I7" s="147"/>
      <c r="J7" s="147"/>
      <c r="K7" s="147"/>
    </row>
    <row r="8" spans="1:11" s="102" customFormat="1" ht="20.25" customHeight="1" x14ac:dyDescent="0.25">
      <c r="A8" s="176"/>
      <c r="B8" s="176"/>
      <c r="C8" s="176"/>
      <c r="D8" s="151">
        <v>2019</v>
      </c>
      <c r="E8" s="151">
        <v>2020</v>
      </c>
      <c r="F8" s="151">
        <v>2021</v>
      </c>
      <c r="G8" s="151">
        <v>2022</v>
      </c>
      <c r="H8" s="151">
        <v>2023</v>
      </c>
      <c r="I8" s="151">
        <v>2024</v>
      </c>
      <c r="J8" s="151">
        <v>2025</v>
      </c>
      <c r="K8" s="151" t="s">
        <v>36</v>
      </c>
    </row>
    <row r="9" spans="1:11" s="102" customFormat="1" ht="16.5" customHeight="1" x14ac:dyDescent="0.25">
      <c r="A9" s="162" t="s">
        <v>227</v>
      </c>
      <c r="B9" s="176"/>
      <c r="C9" s="176"/>
      <c r="D9" s="176"/>
      <c r="E9" s="176"/>
      <c r="F9" s="176"/>
      <c r="G9" s="176"/>
      <c r="H9" s="176"/>
      <c r="I9" s="176"/>
      <c r="J9" s="176"/>
      <c r="K9" s="176"/>
    </row>
    <row r="10" spans="1:11" s="102" customFormat="1" ht="16.5" customHeight="1" x14ac:dyDescent="0.25">
      <c r="A10" s="99"/>
      <c r="B10" s="98"/>
      <c r="C10" s="98"/>
      <c r="D10" s="132"/>
      <c r="E10" s="132"/>
      <c r="F10" s="132"/>
      <c r="G10" s="132"/>
      <c r="H10" s="132"/>
      <c r="I10" s="132"/>
      <c r="J10" s="132"/>
      <c r="K10" s="132"/>
    </row>
    <row r="11" spans="1:11" ht="16.5" customHeight="1" x14ac:dyDescent="0.2">
      <c r="C11" s="9"/>
      <c r="D11" s="131" t="s">
        <v>201</v>
      </c>
      <c r="E11" s="131"/>
      <c r="F11" s="131"/>
      <c r="G11" s="131"/>
      <c r="H11" s="131"/>
      <c r="I11" s="131"/>
      <c r="J11" s="131"/>
      <c r="K11" s="131"/>
    </row>
    <row r="12" spans="1:11" ht="15.75" customHeight="1" x14ac:dyDescent="0.2">
      <c r="C12" s="150"/>
      <c r="D12" s="150"/>
      <c r="E12" s="150"/>
      <c r="F12" s="150"/>
      <c r="G12" s="150"/>
      <c r="H12" s="150"/>
      <c r="I12" s="150"/>
      <c r="J12" s="150"/>
    </row>
    <row r="13" spans="1:11" ht="9.9499999999999993" customHeight="1" x14ac:dyDescent="0.2">
      <c r="C13" s="177" t="s">
        <v>120</v>
      </c>
      <c r="D13" s="153">
        <v>2019</v>
      </c>
      <c r="E13" s="153">
        <v>2020</v>
      </c>
      <c r="F13" s="153">
        <v>2021</v>
      </c>
      <c r="G13" s="153">
        <v>2022</v>
      </c>
      <c r="H13" s="153">
        <v>2023</v>
      </c>
      <c r="I13" s="153">
        <v>2024</v>
      </c>
      <c r="J13" s="153">
        <v>2025</v>
      </c>
      <c r="K13" s="153" t="s">
        <v>36</v>
      </c>
    </row>
    <row r="14" spans="1:11" ht="9.9499999999999993" customHeight="1" thickBot="1" x14ac:dyDescent="0.25">
      <c r="C14" s="156"/>
      <c r="D14" s="154"/>
      <c r="E14" s="154"/>
      <c r="F14" s="154"/>
      <c r="G14" s="154"/>
      <c r="H14" s="154"/>
      <c r="I14" s="154"/>
      <c r="J14" s="154"/>
      <c r="K14" s="154"/>
    </row>
    <row r="15" spans="1:11" x14ac:dyDescent="0.2">
      <c r="C15" s="87" t="s">
        <v>123</v>
      </c>
      <c r="D15" s="42">
        <f>1526.065815823*Deflactores!$T$5</f>
        <v>2309.0940190661217</v>
      </c>
      <c r="E15" s="42">
        <f>1122.52520318*Deflactores!$U$5</f>
        <v>1671.5832147131505</v>
      </c>
      <c r="F15" s="42">
        <f>1758.95142586*Deflactores!$V$5</f>
        <v>2479.930923689798</v>
      </c>
      <c r="G15" s="42">
        <f>1824.182456578*Deflactores!$W$5</f>
        <v>2273.6029075825222</v>
      </c>
      <c r="H15" s="42">
        <f>4444.599534221*Deflactores!$X$5</f>
        <v>5069.1867534148287</v>
      </c>
      <c r="I15" s="42">
        <f>6821.061599551*Deflactores!$Y$5</f>
        <v>7395.0631441357273</v>
      </c>
      <c r="J15" s="42">
        <f>4192.64562226*Deflactores!$Z$5</f>
        <v>4324.8928763194681</v>
      </c>
      <c r="K15" s="42">
        <f>3213.56123749*Deflactores!$AA$5</f>
        <v>3213.5612374900002</v>
      </c>
    </row>
    <row r="16" spans="1:11" x14ac:dyDescent="0.2">
      <c r="C16" s="88" t="s">
        <v>124</v>
      </c>
      <c r="D16" s="50">
        <f>303.171016547*Deflactores!$T$5</f>
        <v>458.72882663670714</v>
      </c>
      <c r="E16" s="50">
        <f>376.695226315*Deflactores!$U$5</f>
        <v>560.94724250904403</v>
      </c>
      <c r="F16" s="50">
        <f>757.618897627*Deflactores!$V$5</f>
        <v>1068.1605557574478</v>
      </c>
      <c r="G16" s="50">
        <f>916.462803849*Deflactores!$W$5</f>
        <v>1142.2500463199808</v>
      </c>
      <c r="H16" s="50">
        <f>1492.79342263*Deflactores!$X$5</f>
        <v>1702.5715332319771</v>
      </c>
      <c r="I16" s="50">
        <f>1439.164580272*Deflactores!$Y$5</f>
        <v>1560.2722231119556</v>
      </c>
      <c r="J16" s="50">
        <f>976.371329937*Deflactores!$Z$5</f>
        <v>1007.1686924999149</v>
      </c>
      <c r="K16" s="50">
        <f>1114.293796946*Deflactores!$AA$5</f>
        <v>1114.2937969459999</v>
      </c>
    </row>
    <row r="17" spans="3:11" x14ac:dyDescent="0.2">
      <c r="C17" s="87" t="s">
        <v>125</v>
      </c>
      <c r="D17" s="42">
        <f>327.50009532*Deflactores!$T$5</f>
        <v>495.54121683747064</v>
      </c>
      <c r="E17" s="42">
        <f>245.873068343*Deflactores!$U$5</f>
        <v>366.13636186329217</v>
      </c>
      <c r="F17" s="42">
        <f>386.465162527*Deflactores!$V$5</f>
        <v>544.87400469908914</v>
      </c>
      <c r="G17" s="42">
        <f>302.901433272*Deflactores!$W$5</f>
        <v>377.52669800916129</v>
      </c>
      <c r="H17" s="42">
        <f>457.611289945*Deflactores!$X$5</f>
        <v>521.91813263303163</v>
      </c>
      <c r="I17" s="42">
        <f>347.851577998*Deflactores!$Y$5</f>
        <v>377.12375801617048</v>
      </c>
      <c r="J17" s="42">
        <f>254.424632408*Deflactores!$Z$5</f>
        <v>262.44986564555433</v>
      </c>
      <c r="K17" s="42">
        <f>348.567095647*Deflactores!$AA$5</f>
        <v>348.56709564699997</v>
      </c>
    </row>
    <row r="18" spans="3:11" x14ac:dyDescent="0.2">
      <c r="C18" s="88" t="s">
        <v>126</v>
      </c>
      <c r="D18" s="50">
        <f>345.888371439*Deflactores!$T$5</f>
        <v>523.36456362046681</v>
      </c>
      <c r="E18" s="50">
        <f>389.397636729*Deflactores!$U$5</f>
        <v>579.86275191078278</v>
      </c>
      <c r="F18" s="50">
        <f>497.717907316*Deflactores!$V$5</f>
        <v>701.72832033928103</v>
      </c>
      <c r="G18" s="50">
        <f>495.177747969*Deflactores!$W$5</f>
        <v>617.17377200548913</v>
      </c>
      <c r="H18" s="50">
        <f>649.614091341*Deflactores!$X$5</f>
        <v>740.90255405531616</v>
      </c>
      <c r="I18" s="50">
        <f>343.700148969*Deflactores!$Y$5</f>
        <v>372.62298062839938</v>
      </c>
      <c r="J18" s="50">
        <f>398.919303499*Deflactores!$Z$5</f>
        <v>411.50228504148026</v>
      </c>
      <c r="K18" s="50">
        <f>333.668558019*Deflactores!$AA$5</f>
        <v>333.66855801899999</v>
      </c>
    </row>
    <row r="19" spans="3:11" x14ac:dyDescent="0.2">
      <c r="C19" s="87" t="s">
        <v>127</v>
      </c>
      <c r="D19" s="42">
        <f>90*Deflactores!$T$5</f>
        <v>136.17922606036191</v>
      </c>
      <c r="E19" s="42">
        <f>83.141129558*Deflactores!$U$5</f>
        <v>123.80774723608479</v>
      </c>
      <c r="F19" s="42">
        <f>115.71346817*Deflactores!$V$5</f>
        <v>163.14345227690117</v>
      </c>
      <c r="G19" s="42">
        <f>209.033450966*Deflactores!$W$5</f>
        <v>260.53263487132142</v>
      </c>
      <c r="H19" s="42">
        <f>276.516725483*Deflactores!$X$5</f>
        <v>315.37485236265394</v>
      </c>
      <c r="I19" s="42">
        <f>263*Deflactores!$Y$5</f>
        <v>285.13180514829548</v>
      </c>
      <c r="J19" s="42">
        <f>200*Deflactores!$Z$5</f>
        <v>206.30853479995199</v>
      </c>
      <c r="K19" s="42">
        <f>200*Deflactores!$AA$5</f>
        <v>200</v>
      </c>
    </row>
    <row r="20" spans="3:11" x14ac:dyDescent="0.2">
      <c r="C20" s="88" t="s">
        <v>128</v>
      </c>
      <c r="D20" s="50">
        <f>146.544090632*Deflactores!$T$5</f>
        <v>221.73623162205882</v>
      </c>
      <c r="E20" s="50">
        <f>141.962145894*Deflactores!$U$5</f>
        <v>211.39974365726363</v>
      </c>
      <c r="F20" s="50">
        <f>372.200515857*Deflactores!$V$5</f>
        <v>524.76239850442357</v>
      </c>
      <c r="G20" s="50">
        <f>376.854681237*Deflactores!$W$5</f>
        <v>469.69967061509846</v>
      </c>
      <c r="H20" s="50">
        <f>504.644431861*Deflactores!$X$5</f>
        <v>575.56071125825179</v>
      </c>
      <c r="I20" s="50">
        <f>985.487482283*Deflactores!$Y$5</f>
        <v>1068.4175846935384</v>
      </c>
      <c r="J20" s="50">
        <f>734.221144324*Deflactores!$Z$5</f>
        <v>757.38044252314262</v>
      </c>
      <c r="K20" s="50">
        <f>739.343206058*Deflactores!$AA$5</f>
        <v>739.34320605799996</v>
      </c>
    </row>
    <row r="21" spans="3:11" x14ac:dyDescent="0.2">
      <c r="C21" s="87" t="s">
        <v>129</v>
      </c>
      <c r="D21" s="42">
        <f>1133.197335263*Deflactores!$T$5</f>
        <v>1714.6437343308869</v>
      </c>
      <c r="E21" s="42">
        <f>1391.167489452*Deflactores!$U$5</f>
        <v>2071.6258464708199</v>
      </c>
      <c r="F21" s="42">
        <f>2105.628247*Deflactores!$V$5</f>
        <v>2968.7076781992159</v>
      </c>
      <c r="G21" s="42">
        <f>2083.008283576*Deflactores!$W$5</f>
        <v>2596.1951738868556</v>
      </c>
      <c r="H21" s="42">
        <f>1981.492645*Deflactores!$X$5</f>
        <v>2259.9462990276829</v>
      </c>
      <c r="I21" s="42">
        <f>3103.143349434*Deflactores!$Y$5</f>
        <v>3364.2770526921831</v>
      </c>
      <c r="J21" s="42">
        <f>2310.99536515633*Deflactores!$Z$5</f>
        <v>2383.8903385744125</v>
      </c>
      <c r="K21" s="42">
        <f>3675.842580895*Deflactores!$AA$5</f>
        <v>3675.8425808950001</v>
      </c>
    </row>
    <row r="22" spans="3:11" x14ac:dyDescent="0.2">
      <c r="C22" s="88" t="s">
        <v>130</v>
      </c>
      <c r="D22" s="50">
        <f>462*Deflactores!$T$5</f>
        <v>699.0533604431912</v>
      </c>
      <c r="E22" s="50">
        <f>422.38737623*Deflactores!$U$5</f>
        <v>628.98868213614469</v>
      </c>
      <c r="F22" s="50">
        <f>727.839792982*Deflactores!$V$5</f>
        <v>1026.175244848238</v>
      </c>
      <c r="G22" s="50">
        <f>845.29875289*Deflactores!$W$5</f>
        <v>1053.5534400170932</v>
      </c>
      <c r="H22" s="50">
        <f>891.709127023*Deflactores!$X$5</f>
        <v>1017.0185322211148</v>
      </c>
      <c r="I22" s="50">
        <f>994.03887389*Deflactores!$Y$5</f>
        <v>1077.6885874518423</v>
      </c>
      <c r="J22" s="50">
        <f>400*Deflactores!$Z$5</f>
        <v>412.61706959990397</v>
      </c>
      <c r="K22" s="50">
        <f>441.892487504*Deflactores!$AA$5</f>
        <v>441.89248750399997</v>
      </c>
    </row>
    <row r="23" spans="3:11" x14ac:dyDescent="0.2">
      <c r="C23" s="87" t="s">
        <v>131</v>
      </c>
      <c r="D23" s="42">
        <f>4062.336154618*Deflactores!$T$5</f>
        <v>6146.7310392545105</v>
      </c>
      <c r="E23" s="42">
        <f>3994.790481497*Deflactores!$U$5</f>
        <v>5948.7525948185539</v>
      </c>
      <c r="F23" s="42">
        <f>4861.243434535*Deflactores!$V$5</f>
        <v>6853.8265148470828</v>
      </c>
      <c r="G23" s="42">
        <f>5535.033284332*Deflactores!$W$5</f>
        <v>6898.6891763176955</v>
      </c>
      <c r="H23" s="42">
        <f>7403.613739137*Deflactores!$X$5</f>
        <v>8444.0230002434182</v>
      </c>
      <c r="I23" s="42">
        <f>8081.078749273*Deflactores!$Y$5</f>
        <v>8761.1124385009134</v>
      </c>
      <c r="J23" s="42">
        <f>6776.941757549*Deflactores!$Z$5</f>
        <v>6990.7046221227283</v>
      </c>
      <c r="K23" s="42">
        <f>6820.300451684*Deflactores!$AA$5</f>
        <v>6820.3004516840001</v>
      </c>
    </row>
    <row r="24" spans="3:11" x14ac:dyDescent="0.2">
      <c r="C24" s="88" t="s">
        <v>132</v>
      </c>
      <c r="D24" s="50">
        <f>324.638392831*Deflactores!$T$5</f>
        <v>491.21116761339249</v>
      </c>
      <c r="E24" s="50">
        <f>260.751040873*Deflactores!$U$5</f>
        <v>388.2915607663171</v>
      </c>
      <c r="F24" s="50">
        <f>334.639445337*Deflactores!$V$5</f>
        <v>471.80535890687003</v>
      </c>
      <c r="G24" s="50">
        <f>336.406633966*Deflactores!$W$5</f>
        <v>419.28651290175509</v>
      </c>
      <c r="H24" s="50">
        <f>392.980287025*Deflactores!$X$5</f>
        <v>448.20471450853415</v>
      </c>
      <c r="I24" s="50">
        <f>375.160266458*Deflactores!$Y$5</f>
        <v>406.73050948701547</v>
      </c>
      <c r="J24" s="50">
        <f>397.548510344*Deflactores!$Z$5</f>
        <v>410.08825340487101</v>
      </c>
      <c r="K24" s="50">
        <f>411.422826*Deflactores!$AA$5</f>
        <v>411.42282599999999</v>
      </c>
    </row>
    <row r="25" spans="3:11" x14ac:dyDescent="0.2">
      <c r="C25" s="87" t="s">
        <v>133</v>
      </c>
      <c r="D25" s="42">
        <f>171.520550998*Deflactores!$T$5</f>
        <v>259.52817653727197</v>
      </c>
      <c r="E25" s="42">
        <f>173.978456129*Deflactores!$U$5</f>
        <v>259.07611353676742</v>
      </c>
      <c r="F25" s="42">
        <f>203.538882838*Deflactores!$V$5</f>
        <v>286.96777085611598</v>
      </c>
      <c r="G25" s="42">
        <f>200.554889748*Deflactores!$W$5</f>
        <v>249.96522623966351</v>
      </c>
      <c r="H25" s="42">
        <f>243.720783494*Deflactores!$X$5</f>
        <v>277.9701877992045</v>
      </c>
      <c r="I25" s="42">
        <f>257.729928226*Deflactores!$Y$5</f>
        <v>279.41824971794682</v>
      </c>
      <c r="J25" s="42">
        <f>338.391767658*Deflactores!$Z$5</f>
        <v>349.06554886943883</v>
      </c>
      <c r="K25" s="42">
        <f>407.050542142*Deflactores!$AA$5</f>
        <v>407.05054214199998</v>
      </c>
    </row>
    <row r="26" spans="3:11" x14ac:dyDescent="0.2">
      <c r="C26" s="88" t="s">
        <v>134</v>
      </c>
      <c r="D26" s="50">
        <f>1827.131144378*Deflactores!$T$5</f>
        <v>2764.636723913105</v>
      </c>
      <c r="E26" s="50">
        <f>1929.249471722*Deflactores!$U$5</f>
        <v>2872.8985547842403</v>
      </c>
      <c r="F26" s="50">
        <f>2274.184409842*Deflactores!$V$5</f>
        <v>3206.3536043259101</v>
      </c>
      <c r="G26" s="50">
        <f>2613.560737045*Deflactores!$W$5</f>
        <v>3257.4588520251732</v>
      </c>
      <c r="H26" s="50">
        <f>4830.927664568*Deflactores!$X$5</f>
        <v>5509.8045021564531</v>
      </c>
      <c r="I26" s="50">
        <f>3315.450549608*Deflactores!$Y$5</f>
        <v>3594.4501904548947</v>
      </c>
      <c r="J26" s="50">
        <f>2785.404005115*Deflactores!$Z$5</f>
        <v>2873.2630956059684</v>
      </c>
      <c r="K26" s="50">
        <f>4908.255934639*Deflactores!$AA$5</f>
        <v>4908.2559346389999</v>
      </c>
    </row>
    <row r="27" spans="3:11" x14ac:dyDescent="0.2">
      <c r="C27" s="87" t="s">
        <v>135</v>
      </c>
      <c r="D27" s="42">
        <f>0*Deflactores!$T$5</f>
        <v>0</v>
      </c>
      <c r="E27" s="42">
        <f>0*Deflactores!$U$5</f>
        <v>0</v>
      </c>
      <c r="F27" s="42">
        <f>0*Deflactores!$V$5</f>
        <v>0</v>
      </c>
      <c r="G27" s="42">
        <f>0*Deflactores!$W$5</f>
        <v>0</v>
      </c>
      <c r="H27" s="42">
        <f>0*Deflactores!$X$5</f>
        <v>0</v>
      </c>
      <c r="I27" s="42">
        <f>9967.559102631*Deflactores!$Y$5</f>
        <v>10806.342661047533</v>
      </c>
      <c r="J27" s="42">
        <f>9990.712699932*Deflactores!$Z$5</f>
        <v>10305.846493651217</v>
      </c>
      <c r="K27" s="42">
        <f>9418.0072248*Deflactores!$AA$5</f>
        <v>9418.0072247999997</v>
      </c>
    </row>
    <row r="28" spans="3:11" x14ac:dyDescent="0.2">
      <c r="C28" s="88" t="s">
        <v>136</v>
      </c>
      <c r="D28" s="50">
        <f>10008.629901714*Deflactores!$T$5</f>
        <v>15144.083043777875</v>
      </c>
      <c r="E28" s="50">
        <f>10580.678139794*Deflactores!$U$5</f>
        <v>15755.979401315886</v>
      </c>
      <c r="F28" s="50">
        <f>14434.612841607*Deflactores!$V$5</f>
        <v>20351.240080372889</v>
      </c>
      <c r="G28" s="50">
        <f>21727.546051394*Deflactores!$W$5</f>
        <v>27080.521303637626</v>
      </c>
      <c r="H28" s="50">
        <f>19820.368650912*Deflactores!$X$5</f>
        <v>22605.6699685569</v>
      </c>
      <c r="I28" s="50">
        <f>11152.307544973*Deflactores!$Y$5</f>
        <v>12090.789284665805</v>
      </c>
      <c r="J28" s="50">
        <f>8876.386753354*Deflactores!$Z$5</f>
        <v>9156.3717270108318</v>
      </c>
      <c r="K28" s="50">
        <f>10751.247531812*Deflactores!$AA$5</f>
        <v>10751.247531812</v>
      </c>
    </row>
    <row r="29" spans="3:11" x14ac:dyDescent="0.2">
      <c r="C29" s="87" t="s">
        <v>137</v>
      </c>
      <c r="D29" s="42">
        <f>226.187526608*Deflactores!$T$5</f>
        <v>342.24491464427734</v>
      </c>
      <c r="E29" s="42">
        <f>212.053368929*Deflactores!$U$5</f>
        <v>315.77451545936651</v>
      </c>
      <c r="F29" s="42">
        <f>420.864117062*Deflactores!$V$5</f>
        <v>593.37280338094411</v>
      </c>
      <c r="G29" s="42">
        <f>483.829414493*Deflactores!$W$5</f>
        <v>603.02957064327938</v>
      </c>
      <c r="H29" s="42">
        <f>801.531642159*Deflactores!$X$5</f>
        <v>914.1686560490931</v>
      </c>
      <c r="I29" s="42">
        <f>1045.218780894*Deflactores!$Y$5</f>
        <v>1133.1753527422318</v>
      </c>
      <c r="J29" s="42">
        <f>754.850408857*Deflactores!$Z$5</f>
        <v>778.66040922216189</v>
      </c>
      <c r="K29" s="42">
        <f>522.403554053*Deflactores!$AA$5</f>
        <v>522.40355405299999</v>
      </c>
    </row>
    <row r="30" spans="3:11" x14ac:dyDescent="0.2">
      <c r="C30" s="88" t="s">
        <v>138</v>
      </c>
      <c r="D30" s="50">
        <f>7.240789965*Deflactores!$T$5</f>
        <v>10.956057483325946</v>
      </c>
      <c r="E30" s="50">
        <f>7.094353307*Deflactores!$U$5</f>
        <v>10.564397016326357</v>
      </c>
      <c r="F30" s="50">
        <f>7.846050941*Deflactores!$V$5</f>
        <v>11.062081687627019</v>
      </c>
      <c r="G30" s="50">
        <f>8*Deflactores!$W$5</f>
        <v>9.9709451733138312</v>
      </c>
      <c r="H30" s="50">
        <f>29*Deflactores!$X$5</f>
        <v>33.075289397202276</v>
      </c>
      <c r="I30" s="50">
        <f>40.538191002*Deflactores!$Y$5</f>
        <v>43.94953451652718</v>
      </c>
      <c r="J30" s="50">
        <f>35.198878846*Deflactores!$Z$5</f>
        <v>36.309145606596424</v>
      </c>
      <c r="K30" s="50">
        <f>23.154858491*Deflactores!$AA$5</f>
        <v>23.154858490999999</v>
      </c>
    </row>
    <row r="31" spans="3:11" x14ac:dyDescent="0.2">
      <c r="C31" s="87" t="s">
        <v>160</v>
      </c>
      <c r="D31" s="42">
        <f>99.126838442*Deflactores!$T$5</f>
        <v>149.98906823157878</v>
      </c>
      <c r="E31" s="42">
        <f>215.442899543*Deflactores!$U$5</f>
        <v>320.82195890568556</v>
      </c>
      <c r="F31" s="42">
        <f>356.557706831*Deflactores!$V$5</f>
        <v>502.7077327151257</v>
      </c>
      <c r="G31" s="42">
        <f>667.239572578*Deflactores!$W$5</f>
        <v>831.62614945507403</v>
      </c>
      <c r="H31" s="42">
        <f>496.367897221*Deflactores!$X$5</f>
        <v>566.12109820914941</v>
      </c>
      <c r="I31" s="42">
        <f>561.259970633*Deflactores!$Y$5</f>
        <v>608.49075507249654</v>
      </c>
      <c r="J31" s="42">
        <f>467.11101387*Deflactores!$Z$5</f>
        <v>481.84494430219877</v>
      </c>
      <c r="K31" s="42">
        <f>423.042954339*Deflactores!$AA$5</f>
        <v>423.042954339</v>
      </c>
    </row>
    <row r="32" spans="3:11" x14ac:dyDescent="0.2">
      <c r="C32" s="88" t="s">
        <v>161</v>
      </c>
      <c r="D32" s="50">
        <f>381.989697171*Deflactores!$T$5</f>
        <v>577.98957026420885</v>
      </c>
      <c r="E32" s="50">
        <f>441.527088085*Deflactores!$U$5</f>
        <v>657.49015451345053</v>
      </c>
      <c r="F32" s="50">
        <f>516.325614849*Deflactores!$V$5</f>
        <v>727.9631717693029</v>
      </c>
      <c r="G32" s="50">
        <f>713.0015559*Deflactores!$W$5</f>
        <v>888.66242779579454</v>
      </c>
      <c r="H32" s="50">
        <f>542.101724312*Deflactores!$X$5</f>
        <v>618.28177290833673</v>
      </c>
      <c r="I32" s="50">
        <f>730.950388311*Deflactores!$Y$5</f>
        <v>792.46085054358537</v>
      </c>
      <c r="J32" s="50">
        <f>788.494325058*Deflactores!$Z$5</f>
        <v>813.36554450396522</v>
      </c>
      <c r="K32" s="50">
        <f>705.303629209*Deflactores!$AA$5</f>
        <v>705.30362920899995</v>
      </c>
    </row>
    <row r="33" spans="1:11" x14ac:dyDescent="0.2">
      <c r="C33" s="87" t="s">
        <v>140</v>
      </c>
      <c r="D33" s="42">
        <f>3324.853707915*Deflactores!$T$5</f>
        <v>5030.844496753215</v>
      </c>
      <c r="E33" s="42">
        <f>3159.053762721*Deflactores!$U$5</f>
        <v>4704.2340155761121</v>
      </c>
      <c r="F33" s="42">
        <f>4897.453745578*Deflactores!$V$5</f>
        <v>6904.8791299402228</v>
      </c>
      <c r="G33" s="42">
        <f>4787.154763782*Deflactores!$W$5</f>
        <v>5966.5572107298067</v>
      </c>
      <c r="H33" s="42">
        <f>7287.278419043*Deflactores!$X$5</f>
        <v>8311.3394009597905</v>
      </c>
      <c r="I33" s="42">
        <f>7525.703325265*Deflactores!$Y$5</f>
        <v>8159.0014225982477</v>
      </c>
      <c r="J33" s="42">
        <f>7076.258883019*Deflactores!$Z$5</f>
        <v>7299.4630101039738</v>
      </c>
      <c r="K33" s="42">
        <f>10141.820157641*Deflactores!$AA$5</f>
        <v>10141.820157640999</v>
      </c>
    </row>
    <row r="34" spans="1:11" x14ac:dyDescent="0.2">
      <c r="C34" s="88" t="s">
        <v>141</v>
      </c>
      <c r="D34" s="50">
        <f>160.351239781*Deflactores!$T$5</f>
        <v>242.62786367995665</v>
      </c>
      <c r="E34" s="50">
        <f>223.229508317*Deflactores!$U$5</f>
        <v>332.41721261516454</v>
      </c>
      <c r="F34" s="50">
        <f>353.941613602*Deflactores!$V$5</f>
        <v>499.01932472246011</v>
      </c>
      <c r="G34" s="50">
        <f>444.371286924*Deflactores!$W$5</f>
        <v>553.85021731426423</v>
      </c>
      <c r="H34" s="50">
        <f>581.61888279*Deflactores!$X$5</f>
        <v>663.3521678329904</v>
      </c>
      <c r="I34" s="50">
        <f>515.167917902*Deflactores!$Y$5</f>
        <v>558.51999386268494</v>
      </c>
      <c r="J34" s="50">
        <f>383.713217875*Deflactores!$Z$5</f>
        <v>395.81655881582998</v>
      </c>
      <c r="K34" s="50">
        <f>890.028419756*Deflactores!$AA$5</f>
        <v>890.02841975599995</v>
      </c>
    </row>
    <row r="35" spans="1:11" x14ac:dyDescent="0.2">
      <c r="C35" s="87" t="s">
        <v>142</v>
      </c>
      <c r="D35" s="42">
        <f>301.854957798*Deflactores!$T$5</f>
        <v>456.73749483794273</v>
      </c>
      <c r="E35" s="42">
        <f>214.440182288*Deflactores!$U$5</f>
        <v>319.32878500828616</v>
      </c>
      <c r="F35" s="42">
        <f>585.154910213*Deflactores!$V$5</f>
        <v>825.00502040676975</v>
      </c>
      <c r="G35" s="42">
        <f>1137.305206519*Deflactores!$W$5</f>
        <v>1417.5009824406641</v>
      </c>
      <c r="H35" s="42">
        <f>1407.764857741*Deflactores!$X$5</f>
        <v>1605.5941404480991</v>
      </c>
      <c r="I35" s="42">
        <f>982.459258332*Deflactores!$Y$5</f>
        <v>1065.1345316078277</v>
      </c>
      <c r="J35" s="42">
        <f>645.35435273*Deflactores!$Z$5</f>
        <v>665.71055469248847</v>
      </c>
      <c r="K35" s="42">
        <f>1027.143072587*Deflactores!$AA$5</f>
        <v>1027.143072587</v>
      </c>
    </row>
    <row r="36" spans="1:11" x14ac:dyDescent="0.2">
      <c r="C36" s="88" t="s">
        <v>143</v>
      </c>
      <c r="D36" s="50">
        <f>327.502494459*Deflactores!$T$5</f>
        <v>495.54484698071764</v>
      </c>
      <c r="E36" s="50">
        <f>728.879049582*Deflactores!$U$5</f>
        <v>1085.3938792517022</v>
      </c>
      <c r="F36" s="50">
        <f>2492.79450537*Deflactores!$V$5</f>
        <v>3514.570152071452</v>
      </c>
      <c r="G36" s="50">
        <f>1365.786064798*Deflactores!$W$5</f>
        <v>1702.2722463221139</v>
      </c>
      <c r="H36" s="50">
        <f>2318.361949101*Deflactores!$X$5</f>
        <v>2644.1549101371556</v>
      </c>
      <c r="I36" s="50">
        <f>824.125423425*Deflactores!$Y$5</f>
        <v>893.4766906835498</v>
      </c>
      <c r="J36" s="50">
        <f>492.396294637*Deflactores!$Z$5</f>
        <v>507.92779043742462</v>
      </c>
      <c r="K36" s="50">
        <f>324.872965284*Deflactores!$AA$5</f>
        <v>324.87296528399997</v>
      </c>
    </row>
    <row r="37" spans="1:11" x14ac:dyDescent="0.2">
      <c r="C37" s="87" t="s">
        <v>144</v>
      </c>
      <c r="D37" s="42">
        <f>342.568474523*Deflactores!$T$5</f>
        <v>518.3412192580106</v>
      </c>
      <c r="E37" s="42">
        <f>276.349705141*Deflactores!$U$5</f>
        <v>411.51996159729021</v>
      </c>
      <c r="F37" s="42">
        <f>480.260662865*Deflactores!$V$5</f>
        <v>677.11549719933555</v>
      </c>
      <c r="G37" s="42">
        <f>580.82202774*Deflactores!$W$5</f>
        <v>723.91807425606305</v>
      </c>
      <c r="H37" s="42">
        <f>726.90985*Deflactores!$X$5</f>
        <v>829.06047084230681</v>
      </c>
      <c r="I37" s="42">
        <f>1137.039817889*Deflactores!$Y$5</f>
        <v>1232.7232539930787</v>
      </c>
      <c r="J37" s="42">
        <f>1249.41526791*Deflactores!$Z$5</f>
        <v>1288.8251663960079</v>
      </c>
      <c r="K37" s="42">
        <f>1449.610576324*Deflactores!$AA$5</f>
        <v>1449.610576324</v>
      </c>
    </row>
    <row r="38" spans="1:11" x14ac:dyDescent="0.2">
      <c r="C38" s="88" t="s">
        <v>145</v>
      </c>
      <c r="D38" s="50">
        <f>108.811841261*Deflactores!$T$5</f>
        <v>164.6434703236215</v>
      </c>
      <c r="E38" s="50">
        <f>148.531931771*Deflactores!$U$5</f>
        <v>221.18299285749714</v>
      </c>
      <c r="F38" s="50">
        <f>120.208690351*Deflactores!$V$5</f>
        <v>169.48122848357937</v>
      </c>
      <c r="G38" s="50">
        <f>215.537219175*Deflactores!$W$5</f>
        <v>268.63872440030644</v>
      </c>
      <c r="H38" s="50">
        <f>336.485286098*Deflactores!$X$5</f>
        <v>383.77062812385361</v>
      </c>
      <c r="I38" s="50">
        <f>310.408411808*Deflactores!$Y$5</f>
        <v>336.52969882901334</v>
      </c>
      <c r="J38" s="50">
        <f>340.330984448*Deflactores!$Z$5</f>
        <v>351.06593374246063</v>
      </c>
      <c r="K38" s="50">
        <f>396.562629583*Deflactores!$AA$5</f>
        <v>396.56262958299999</v>
      </c>
    </row>
    <row r="39" spans="1:11" x14ac:dyDescent="0.2">
      <c r="C39" s="87" t="s">
        <v>146</v>
      </c>
      <c r="D39" s="42">
        <f>49.526122132*Deflactores!$T$5</f>
        <v>74.938099796741355</v>
      </c>
      <c r="E39" s="42">
        <f>46.018722192*Deflactores!$U$5</f>
        <v>68.527747404491691</v>
      </c>
      <c r="F39" s="42">
        <f>71.962289824*Deflactores!$V$5</f>
        <v>101.45903135830514</v>
      </c>
      <c r="G39" s="42">
        <f>79.178463919*Deflactores!$W$5</f>
        <v>98.685515330444545</v>
      </c>
      <c r="H39" s="42">
        <f>118.391293235*Deflactores!$X$5</f>
        <v>135.02849261574696</v>
      </c>
      <c r="I39" s="42">
        <f>105.012736073*Deflactores!$Y$5</f>
        <v>113.84969961998485</v>
      </c>
      <c r="J39" s="42">
        <f>187.940451164*Deflactores!$Z$5</f>
        <v>193.86859554643385</v>
      </c>
      <c r="K39" s="42">
        <f>201.092961587*Deflactores!$AA$5</f>
        <v>201.09296158699999</v>
      </c>
    </row>
    <row r="40" spans="1:11" x14ac:dyDescent="0.2">
      <c r="C40" s="88" t="s">
        <v>162</v>
      </c>
      <c r="D40" s="50">
        <f>655.511019225*Deflactores!$T$5</f>
        <v>991.85536968999475</v>
      </c>
      <c r="E40" s="50">
        <f>707.16456808*Deflactores!$U$5</f>
        <v>1053.0582464372983</v>
      </c>
      <c r="F40" s="50">
        <f>879.746749153*Deflactores!$V$5</f>
        <v>1240.3475935518786</v>
      </c>
      <c r="G40" s="50">
        <f>1182.912125689*Deflactores!$W$5</f>
        <v>1474.3439937616424</v>
      </c>
      <c r="H40" s="50">
        <f>2125.310001537*Deflactores!$X$5</f>
        <v>2423.9739089518862</v>
      </c>
      <c r="I40" s="50">
        <f>2056.649907901*Deflactores!$Y$5</f>
        <v>2229.7197748969115</v>
      </c>
      <c r="J40" s="50">
        <f>2126.376516837*Deflactores!$Z$5</f>
        <v>2193.4481181083347</v>
      </c>
      <c r="K40" s="50">
        <f>2622.794514247*Deflactores!$AA$5</f>
        <v>2622.7945142469998</v>
      </c>
    </row>
    <row r="41" spans="1:11" x14ac:dyDescent="0.2">
      <c r="C41" s="87" t="s">
        <v>148</v>
      </c>
      <c r="D41" s="42">
        <f>150.61064771*Deflactores!$T$5</f>
        <v>227.88934935108466</v>
      </c>
      <c r="E41" s="42">
        <f>177.973974653*Deflactores!$U$5</f>
        <v>265.0259502797407</v>
      </c>
      <c r="F41" s="42">
        <f>214.222987376*Deflactores!$V$5</f>
        <v>302.03120060532927</v>
      </c>
      <c r="G41" s="42">
        <f>255.085613218*Deflactores!$W$5</f>
        <v>317.93058298722696</v>
      </c>
      <c r="H41" s="42">
        <f>249.063806801*Deflactores!$X$5</f>
        <v>284.06405132110177</v>
      </c>
      <c r="I41" s="42">
        <f>254.269322249*Deflactores!$Y$5</f>
        <v>275.66642907487079</v>
      </c>
      <c r="J41" s="42">
        <f>264.583564807*Deflactores!$Z$5</f>
        <v>272.92923793740158</v>
      </c>
      <c r="K41" s="42">
        <f>265.794300973*Deflactores!$AA$5</f>
        <v>265.79430097300002</v>
      </c>
    </row>
    <row r="42" spans="1:11" x14ac:dyDescent="0.2">
      <c r="C42" s="88" t="s">
        <v>149</v>
      </c>
      <c r="D42" s="50">
        <f>1141.367832872*Deflactores!$T$5</f>
        <v>1727.0065347855718</v>
      </c>
      <c r="E42" s="50">
        <f>1268.783313599*Deflactores!$U$5</f>
        <v>1889.380197533196</v>
      </c>
      <c r="F42" s="50">
        <f>1606.674211183*Deflactores!$V$5</f>
        <v>2265.2365506111296</v>
      </c>
      <c r="G42" s="50">
        <f>1565.590897309*Deflactores!$W$5</f>
        <v>1951.3026251134054</v>
      </c>
      <c r="H42" s="50">
        <f>1495.299573094*Deflactores!$X$5</f>
        <v>1705.4298660550714</v>
      </c>
      <c r="I42" s="50">
        <f>3260.032668925*Deflactores!$Y$5</f>
        <v>3534.3688202775693</v>
      </c>
      <c r="J42" s="50">
        <f>1899.403039629*Deflactores!$Z$5</f>
        <v>1959.3152905021707</v>
      </c>
      <c r="K42" s="50">
        <f>1707.851472581*Deflactores!$AA$5</f>
        <v>1707.8514725810001</v>
      </c>
    </row>
    <row r="43" spans="1:11" x14ac:dyDescent="0.2">
      <c r="C43" s="87" t="s">
        <v>163</v>
      </c>
      <c r="D43" s="42">
        <f>5178.702847861*Deflactores!$T$5</f>
        <v>7835.9082868700352</v>
      </c>
      <c r="E43" s="42">
        <f>5810.325189916*Deflactores!$U$5</f>
        <v>8652.3153618058823</v>
      </c>
      <c r="F43" s="42">
        <f>4146.329343165*Deflactores!$V$5</f>
        <v>5845.875108739765</v>
      </c>
      <c r="G43" s="42">
        <f>4332.564139948*Deflactores!$W$5</f>
        <v>5399.9699374108877</v>
      </c>
      <c r="H43" s="42">
        <f>5120.5031115*Deflactores!$X$5</f>
        <v>5840.0731817978358</v>
      </c>
      <c r="I43" s="42">
        <f>5663.393123503*Deflactores!$Y$5</f>
        <v>6139.975302543171</v>
      </c>
      <c r="J43" s="42">
        <f>6642.020890664*Deflactores!$Z$5</f>
        <v>6851.5279903178098</v>
      </c>
      <c r="K43" s="42">
        <f>6782.166091663*Deflactores!$AA$5</f>
        <v>6782.1660916629999</v>
      </c>
    </row>
    <row r="44" spans="1:11" x14ac:dyDescent="0.2">
      <c r="C44" s="88" t="s">
        <v>150</v>
      </c>
      <c r="D44" s="50">
        <f>6656.188300174*Deflactores!$T$5</f>
        <v>10071.495235885903</v>
      </c>
      <c r="E44" s="50">
        <f>7018.602306422*Deflactores!$U$5</f>
        <v>10451.594113812276</v>
      </c>
      <c r="F44" s="50">
        <f>10357.786140481*Deflactores!$V$5</f>
        <v>14603.356166123545</v>
      </c>
      <c r="G44" s="50">
        <f>11232.524326783*Deflactores!$W$5</f>
        <v>13999.860527533392</v>
      </c>
      <c r="H44" s="50">
        <f>11303.839670422*Deflactores!$X$5</f>
        <v>12892.336841337354</v>
      </c>
      <c r="I44" s="50">
        <f>12776.528166967*Deflactores!$Y$5</f>
        <v>13851.690265305488</v>
      </c>
      <c r="J44" s="50">
        <f>12131.627217916*Deflactores!$Z$5</f>
        <v>12514.291180337339</v>
      </c>
      <c r="K44" s="50">
        <f>15555.396320902*Deflactores!$AA$5</f>
        <v>15555.396320902</v>
      </c>
    </row>
    <row r="45" spans="1:11" x14ac:dyDescent="0.2">
      <c r="C45" s="87" t="s">
        <v>151</v>
      </c>
      <c r="D45" s="42">
        <f>1956.813877382*Deflactores!$T$5</f>
        <v>2960.8599929561856</v>
      </c>
      <c r="E45" s="42">
        <f>1995.97249401*Deflactores!$U$5</f>
        <v>2972.2576460327846</v>
      </c>
      <c r="F45" s="42">
        <f>3233.300557485*Deflactores!$V$5</f>
        <v>4558.6034498764602</v>
      </c>
      <c r="G45" s="42">
        <f>3165.347167423*Deflactores!$W$5</f>
        <v>3945.1878826098709</v>
      </c>
      <c r="H45" s="42">
        <f>5008.42949458*Deflactores!$X$5</f>
        <v>5712.2501709902426</v>
      </c>
      <c r="I45" s="42">
        <f>5366.906197157*Deflactores!$Y$5</f>
        <v>5818.5386009769927</v>
      </c>
      <c r="J45" s="42">
        <f>4001.528694152*Deflactores!$Z$5</f>
        <v>4127.7476092523211</v>
      </c>
      <c r="K45" s="42">
        <f>2578.250963359*Deflactores!$AA$5</f>
        <v>2578.2509633589998</v>
      </c>
    </row>
    <row r="46" spans="1:11" ht="10.5" customHeight="1" x14ac:dyDescent="0.2">
      <c r="C46" s="79" t="s">
        <v>202</v>
      </c>
      <c r="D46" s="44">
        <f t="shared" ref="D46:K46" si="0">+SUM(D15:D45)</f>
        <v>63244.403201505782</v>
      </c>
      <c r="E46" s="44">
        <f t="shared" si="0"/>
        <v>65170.236951824889</v>
      </c>
      <c r="F46" s="44">
        <f t="shared" si="0"/>
        <v>83989.7611508665</v>
      </c>
      <c r="G46" s="44">
        <f t="shared" si="0"/>
        <v>86849.763027706984</v>
      </c>
      <c r="H46" s="44">
        <f t="shared" si="0"/>
        <v>95050.226789446577</v>
      </c>
      <c r="I46" s="44">
        <f t="shared" si="0"/>
        <v>98226.711446896428</v>
      </c>
      <c r="J46" s="44">
        <f t="shared" si="0"/>
        <v>80583.666925493802</v>
      </c>
      <c r="K46" s="44">
        <f t="shared" si="0"/>
        <v>88400.742916214978</v>
      </c>
    </row>
    <row r="47" spans="1:11" s="31" customFormat="1" ht="10.5" customHeight="1" x14ac:dyDescent="0.2">
      <c r="A47" s="5"/>
      <c r="B47" s="5"/>
      <c r="C47" s="72" t="str">
        <f>+'C1 Aprop Resumen 2000-2026'!B20</f>
        <v>* Información con corte a 28 de febrero</v>
      </c>
      <c r="D47" s="121">
        <f>+D46-'C5 Ejecución PGN 2019-2026'!D32</f>
        <v>0</v>
      </c>
      <c r="E47" s="121">
        <f>+E46-'C5 Ejecución PGN 2019-2026'!E32</f>
        <v>0</v>
      </c>
      <c r="F47" s="121">
        <f>+F46-'C5 Ejecución PGN 2019-2026'!F32</f>
        <v>0</v>
      </c>
      <c r="G47" s="121">
        <f>+G46-'C5 Ejecución PGN 2019-2026'!G32</f>
        <v>0</v>
      </c>
      <c r="H47" s="121">
        <f>+H46-'C5 Ejecución PGN 2019-2026'!H32</f>
        <v>0</v>
      </c>
      <c r="I47" s="121">
        <f>+I46-'C5 Ejecución PGN 2019-2026'!I32</f>
        <v>0</v>
      </c>
      <c r="J47" s="121">
        <f>+J46-'C5 Ejecución PGN 2019-2026'!J32</f>
        <v>0</v>
      </c>
      <c r="K47" s="121">
        <f>+K46-'C5 Ejecución PGN 2019-2026'!K32</f>
        <v>0</v>
      </c>
    </row>
    <row r="48" spans="1:11" x14ac:dyDescent="0.2">
      <c r="C48" s="1" t="s">
        <v>52</v>
      </c>
      <c r="D48" s="10"/>
      <c r="E48" s="10"/>
      <c r="F48" s="10"/>
      <c r="G48" s="10"/>
      <c r="H48" s="10"/>
    </row>
    <row r="49" spans="3:11" x14ac:dyDescent="0.2">
      <c r="D49" s="10"/>
    </row>
    <row r="50" spans="3:11" x14ac:dyDescent="0.2">
      <c r="D50" s="10"/>
    </row>
    <row r="51" spans="3:11" x14ac:dyDescent="0.2">
      <c r="D51" s="10"/>
    </row>
    <row r="53" spans="3:11" ht="18" customHeight="1" x14ac:dyDescent="0.2">
      <c r="C53" s="9"/>
      <c r="D53" s="131" t="s">
        <v>203</v>
      </c>
      <c r="E53" s="131"/>
      <c r="F53" s="131"/>
      <c r="G53" s="131"/>
      <c r="H53" s="131"/>
      <c r="I53" s="131"/>
      <c r="J53" s="131"/>
      <c r="K53" s="131"/>
    </row>
    <row r="54" spans="3:11" ht="2.25" customHeight="1" x14ac:dyDescent="0.2">
      <c r="D54" s="28"/>
    </row>
    <row r="55" spans="3:11" ht="15.75" customHeight="1" x14ac:dyDescent="0.2">
      <c r="C55" s="2"/>
      <c r="D55" s="2"/>
      <c r="E55" s="2"/>
      <c r="F55" s="2"/>
      <c r="G55" s="2"/>
      <c r="H55" s="2"/>
      <c r="I55" s="2"/>
      <c r="J55" s="2"/>
    </row>
    <row r="56" spans="3:11" x14ac:dyDescent="0.2">
      <c r="C56" s="177" t="s">
        <v>120</v>
      </c>
      <c r="D56" s="180">
        <v>2019</v>
      </c>
      <c r="E56" s="153">
        <v>2020</v>
      </c>
      <c r="F56" s="153">
        <v>2021</v>
      </c>
      <c r="G56" s="153">
        <v>2022</v>
      </c>
      <c r="H56" s="153">
        <v>2023</v>
      </c>
      <c r="I56" s="153">
        <v>2024</v>
      </c>
      <c r="J56" s="153">
        <v>2025</v>
      </c>
      <c r="K56" s="153" t="s">
        <v>36</v>
      </c>
    </row>
    <row r="57" spans="3:11" ht="12" customHeight="1" thickBot="1" x14ac:dyDescent="0.25">
      <c r="C57" s="156"/>
      <c r="D57" s="181"/>
      <c r="E57" s="154"/>
      <c r="F57" s="154"/>
      <c r="G57" s="154"/>
      <c r="H57" s="154"/>
      <c r="I57" s="154"/>
      <c r="J57" s="154"/>
      <c r="K57" s="154"/>
    </row>
    <row r="58" spans="3:11" x14ac:dyDescent="0.2">
      <c r="C58" s="87" t="s">
        <v>123</v>
      </c>
      <c r="D58" s="42">
        <f>1457.14229773049*Deflactores!$T$5</f>
        <v>2204.8056707195069</v>
      </c>
      <c r="E58" s="42">
        <f>1065.7474036407*Deflactores!$U$5</f>
        <v>1587.0338287311031</v>
      </c>
      <c r="F58" s="42">
        <f>1645.5623886033*Deflactores!$V$5</f>
        <v>2320.0646671427648</v>
      </c>
      <c r="G58" s="42">
        <f>1611.21584977058*Deflactores!$W$5</f>
        <v>2008.1681125545886</v>
      </c>
      <c r="H58" s="42">
        <f>4097.03270145921*Deflactores!$X$5</f>
        <v>4672.7773196746493</v>
      </c>
      <c r="I58" s="42">
        <f>6630.71741609387*Deflactores!$Y$5</f>
        <v>7188.7012406048916</v>
      </c>
      <c r="J58" s="42">
        <f>3989.16223948175*Deflactores!$Z$5</f>
        <v>4114.9910835338751</v>
      </c>
      <c r="K58" s="42">
        <f>1248.44318773057*Deflactores!$AA$5</f>
        <v>1248.4431877305699</v>
      </c>
    </row>
    <row r="59" spans="3:11" x14ac:dyDescent="0.2">
      <c r="C59" s="88" t="s">
        <v>124</v>
      </c>
      <c r="D59" s="50">
        <f>288.20049987044*Deflactores!$T$5</f>
        <v>436.07690025073288</v>
      </c>
      <c r="E59" s="50">
        <f>358.04352203405*Deflactores!$U$5</f>
        <v>533.17247565881598</v>
      </c>
      <c r="F59" s="50">
        <f>580.47322576173*Deflactores!$V$5</f>
        <v>818.4043526026627</v>
      </c>
      <c r="G59" s="50">
        <f>758.067403550259*Deflactores!$W$5</f>
        <v>944.83106480950039</v>
      </c>
      <c r="H59" s="50">
        <f>1239.30551607519*Deflactores!$X$5</f>
        <v>1413.4616757150357</v>
      </c>
      <c r="I59" s="50">
        <f>1403.70850518201*Deflactores!$Y$5</f>
        <v>1521.8324714241899</v>
      </c>
      <c r="J59" s="50">
        <f>949.172452500039*Deflactores!$Z$5</f>
        <v>979.1118897388003</v>
      </c>
      <c r="K59" s="50">
        <f>519.93474936925*Deflactores!$AA$5</f>
        <v>519.93474936924997</v>
      </c>
    </row>
    <row r="60" spans="3:11" x14ac:dyDescent="0.2">
      <c r="C60" s="87" t="s">
        <v>125</v>
      </c>
      <c r="D60" s="42">
        <f>327.372708889349*Deflactores!$T$5</f>
        <v>495.34846810928565</v>
      </c>
      <c r="E60" s="42">
        <f>243.643233944079*Deflactores!$U$5</f>
        <v>362.81585400986745</v>
      </c>
      <c r="F60" s="42">
        <f>383.2487069391*Deflactores!$V$5</f>
        <v>540.339150831133</v>
      </c>
      <c r="G60" s="42">
        <f>302.683368367509*Deflactores!$W$5</f>
        <v>377.25490885829828</v>
      </c>
      <c r="H60" s="42">
        <f>451.84911058533*Deflactores!$X$5</f>
        <v>515.34621022338774</v>
      </c>
      <c r="I60" s="42">
        <f>341.72148436872*Deflactores!$Y$5</f>
        <v>370.47780873006906</v>
      </c>
      <c r="J60" s="42">
        <f>249.2123277102*Deflactores!$Z$5</f>
        <v>257.07315091988414</v>
      </c>
      <c r="K60" s="42">
        <f>166.758762666*Deflactores!$AA$5</f>
        <v>166.758762666</v>
      </c>
    </row>
    <row r="61" spans="3:11" x14ac:dyDescent="0.2">
      <c r="C61" s="88" t="s">
        <v>126</v>
      </c>
      <c r="D61" s="50">
        <f>339.01676276163*Deflactores!$T$5</f>
        <v>512.96711527075661</v>
      </c>
      <c r="E61" s="50">
        <f>374.53614104527*Deflactores!$U$5</f>
        <v>557.73208913360907</v>
      </c>
      <c r="F61" s="50">
        <f>473.318057548889*Deflactores!$V$5</f>
        <v>667.32717595221595</v>
      </c>
      <c r="G61" s="50">
        <f>472.0308032489*Deflactores!$W$5</f>
        <v>588.32415741375871</v>
      </c>
      <c r="H61" s="50">
        <f>633.88547072686*Deflactores!$X$5</f>
        <v>722.96363410250649</v>
      </c>
      <c r="I61" s="50">
        <f>326.57453938395*Deflactores!$Y$5</f>
        <v>354.05622787079386</v>
      </c>
      <c r="J61" s="50">
        <f>385.878053078759*Deflactores!$Z$5</f>
        <v>398.04967871068442</v>
      </c>
      <c r="K61" s="50">
        <f>251.82738354109*Deflactores!$AA$5</f>
        <v>251.82738354109</v>
      </c>
    </row>
    <row r="62" spans="3:11" x14ac:dyDescent="0.2">
      <c r="C62" s="87" t="s">
        <v>127</v>
      </c>
      <c r="D62" s="42">
        <f>85.0317916714599*Deflactores!$T$5</f>
        <v>128.66181755939263</v>
      </c>
      <c r="E62" s="42">
        <f>82.08811447538*Deflactores!$U$5</f>
        <v>122.23967345746414</v>
      </c>
      <c r="F62" s="42">
        <f>113.121567184129*Deflactores!$V$5</f>
        <v>159.48915272575758</v>
      </c>
      <c r="G62" s="42">
        <f>180.03564532904*Deflactores!$W$5</f>
        <v>224.390693602254</v>
      </c>
      <c r="H62" s="42">
        <f>264.313946154429*Deflactores!$X$5</f>
        <v>301.45725037152687</v>
      </c>
      <c r="I62" s="42">
        <f>260.20243270279*Deflactores!$Y$5</f>
        <v>282.0988187852638</v>
      </c>
      <c r="J62" s="42">
        <f>198.71816047376*Deflactores!$Z$5</f>
        <v>204.98626262741581</v>
      </c>
      <c r="K62" s="42">
        <f>175.75571133176*Deflactores!$AA$5</f>
        <v>175.75571133176001</v>
      </c>
    </row>
    <row r="63" spans="3:11" x14ac:dyDescent="0.2">
      <c r="C63" s="88" t="s">
        <v>128</v>
      </c>
      <c r="D63" s="50">
        <f>145.05669568624*Deflactores!$T$5</f>
        <v>219.48565059361781</v>
      </c>
      <c r="E63" s="50">
        <f>141.476032455479*Deflactores!$U$5</f>
        <v>210.67585873960098</v>
      </c>
      <c r="F63" s="50">
        <f>367.027041890209*Deflactores!$V$5</f>
        <v>517.46836077005219</v>
      </c>
      <c r="G63" s="50">
        <f>368.114053853772*Deflactores!$W$5</f>
        <v>458.80563106278197</v>
      </c>
      <c r="H63" s="50">
        <f>496.071108602305*Deflactores!$X$5</f>
        <v>565.78260271076545</v>
      </c>
      <c r="I63" s="50">
        <f>972.46580265405*Deflactores!$Y$5</f>
        <v>1054.3001131396779</v>
      </c>
      <c r="J63" s="50">
        <f>731.29721899727*Deflactores!$Z$5</f>
        <v>754.36428877303194</v>
      </c>
      <c r="K63" s="50">
        <f>355.31712759763*Deflactores!$AA$5</f>
        <v>355.31712759763002</v>
      </c>
    </row>
    <row r="64" spans="3:11" x14ac:dyDescent="0.2">
      <c r="C64" s="87" t="s">
        <v>129</v>
      </c>
      <c r="D64" s="42">
        <f>1128.47141640265*Deflactores!$T$5</f>
        <v>1707.4929346328142</v>
      </c>
      <c r="E64" s="42">
        <f>1380.41688755123*Deflactores!$U$5</f>
        <v>2055.6168289142597</v>
      </c>
      <c r="F64" s="42">
        <f>2081.46304348323*Deflactores!$V$5</f>
        <v>2934.6373596006256</v>
      </c>
      <c r="G64" s="42">
        <f>1996.66370915504*Deflactores!$W$5</f>
        <v>2488.578046691292</v>
      </c>
      <c r="H64" s="42">
        <f>1869.28889509911*Deflactores!$X$5</f>
        <v>2131.9748680130883</v>
      </c>
      <c r="I64" s="42">
        <f>2888.57993568482*Deflactores!$Y$5</f>
        <v>3131.657837935209</v>
      </c>
      <c r="J64" s="42">
        <f>2276.26783366249*Deflactores!$Z$5</f>
        <v>2348.0674078758457</v>
      </c>
      <c r="K64" s="42">
        <f>1554.89693225438*Deflactores!$AA$5</f>
        <v>1554.8969322543801</v>
      </c>
    </row>
    <row r="65" spans="3:11" x14ac:dyDescent="0.2">
      <c r="C65" s="88" t="s">
        <v>130</v>
      </c>
      <c r="D65" s="50">
        <f>444.22376038195*Deflactores!$T$5</f>
        <v>672.15608762708462</v>
      </c>
      <c r="E65" s="50">
        <f>403.02721940475*Deflactores!$U$5</f>
        <v>600.15893907859595</v>
      </c>
      <c r="F65" s="50">
        <f>696.8199241366*Deflactores!$V$5</f>
        <v>982.44059085635899</v>
      </c>
      <c r="G65" s="50">
        <f>829.17265326404*Deflactores!$W$5</f>
        <v>1033.4543831133628</v>
      </c>
      <c r="H65" s="50">
        <f>650.19622214562*Deflactores!$X$5</f>
        <v>741.56649008393117</v>
      </c>
      <c r="I65" s="50">
        <f>929.65762236639*Deflactores!$Y$5</f>
        <v>1007.8895666737686</v>
      </c>
      <c r="J65" s="50">
        <f>396.25331116953*Deflactores!$Z$5</f>
        <v>408.75220018507588</v>
      </c>
      <c r="K65" s="50">
        <f>345.69896681433*Deflactores!$AA$5</f>
        <v>345.69896681432999</v>
      </c>
    </row>
    <row r="66" spans="3:11" x14ac:dyDescent="0.2">
      <c r="C66" s="87" t="s">
        <v>131</v>
      </c>
      <c r="D66" s="42">
        <f>4059.09012760083*Deflactores!$T$5</f>
        <v>6141.8194676215189</v>
      </c>
      <c r="E66" s="42">
        <f>3989.47143778037*Deflactores!$U$5</f>
        <v>5940.8318602373993</v>
      </c>
      <c r="F66" s="42">
        <f>4855.84393790518*Deflactores!$V$5</f>
        <v>6846.2138096479584</v>
      </c>
      <c r="G66" s="42">
        <f>5528.88848345094*Deflactores!$W$5</f>
        <v>6891.0304922319474</v>
      </c>
      <c r="H66" s="42">
        <f>7383.75967930301*Deflactores!$X$5</f>
        <v>8421.3789045634676</v>
      </c>
      <c r="I66" s="42">
        <f>8056.49067200885*Deflactores!$Y$5</f>
        <v>8734.4552413318906</v>
      </c>
      <c r="J66" s="42">
        <f>6754.05805949682*Deflactores!$Z$5</f>
        <v>6967.0991110429795</v>
      </c>
      <c r="K66" s="42">
        <f>1364.85230438175*Deflactores!$AA$5</f>
        <v>1364.8523043817499</v>
      </c>
    </row>
    <row r="67" spans="3:11" x14ac:dyDescent="0.2">
      <c r="C67" s="88" t="s">
        <v>132</v>
      </c>
      <c r="D67" s="50">
        <f>300.629583821339*Deflactores!$T$5</f>
        <v>454.88337839598495</v>
      </c>
      <c r="E67" s="50">
        <f>187.21013920091*Deflactores!$U$5</f>
        <v>278.77977743914687</v>
      </c>
      <c r="F67" s="50">
        <f>217.63284735314*Deflactores!$V$5</f>
        <v>306.83873370626594</v>
      </c>
      <c r="G67" s="50">
        <f>229.58232074167*Deflactores!$W$5</f>
        <v>286.14409160966778</v>
      </c>
      <c r="H67" s="50">
        <f>298.30637236421*Deflactores!$X$5</f>
        <v>340.22653775778724</v>
      </c>
      <c r="I67" s="50">
        <f>332.15641994716*Deflactores!$Y$5</f>
        <v>360.10783122102288</v>
      </c>
      <c r="J67" s="50">
        <f>355.384343542669*Deflactores!$Z$5</f>
        <v>366.59411603565411</v>
      </c>
      <c r="K67" s="50">
        <f>179.19684566479*Deflactores!$AA$5</f>
        <v>179.19684566479</v>
      </c>
    </row>
    <row r="68" spans="3:11" x14ac:dyDescent="0.2">
      <c r="C68" s="87" t="s">
        <v>133</v>
      </c>
      <c r="D68" s="42">
        <f>170.160323868139*Deflactores!$T$5</f>
        <v>257.47001345048551</v>
      </c>
      <c r="E68" s="42">
        <f>170.68877500457*Deflactores!$U$5</f>
        <v>254.17735871702902</v>
      </c>
      <c r="F68" s="42">
        <f>195.3461308216*Deflactores!$V$5</f>
        <v>275.41687821810098</v>
      </c>
      <c r="G68" s="42">
        <f>197.106304312919*Deflactores!$W$5</f>
        <v>245.66701920232836</v>
      </c>
      <c r="H68" s="42">
        <f>225.97992504154*Deflactores!$X$5</f>
        <v>257.73625581748325</v>
      </c>
      <c r="I68" s="42">
        <f>253.097706043409*Deflactores!$Y$5</f>
        <v>274.39621978345951</v>
      </c>
      <c r="J68" s="42">
        <f>336.609445736519*Deflactores!$Z$5</f>
        <v>347.22700774862591</v>
      </c>
      <c r="K68" s="42">
        <f>169.50732515398*Deflactores!$AA$5</f>
        <v>169.50732515397999</v>
      </c>
    </row>
    <row r="69" spans="3:11" x14ac:dyDescent="0.2">
      <c r="C69" s="88" t="s">
        <v>134</v>
      </c>
      <c r="D69" s="50">
        <f>1204.07596679339*Deflactores!$T$5</f>
        <v>1821.8903697311766</v>
      </c>
      <c r="E69" s="50">
        <f>1030.83694137889*Deflactores!$U$5</f>
        <v>1535.0476973111558</v>
      </c>
      <c r="F69" s="50">
        <f>1664.60186427044*Deflactores!$V$5</f>
        <v>2346.9082648587701</v>
      </c>
      <c r="G69" s="50">
        <f>2052.43653681453*Deflactores!$W$5</f>
        <v>2558.0915225354743</v>
      </c>
      <c r="H69" s="50">
        <f>1709.46198849359*Deflactores!$X$5</f>
        <v>1949.6879304462884</v>
      </c>
      <c r="I69" s="50">
        <f>3034.41016930447*Deflactores!$Y$5</f>
        <v>3289.7598826392714</v>
      </c>
      <c r="J69" s="50">
        <f>2508.89470690474*Deflactores!$Z$5</f>
        <v>2588.0319547443596</v>
      </c>
      <c r="K69" s="50">
        <f>3780.92683453622*Deflactores!$AA$5</f>
        <v>3780.9268345362202</v>
      </c>
    </row>
    <row r="70" spans="3:11" x14ac:dyDescent="0.2">
      <c r="C70" s="87" t="s">
        <v>135</v>
      </c>
      <c r="D70" s="42">
        <f>0*Deflactores!$T$5</f>
        <v>0</v>
      </c>
      <c r="E70" s="42">
        <f>0*Deflactores!$U$5</f>
        <v>0</v>
      </c>
      <c r="F70" s="42">
        <f>0*Deflactores!$V$5</f>
        <v>0</v>
      </c>
      <c r="G70" s="42">
        <f>0*Deflactores!$W$5</f>
        <v>0</v>
      </c>
      <c r="H70" s="42">
        <f>0*Deflactores!$X$5</f>
        <v>0</v>
      </c>
      <c r="I70" s="42">
        <f>9876.82162195098*Deflactores!$Y$5</f>
        <v>10707.969498838776</v>
      </c>
      <c r="J70" s="42">
        <f>9973.81784170416*Deflactores!$Z$5</f>
        <v>10288.418726418024</v>
      </c>
      <c r="K70" s="42">
        <f>5771.98227146204*Deflactores!$AA$5</f>
        <v>5771.9822714620404</v>
      </c>
    </row>
    <row r="71" spans="3:11" x14ac:dyDescent="0.2">
      <c r="C71" s="88" t="s">
        <v>136</v>
      </c>
      <c r="D71" s="50">
        <f>9938.24199580664*Deflactores!$T$5</f>
        <v>15037.578926550388</v>
      </c>
      <c r="E71" s="50">
        <f>10473.1315785255*Deflactores!$U$5</f>
        <v>15595.828853152454</v>
      </c>
      <c r="F71" s="50">
        <f>13956.0179398663*Deflactores!$V$5</f>
        <v>19676.473125869445</v>
      </c>
      <c r="G71" s="50">
        <f>21413.1975625256*Deflactores!$W$5</f>
        <v>26688.727360160014</v>
      </c>
      <c r="H71" s="50">
        <f>18296.3040459428*Deflactores!$X$5</f>
        <v>20867.432800646933</v>
      </c>
      <c r="I71" s="50">
        <f>10863.196471742*Deflactores!$Y$5</f>
        <v>11777.349124214412</v>
      </c>
      <c r="J71" s="50">
        <f>8784.72130867526*Deflactores!$Z$5</f>
        <v>9061.8149090935476</v>
      </c>
      <c r="K71" s="50">
        <f>2154.06820256374*Deflactores!$AA$5</f>
        <v>2154.0682025637402</v>
      </c>
    </row>
    <row r="72" spans="3:11" x14ac:dyDescent="0.2">
      <c r="C72" s="87" t="s">
        <v>137</v>
      </c>
      <c r="D72" s="42">
        <f>215.139340389159*Deflactores!$T$5</f>
        <v>325.52787632591594</v>
      </c>
      <c r="E72" s="42">
        <f>196.612318659119*Deflactores!$U$5</f>
        <v>292.78082197653418</v>
      </c>
      <c r="F72" s="42">
        <f>272.855477830189*Deflactores!$V$5</f>
        <v>384.69665916919945</v>
      </c>
      <c r="G72" s="42">
        <f>277.85290164032*Deflactores!$W$5</f>
        <v>346.30700606272393</v>
      </c>
      <c r="H72" s="42">
        <f>649.734923253929*Deflactores!$X$5</f>
        <v>741.04036614112806</v>
      </c>
      <c r="I72" s="42">
        <f>987.02751904181*Deflactores!$Y$5</f>
        <v>1070.0872176252276</v>
      </c>
      <c r="J72" s="42">
        <f>725.67679059755*Deflactores!$Z$5</f>
        <v>748.56657703256064</v>
      </c>
      <c r="K72" s="42">
        <f>270.69722098995*Deflactores!$AA$5</f>
        <v>270.69722098994998</v>
      </c>
    </row>
    <row r="73" spans="3:11" x14ac:dyDescent="0.2">
      <c r="C73" s="88" t="s">
        <v>138</v>
      </c>
      <c r="D73" s="50">
        <f>7.24011327854*Deflactores!$T$5</f>
        <v>10.95503358734363</v>
      </c>
      <c r="E73" s="50">
        <f>7.09158704076*Deflactores!$U$5</f>
        <v>10.56027769303534</v>
      </c>
      <c r="F73" s="50">
        <f>7.62840792554*Deflactores!$V$5</f>
        <v>10.75522861799182</v>
      </c>
      <c r="G73" s="50">
        <f>7.00219109229*Deflactores!$W$5</f>
        <v>8.7273079342862605</v>
      </c>
      <c r="H73" s="50">
        <f>28.58911039884*Deflactores!$X$5</f>
        <v>32.606658622420625</v>
      </c>
      <c r="I73" s="50">
        <f>39.42857062632*Deflactores!$Y$5</f>
        <v>42.746538087831489</v>
      </c>
      <c r="J73" s="50">
        <f>35.1851783793699*Deflactores!$Z$5</f>
        <v>36.29501299061377</v>
      </c>
      <c r="K73" s="50">
        <f>7.3980481558*Deflactores!$AA$5</f>
        <v>7.3980481557999997</v>
      </c>
    </row>
    <row r="74" spans="3:11" x14ac:dyDescent="0.2">
      <c r="C74" s="87" t="s">
        <v>160</v>
      </c>
      <c r="D74" s="42">
        <f>90.8150400894*Deflactores!$T$5</f>
        <v>137.41246526683591</v>
      </c>
      <c r="E74" s="42">
        <f>204.8316122369*Deflactores!$U$5</f>
        <v>305.02039855129306</v>
      </c>
      <c r="F74" s="42">
        <f>337.176317504449*Deflactores!$V$5</f>
        <v>475.38207378654829</v>
      </c>
      <c r="G74" s="42">
        <f>527.31773120062*Deflactores!$W$5</f>
        <v>657.23202333970278</v>
      </c>
      <c r="H74" s="42">
        <f>459.49130289419*Deflactores!$X$5</f>
        <v>524.06233857665052</v>
      </c>
      <c r="I74" s="42">
        <f>487.09482211411*Deflactores!$Y$5</f>
        <v>528.0845091550724</v>
      </c>
      <c r="J74" s="42">
        <f>461.12502309919*Deflactores!$Z$5</f>
        <v>475.67013937593953</v>
      </c>
      <c r="K74" s="42">
        <f>118.74233953698*Deflactores!$AA$5</f>
        <v>118.74233953698</v>
      </c>
    </row>
    <row r="75" spans="3:11" x14ac:dyDescent="0.2">
      <c r="C75" s="88" t="s">
        <v>161</v>
      </c>
      <c r="D75" s="50">
        <f>329.75323169689*Deflactores!$T$5</f>
        <v>498.95044314872985</v>
      </c>
      <c r="E75" s="50">
        <f>399.87789655353*Deflactores!$U$5</f>
        <v>595.46919563150141</v>
      </c>
      <c r="F75" s="50">
        <f>460.34561459564*Deflactores!$V$5</f>
        <v>649.03743698467463</v>
      </c>
      <c r="G75" s="50">
        <f>496.92303363902*Deflactores!$W$5</f>
        <v>619.34904047143164</v>
      </c>
      <c r="H75" s="50">
        <f>459.61261738658*Deflactores!$X$5</f>
        <v>524.20070105747368</v>
      </c>
      <c r="I75" s="50">
        <f>701.11949029911*Deflactores!$Y$5</f>
        <v>760.11964218113326</v>
      </c>
      <c r="J75" s="50">
        <f>702.68207815123*Deflactores!$Z$5</f>
        <v>724.84654986782812</v>
      </c>
      <c r="K75" s="50">
        <f>233.85216847627*Deflactores!$AA$5</f>
        <v>233.85216847627001</v>
      </c>
    </row>
    <row r="76" spans="3:11" x14ac:dyDescent="0.2">
      <c r="C76" s="87" t="s">
        <v>140</v>
      </c>
      <c r="D76" s="42">
        <f>3248.69805509588*Deflactores!$T$5</f>
        <v>4915.6131871862217</v>
      </c>
      <c r="E76" s="42">
        <f>3106.35825139056*Deflactores!$U$5</f>
        <v>4625.7636774659704</v>
      </c>
      <c r="F76" s="42">
        <f>4703.32653491161*Deflactores!$V$5</f>
        <v>6631.1807970679301</v>
      </c>
      <c r="G76" s="42">
        <f>4425.97526683406*Deflactores!$W$5</f>
        <v>5516.3945905056835</v>
      </c>
      <c r="H76" s="42">
        <f>6647.06425747272*Deflactores!$X$5</f>
        <v>7581.1577226796444</v>
      </c>
      <c r="I76" s="42">
        <f>7288.70712571268*Deflactores!$Y$5</f>
        <v>7902.0616728201539</v>
      </c>
      <c r="J76" s="42">
        <f>6691.90035591202*Deflactores!$Z$5</f>
        <v>6902.9807872774309</v>
      </c>
      <c r="K76" s="42">
        <f>2800.62025963557*Deflactores!$AA$5</f>
        <v>2800.6202596355702</v>
      </c>
    </row>
    <row r="77" spans="3:11" x14ac:dyDescent="0.2">
      <c r="C77" s="88" t="s">
        <v>141</v>
      </c>
      <c r="D77" s="50">
        <f>150.28931646502*Deflactores!$T$5</f>
        <v>227.40314223719145</v>
      </c>
      <c r="E77" s="50">
        <f>203.08294081661*Deflactores!$U$5</f>
        <v>302.41640374928352</v>
      </c>
      <c r="F77" s="50">
        <f>300.75663554628*Deflactores!$V$5</f>
        <v>424.03426838887987</v>
      </c>
      <c r="G77" s="50">
        <f>322.99075886375*Deflactores!$W$5</f>
        <v>402.56539351468496</v>
      </c>
      <c r="H77" s="50">
        <f>520.29727482276*Deflactores!$X$5</f>
        <v>593.41320473580936</v>
      </c>
      <c r="I77" s="50">
        <f>461.550373040819*Deflactores!$Y$5</f>
        <v>500.39046019771058</v>
      </c>
      <c r="J77" s="50">
        <f>364.29935462833*Deflactores!$Z$5</f>
        <v>375.79033040969432</v>
      </c>
      <c r="K77" s="50">
        <f>176.33635236004*Deflactores!$AA$5</f>
        <v>176.33635236004</v>
      </c>
    </row>
    <row r="78" spans="3:11" x14ac:dyDescent="0.2">
      <c r="C78" s="87" t="s">
        <v>142</v>
      </c>
      <c r="D78" s="42">
        <f>290.40782952852*Deflactores!$T$5</f>
        <v>439.41681630070411</v>
      </c>
      <c r="E78" s="42">
        <f>209.06251773534*Deflactores!$U$5</f>
        <v>311.32075652472179</v>
      </c>
      <c r="F78" s="42">
        <f>538.38504922825*Deflactores!$V$5</f>
        <v>759.06458404932687</v>
      </c>
      <c r="G78" s="42">
        <f>1057.12627871551*Deflactores!$W$5</f>
        <v>1317.5685207927031</v>
      </c>
      <c r="H78" s="42">
        <f>1309.8043382036*Deflactores!$X$5</f>
        <v>1493.8675013722441</v>
      </c>
      <c r="I78" s="42">
        <f>840.6463291896*Deflactores!$Y$5</f>
        <v>911.38785297763832</v>
      </c>
      <c r="J78" s="42">
        <f>620.054194490519*Deflactores!$Z$5</f>
        <v>639.61236180951721</v>
      </c>
      <c r="K78" s="42">
        <f>443.33938078597*Deflactores!$AA$5</f>
        <v>443.33938078596998</v>
      </c>
    </row>
    <row r="79" spans="3:11" x14ac:dyDescent="0.2">
      <c r="C79" s="88" t="s">
        <v>143</v>
      </c>
      <c r="D79" s="50">
        <f>298.960041640599*Deflactores!$T$5</f>
        <v>452.35718992878162</v>
      </c>
      <c r="E79" s="50">
        <f>696.26791925015*Deflactores!$U$5</f>
        <v>1036.8317463738695</v>
      </c>
      <c r="F79" s="50">
        <f>2382.53682175094*Deflactores!$V$5</f>
        <v>3359.1187648635164</v>
      </c>
      <c r="G79" s="50">
        <f>1284.38817144474*Deflactores!$W$5</f>
        <v>1600.8205048410384</v>
      </c>
      <c r="H79" s="50">
        <f>2168.35802756612*Deflactores!$X$5</f>
        <v>2473.0713544309015</v>
      </c>
      <c r="I79" s="50">
        <f>706.03271860248*Deflactores!$Y$5</f>
        <v>765.44632528092643</v>
      </c>
      <c r="J79" s="50">
        <f>485.162845806439*Deflactores!$Z$5</f>
        <v>500.46617928850731</v>
      </c>
      <c r="K79" s="50">
        <f>95.51519152144*Deflactores!$AA$5</f>
        <v>95.515191521440002</v>
      </c>
    </row>
    <row r="80" spans="3:11" x14ac:dyDescent="0.2">
      <c r="C80" s="87" t="s">
        <v>144</v>
      </c>
      <c r="D80" s="42">
        <f>321.45615513963*Deflactores!$T$5</f>
        <v>486.39611576949386</v>
      </c>
      <c r="E80" s="42">
        <f>262.37118981223*Deflactores!$U$5</f>
        <v>390.70416919994523</v>
      </c>
      <c r="F80" s="42">
        <f>410.751881874079*Deflactores!$V$5</f>
        <v>579.11564745187218</v>
      </c>
      <c r="G80" s="42">
        <f>489.71873122904*Deflactores!$W$5</f>
        <v>610.36982742869623</v>
      </c>
      <c r="H80" s="42">
        <f>709.58348720248*Deflactores!$X$5</f>
        <v>809.2992824378623</v>
      </c>
      <c r="I80" s="42">
        <f>993.701711954949*Deflactores!$Y$5</f>
        <v>1077.323052884662</v>
      </c>
      <c r="J80" s="42">
        <f>1184.2927216499*Deflactores!$Z$5</f>
        <v>1221.6484808891912</v>
      </c>
      <c r="K80" s="42">
        <f>220.16156055025*Deflactores!$AA$5</f>
        <v>220.16156055024999</v>
      </c>
    </row>
    <row r="81" spans="1:11" x14ac:dyDescent="0.2">
      <c r="C81" s="88" t="s">
        <v>145</v>
      </c>
      <c r="D81" s="50">
        <f>104.764068712339*Deflactores!$T$5</f>
        <v>158.51877551312114</v>
      </c>
      <c r="E81" s="50">
        <f>147.363516969*Deflactores!$U$5</f>
        <v>219.44307417655114</v>
      </c>
      <c r="F81" s="50">
        <f>110.932988253929*Deflactores!$V$5</f>
        <v>156.4034935721597</v>
      </c>
      <c r="G81" s="50">
        <f>206.96494002199*Deflactores!$W$5</f>
        <v>257.95450871968097</v>
      </c>
      <c r="H81" s="50">
        <f>327.69936732657*Deflactores!$X$5</f>
        <v>373.75004860711709</v>
      </c>
      <c r="I81" s="50">
        <f>266.41431728631*Deflactores!$Y$5</f>
        <v>288.83344184485287</v>
      </c>
      <c r="J81" s="50">
        <f>324.337987480599*Deflactores!$Z$5</f>
        <v>334.56847488543775</v>
      </c>
      <c r="K81" s="50">
        <f>296.267595963*Deflactores!$AA$5</f>
        <v>296.26759596300002</v>
      </c>
    </row>
    <row r="82" spans="1:11" x14ac:dyDescent="0.2">
      <c r="C82" s="87" t="s">
        <v>146</v>
      </c>
      <c r="D82" s="42">
        <f>48.70713345346*Deflactores!$T$5</f>
        <v>73.698885970121623</v>
      </c>
      <c r="E82" s="42">
        <f>44.3908023462599*Deflactores!$U$5</f>
        <v>66.103567099827998</v>
      </c>
      <c r="F82" s="42">
        <f>58.38649881688*Deflactores!$V$5</f>
        <v>82.31863700907175</v>
      </c>
      <c r="G82" s="42">
        <f>60.13311252943*Deflactores!$W$5</f>
        <v>74.947996016457196</v>
      </c>
      <c r="H82" s="42">
        <f>100.14156081164*Deflactores!$X$5</f>
        <v>114.21417601836289</v>
      </c>
      <c r="I82" s="42">
        <f>96.13393492928*Deflactores!$Y$5</f>
        <v>104.22373537032084</v>
      </c>
      <c r="J82" s="42">
        <f>165.760022647169*Deflactores!$Z$5</f>
        <v>170.98853700372146</v>
      </c>
      <c r="K82" s="42">
        <f>54.8947178099*Deflactores!$AA$5</f>
        <v>54.894717809900001</v>
      </c>
    </row>
    <row r="83" spans="1:11" x14ac:dyDescent="0.2">
      <c r="C83" s="88" t="s">
        <v>162</v>
      </c>
      <c r="D83" s="50">
        <f>623.926003631919*Deflactores!$T$5</f>
        <v>944.0640032614366</v>
      </c>
      <c r="E83" s="50">
        <f>680.47480742684*Deflactores!$U$5</f>
        <v>1013.3137883296796</v>
      </c>
      <c r="F83" s="50">
        <f>829.07065508206*Deflactores!$V$5</f>
        <v>1168.8997917930026</v>
      </c>
      <c r="G83" s="50">
        <f>1121.05488114801*Deflactores!$W$5</f>
        <v>1397.2470945253326</v>
      </c>
      <c r="H83" s="50">
        <f>2039.29652315846*Deflactores!$X$5</f>
        <v>2325.8731955232583</v>
      </c>
      <c r="I83" s="50">
        <f>1972.69061701417*Deflactores!$Y$5</f>
        <v>2138.6951963055326</v>
      </c>
      <c r="J83" s="50">
        <f>2110.13515388882*Deflactores!$Z$5</f>
        <v>2176.694459143368</v>
      </c>
      <c r="K83" s="50">
        <f>1514.26379423259*Deflactores!$AA$5</f>
        <v>1514.26379423259</v>
      </c>
    </row>
    <row r="84" spans="1:11" x14ac:dyDescent="0.2">
      <c r="C84" s="87" t="s">
        <v>148</v>
      </c>
      <c r="D84" s="42">
        <f>131.86012306384*Deflactores!$T$5</f>
        <v>199.51788341175344</v>
      </c>
      <c r="E84" s="42">
        <f>169.528733938289*Deflactores!$U$5</f>
        <v>252.44990959670642</v>
      </c>
      <c r="F84" s="42">
        <f>196.59069856996*Deflactores!$V$5</f>
        <v>277.17158389126979</v>
      </c>
      <c r="G84" s="42">
        <f>242.37571934876*Deflactores!$W$5</f>
        <v>302.08937612112328</v>
      </c>
      <c r="H84" s="42">
        <f>233.308292914719*Deflactores!$X$5</f>
        <v>266.09445885936447</v>
      </c>
      <c r="I84" s="42">
        <f>247.65642707201*Deflactores!$Y$5</f>
        <v>268.49704983885704</v>
      </c>
      <c r="J84" s="42">
        <f>262.45457091479*Deflactores!$Z$5</f>
        <v>270.73308988490209</v>
      </c>
      <c r="K84" s="42">
        <f>172.47354880496*Deflactores!$AA$5</f>
        <v>172.47354880495999</v>
      </c>
    </row>
    <row r="85" spans="1:11" x14ac:dyDescent="0.2">
      <c r="C85" s="88" t="s">
        <v>149</v>
      </c>
      <c r="D85" s="50">
        <f>1049.94701258532*Deflactores!$T$5</f>
        <v>1588.6774619806438</v>
      </c>
      <c r="E85" s="50">
        <f>1264.78092626602*Deflactores!$U$5</f>
        <v>1883.4201322574795</v>
      </c>
      <c r="F85" s="50">
        <f>1382.95297308313*Deflactores!$V$5</f>
        <v>1949.813845644293</v>
      </c>
      <c r="G85" s="50">
        <f>1379.46152380394*Deflactores!$W$5</f>
        <v>1719.3169028181298</v>
      </c>
      <c r="H85" s="50">
        <f>1466.14749357714*Deflactores!$X$5</f>
        <v>1672.1811258291957</v>
      </c>
      <c r="I85" s="50">
        <f>3077.89905639073*Deflactores!$Y$5</f>
        <v>3336.9084183000914</v>
      </c>
      <c r="J85" s="50">
        <f>1838.51037939204*Deflactores!$Z$5</f>
        <v>1896.5019129343782</v>
      </c>
      <c r="K85" s="50">
        <f>1184.84490647456*Deflactores!$AA$5</f>
        <v>1184.84490647456</v>
      </c>
    </row>
    <row r="86" spans="1:11" x14ac:dyDescent="0.2">
      <c r="C86" s="87" t="s">
        <v>163</v>
      </c>
      <c r="D86" s="42">
        <f>5102.22697644615*Deflactores!$T$5</f>
        <v>7720.1924537415234</v>
      </c>
      <c r="E86" s="42">
        <f>5635.39491743344*Deflactores!$U$5</f>
        <v>8391.8218723067821</v>
      </c>
      <c r="F86" s="42">
        <f>4023.59219583881*Deflactores!$V$5</f>
        <v>5672.8290298857855</v>
      </c>
      <c r="G86" s="42">
        <f>4214.12408689*Deflactores!$W$5</f>
        <v>5252.3500279901755</v>
      </c>
      <c r="H86" s="42">
        <f>4996.89998749019*Deflactores!$X$5</f>
        <v>5699.1004543142926</v>
      </c>
      <c r="I86" s="42">
        <f>5506.91813104931*Deflactores!$Y$5</f>
        <v>5970.3327281747806</v>
      </c>
      <c r="J86" s="42">
        <f>6326.41873263901*Deflactores!$Z$5</f>
        <v>6525.9708963086168</v>
      </c>
      <c r="K86" s="42">
        <f>2224.68606681676*Deflactores!$AA$5</f>
        <v>2224.6860668167601</v>
      </c>
    </row>
    <row r="87" spans="1:11" x14ac:dyDescent="0.2">
      <c r="C87" s="88" t="s">
        <v>150</v>
      </c>
      <c r="D87" s="50">
        <f>6575.66984927237*Deflactores!$T$5</f>
        <v>9949.662565581868</v>
      </c>
      <c r="E87" s="50">
        <f>6905.44839028756*Deflactores!$U$5</f>
        <v>10283.093498989949</v>
      </c>
      <c r="F87" s="50">
        <f>10010.6107230669*Deflactores!$V$5</f>
        <v>14113.876444891799</v>
      </c>
      <c r="G87" s="50">
        <f>10808.879773064*Deflactores!$W$5</f>
        <v>13471.843450270249</v>
      </c>
      <c r="H87" s="50">
        <f>10349.2629829576*Deflactores!$X$5</f>
        <v>11803.616145140535</v>
      </c>
      <c r="I87" s="50">
        <f>12304.2570241723*Deflactores!$Y$5</f>
        <v>13339.676868102062</v>
      </c>
      <c r="J87" s="50">
        <f>11892.7170295945*Deflactores!$Z$5</f>
        <v>12267.845125830392</v>
      </c>
      <c r="K87" s="50">
        <f>8901.08836412219*Deflactores!$AA$5</f>
        <v>8901.0883641221899</v>
      </c>
    </row>
    <row r="88" spans="1:11" x14ac:dyDescent="0.2">
      <c r="C88" s="87" t="s">
        <v>151</v>
      </c>
      <c r="D88" s="42">
        <f>1925.21048560087*Deflactores!$T$5</f>
        <v>2913.0408214713334</v>
      </c>
      <c r="E88" s="42">
        <f>1980.99172377834*Deflactores!$U$5</f>
        <v>2949.9493682393086</v>
      </c>
      <c r="F88" s="42">
        <f>3221.0590711635*Deflactores!$V$5</f>
        <v>4541.3442805587119</v>
      </c>
      <c r="G88" s="42">
        <f>3100.58621018887*Deflactores!$W$5</f>
        <v>3864.4718883657674</v>
      </c>
      <c r="H88" s="42">
        <f>4925.39672612925*Deflactores!$X$5</f>
        <v>5617.5490383709521</v>
      </c>
      <c r="I88" s="42">
        <f>5318.6024361443*Deflactores!$Y$5</f>
        <v>5766.1700132469432</v>
      </c>
      <c r="J88" s="42">
        <f>3990.29980425294*Deflactores!$Z$5</f>
        <v>4116.1645301397966</v>
      </c>
      <c r="K88" s="42">
        <f>1759.56623936566*Deflactores!$AA$5</f>
        <v>1759.5662393656601</v>
      </c>
    </row>
    <row r="89" spans="1:11" x14ac:dyDescent="0.2">
      <c r="C89" s="79" t="s">
        <v>202</v>
      </c>
      <c r="D89" s="44">
        <f t="shared" ref="D89:K89" si="1">+SUM(D58:D88)</f>
        <v>61132.041921195771</v>
      </c>
      <c r="E89" s="44">
        <f t="shared" si="1"/>
        <v>62564.573752742937</v>
      </c>
      <c r="F89" s="44">
        <f t="shared" si="1"/>
        <v>79627.064190408128</v>
      </c>
      <c r="G89" s="44">
        <f t="shared" si="1"/>
        <v>82213.022943563119</v>
      </c>
      <c r="H89" s="44">
        <f t="shared" si="1"/>
        <v>85546.890252844067</v>
      </c>
      <c r="I89" s="44">
        <f t="shared" si="1"/>
        <v>94826.036605586502</v>
      </c>
      <c r="J89" s="44">
        <f t="shared" si="1"/>
        <v>78469.925232519701</v>
      </c>
      <c r="K89" s="44">
        <f t="shared" si="1"/>
        <v>38513.91436066942</v>
      </c>
    </row>
    <row r="90" spans="1:11" s="31" customFormat="1" x14ac:dyDescent="0.2">
      <c r="A90" s="5"/>
      <c r="B90" s="5"/>
      <c r="C90" s="72" t="str">
        <f>+'C1 Aprop Resumen 2000-2026'!B20</f>
        <v>* Información con corte a 28 de febrero</v>
      </c>
      <c r="D90" s="121">
        <f>+D89-'C5 Ejecución PGN 2019-2026'!D65</f>
        <v>0</v>
      </c>
      <c r="E90" s="121">
        <f>+E89-'C5 Ejecución PGN 2019-2026'!E65</f>
        <v>0</v>
      </c>
      <c r="F90" s="121">
        <f>+F89-'C5 Ejecución PGN 2019-2026'!F65</f>
        <v>-1.3096723705530167E-10</v>
      </c>
      <c r="G90" s="121">
        <f>+G89-'C5 Ejecución PGN 2019-2026'!G65</f>
        <v>-1.1641532182693481E-10</v>
      </c>
      <c r="H90" s="121">
        <f>+H89-'C5 Ejecución PGN 2019-2026'!H65</f>
        <v>0</v>
      </c>
      <c r="I90" s="121">
        <f>+I89-'C5 Ejecución PGN 2019-2026'!I65</f>
        <v>0</v>
      </c>
      <c r="J90" s="121">
        <f>+J89-'C5 Ejecución PGN 2019-2026'!J65</f>
        <v>0</v>
      </c>
      <c r="K90" s="121">
        <f>+K89-'C5 Ejecución PGN 2019-2026'!K65</f>
        <v>0</v>
      </c>
    </row>
    <row r="91" spans="1:11" x14ac:dyDescent="0.2">
      <c r="C91" s="1" t="s">
        <v>52</v>
      </c>
      <c r="D91" s="11"/>
      <c r="E91" s="11"/>
      <c r="F91" s="11"/>
      <c r="G91" s="11"/>
      <c r="H91" s="11"/>
    </row>
    <row r="92" spans="1:11" x14ac:dyDescent="0.2">
      <c r="D92" s="11"/>
      <c r="E92" s="11"/>
      <c r="F92" s="11"/>
    </row>
    <row r="93" spans="1:11" x14ac:dyDescent="0.2">
      <c r="D93" s="11"/>
      <c r="E93" s="11"/>
      <c r="F93" s="11"/>
    </row>
    <row r="94" spans="1:11" x14ac:dyDescent="0.2">
      <c r="D94" s="11"/>
      <c r="E94" s="11"/>
      <c r="F94" s="11"/>
    </row>
    <row r="95" spans="1:11" ht="15" customHeight="1" x14ac:dyDescent="0.2">
      <c r="C95" s="9"/>
      <c r="D95" s="131" t="s">
        <v>204</v>
      </c>
      <c r="E95" s="131"/>
      <c r="F95" s="131"/>
      <c r="G95" s="131"/>
      <c r="H95" s="131"/>
      <c r="I95" s="131"/>
      <c r="J95" s="131"/>
      <c r="K95" s="131"/>
    </row>
    <row r="96" spans="1:11" ht="11.25" hidden="1" customHeight="1" x14ac:dyDescent="0.2">
      <c r="D96" s="28"/>
      <c r="E96" s="28"/>
      <c r="F96" s="28"/>
    </row>
    <row r="97" spans="3:11" x14ac:dyDescent="0.2">
      <c r="E97" s="29"/>
      <c r="F97" s="29"/>
    </row>
    <row r="98" spans="3:11" ht="12" thickBot="1" x14ac:dyDescent="0.25">
      <c r="C98" s="177" t="s">
        <v>120</v>
      </c>
      <c r="D98" s="153">
        <v>2019</v>
      </c>
      <c r="E98" s="153">
        <v>2020</v>
      </c>
      <c r="F98" s="153">
        <v>2021</v>
      </c>
      <c r="G98" s="153">
        <v>2022</v>
      </c>
      <c r="H98" s="153">
        <v>2023</v>
      </c>
      <c r="I98" s="153">
        <v>2024</v>
      </c>
      <c r="J98" s="153">
        <v>2025</v>
      </c>
      <c r="K98" s="153" t="s">
        <v>36</v>
      </c>
    </row>
    <row r="99" spans="3:11" ht="12" customHeight="1" thickBot="1" x14ac:dyDescent="0.25">
      <c r="C99" s="156"/>
      <c r="D99" s="154"/>
      <c r="E99" s="154"/>
      <c r="F99" s="154"/>
      <c r="G99" s="154"/>
      <c r="H99" s="154"/>
      <c r="I99" s="154"/>
      <c r="J99" s="154"/>
      <c r="K99" s="154"/>
    </row>
    <row r="100" spans="3:11" x14ac:dyDescent="0.2">
      <c r="C100" s="87" t="s">
        <v>123</v>
      </c>
      <c r="D100" s="47">
        <f t="shared" ref="D100:K109" si="2">+IFERROR(IF(D58&gt;0,+((D58/D15)*100)," "),"")</f>
        <v>95.483581548195573</v>
      </c>
      <c r="E100" s="47">
        <f t="shared" si="2"/>
        <v>94.941957705853355</v>
      </c>
      <c r="F100" s="47">
        <f t="shared" si="2"/>
        <v>93.553600424112858</v>
      </c>
      <c r="G100" s="47">
        <f t="shared" si="2"/>
        <v>88.325367013619569</v>
      </c>
      <c r="H100" s="47">
        <f t="shared" si="2"/>
        <v>92.180019142653592</v>
      </c>
      <c r="I100" s="47">
        <f t="shared" si="2"/>
        <v>97.209463942245293</v>
      </c>
      <c r="J100" s="47">
        <f t="shared" si="2"/>
        <v>95.146659147677624</v>
      </c>
      <c r="K100" s="47">
        <f t="shared" si="2"/>
        <v>38.849211061111909</v>
      </c>
    </row>
    <row r="101" spans="3:11" x14ac:dyDescent="0.2">
      <c r="C101" s="88" t="s">
        <v>124</v>
      </c>
      <c r="D101" s="116">
        <f t="shared" si="2"/>
        <v>95.062022469341429</v>
      </c>
      <c r="E101" s="116">
        <f t="shared" si="2"/>
        <v>95.048595528164981</v>
      </c>
      <c r="F101" s="116">
        <f t="shared" si="2"/>
        <v>76.618102792825979</v>
      </c>
      <c r="G101" s="116">
        <f t="shared" si="2"/>
        <v>82.716658042911817</v>
      </c>
      <c r="H101" s="116">
        <f t="shared" si="2"/>
        <v>83.019224045868626</v>
      </c>
      <c r="I101" s="116">
        <f t="shared" si="2"/>
        <v>97.536343266362977</v>
      </c>
      <c r="J101" s="116">
        <f t="shared" si="2"/>
        <v>97.214289624961026</v>
      </c>
      <c r="K101" s="116">
        <f t="shared" si="2"/>
        <v>46.660472381185357</v>
      </c>
    </row>
    <row r="102" spans="3:11" x14ac:dyDescent="0.2">
      <c r="C102" s="87" t="s">
        <v>125</v>
      </c>
      <c r="D102" s="47">
        <f t="shared" si="2"/>
        <v>99.961103391274875</v>
      </c>
      <c r="E102" s="47">
        <f t="shared" si="2"/>
        <v>99.093095305659773</v>
      </c>
      <c r="F102" s="47">
        <f t="shared" si="2"/>
        <v>99.167724312621502</v>
      </c>
      <c r="G102" s="47">
        <f t="shared" si="2"/>
        <v>99.928007965450846</v>
      </c>
      <c r="H102" s="47">
        <f t="shared" si="2"/>
        <v>98.740813549341709</v>
      </c>
      <c r="I102" s="47">
        <f t="shared" si="2"/>
        <v>98.237727232815587</v>
      </c>
      <c r="J102" s="47">
        <f t="shared" si="2"/>
        <v>97.951336453366082</v>
      </c>
      <c r="K102" s="47">
        <f t="shared" si="2"/>
        <v>47.841223325015029</v>
      </c>
    </row>
    <row r="103" spans="3:11" x14ac:dyDescent="0.2">
      <c r="C103" s="88" t="s">
        <v>126</v>
      </c>
      <c r="D103" s="116">
        <f t="shared" si="2"/>
        <v>98.013344985036042</v>
      </c>
      <c r="E103" s="116">
        <f t="shared" si="2"/>
        <v>96.183465362407219</v>
      </c>
      <c r="F103" s="116">
        <f t="shared" si="2"/>
        <v>95.097654834504567</v>
      </c>
      <c r="G103" s="116">
        <f t="shared" si="2"/>
        <v>95.325528092682163</v>
      </c>
      <c r="H103" s="116">
        <f t="shared" si="2"/>
        <v>97.57877471812975</v>
      </c>
      <c r="I103" s="116">
        <f t="shared" si="2"/>
        <v>95.017281884682973</v>
      </c>
      <c r="J103" s="116">
        <f t="shared" si="2"/>
        <v>96.730855011062744</v>
      </c>
      <c r="K103" s="116">
        <f t="shared" si="2"/>
        <v>75.472314513598931</v>
      </c>
    </row>
    <row r="104" spans="3:11" x14ac:dyDescent="0.2">
      <c r="C104" s="87" t="s">
        <v>127</v>
      </c>
      <c r="D104" s="47">
        <f t="shared" si="2"/>
        <v>94.479768523844328</v>
      </c>
      <c r="E104" s="47">
        <f t="shared" si="2"/>
        <v>98.733460697228779</v>
      </c>
      <c r="F104" s="47">
        <f t="shared" si="2"/>
        <v>97.760069742216075</v>
      </c>
      <c r="G104" s="47">
        <f t="shared" si="2"/>
        <v>86.127672148666463</v>
      </c>
      <c r="H104" s="47">
        <f t="shared" si="2"/>
        <v>95.586965198124602</v>
      </c>
      <c r="I104" s="47">
        <f t="shared" si="2"/>
        <v>98.936286198779456</v>
      </c>
      <c r="J104" s="47">
        <f t="shared" si="2"/>
        <v>99.359080236880018</v>
      </c>
      <c r="K104" s="47">
        <f t="shared" si="2"/>
        <v>87.877855665880006</v>
      </c>
    </row>
    <row r="105" spans="3:11" x14ac:dyDescent="0.2">
      <c r="C105" s="88" t="s">
        <v>128</v>
      </c>
      <c r="D105" s="116">
        <f t="shared" si="2"/>
        <v>98.985018816285717</v>
      </c>
      <c r="E105" s="116">
        <f t="shared" si="2"/>
        <v>99.657575309629394</v>
      </c>
      <c r="F105" s="116">
        <f t="shared" si="2"/>
        <v>98.610030414686833</v>
      </c>
      <c r="G105" s="116">
        <f t="shared" si="2"/>
        <v>97.680637174377807</v>
      </c>
      <c r="H105" s="116">
        <f t="shared" si="2"/>
        <v>98.301116049754313</v>
      </c>
      <c r="I105" s="116">
        <f t="shared" si="2"/>
        <v>98.67865600902573</v>
      </c>
      <c r="J105" s="116">
        <f t="shared" si="2"/>
        <v>99.601765033691308</v>
      </c>
      <c r="K105" s="116">
        <f t="shared" si="2"/>
        <v>48.058482810993212</v>
      </c>
    </row>
    <row r="106" spans="3:11" x14ac:dyDescent="0.2">
      <c r="C106" s="87" t="s">
        <v>129</v>
      </c>
      <c r="D106" s="47">
        <f t="shared" si="2"/>
        <v>99.582957114944747</v>
      </c>
      <c r="E106" s="47">
        <f t="shared" si="2"/>
        <v>99.227224472805602</v>
      </c>
      <c r="F106" s="47">
        <f t="shared" si="2"/>
        <v>98.852351855024779</v>
      </c>
      <c r="G106" s="47">
        <f t="shared" si="2"/>
        <v>95.85481367972632</v>
      </c>
      <c r="H106" s="47">
        <f t="shared" si="2"/>
        <v>94.337412748716503</v>
      </c>
      <c r="I106" s="47">
        <f t="shared" si="2"/>
        <v>93.085610634509834</v>
      </c>
      <c r="J106" s="47">
        <f t="shared" si="2"/>
        <v>98.497291166506045</v>
      </c>
      <c r="K106" s="47">
        <f t="shared" si="2"/>
        <v>42.300422230698224</v>
      </c>
    </row>
    <row r="107" spans="3:11" x14ac:dyDescent="0.2">
      <c r="C107" s="88" t="s">
        <v>130</v>
      </c>
      <c r="D107" s="116">
        <f t="shared" si="2"/>
        <v>96.152329087002158</v>
      </c>
      <c r="E107" s="116">
        <f t="shared" si="2"/>
        <v>95.41649255760241</v>
      </c>
      <c r="F107" s="116">
        <f t="shared" si="2"/>
        <v>95.738091109540761</v>
      </c>
      <c r="G107" s="116">
        <f t="shared" si="2"/>
        <v>98.092260331530568</v>
      </c>
      <c r="H107" s="116">
        <f t="shared" si="2"/>
        <v>72.91573030280864</v>
      </c>
      <c r="I107" s="116">
        <f t="shared" si="2"/>
        <v>93.523266220800295</v>
      </c>
      <c r="J107" s="116">
        <f t="shared" si="2"/>
        <v>99.063327792382495</v>
      </c>
      <c r="K107" s="116">
        <f t="shared" si="2"/>
        <v>78.231465026026441</v>
      </c>
    </row>
    <row r="108" spans="3:11" x14ac:dyDescent="0.2">
      <c r="C108" s="87" t="s">
        <v>131</v>
      </c>
      <c r="D108" s="47">
        <f t="shared" si="2"/>
        <v>99.920094573821032</v>
      </c>
      <c r="E108" s="47">
        <f t="shared" si="2"/>
        <v>99.866850495882886</v>
      </c>
      <c r="F108" s="47">
        <f t="shared" si="2"/>
        <v>99.888927664237883</v>
      </c>
      <c r="G108" s="47">
        <f t="shared" si="2"/>
        <v>99.888983488167</v>
      </c>
      <c r="H108" s="47">
        <f t="shared" si="2"/>
        <v>99.73183285171892</v>
      </c>
      <c r="I108" s="47">
        <f t="shared" si="2"/>
        <v>99.695732735355875</v>
      </c>
      <c r="J108" s="47">
        <f t="shared" si="2"/>
        <v>99.66233001741989</v>
      </c>
      <c r="K108" s="47">
        <f t="shared" si="2"/>
        <v>20.011615529998451</v>
      </c>
    </row>
    <row r="109" spans="3:11" x14ac:dyDescent="0.2">
      <c r="C109" s="88" t="s">
        <v>132</v>
      </c>
      <c r="D109" s="116">
        <f t="shared" si="2"/>
        <v>92.604445580113662</v>
      </c>
      <c r="E109" s="116">
        <f t="shared" si="2"/>
        <v>71.796506957029393</v>
      </c>
      <c r="F109" s="116">
        <f t="shared" si="2"/>
        <v>65.03502512501835</v>
      </c>
      <c r="G109" s="116">
        <f t="shared" si="2"/>
        <v>68.245479595647168</v>
      </c>
      <c r="H109" s="116">
        <f t="shared" si="2"/>
        <v>75.908736955355934</v>
      </c>
      <c r="I109" s="116">
        <f t="shared" si="2"/>
        <v>88.537206533929563</v>
      </c>
      <c r="J109" s="116">
        <f t="shared" si="2"/>
        <v>89.393956786595368</v>
      </c>
      <c r="K109" s="116">
        <f t="shared" si="2"/>
        <v>43.55539710983124</v>
      </c>
    </row>
    <row r="110" spans="3:11" x14ac:dyDescent="0.2">
      <c r="C110" s="87" t="s">
        <v>133</v>
      </c>
      <c r="D110" s="47">
        <f t="shared" ref="D110:K119" si="3">+IFERROR(IF(D68&gt;0,+((D68/D25)*100)," "),"")</f>
        <v>99.206959678040633</v>
      </c>
      <c r="E110" s="47">
        <f t="shared" si="3"/>
        <v>98.109144547189914</v>
      </c>
      <c r="F110" s="47">
        <f t="shared" si="3"/>
        <v>95.97484672109519</v>
      </c>
      <c r="G110" s="47">
        <f t="shared" si="3"/>
        <v>98.280478008083378</v>
      </c>
      <c r="H110" s="47">
        <f t="shared" si="3"/>
        <v>92.720826595858725</v>
      </c>
      <c r="I110" s="47">
        <f t="shared" si="3"/>
        <v>98.202683633028016</v>
      </c>
      <c r="J110" s="47">
        <f t="shared" si="3"/>
        <v>99.473296311604614</v>
      </c>
      <c r="K110" s="47">
        <f t="shared" si="3"/>
        <v>41.642820142675845</v>
      </c>
    </row>
    <row r="111" spans="3:11" x14ac:dyDescent="0.2">
      <c r="C111" s="88" t="s">
        <v>134</v>
      </c>
      <c r="D111" s="116">
        <f t="shared" si="3"/>
        <v>65.899810777035768</v>
      </c>
      <c r="E111" s="116">
        <f t="shared" si="3"/>
        <v>53.432018849215538</v>
      </c>
      <c r="F111" s="116">
        <f t="shared" si="3"/>
        <v>73.195553406598577</v>
      </c>
      <c r="G111" s="116">
        <f t="shared" si="3"/>
        <v>78.530278930310971</v>
      </c>
      <c r="H111" s="116">
        <f t="shared" si="3"/>
        <v>35.385791450190482</v>
      </c>
      <c r="I111" s="116">
        <f t="shared" si="3"/>
        <v>91.523312560437418</v>
      </c>
      <c r="J111" s="116">
        <f t="shared" si="3"/>
        <v>90.072919486634973</v>
      </c>
      <c r="K111" s="116">
        <f t="shared" si="3"/>
        <v>77.031982131435157</v>
      </c>
    </row>
    <row r="112" spans="3:11" x14ac:dyDescent="0.2">
      <c r="C112" s="87" t="s">
        <v>135</v>
      </c>
      <c r="D112" s="47" t="str">
        <f t="shared" si="3"/>
        <v xml:space="preserve"> </v>
      </c>
      <c r="E112" s="47" t="str">
        <f t="shared" si="3"/>
        <v xml:space="preserve"> </v>
      </c>
      <c r="F112" s="47" t="str">
        <f t="shared" si="3"/>
        <v xml:space="preserve"> </v>
      </c>
      <c r="G112" s="47" t="str">
        <f t="shared" si="3"/>
        <v xml:space="preserve"> </v>
      </c>
      <c r="H112" s="47" t="str">
        <f t="shared" si="3"/>
        <v xml:space="preserve"> </v>
      </c>
      <c r="I112" s="47">
        <f t="shared" si="3"/>
        <v>99.089672007502116</v>
      </c>
      <c r="J112" s="47">
        <f t="shared" si="3"/>
        <v>99.830894364243349</v>
      </c>
      <c r="K112" s="47">
        <f t="shared" si="3"/>
        <v>61.286662174806452</v>
      </c>
    </row>
    <row r="113" spans="3:11" x14ac:dyDescent="0.2">
      <c r="C113" s="88" t="s">
        <v>136</v>
      </c>
      <c r="D113" s="116">
        <f t="shared" si="3"/>
        <v>99.296727857872881</v>
      </c>
      <c r="E113" s="116">
        <f t="shared" si="3"/>
        <v>98.983557009791113</v>
      </c>
      <c r="F113" s="116">
        <f t="shared" si="3"/>
        <v>96.684393914873993</v>
      </c>
      <c r="G113" s="116">
        <f t="shared" si="3"/>
        <v>98.553225991905165</v>
      </c>
      <c r="H113" s="116">
        <f t="shared" si="3"/>
        <v>92.310614238251958</v>
      </c>
      <c r="I113" s="116">
        <f t="shared" si="3"/>
        <v>97.407612083282984</v>
      </c>
      <c r="J113" s="116">
        <f t="shared" si="3"/>
        <v>98.967311280751673</v>
      </c>
      <c r="K113" s="116">
        <f t="shared" si="3"/>
        <v>20.035518633442688</v>
      </c>
    </row>
    <row r="114" spans="3:11" x14ac:dyDescent="0.2">
      <c r="C114" s="87" t="s">
        <v>137</v>
      </c>
      <c r="D114" s="47">
        <f t="shared" si="3"/>
        <v>95.115475028829351</v>
      </c>
      <c r="E114" s="47">
        <f t="shared" si="3"/>
        <v>92.718318813859085</v>
      </c>
      <c r="F114" s="47">
        <f t="shared" si="3"/>
        <v>64.832202786723443</v>
      </c>
      <c r="G114" s="47">
        <f t="shared" si="3"/>
        <v>57.427864722007307</v>
      </c>
      <c r="H114" s="47">
        <f t="shared" si="3"/>
        <v>81.061668570414469</v>
      </c>
      <c r="I114" s="47">
        <f t="shared" si="3"/>
        <v>94.432623780217796</v>
      </c>
      <c r="J114" s="47">
        <f t="shared" si="3"/>
        <v>96.135178849061646</v>
      </c>
      <c r="K114" s="47">
        <f t="shared" si="3"/>
        <v>51.81764536052269</v>
      </c>
    </row>
    <row r="115" spans="3:11" x14ac:dyDescent="0.2">
      <c r="C115" s="88" t="s">
        <v>138</v>
      </c>
      <c r="D115" s="116">
        <f t="shared" si="3"/>
        <v>99.990654521629935</v>
      </c>
      <c r="E115" s="116">
        <f t="shared" si="3"/>
        <v>99.961007492574822</v>
      </c>
      <c r="F115" s="116">
        <f t="shared" si="3"/>
        <v>97.226082049471614</v>
      </c>
      <c r="G115" s="116">
        <f t="shared" si="3"/>
        <v>87.52738865362501</v>
      </c>
      <c r="H115" s="116">
        <f t="shared" si="3"/>
        <v>98.583139306344833</v>
      </c>
      <c r="I115" s="116">
        <f t="shared" si="3"/>
        <v>97.262777770164305</v>
      </c>
      <c r="J115" s="116">
        <f t="shared" si="3"/>
        <v>99.961076980065087</v>
      </c>
      <c r="K115" s="116">
        <f t="shared" si="3"/>
        <v>31.950306060715196</v>
      </c>
    </row>
    <row r="116" spans="3:11" x14ac:dyDescent="0.2">
      <c r="C116" s="87" t="s">
        <v>160</v>
      </c>
      <c r="D116" s="47">
        <f t="shared" si="3"/>
        <v>91.614986936697974</v>
      </c>
      <c r="E116" s="47">
        <f t="shared" si="3"/>
        <v>95.074663714325808</v>
      </c>
      <c r="F116" s="47">
        <f t="shared" si="3"/>
        <v>94.564305032470557</v>
      </c>
      <c r="G116" s="47">
        <f t="shared" si="3"/>
        <v>79.029744768169735</v>
      </c>
      <c r="H116" s="47">
        <f t="shared" si="3"/>
        <v>92.570713268672321</v>
      </c>
      <c r="I116" s="47">
        <f t="shared" si="3"/>
        <v>86.785954388436934</v>
      </c>
      <c r="J116" s="47">
        <f t="shared" si="3"/>
        <v>98.718507893612639</v>
      </c>
      <c r="K116" s="47">
        <f t="shared" si="3"/>
        <v>28.068624785989783</v>
      </c>
    </row>
    <row r="117" spans="3:11" x14ac:dyDescent="0.2">
      <c r="C117" s="88" t="s">
        <v>161</v>
      </c>
      <c r="D117" s="116">
        <f t="shared" si="3"/>
        <v>86.325163777721997</v>
      </c>
      <c r="E117" s="116">
        <f t="shared" si="3"/>
        <v>90.5670132919564</v>
      </c>
      <c r="F117" s="116">
        <f t="shared" si="3"/>
        <v>89.158004436845275</v>
      </c>
      <c r="G117" s="116">
        <f t="shared" si="3"/>
        <v>69.694523038139693</v>
      </c>
      <c r="H117" s="116">
        <f t="shared" si="3"/>
        <v>84.783463467099324</v>
      </c>
      <c r="I117" s="116">
        <f t="shared" si="3"/>
        <v>95.918888820783039</v>
      </c>
      <c r="J117" s="116">
        <f t="shared" si="3"/>
        <v>89.116948064216217</v>
      </c>
      <c r="K117" s="116">
        <f t="shared" si="3"/>
        <v>33.156240630511981</v>
      </c>
    </row>
    <row r="118" spans="3:11" x14ac:dyDescent="0.2">
      <c r="C118" s="87" t="s">
        <v>140</v>
      </c>
      <c r="D118" s="47">
        <f t="shared" si="3"/>
        <v>97.709503650105646</v>
      </c>
      <c r="E118" s="47">
        <f t="shared" si="3"/>
        <v>98.331921034320999</v>
      </c>
      <c r="F118" s="47">
        <f t="shared" si="3"/>
        <v>96.03616040597278</v>
      </c>
      <c r="G118" s="47">
        <f t="shared" si="3"/>
        <v>92.455236674600471</v>
      </c>
      <c r="H118" s="47">
        <f t="shared" si="3"/>
        <v>91.214632888222269</v>
      </c>
      <c r="I118" s="47">
        <f t="shared" si="3"/>
        <v>96.850843179577836</v>
      </c>
      <c r="J118" s="47">
        <f t="shared" si="3"/>
        <v>94.568337119076716</v>
      </c>
      <c r="K118" s="47">
        <f t="shared" si="3"/>
        <v>27.614572296724678</v>
      </c>
    </row>
    <row r="119" spans="3:11" x14ac:dyDescent="0.2">
      <c r="C119" s="88" t="s">
        <v>141</v>
      </c>
      <c r="D119" s="116">
        <f t="shared" si="3"/>
        <v>93.725072952524656</v>
      </c>
      <c r="E119" s="116">
        <f t="shared" si="3"/>
        <v>90.97495324328689</v>
      </c>
      <c r="F119" s="116">
        <f t="shared" si="3"/>
        <v>84.973516531592296</v>
      </c>
      <c r="G119" s="116">
        <f t="shared" si="3"/>
        <v>72.684884997754253</v>
      </c>
      <c r="H119" s="116">
        <f t="shared" si="3"/>
        <v>89.456737086477816</v>
      </c>
      <c r="I119" s="116">
        <f t="shared" si="3"/>
        <v>89.592219740791265</v>
      </c>
      <c r="J119" s="116">
        <f t="shared" si="3"/>
        <v>94.940527888462171</v>
      </c>
      <c r="K119" s="116">
        <f t="shared" si="3"/>
        <v>19.81244064188224</v>
      </c>
    </row>
    <row r="120" spans="3:11" x14ac:dyDescent="0.2">
      <c r="C120" s="87" t="s">
        <v>142</v>
      </c>
      <c r="D120" s="47">
        <f t="shared" ref="D120:K129" si="4">+IFERROR(IF(D78&gt;0,+((D78/D35)*100)," "),"")</f>
        <v>96.207738858097414</v>
      </c>
      <c r="E120" s="47">
        <f t="shared" si="4"/>
        <v>97.492230935787205</v>
      </c>
      <c r="F120" s="47">
        <f t="shared" si="4"/>
        <v>92.00726847396264</v>
      </c>
      <c r="G120" s="47">
        <f t="shared" si="4"/>
        <v>92.950095775179193</v>
      </c>
      <c r="H120" s="47">
        <f t="shared" si="4"/>
        <v>93.041414622709468</v>
      </c>
      <c r="I120" s="47">
        <f t="shared" si="4"/>
        <v>85.565515522428157</v>
      </c>
      <c r="J120" s="47">
        <f t="shared" si="4"/>
        <v>96.079648625215683</v>
      </c>
      <c r="K120" s="47">
        <f t="shared" si="4"/>
        <v>43.162378505786862</v>
      </c>
    </row>
    <row r="121" spans="3:11" x14ac:dyDescent="0.2">
      <c r="C121" s="88" t="s">
        <v>143</v>
      </c>
      <c r="D121" s="116">
        <f t="shared" si="4"/>
        <v>91.284813611710007</v>
      </c>
      <c r="E121" s="116">
        <f t="shared" si="4"/>
        <v>95.525851600405858</v>
      </c>
      <c r="F121" s="116">
        <f t="shared" si="4"/>
        <v>95.576944534275015</v>
      </c>
      <c r="G121" s="116">
        <f t="shared" si="4"/>
        <v>94.040216440098263</v>
      </c>
      <c r="H121" s="116">
        <f t="shared" si="4"/>
        <v>93.529745362105885</v>
      </c>
      <c r="I121" s="116">
        <f t="shared" si="4"/>
        <v>85.670542193476322</v>
      </c>
      <c r="J121" s="116">
        <f t="shared" si="4"/>
        <v>98.530970092719002</v>
      </c>
      <c r="K121" s="116">
        <f t="shared" si="4"/>
        <v>29.40078176032339</v>
      </c>
    </row>
    <row r="122" spans="3:11" x14ac:dyDescent="0.2">
      <c r="C122" s="87" t="s">
        <v>144</v>
      </c>
      <c r="D122" s="47">
        <f t="shared" si="4"/>
        <v>93.837051289448837</v>
      </c>
      <c r="E122" s="47">
        <f t="shared" si="4"/>
        <v>94.941729602483989</v>
      </c>
      <c r="F122" s="47">
        <f t="shared" si="4"/>
        <v>85.526863562744111</v>
      </c>
      <c r="G122" s="47">
        <f t="shared" si="4"/>
        <v>84.314765597743218</v>
      </c>
      <c r="H122" s="47">
        <f t="shared" si="4"/>
        <v>97.616435821096672</v>
      </c>
      <c r="I122" s="47">
        <f t="shared" si="4"/>
        <v>87.393747898805415</v>
      </c>
      <c r="J122" s="47">
        <f t="shared" si="4"/>
        <v>94.787758087106141</v>
      </c>
      <c r="K122" s="47">
        <f t="shared" si="4"/>
        <v>15.187634813519878</v>
      </c>
    </row>
    <row r="123" spans="3:11" x14ac:dyDescent="0.2">
      <c r="C123" s="88" t="s">
        <v>145</v>
      </c>
      <c r="D123" s="116">
        <f t="shared" si="4"/>
        <v>96.280025683094678</v>
      </c>
      <c r="E123" s="116">
        <f t="shared" si="4"/>
        <v>99.213357836211671</v>
      </c>
      <c r="F123" s="116">
        <f t="shared" si="4"/>
        <v>92.283667620047524</v>
      </c>
      <c r="G123" s="116">
        <f t="shared" si="4"/>
        <v>96.022831144513404</v>
      </c>
      <c r="H123" s="116">
        <f t="shared" si="4"/>
        <v>97.388914423773315</v>
      </c>
      <c r="I123" s="116">
        <f t="shared" si="4"/>
        <v>85.827028892212468</v>
      </c>
      <c r="J123" s="116">
        <f t="shared" si="4"/>
        <v>95.300752003717548</v>
      </c>
      <c r="K123" s="116">
        <f t="shared" si="4"/>
        <v>74.708904435734695</v>
      </c>
    </row>
    <row r="124" spans="3:11" x14ac:dyDescent="0.2">
      <c r="C124" s="87" t="s">
        <v>146</v>
      </c>
      <c r="D124" s="47">
        <f t="shared" si="4"/>
        <v>98.346350080958928</v>
      </c>
      <c r="E124" s="47">
        <f t="shared" si="4"/>
        <v>96.462483597549564</v>
      </c>
      <c r="F124" s="47">
        <f t="shared" si="4"/>
        <v>81.13485404602514</v>
      </c>
      <c r="G124" s="47">
        <f t="shared" si="4"/>
        <v>75.946298466899421</v>
      </c>
      <c r="H124" s="47">
        <f t="shared" si="4"/>
        <v>84.58524108936345</v>
      </c>
      <c r="I124" s="47">
        <f t="shared" si="4"/>
        <v>91.545024464891696</v>
      </c>
      <c r="J124" s="47">
        <f t="shared" si="4"/>
        <v>88.198161503041192</v>
      </c>
      <c r="K124" s="47">
        <f t="shared" si="4"/>
        <v>27.298179596480104</v>
      </c>
    </row>
    <row r="125" spans="3:11" x14ac:dyDescent="0.2">
      <c r="C125" s="88" t="s">
        <v>162</v>
      </c>
      <c r="D125" s="116">
        <f t="shared" si="4"/>
        <v>95.181619428698014</v>
      </c>
      <c r="E125" s="116">
        <f t="shared" si="4"/>
        <v>96.22580628924544</v>
      </c>
      <c r="F125" s="116">
        <f t="shared" si="4"/>
        <v>94.239695216864419</v>
      </c>
      <c r="G125" s="116">
        <f t="shared" si="4"/>
        <v>94.770765875363679</v>
      </c>
      <c r="H125" s="116">
        <f t="shared" si="4"/>
        <v>95.95289730362461</v>
      </c>
      <c r="I125" s="116">
        <f t="shared" si="4"/>
        <v>95.917667340256358</v>
      </c>
      <c r="J125" s="116">
        <f t="shared" si="4"/>
        <v>99.236195338897943</v>
      </c>
      <c r="K125" s="116">
        <f t="shared" si="4"/>
        <v>57.734747652060449</v>
      </c>
    </row>
    <row r="126" spans="3:11" x14ac:dyDescent="0.2">
      <c r="C126" s="87" t="s">
        <v>148</v>
      </c>
      <c r="D126" s="47">
        <f t="shared" si="4"/>
        <v>87.550332641644275</v>
      </c>
      <c r="E126" s="47">
        <f t="shared" si="4"/>
        <v>95.254788948116214</v>
      </c>
      <c r="F126" s="47">
        <f t="shared" si="4"/>
        <v>91.769189188323594</v>
      </c>
      <c r="G126" s="47">
        <f t="shared" si="4"/>
        <v>95.017400742872198</v>
      </c>
      <c r="H126" s="47">
        <f t="shared" si="4"/>
        <v>93.674105407507284</v>
      </c>
      <c r="I126" s="47">
        <f t="shared" si="4"/>
        <v>97.399255593046277</v>
      </c>
      <c r="J126" s="47">
        <f t="shared" si="4"/>
        <v>99.195341595097545</v>
      </c>
      <c r="K126" s="47">
        <f t="shared" si="4"/>
        <v>64.88985962963902</v>
      </c>
    </row>
    <row r="127" spans="3:11" x14ac:dyDescent="0.2">
      <c r="C127" s="88" t="s">
        <v>149</v>
      </c>
      <c r="D127" s="116">
        <f t="shared" si="4"/>
        <v>91.990240336751057</v>
      </c>
      <c r="E127" s="116">
        <f t="shared" si="4"/>
        <v>99.684549182663289</v>
      </c>
      <c r="F127" s="116">
        <f t="shared" si="4"/>
        <v>86.075506998077529</v>
      </c>
      <c r="G127" s="116">
        <f t="shared" si="4"/>
        <v>88.111238138584838</v>
      </c>
      <c r="H127" s="116">
        <f t="shared" si="4"/>
        <v>98.050418789558009</v>
      </c>
      <c r="I127" s="116">
        <f t="shared" si="4"/>
        <v>94.413135356881895</v>
      </c>
      <c r="J127" s="116">
        <f t="shared" si="4"/>
        <v>96.794115889755886</v>
      </c>
      <c r="K127" s="116">
        <f t="shared" si="4"/>
        <v>69.376343639763732</v>
      </c>
    </row>
    <row r="128" spans="3:11" x14ac:dyDescent="0.2">
      <c r="C128" s="87" t="s">
        <v>163</v>
      </c>
      <c r="D128" s="47">
        <f t="shared" si="4"/>
        <v>98.523262027933541</v>
      </c>
      <c r="E128" s="47">
        <f t="shared" si="4"/>
        <v>96.989320446536169</v>
      </c>
      <c r="F128" s="47">
        <f t="shared" si="4"/>
        <v>97.039860146938992</v>
      </c>
      <c r="G128" s="47">
        <f t="shared" si="4"/>
        <v>97.266282754687126</v>
      </c>
      <c r="H128" s="47">
        <f t="shared" si="4"/>
        <v>97.586113682223669</v>
      </c>
      <c r="I128" s="47">
        <f t="shared" si="4"/>
        <v>97.237080509132923</v>
      </c>
      <c r="J128" s="47">
        <f t="shared" si="4"/>
        <v>95.248401605171125</v>
      </c>
      <c r="K128" s="47">
        <f t="shared" si="4"/>
        <v>32.801999195381882</v>
      </c>
    </row>
    <row r="129" spans="1:11" x14ac:dyDescent="0.2">
      <c r="C129" s="88" t="s">
        <v>150</v>
      </c>
      <c r="D129" s="116">
        <f t="shared" si="4"/>
        <v>98.790321918934836</v>
      </c>
      <c r="E129" s="116">
        <f t="shared" si="4"/>
        <v>98.387799861079131</v>
      </c>
      <c r="F129" s="116">
        <f t="shared" si="4"/>
        <v>96.64816966960494</v>
      </c>
      <c r="G129" s="116">
        <f t="shared" si="4"/>
        <v>96.228411874356198</v>
      </c>
      <c r="H129" s="116">
        <f t="shared" si="4"/>
        <v>91.555288156092857</v>
      </c>
      <c r="I129" s="116">
        <f t="shared" si="4"/>
        <v>96.303603478011112</v>
      </c>
      <c r="J129" s="116">
        <f t="shared" si="4"/>
        <v>98.030683073012028</v>
      </c>
      <c r="K129" s="116">
        <f t="shared" si="4"/>
        <v>57.221868093207462</v>
      </c>
    </row>
    <row r="130" spans="1:11" x14ac:dyDescent="0.2">
      <c r="C130" s="87" t="s">
        <v>151</v>
      </c>
      <c r="D130" s="47">
        <f t="shared" ref="D130:K131" si="5">+IFERROR(IF(D88&gt;0,+((D88/D45)*100)," "),"")</f>
        <v>98.384956681551543</v>
      </c>
      <c r="E130" s="47">
        <f t="shared" si="5"/>
        <v>99.249450066239987</v>
      </c>
      <c r="F130" s="47">
        <f t="shared" si="5"/>
        <v>99.621393492381614</v>
      </c>
      <c r="G130" s="47">
        <f t="shared" si="5"/>
        <v>97.954064631499691</v>
      </c>
      <c r="H130" s="47">
        <f t="shared" si="5"/>
        <v>98.342139616009263</v>
      </c>
      <c r="I130" s="47">
        <f t="shared" si="5"/>
        <v>99.099970090062541</v>
      </c>
      <c r="J130" s="47">
        <f t="shared" si="5"/>
        <v>99.719384996152343</v>
      </c>
      <c r="K130" s="47">
        <f t="shared" si="5"/>
        <v>68.24650758874381</v>
      </c>
    </row>
    <row r="131" spans="1:11" x14ac:dyDescent="0.2">
      <c r="C131" s="91" t="s">
        <v>202</v>
      </c>
      <c r="D131" s="64">
        <f t="shared" si="5"/>
        <v>96.660002824946062</v>
      </c>
      <c r="E131" s="64">
        <f t="shared" si="5"/>
        <v>96.001758899529392</v>
      </c>
      <c r="F131" s="64">
        <f t="shared" si="5"/>
        <v>94.805680001135045</v>
      </c>
      <c r="G131" s="64">
        <f t="shared" si="5"/>
        <v>94.66119431705917</v>
      </c>
      <c r="H131" s="64">
        <f t="shared" si="5"/>
        <v>90.001773948783807</v>
      </c>
      <c r="I131" s="64">
        <f t="shared" si="5"/>
        <v>96.537932715839304</v>
      </c>
      <c r="J131" s="64">
        <f t="shared" si="5"/>
        <v>97.376960153813258</v>
      </c>
      <c r="K131" s="64">
        <f t="shared" si="5"/>
        <v>43.567410284291824</v>
      </c>
    </row>
    <row r="132" spans="1:11" s="31" customFormat="1" x14ac:dyDescent="0.2">
      <c r="A132" s="5"/>
      <c r="B132" s="5"/>
      <c r="C132" s="72" t="str">
        <f>+'C1 Aprop Resumen 2000-2026'!B20</f>
        <v>* Información con corte a 28 de febrero</v>
      </c>
      <c r="D132" s="47"/>
      <c r="E132" s="47"/>
      <c r="F132" s="47"/>
      <c r="G132" s="47"/>
      <c r="H132" s="47"/>
      <c r="I132" s="47"/>
    </row>
    <row r="133" spans="1:11" x14ac:dyDescent="0.2">
      <c r="C133" s="1" t="s">
        <v>52</v>
      </c>
      <c r="D133" s="11"/>
      <c r="E133" s="11"/>
      <c r="F133" s="11"/>
    </row>
    <row r="134" spans="1:11" x14ac:dyDescent="0.2">
      <c r="D134" s="11"/>
      <c r="E134" s="11"/>
      <c r="F134" s="11"/>
    </row>
    <row r="135" spans="1:11" x14ac:dyDescent="0.2">
      <c r="E135" s="3"/>
      <c r="F135" s="3"/>
    </row>
    <row r="136" spans="1:11" x14ac:dyDescent="0.2">
      <c r="E136" s="3"/>
      <c r="F136" s="3"/>
    </row>
    <row r="137" spans="1:11" x14ac:dyDescent="0.2">
      <c r="E137" s="3"/>
      <c r="F137" s="3"/>
    </row>
    <row r="138" spans="1:11" ht="18" customHeight="1" x14ac:dyDescent="0.2">
      <c r="C138" s="9"/>
      <c r="D138" s="131" t="s">
        <v>205</v>
      </c>
      <c r="E138" s="131"/>
      <c r="F138" s="131"/>
      <c r="G138" s="131"/>
      <c r="H138" s="131"/>
      <c r="I138" s="131"/>
      <c r="J138" s="131"/>
      <c r="K138" s="131"/>
    </row>
    <row r="139" spans="1:11" ht="15.75" customHeight="1" x14ac:dyDescent="0.2">
      <c r="C139" s="150"/>
      <c r="D139" s="150"/>
      <c r="E139" s="150"/>
      <c r="F139" s="150"/>
      <c r="G139" s="150"/>
      <c r="H139" s="150"/>
      <c r="I139" s="150"/>
      <c r="J139" s="150"/>
    </row>
    <row r="140" spans="1:11" x14ac:dyDescent="0.2">
      <c r="C140" s="177" t="s">
        <v>120</v>
      </c>
      <c r="D140" s="153">
        <v>2019</v>
      </c>
      <c r="E140" s="153">
        <v>2020</v>
      </c>
      <c r="F140" s="153">
        <v>2021</v>
      </c>
      <c r="G140" s="153">
        <v>2022</v>
      </c>
      <c r="H140" s="153">
        <v>2023</v>
      </c>
      <c r="I140" s="153">
        <v>2024</v>
      </c>
      <c r="J140" s="153">
        <v>2025</v>
      </c>
      <c r="K140" s="153" t="s">
        <v>36</v>
      </c>
    </row>
    <row r="141" spans="1:11" ht="12" customHeight="1" thickBot="1" x14ac:dyDescent="0.25">
      <c r="C141" s="156"/>
      <c r="D141" s="154"/>
      <c r="E141" s="154"/>
      <c r="F141" s="154"/>
      <c r="G141" s="154"/>
      <c r="H141" s="154"/>
      <c r="I141" s="154"/>
      <c r="J141" s="154"/>
      <c r="K141" s="154"/>
    </row>
    <row r="142" spans="1:11" x14ac:dyDescent="0.2">
      <c r="C142" s="87" t="s">
        <v>123</v>
      </c>
      <c r="D142" s="42">
        <f>876.44054466025*Deflactores!$T$5</f>
        <v>1326.1443895528323</v>
      </c>
      <c r="E142" s="42">
        <f>856.31160033044*Deflactores!$U$5</f>
        <v>1275.1572023697279</v>
      </c>
      <c r="F142" s="42">
        <f>1321.29102046979*Deflactores!$V$5</f>
        <v>1862.8771736857987</v>
      </c>
      <c r="G142" s="42">
        <f>1225.81683714427*Deflactores!$W$5</f>
        <v>1527.8190594613106</v>
      </c>
      <c r="H142" s="42">
        <f>3284.72977374717*Deflactores!$X$5</f>
        <v>3746.3237192515312</v>
      </c>
      <c r="I142" s="42">
        <f>2221.73110255235*Deflactores!$Y$5</f>
        <v>2408.6927749994838</v>
      </c>
      <c r="J142" s="42">
        <f>2219.51938389735*Deflactores!$Z$5</f>
        <v>2289.5289602597722</v>
      </c>
      <c r="K142" s="42">
        <f>57.18222362869*Deflactores!$AA$5</f>
        <v>57.182223628689997</v>
      </c>
    </row>
    <row r="143" spans="1:11" x14ac:dyDescent="0.2">
      <c r="C143" s="88" t="s">
        <v>124</v>
      </c>
      <c r="D143" s="50">
        <f>249.48357825334*Deflactores!$T$5</f>
        <v>377.49422890343976</v>
      </c>
      <c r="E143" s="50">
        <f>254.48148607142*Deflactores!$U$5</f>
        <v>378.9553939342884</v>
      </c>
      <c r="F143" s="50">
        <f>405.5632179549*Deflactores!$V$5</f>
        <v>571.80019353050295</v>
      </c>
      <c r="G143" s="50">
        <f>451.286923478269*Deflactores!$W$5</f>
        <v>562.4696464294118</v>
      </c>
      <c r="H143" s="50">
        <f>508.76130293371*Deflactores!$X$5</f>
        <v>580.25611478035012</v>
      </c>
      <c r="I143" s="50">
        <f>535.80058175722*Deflactores!$Y$5</f>
        <v>580.88892424312928</v>
      </c>
      <c r="J143" s="50">
        <f>654.87992985639*Deflactores!$Z$5</f>
        <v>675.53659399283583</v>
      </c>
      <c r="K143" s="50">
        <f>25.3113506650299*Deflactores!$AA$5</f>
        <v>25.311350665029899</v>
      </c>
    </row>
    <row r="144" spans="1:11" x14ac:dyDescent="0.2">
      <c r="C144" s="87" t="s">
        <v>125</v>
      </c>
      <c r="D144" s="42">
        <f>134.63888078372*Deflactores!$T$5</f>
        <v>203.72242869733694</v>
      </c>
      <c r="E144" s="42">
        <f>160.21290041796*Deflactores!$U$5</f>
        <v>238.57744517494584</v>
      </c>
      <c r="F144" s="42">
        <f>336.03032165847*Deflactores!$V$5</f>
        <v>473.76634381522524</v>
      </c>
      <c r="G144" s="42">
        <f>265.99426824601*Deflactores!$W$5</f>
        <v>331.52678313708725</v>
      </c>
      <c r="H144" s="42">
        <f>293.92692347326*Deflactores!$X$5</f>
        <v>335.23165708646212</v>
      </c>
      <c r="I144" s="42">
        <f>302.278074158079*Deflactores!$Y$5</f>
        <v>327.71518228685699</v>
      </c>
      <c r="J144" s="42">
        <f>244.244749685719*Deflactores!$Z$5</f>
        <v>251.94888220120862</v>
      </c>
      <c r="K144" s="42">
        <f>0.921491704*Deflactores!$AA$5</f>
        <v>0.92149170400000002</v>
      </c>
    </row>
    <row r="145" spans="3:11" x14ac:dyDescent="0.2">
      <c r="C145" s="88" t="s">
        <v>126</v>
      </c>
      <c r="D145" s="50">
        <f>260.58220700278*Deflactores!$T$5</f>
        <v>394.28759194155117</v>
      </c>
      <c r="E145" s="50">
        <f>245.42233552992*Deflactores!$U$5</f>
        <v>365.46516320999638</v>
      </c>
      <c r="F145" s="50">
        <f>256.4965280952*Deflactores!$V$5</f>
        <v>361.63231257585858</v>
      </c>
      <c r="G145" s="50">
        <f>310.19250797631*Deflactores!$W$5</f>
        <v>386.61406127556256</v>
      </c>
      <c r="H145" s="50">
        <f>341.741679719189*Deflactores!$X$5</f>
        <v>389.76568813097202</v>
      </c>
      <c r="I145" s="50">
        <f>188.2107732291*Deflactores!$Y$5</f>
        <v>204.04896395121582</v>
      </c>
      <c r="J145" s="50">
        <f>313.52989597273*Deflactores!$Z$5</f>
        <v>323.41946727057649</v>
      </c>
      <c r="K145" s="50">
        <f>38.5986531112999*Deflactores!$AA$5</f>
        <v>38.598653111299903</v>
      </c>
    </row>
    <row r="146" spans="3:11" x14ac:dyDescent="0.2">
      <c r="C146" s="87" t="s">
        <v>127</v>
      </c>
      <c r="D146" s="42">
        <f>56.1922021154799*Deflactores!$T$5</f>
        <v>85.024562163483168</v>
      </c>
      <c r="E146" s="42">
        <f>66.59964476967*Deflactores!$U$5</f>
        <v>99.175366385949417</v>
      </c>
      <c r="F146" s="42">
        <f>102.568897871439*Deflactores!$V$5</f>
        <v>144.611032402897</v>
      </c>
      <c r="G146" s="42">
        <f>137.29572419259*Deflactores!$W$5</f>
        <v>171.12101730684154</v>
      </c>
      <c r="H146" s="42">
        <f>176.44283537095*Deflactores!$X$5</f>
        <v>201.23785661920999</v>
      </c>
      <c r="I146" s="42">
        <f>148.61662962711*Deflactores!$Y$5</f>
        <v>161.12291969822633</v>
      </c>
      <c r="J146" s="42">
        <f>143.897824087*Deflactores!$Z$5</f>
        <v>148.43674624145106</v>
      </c>
      <c r="K146" s="42">
        <f>16.690274599*Deflactores!$AA$5</f>
        <v>16.690274598999999</v>
      </c>
    </row>
    <row r="147" spans="3:11" x14ac:dyDescent="0.2">
      <c r="C147" s="88" t="s">
        <v>128</v>
      </c>
      <c r="D147" s="50">
        <f>133.13368647513*Deflactores!$T$5</f>
        <v>201.44491540828972</v>
      </c>
      <c r="E147" s="50">
        <f>130.6417643623*Deflactores!$U$5</f>
        <v>194.54225155024309</v>
      </c>
      <c r="F147" s="50">
        <f>291.254714995599*Deflactores!$V$5</f>
        <v>410.63758996920359</v>
      </c>
      <c r="G147" s="50">
        <f>267.667561567409*Deflactores!$W$5</f>
        <v>333.61232263290492</v>
      </c>
      <c r="H147" s="50">
        <f>331.4119631388*Deflactores!$X$5</f>
        <v>377.98436519002564</v>
      </c>
      <c r="I147" s="50">
        <f>540.06579798318*Deflactores!$Y$5</f>
        <v>585.5130641741398</v>
      </c>
      <c r="J147" s="50">
        <f>403.94931938139*Deflactores!$Z$5</f>
        <v>416.69096107506209</v>
      </c>
      <c r="K147" s="50">
        <f>17.82594467995*Deflactores!$AA$5</f>
        <v>17.825944679949998</v>
      </c>
    </row>
    <row r="148" spans="3:11" x14ac:dyDescent="0.2">
      <c r="C148" s="87" t="s">
        <v>129</v>
      </c>
      <c r="D148" s="42">
        <f>723.86620201947*Deflactores!$T$5</f>
        <v>1095.2837684696115</v>
      </c>
      <c r="E148" s="42">
        <f>1038.39955890579*Deflactores!$U$5</f>
        <v>1546.3093994818057</v>
      </c>
      <c r="F148" s="42">
        <f>1491.43697751225*Deflactores!$V$5</f>
        <v>2102.764537376976</v>
      </c>
      <c r="G148" s="42">
        <f>1346.74990393745*Deflactores!$W$5</f>
        <v>1678.5461817907478</v>
      </c>
      <c r="H148" s="42">
        <f>1342.84462535506*Deflactores!$X$5</f>
        <v>1531.5508482446994</v>
      </c>
      <c r="I148" s="42">
        <f>1116.37617663497*Deflactores!$Y$5</f>
        <v>1210.3207394238834</v>
      </c>
      <c r="J148" s="42">
        <f>947.69753194763*Deflactores!$Z$5</f>
        <v>977.59044624823116</v>
      </c>
      <c r="K148" s="42">
        <f>140.89704704102*Deflactores!$AA$5</f>
        <v>140.89704704101999</v>
      </c>
    </row>
    <row r="149" spans="3:11" x14ac:dyDescent="0.2">
      <c r="C149" s="88" t="s">
        <v>130</v>
      </c>
      <c r="D149" s="50">
        <f>230.304444823769*Deflactores!$T$5</f>
        <v>348.47423393735761</v>
      </c>
      <c r="E149" s="50">
        <f>204.20464554813*Deflactores!$U$5</f>
        <v>304.08676517703714</v>
      </c>
      <c r="F149" s="50">
        <f>635.953247227649*Deflactores!$V$5</f>
        <v>896.62517147094741</v>
      </c>
      <c r="G149" s="50">
        <f>507.46248029199*Deflactores!$W$5</f>
        <v>632.48507106316038</v>
      </c>
      <c r="H149" s="50">
        <f>512.80351295235*Deflactores!$X$5</f>
        <v>584.86636533796366</v>
      </c>
      <c r="I149" s="50">
        <f>321.25338850098*Deflactores!$Y$5</f>
        <v>348.28729495547947</v>
      </c>
      <c r="J149" s="50">
        <f>258.97770164243*Deflactores!$Z$5</f>
        <v>267.14655085854429</v>
      </c>
      <c r="K149" s="50">
        <f>7.13678924267*Deflactores!$AA$5</f>
        <v>7.1367892426699999</v>
      </c>
    </row>
    <row r="150" spans="3:11" x14ac:dyDescent="0.2">
      <c r="C150" s="87" t="s">
        <v>131</v>
      </c>
      <c r="D150" s="42">
        <f>3926.7866947984*Deflactores!$T$5</f>
        <v>5941.6308111308081</v>
      </c>
      <c r="E150" s="42">
        <f>3956.51191418621*Deflactores!$U$5</f>
        <v>5891.7509253516064</v>
      </c>
      <c r="F150" s="42">
        <f>4825.31993397799*Deflactores!$V$5</f>
        <v>6803.178271462556</v>
      </c>
      <c r="G150" s="42">
        <f>5464.84289946715*Deflactores!$W$5</f>
        <v>6811.2061164200431</v>
      </c>
      <c r="H150" s="42">
        <f>6749.93345638312*Deflactores!$X$5</f>
        <v>7698.4828441975696</v>
      </c>
      <c r="I150" s="42">
        <f>5749.11710155624*Deflactores!$Y$5</f>
        <v>6232.9130691090004</v>
      </c>
      <c r="J150" s="42">
        <f>6119.97492517046*Deflactores!$Z$5</f>
        <v>6313.0152991218165</v>
      </c>
      <c r="K150" s="42">
        <f>59.18157817567*Deflactores!$AA$5</f>
        <v>59.181578175669998</v>
      </c>
    </row>
    <row r="151" spans="3:11" x14ac:dyDescent="0.2">
      <c r="C151" s="88" t="s">
        <v>132</v>
      </c>
      <c r="D151" s="50">
        <f>274.30866882399*Deflactores!$T$5</f>
        <v>415.05713580110097</v>
      </c>
      <c r="E151" s="50">
        <f>168.78586736531*Deflactores!$U$5</f>
        <v>251.34368651089468</v>
      </c>
      <c r="F151" s="50">
        <f>204.3973059589*Deflactores!$V$5</f>
        <v>288.17805444429945</v>
      </c>
      <c r="G151" s="50">
        <f>208.70485291879*Deflactores!$W$5</f>
        <v>260.12308073222277</v>
      </c>
      <c r="H151" s="50">
        <f>246.66429178688*Deflactores!$X$5</f>
        <v>281.32733913127589</v>
      </c>
      <c r="I151" s="50">
        <f>316.58626135872*Deflactores!$Y$5</f>
        <v>343.22742276183226</v>
      </c>
      <c r="J151" s="50">
        <f>325.51171189122*Deflactores!$Z$5</f>
        <v>335.77922170250855</v>
      </c>
      <c r="K151" s="50">
        <f>9.12385126568999*Deflactores!$AA$5</f>
        <v>9.1238512656899893</v>
      </c>
    </row>
    <row r="152" spans="3:11" x14ac:dyDescent="0.2">
      <c r="C152" s="87" t="s">
        <v>133</v>
      </c>
      <c r="D152" s="42">
        <f>119.32053043699*Deflactores!$T$5</f>
        <v>180.54419431134619</v>
      </c>
      <c r="E152" s="42">
        <f>119.43681221329*Deflactores!$U$5</f>
        <v>177.85664851800033</v>
      </c>
      <c r="F152" s="42">
        <f>172.66394969114*Deflactores!$V$5</f>
        <v>243.43746049503412</v>
      </c>
      <c r="G152" s="42">
        <f>160.86316011595*Deflactores!$W$5</f>
        <v>200.4947187402677</v>
      </c>
      <c r="H152" s="42">
        <f>176.01678715712*Deflactores!$X$5</f>
        <v>200.75193703405176</v>
      </c>
      <c r="I152" s="42">
        <f>178.7739221768*Deflactores!$Y$5</f>
        <v>193.81798913958886</v>
      </c>
      <c r="J152" s="42">
        <f>206.122094874819*Deflactores!$Z$5</f>
        <v>212.623736917603</v>
      </c>
      <c r="K152" s="42">
        <f>5.421725204*Deflactores!$AA$5</f>
        <v>5.4217252040000004</v>
      </c>
    </row>
    <row r="153" spans="3:11" x14ac:dyDescent="0.2">
      <c r="C153" s="88" t="s">
        <v>134</v>
      </c>
      <c r="D153" s="50">
        <f>538.77648446817*Deflactores!$T$5</f>
        <v>815.22405193775546</v>
      </c>
      <c r="E153" s="50">
        <f>587.015199654959*Deflactores!$U$5</f>
        <v>874.14051082768685</v>
      </c>
      <c r="F153" s="50">
        <f>812.470264807049*Deflactores!$V$5</f>
        <v>1145.4950401989154</v>
      </c>
      <c r="G153" s="50">
        <f>1029.38732300041*Deflactores!$W$5</f>
        <v>1282.9955699676732</v>
      </c>
      <c r="H153" s="50">
        <f>1103.4597270968*Deflactores!$X$5</f>
        <v>1258.5258555822245</v>
      </c>
      <c r="I153" s="50">
        <f>1017.4527032465*Deflactores!$Y$5</f>
        <v>1103.0727221661123</v>
      </c>
      <c r="J153" s="50">
        <f>694.34009370172*Deflactores!$Z$5</f>
        <v>716.2414369223161</v>
      </c>
      <c r="K153" s="50">
        <f>519.82540391877*Deflactores!$AA$5</f>
        <v>519.82540391877001</v>
      </c>
    </row>
    <row r="154" spans="3:11" x14ac:dyDescent="0.2">
      <c r="C154" s="87" t="s">
        <v>135</v>
      </c>
      <c r="D154" s="42">
        <f>0*Deflactores!$T$5</f>
        <v>0</v>
      </c>
      <c r="E154" s="42">
        <f>0*Deflactores!$U$5</f>
        <v>0</v>
      </c>
      <c r="F154" s="42">
        <f>0*Deflactores!$V$5</f>
        <v>0</v>
      </c>
      <c r="G154" s="42">
        <f>0*Deflactores!$W$5</f>
        <v>0</v>
      </c>
      <c r="H154" s="42">
        <f>7908.67187627532*Deflactores!$X$5</f>
        <v>9020.055553631757</v>
      </c>
      <c r="I154" s="42">
        <f>9039.01898899926*Deflactores!$Y$5</f>
        <v>9799.6646429774883</v>
      </c>
      <c r="J154" s="42">
        <f>9397.1417120195*Deflactores!$Z$5</f>
        <v>9693.5526895712774</v>
      </c>
      <c r="K154" s="42">
        <f>961.466877830419*Deflactores!$AA$5</f>
        <v>961.46687783041898</v>
      </c>
    </row>
    <row r="155" spans="3:11" x14ac:dyDescent="0.2">
      <c r="C155" s="88" t="s">
        <v>136</v>
      </c>
      <c r="D155" s="50">
        <f>8854.1064179274*Deflactores!$T$5</f>
        <v>13397.170660549296</v>
      </c>
      <c r="E155" s="50">
        <f>10105.4841188875*Deflactores!$U$5</f>
        <v>15048.354889341359</v>
      </c>
      <c r="F155" s="50">
        <f>12819.6143412876*Deflactores!$V$5</f>
        <v>18074.267184036918</v>
      </c>
      <c r="G155" s="50">
        <f>20924.7647968539*Deflactores!$W$5</f>
        <v>26079.960319239693</v>
      </c>
      <c r="H155" s="50">
        <f>9654.00349880239*Deflactores!$X$5</f>
        <v>11010.653778085945</v>
      </c>
      <c r="I155" s="50">
        <f>8579.61837453714*Deflactores!$Y$5</f>
        <v>9301.6048464458527</v>
      </c>
      <c r="J155" s="50">
        <f>6865.09731278762*Deflactores!$Z$5</f>
        <v>7081.6408393015072</v>
      </c>
      <c r="K155" s="50">
        <f>1292.0861494493*Deflactores!$AA$5</f>
        <v>1292.0861494492999</v>
      </c>
    </row>
    <row r="156" spans="3:11" x14ac:dyDescent="0.2">
      <c r="C156" s="87" t="s">
        <v>137</v>
      </c>
      <c r="D156" s="42">
        <f>181.83430627373*Deflactores!$T$5</f>
        <v>275.13394555088178</v>
      </c>
      <c r="E156" s="42">
        <f>174.91348781059*Deflactores!$U$5</f>
        <v>260.46849498151636</v>
      </c>
      <c r="F156" s="42">
        <f>239.405989746369*Deflactores!$V$5</f>
        <v>337.53650530645086</v>
      </c>
      <c r="G156" s="42">
        <f>228.32750576787*Deflactores!$W$5</f>
        <v>284.58013019636616</v>
      </c>
      <c r="H156" s="42">
        <f>353.442753408279*Deflactores!$X$5</f>
        <v>403.11108118354582</v>
      </c>
      <c r="I156" s="42">
        <f>574.1435656782*Deflactores!$Y$5</f>
        <v>622.45852203841866</v>
      </c>
      <c r="J156" s="42">
        <f>475.05108983672*Deflactores!$Z$5</f>
        <v>490.03547149667031</v>
      </c>
      <c r="K156" s="42">
        <f>17.97148538781*Deflactores!$AA$5</f>
        <v>17.971485387809999</v>
      </c>
    </row>
    <row r="157" spans="3:11" x14ac:dyDescent="0.2">
      <c r="C157" s="88" t="s">
        <v>138</v>
      </c>
      <c r="D157" s="50">
        <f>4.76299823841*Deflactores!$T$5</f>
        <v>7.2069045981504551</v>
      </c>
      <c r="E157" s="50">
        <f>6.86644852094*Deflactores!$U$5</f>
        <v>10.225017718782336</v>
      </c>
      <c r="F157" s="50">
        <f>7.52410469154*Deflactores!$V$5</f>
        <v>10.608172359567297</v>
      </c>
      <c r="G157" s="50">
        <f>6.92170782745*Deflactores!$W$5</f>
        <v>8.6269961566501419</v>
      </c>
      <c r="H157" s="50">
        <f>21.57742476233*Deflactores!$X$5</f>
        <v>24.609640291738735</v>
      </c>
      <c r="I157" s="50">
        <f>16.3466193832*Deflactores!$Y$5</f>
        <v>17.722209478341949</v>
      </c>
      <c r="J157" s="50">
        <f>15.28163051567*Deflactores!$Z$5</f>
        <v>15.763654005210563</v>
      </c>
      <c r="K157" s="50">
        <f>0*Deflactores!$AA$5</f>
        <v>0</v>
      </c>
    </row>
    <row r="158" spans="3:11" x14ac:dyDescent="0.2">
      <c r="C158" s="87" t="s">
        <v>160</v>
      </c>
      <c r="D158" s="42">
        <f>56.3394594717599*Deflactores!$T$5</f>
        <v>85.24737763914878</v>
      </c>
      <c r="E158" s="42">
        <f>181.41575232815*Deflactores!$U$5</f>
        <v>270.15119626464764</v>
      </c>
      <c r="F158" s="42">
        <f>302.92637915498*Deflactores!$V$5</f>
        <v>427.09337178001675</v>
      </c>
      <c r="G158" s="42">
        <f>450.22734428941*Deflactores!$W$5</f>
        <v>561.14902067954961</v>
      </c>
      <c r="H158" s="42">
        <f>242.093810540379*Deflactores!$X$5</f>
        <v>276.11458085843083</v>
      </c>
      <c r="I158" s="42">
        <f>217.12014470533*Deflactores!$Y$5</f>
        <v>235.39109807562687</v>
      </c>
      <c r="J158" s="42">
        <f>245.85399377512*Deflactores!$Z$5</f>
        <v>253.6088861523076</v>
      </c>
      <c r="K158" s="42">
        <f>0.75537895841*Deflactores!$AA$5</f>
        <v>0.75537895841000002</v>
      </c>
    </row>
    <row r="159" spans="3:11" x14ac:dyDescent="0.2">
      <c r="C159" s="88" t="s">
        <v>161</v>
      </c>
      <c r="D159" s="50">
        <f>91.50163802512*Deflactores!$T$5</f>
        <v>138.45135832795805</v>
      </c>
      <c r="E159" s="50">
        <f>119.05639107122*Deflactores!$U$5</f>
        <v>177.29015291166138</v>
      </c>
      <c r="F159" s="50">
        <f>111.309193730349*Deflactores!$V$5</f>
        <v>156.9339025311105</v>
      </c>
      <c r="G159" s="50">
        <f>155.21362788078*Deflactores!$W$5</f>
        <v>193.45332171879906</v>
      </c>
      <c r="H159" s="50">
        <f>254.44200935249*Deflactores!$X$5</f>
        <v>290.19803772893982</v>
      </c>
      <c r="I159" s="50">
        <f>290.42309139204*Deflactores!$Y$5</f>
        <v>314.8625867123983</v>
      </c>
      <c r="J159" s="50">
        <f>362.834099306269*Deflactores!$Z$5</f>
        <v>374.27885701668322</v>
      </c>
      <c r="K159" s="50">
        <f>1.79744721933*Deflactores!$AA$5</f>
        <v>1.79744721933</v>
      </c>
    </row>
    <row r="160" spans="3:11" x14ac:dyDescent="0.2">
      <c r="C160" s="87" t="s">
        <v>140</v>
      </c>
      <c r="D160" s="42">
        <f>2747.76253334545*Deflactores!$T$5</f>
        <v>4157.6463909849199</v>
      </c>
      <c r="E160" s="42">
        <f>2741.63488034352*Deflactores!$U$5</f>
        <v>4082.6440545579876</v>
      </c>
      <c r="F160" s="42">
        <f>4387.67798020622*Deflactores!$V$5</f>
        <v>6186.1505362412781</v>
      </c>
      <c r="G160" s="42">
        <f>3933.3189467903*Deflactores!$W$5</f>
        <v>4902.3634459503228</v>
      </c>
      <c r="H160" s="42">
        <f>6239.21574645907*Deflactores!$X$5</f>
        <v>7115.9953939901789</v>
      </c>
      <c r="I160" s="42">
        <f>4463.36849543183*Deflactores!$Y$5</f>
        <v>4838.9669815380576</v>
      </c>
      <c r="J160" s="42">
        <f>4761.07516785723*Deflactores!$Z$5</f>
        <v>4911.2522097653027</v>
      </c>
      <c r="K160" s="42">
        <f>15.35638499977*Deflactores!$AA$5</f>
        <v>15.35638499977</v>
      </c>
    </row>
    <row r="161" spans="1:11" x14ac:dyDescent="0.2">
      <c r="C161" s="88" t="s">
        <v>141</v>
      </c>
      <c r="D161" s="50">
        <f>88.24914922132*Deflactores!$T$5</f>
        <v>133.53000934938609</v>
      </c>
      <c r="E161" s="50">
        <f>143.06381197834*Deflactores!$U$5</f>
        <v>213.04026498327454</v>
      </c>
      <c r="F161" s="50">
        <f>151.71518984451*Deflactores!$V$5</f>
        <v>213.90197896164932</v>
      </c>
      <c r="G161" s="50">
        <f>176.00208250859*Deflactores!$W$5</f>
        <v>219.36338938527604</v>
      </c>
      <c r="H161" s="50">
        <f>304.634226872609*Deflactores!$X$5</f>
        <v>347.4436280725696</v>
      </c>
      <c r="I161" s="50">
        <f>344.890163782379*Deflactores!$Y$5</f>
        <v>373.91313679528895</v>
      </c>
      <c r="J161" s="50">
        <f>233.286404814959*Deflactores!$Z$5</f>
        <v>240.64488183061329</v>
      </c>
      <c r="K161" s="50">
        <f>5.27560215242*Deflactores!$AA$5</f>
        <v>5.2756021524200003</v>
      </c>
    </row>
    <row r="162" spans="1:11" x14ac:dyDescent="0.2">
      <c r="C162" s="87" t="s">
        <v>142</v>
      </c>
      <c r="D162" s="42">
        <f>161.86104441689*Deflactores!$T$5</f>
        <v>244.91235286682161</v>
      </c>
      <c r="E162" s="42">
        <f>138.286812571529*Deflactores!$U$5</f>
        <v>205.92670352158189</v>
      </c>
      <c r="F162" s="42">
        <f>393.79680926615*Deflactores!$V$5</f>
        <v>555.21083219908542</v>
      </c>
      <c r="G162" s="42">
        <f>271.414791479609*Deflactores!$W$5</f>
        <v>338.28275063369841</v>
      </c>
      <c r="H162" s="42">
        <f>382.60811724094*Deflactores!$X$5</f>
        <v>436.37497253319958</v>
      </c>
      <c r="I162" s="42">
        <f>387.5835279901*Deflactores!$Y$5</f>
        <v>420.19920525308788</v>
      </c>
      <c r="J162" s="42">
        <f>260.37206356954*Deflactores!$Z$5</f>
        <v>268.58489468935875</v>
      </c>
      <c r="K162" s="42">
        <f>6.18781764874999*Deflactores!$AA$5</f>
        <v>6.1878176487499896</v>
      </c>
    </row>
    <row r="163" spans="1:11" x14ac:dyDescent="0.2">
      <c r="C163" s="88" t="s">
        <v>143</v>
      </c>
      <c r="D163" s="50">
        <f>118.5820815837*Deflactores!$T$5</f>
        <v>179.4268454966107</v>
      </c>
      <c r="E163" s="50">
        <f>105.961770360829*Deflactores!$U$5</f>
        <v>157.79059234899765</v>
      </c>
      <c r="F163" s="50">
        <f>383.851033678349*Deflactores!$V$5</f>
        <v>541.18836626987002</v>
      </c>
      <c r="G163" s="50">
        <f>288.502159830829*Deflactores!$W$5</f>
        <v>359.57990225697745</v>
      </c>
      <c r="H163" s="50">
        <f>155.718983788079*Deflactores!$X$5</f>
        <v>177.6017397734125</v>
      </c>
      <c r="I163" s="50">
        <f>99.74806780292*Deflactores!$Y$5</f>
        <v>108.1420024057078</v>
      </c>
      <c r="J163" s="50">
        <f>338.02714414891*Deflactores!$Z$5</f>
        <v>348.68942415986891</v>
      </c>
      <c r="K163" s="50">
        <f>1.03885184767*Deflactores!$AA$5</f>
        <v>1.0388518476699999</v>
      </c>
    </row>
    <row r="164" spans="1:11" x14ac:dyDescent="0.2">
      <c r="C164" s="87" t="s">
        <v>144</v>
      </c>
      <c r="D164" s="42">
        <f>158.03429547132*Deflactores!$T$5</f>
        <v>239.12208942532129</v>
      </c>
      <c r="E164" s="42">
        <f>132.65661356948*Deflactores!$U$5</f>
        <v>197.54261903006361</v>
      </c>
      <c r="F164" s="42">
        <f>141.43333782396*Deflactores!$V$5</f>
        <v>199.40568167697722</v>
      </c>
      <c r="G164" s="42">
        <f>203.804279047869*Deflactores!$W$5</f>
        <v>254.0151615591318</v>
      </c>
      <c r="H164" s="42">
        <f>317.32623169544*Deflactores!$X$5</f>
        <v>361.91920505690831</v>
      </c>
      <c r="I164" s="42">
        <f>279.35663572606*Deflactores!$Y$5</f>
        <v>302.8648738582749</v>
      </c>
      <c r="J164" s="42">
        <f>478.57676047364*Deflactores!$Z$5</f>
        <v>493.6723512131212</v>
      </c>
      <c r="K164" s="42">
        <f>2.65570497118*Deflactores!$AA$5</f>
        <v>2.65570497118</v>
      </c>
    </row>
    <row r="165" spans="1:11" x14ac:dyDescent="0.2">
      <c r="C165" s="88" t="s">
        <v>145</v>
      </c>
      <c r="D165" s="50">
        <f>91.43345378734*Deflactores!$T$5</f>
        <v>138.3481885865092</v>
      </c>
      <c r="E165" s="50">
        <f>109.06530846508*Deflactores!$U$5</f>
        <v>162.41215646764022</v>
      </c>
      <c r="F165" s="50">
        <f>76.75770677558*Deflactores!$V$5</f>
        <v>108.22004966464924</v>
      </c>
      <c r="G165" s="50">
        <f>154.41169761599*Deflactores!$W$5</f>
        <v>192.45382138091878</v>
      </c>
      <c r="H165" s="50">
        <f>192.3977726334*Deflactores!$X$5</f>
        <v>219.43489686989068</v>
      </c>
      <c r="I165" s="50">
        <f>157.40718706185*Deflactores!$Y$5</f>
        <v>170.65321441163769</v>
      </c>
      <c r="J165" s="50">
        <f>248.75658220747*Deflactores!$Z$5</f>
        <v>256.60302998533473</v>
      </c>
      <c r="K165" s="50">
        <f>0.03466365*Deflactores!$AA$5</f>
        <v>3.4663649999999997E-2</v>
      </c>
    </row>
    <row r="166" spans="1:11" x14ac:dyDescent="0.2">
      <c r="C166" s="87" t="s">
        <v>146</v>
      </c>
      <c r="D166" s="42">
        <f>44.11790003809*Deflactores!$T$5</f>
        <v>66.754905362172309</v>
      </c>
      <c r="E166" s="42">
        <f>40.76460286757*Deflactores!$U$5</f>
        <v>60.703693524955895</v>
      </c>
      <c r="F166" s="42">
        <f>54.25965995313*Deflactores!$V$5</f>
        <v>76.500241364465097</v>
      </c>
      <c r="G166" s="42">
        <f>49.698529742*Deflactores!$W$5</f>
        <v>61.942664406473597</v>
      </c>
      <c r="H166" s="42">
        <f>84.02908787253*Deflactores!$X$5</f>
        <v>95.8374620402369</v>
      </c>
      <c r="I166" s="42">
        <f>81.76680930321*Deflactores!$Y$5</f>
        <v>88.647596721827782</v>
      </c>
      <c r="J166" s="42">
        <f>151.28051185154*Deflactores!$Z$5</f>
        <v>156.05230371938995</v>
      </c>
      <c r="K166" s="42">
        <f>12.0922473596199*Deflactores!$AA$5</f>
        <v>12.0922473596199</v>
      </c>
    </row>
    <row r="167" spans="1:11" x14ac:dyDescent="0.2">
      <c r="C167" s="88" t="s">
        <v>162</v>
      </c>
      <c r="D167" s="50">
        <f>594.55489869763*Deflactores!$T$5</f>
        <v>899.62251061155712</v>
      </c>
      <c r="E167" s="50">
        <f>649.13393205216*Deflactores!$U$5</f>
        <v>966.6432271143774</v>
      </c>
      <c r="F167" s="50">
        <f>793.61082392095*Deflactores!$V$5</f>
        <v>1118.9052720169602</v>
      </c>
      <c r="G167" s="50">
        <f>1055.40100918281*Deflactores!$W$5</f>
        <v>1315.4181998027357</v>
      </c>
      <c r="H167" s="50">
        <f>1398.57561442789*Deflactores!$X$5</f>
        <v>1595.1135583128432</v>
      </c>
      <c r="I167" s="50">
        <f>939.01725892881*Deflactores!$Y$5</f>
        <v>1018.0368292919237</v>
      </c>
      <c r="J167" s="50">
        <f>926.64872607443*Deflactores!$Z$5</f>
        <v>955.87770475328864</v>
      </c>
      <c r="K167" s="50">
        <f>16.48480630832*Deflactores!$AA$5</f>
        <v>16.48480630832</v>
      </c>
    </row>
    <row r="168" spans="1:11" x14ac:dyDescent="0.2">
      <c r="C168" s="87" t="s">
        <v>148</v>
      </c>
      <c r="D168" s="42">
        <f>93.17708820442*Deflactores!$T$5</f>
        <v>140.98648620262216</v>
      </c>
      <c r="E168" s="42">
        <f>141.71222660206*Deflactores!$U$5</f>
        <v>211.02758195233585</v>
      </c>
      <c r="F168" s="42">
        <f>181.1178384926*Deflactores!$V$5</f>
        <v>255.35652770516194</v>
      </c>
      <c r="G168" s="42">
        <f>221.057681067709*Deflactores!$W$5</f>
        <v>275.51925225825266</v>
      </c>
      <c r="H168" s="42">
        <f>213.284224419449*Deflactores!$X$5</f>
        <v>243.25646367348665</v>
      </c>
      <c r="I168" s="42">
        <f>194.44227124132*Deflactores!$Y$5</f>
        <v>210.80485093601544</v>
      </c>
      <c r="J168" s="42">
        <f>207.06352164687*Deflactores!$Z$5</f>
        <v>213.59485880741946</v>
      </c>
      <c r="K168" s="42">
        <f>21.76626625904*Deflactores!$AA$5</f>
        <v>21.766266259039998</v>
      </c>
    </row>
    <row r="169" spans="1:11" x14ac:dyDescent="0.2">
      <c r="C169" s="88" t="s">
        <v>149</v>
      </c>
      <c r="D169" s="50">
        <f>1004.37031894766*Deflactores!$T$5</f>
        <v>1519.7152523587911</v>
      </c>
      <c r="E169" s="50">
        <f>1194.63780418196*Deflactores!$U$5</f>
        <v>1778.9680761511825</v>
      </c>
      <c r="F169" s="50">
        <f>1257.11616873044*Deflactores!$V$5</f>
        <v>1772.3975862385162</v>
      </c>
      <c r="G169" s="50">
        <f>1234.44921388694*Deflactores!$W$5</f>
        <v>1538.5781788633797</v>
      </c>
      <c r="H169" s="50">
        <f>1328.28218429712*Deflactores!$X$5</f>
        <v>1514.941987819835</v>
      </c>
      <c r="I169" s="50">
        <f>2137.78646300826*Deflactores!$Y$5</f>
        <v>2317.6840806811215</v>
      </c>
      <c r="J169" s="50">
        <f>1285.2454993341*Deflactores!$Z$5</f>
        <v>1325.7855791292543</v>
      </c>
      <c r="K169" s="50">
        <f>209.21248023925*Deflactores!$AA$5</f>
        <v>209.21248023925</v>
      </c>
    </row>
    <row r="170" spans="1:11" x14ac:dyDescent="0.2">
      <c r="C170" s="87" t="s">
        <v>163</v>
      </c>
      <c r="D170" s="42">
        <f>4733.85120384429*Deflactores!$T$5</f>
        <v>7162.8021469380883</v>
      </c>
      <c r="E170" s="42">
        <f>5078.67695705625*Deflactores!$U$5</f>
        <v>7562.7978154218627</v>
      </c>
      <c r="F170" s="42">
        <f>3652.14832260009*Deflactores!$V$5</f>
        <v>5149.1334154890228</v>
      </c>
      <c r="G170" s="42">
        <f>4037.78088057951*Deflactores!$W$5</f>
        <v>5032.5614727641414</v>
      </c>
      <c r="H170" s="42">
        <f>4567.96177882892*Deflactores!$X$5</f>
        <v>5209.8847513836354</v>
      </c>
      <c r="I170" s="42">
        <f>4746.41792700456*Deflactores!$Y$5</f>
        <v>5145.8354050001544</v>
      </c>
      <c r="J170" s="42">
        <f>5387.55592614467*Deflactores!$Z$5</f>
        <v>5557.4938463785256</v>
      </c>
      <c r="K170" s="42">
        <f>359.91870650633*Deflactores!$AA$5</f>
        <v>359.91870650633001</v>
      </c>
    </row>
    <row r="171" spans="1:11" x14ac:dyDescent="0.2">
      <c r="C171" s="88" t="s">
        <v>150</v>
      </c>
      <c r="D171" s="50">
        <f>5038.49892087087*Deflactores!$T$5</f>
        <v>7623.7653727795978</v>
      </c>
      <c r="E171" s="50">
        <f>5492.93610004022*Deflactores!$U$5</f>
        <v>8179.6825214327082</v>
      </c>
      <c r="F171" s="50">
        <f>8146.35015194508*Deflactores!$V$5</f>
        <v>11485.471036891304</v>
      </c>
      <c r="G171" s="50">
        <f>8091.18699645868*Deflactores!$W$5</f>
        <v>10084.597741089914</v>
      </c>
      <c r="H171" s="50">
        <f>8649.74279177608*Deflactores!$X$5</f>
        <v>9865.2671051502821</v>
      </c>
      <c r="I171" s="50">
        <f>4813.86105525573*Deflactores!$Y$5</f>
        <v>5218.9539635670908</v>
      </c>
      <c r="J171" s="50">
        <f>4523.18247778714*Deflactores!$Z$5</f>
        <v>4665.8557481254056</v>
      </c>
      <c r="K171" s="50">
        <f>1231.97006140171*Deflactores!$AA$5</f>
        <v>1231.9700614017099</v>
      </c>
    </row>
    <row r="172" spans="1:11" x14ac:dyDescent="0.2">
      <c r="C172" s="87" t="s">
        <v>151</v>
      </c>
      <c r="D172" s="42">
        <f>685.84522775402*Deflactores!$T$5</f>
        <v>1037.7541368081677</v>
      </c>
      <c r="E172" s="42">
        <f>985.833941105099*Deflactores!$U$5</f>
        <v>1468.0324894064318</v>
      </c>
      <c r="F172" s="42">
        <f>1911.53779086795*Deflactores!$V$5</f>
        <v>2695.0611652378966</v>
      </c>
      <c r="G172" s="42">
        <f>2030.07812997202*Deflactores!$W$5</f>
        <v>2530.22471643681</v>
      </c>
      <c r="H172" s="42">
        <f>2057.80987600099*Deflactores!$X$5</f>
        <v>2346.9881783846095</v>
      </c>
      <c r="I172" s="42">
        <f>1613.20015703395*Deflactores!$Y$5</f>
        <v>1748.9531286714976</v>
      </c>
      <c r="J172" s="42">
        <f>1474.83024841859*Deflactores!$Z$5</f>
        <v>1521.3503381494425</v>
      </c>
      <c r="K172" s="42">
        <f>52.9934366664799*Deflactores!$AA$5</f>
        <v>52.993436666479901</v>
      </c>
    </row>
    <row r="173" spans="1:11" x14ac:dyDescent="0.2">
      <c r="C173" s="79" t="s">
        <v>202</v>
      </c>
      <c r="D173" s="44">
        <f>+SUM(D142:D172)</f>
        <v>48831.92924669091</v>
      </c>
      <c r="E173" s="44">
        <f>+SUM(E142:E172)</f>
        <v>52611.062305623549</v>
      </c>
      <c r="F173" s="44">
        <f>+SUM(F142:F172)</f>
        <v>64668.345007399119</v>
      </c>
      <c r="G173" s="44">
        <f>+SUM(G142:G172)</f>
        <v>68411.684113736337</v>
      </c>
      <c r="H173" s="44">
        <f>+SUM(H142:H172)</f>
        <v>67741.106605427791</v>
      </c>
      <c r="I173" s="44">
        <f>SUM(I142:I172)</f>
        <v>55954.980241768761</v>
      </c>
      <c r="J173" s="44">
        <f>SUM(J142:J172)</f>
        <v>51752.295871061913</v>
      </c>
      <c r="K173" s="44">
        <f>SUM(K142:K172)</f>
        <v>5107.1807020915985</v>
      </c>
    </row>
    <row r="174" spans="1:11" s="31" customFormat="1" x14ac:dyDescent="0.2">
      <c r="A174" s="5"/>
      <c r="B174" s="5"/>
      <c r="C174" s="72" t="str">
        <f>+'C1 Aprop Resumen 2000-2026'!B20</f>
        <v>* Información con corte a 28 de febrero</v>
      </c>
      <c r="D174" s="121">
        <f>+D173-'C5 Ejecución PGN 2019-2026'!D97</f>
        <v>0</v>
      </c>
      <c r="E174" s="121">
        <f>+E173-'C5 Ejecución PGN 2019-2026'!E97</f>
        <v>0</v>
      </c>
      <c r="F174" s="121">
        <f>+F173-'C5 Ejecución PGN 2019-2026'!F97</f>
        <v>-1.3096723705530167E-10</v>
      </c>
      <c r="G174" s="121">
        <f>+G173-'C5 Ejecución PGN 2019-2026'!G97</f>
        <v>0</v>
      </c>
      <c r="H174" s="121">
        <f>+H173-'C5 Ejecución PGN 2019-2026'!H97</f>
        <v>0</v>
      </c>
      <c r="I174" s="121">
        <f>+I173-'C5 Ejecución PGN 2019-2026'!I97</f>
        <v>0</v>
      </c>
      <c r="J174" s="121">
        <f>+J173-'C5 Ejecución PGN 2019-2026'!J97</f>
        <v>0</v>
      </c>
      <c r="K174" s="121">
        <f>+K173-'C5 Ejecución PGN 2019-2026'!K97</f>
        <v>0</v>
      </c>
    </row>
    <row r="175" spans="1:11" x14ac:dyDescent="0.2">
      <c r="C175" s="1" t="s">
        <v>52</v>
      </c>
      <c r="D175" s="11"/>
      <c r="E175" s="11"/>
      <c r="F175" s="11"/>
    </row>
    <row r="176" spans="1:11" x14ac:dyDescent="0.2">
      <c r="B176" s="9"/>
      <c r="D176" s="11"/>
      <c r="E176" s="11"/>
      <c r="F176" s="11"/>
    </row>
    <row r="177" spans="3:11" x14ac:dyDescent="0.2">
      <c r="D177" s="11"/>
      <c r="E177" s="11"/>
      <c r="F177" s="11"/>
    </row>
    <row r="178" spans="3:11" x14ac:dyDescent="0.2">
      <c r="D178" s="11"/>
      <c r="E178" s="11"/>
      <c r="F178" s="11"/>
    </row>
    <row r="179" spans="3:11" ht="18" customHeight="1" x14ac:dyDescent="0.2">
      <c r="C179" s="9"/>
      <c r="D179" s="131" t="s">
        <v>206</v>
      </c>
      <c r="E179" s="131"/>
      <c r="F179" s="131"/>
      <c r="G179" s="131"/>
      <c r="H179" s="131"/>
      <c r="I179" s="131"/>
      <c r="J179" s="131"/>
      <c r="K179" s="131"/>
    </row>
    <row r="180" spans="3:11" ht="1.5" customHeight="1" x14ac:dyDescent="0.2">
      <c r="D180" s="28"/>
      <c r="E180" s="28"/>
      <c r="F180" s="28"/>
    </row>
    <row r="181" spans="3:11" x14ac:dyDescent="0.2">
      <c r="E181" s="29"/>
      <c r="F181" s="29"/>
    </row>
    <row r="182" spans="3:11" x14ac:dyDescent="0.2">
      <c r="C182" s="177" t="s">
        <v>120</v>
      </c>
      <c r="D182" s="153">
        <v>2019</v>
      </c>
      <c r="E182" s="153">
        <v>2020</v>
      </c>
      <c r="F182" s="153">
        <v>2021</v>
      </c>
      <c r="G182" s="153">
        <v>2022</v>
      </c>
      <c r="H182" s="153">
        <v>2023</v>
      </c>
      <c r="I182" s="153">
        <v>2024</v>
      </c>
      <c r="J182" s="153">
        <v>2025</v>
      </c>
      <c r="K182" s="153" t="s">
        <v>36</v>
      </c>
    </row>
    <row r="183" spans="3:11" ht="12" customHeight="1" thickBot="1" x14ac:dyDescent="0.25">
      <c r="C183" s="156"/>
      <c r="D183" s="154"/>
      <c r="E183" s="154"/>
      <c r="F183" s="154"/>
      <c r="G183" s="154"/>
      <c r="H183" s="154"/>
      <c r="I183" s="154"/>
      <c r="J183" s="154"/>
      <c r="K183" s="154"/>
    </row>
    <row r="184" spans="3:11" x14ac:dyDescent="0.2">
      <c r="C184" s="87" t="s">
        <v>123</v>
      </c>
      <c r="D184" s="47">
        <f t="shared" ref="D184:K193" si="6">+IFERROR(IF(D142&gt;0,+((D142/D15)*100)," "),"")</f>
        <v>57.431372590414107</v>
      </c>
      <c r="E184" s="47">
        <f t="shared" si="6"/>
        <v>76.284398595648099</v>
      </c>
      <c r="F184" s="47">
        <f t="shared" si="6"/>
        <v>75.118107358978065</v>
      </c>
      <c r="G184" s="47">
        <f t="shared" si="6"/>
        <v>67.198148558219913</v>
      </c>
      <c r="H184" s="47">
        <f t="shared" si="6"/>
        <v>73.903841020018476</v>
      </c>
      <c r="I184" s="47">
        <f t="shared" si="6"/>
        <v>32.57163229105857</v>
      </c>
      <c r="J184" s="47">
        <f t="shared" si="6"/>
        <v>52.938396990035663</v>
      </c>
      <c r="K184" s="47">
        <f t="shared" si="6"/>
        <v>1.7794035776132595</v>
      </c>
    </row>
    <row r="185" spans="3:11" x14ac:dyDescent="0.2">
      <c r="C185" s="88" t="s">
        <v>124</v>
      </c>
      <c r="D185" s="116">
        <f t="shared" si="6"/>
        <v>82.291368447703519</v>
      </c>
      <c r="E185" s="116">
        <f t="shared" si="6"/>
        <v>67.556334217683329</v>
      </c>
      <c r="F185" s="116">
        <f t="shared" si="6"/>
        <v>53.531296437456568</v>
      </c>
      <c r="G185" s="116">
        <f t="shared" si="6"/>
        <v>49.242252013167878</v>
      </c>
      <c r="H185" s="116">
        <f t="shared" si="6"/>
        <v>34.081159202682947</v>
      </c>
      <c r="I185" s="116">
        <f t="shared" si="6"/>
        <v>37.229972798243445</v>
      </c>
      <c r="J185" s="116">
        <f t="shared" si="6"/>
        <v>67.072834870995848</v>
      </c>
      <c r="K185" s="116">
        <f t="shared" si="6"/>
        <v>2.2715149931195855</v>
      </c>
    </row>
    <row r="186" spans="3:11" x14ac:dyDescent="0.2">
      <c r="C186" s="87" t="s">
        <v>125</v>
      </c>
      <c r="D186" s="47">
        <f t="shared" si="6"/>
        <v>41.111096670724471</v>
      </c>
      <c r="E186" s="47">
        <f t="shared" si="6"/>
        <v>65.160817123109396</v>
      </c>
      <c r="F186" s="47">
        <f t="shared" si="6"/>
        <v>86.94970575387724</v>
      </c>
      <c r="G186" s="47">
        <f t="shared" si="6"/>
        <v>87.815453817001895</v>
      </c>
      <c r="H186" s="47">
        <f t="shared" si="6"/>
        <v>64.230697522473022</v>
      </c>
      <c r="I186" s="47">
        <f t="shared" si="6"/>
        <v>86.898577806600315</v>
      </c>
      <c r="J186" s="47">
        <f t="shared" si="6"/>
        <v>95.998861184967197</v>
      </c>
      <c r="K186" s="47">
        <f t="shared" si="6"/>
        <v>0.26436566030122671</v>
      </c>
    </row>
    <row r="187" spans="3:11" x14ac:dyDescent="0.2">
      <c r="C187" s="88" t="s">
        <v>126</v>
      </c>
      <c r="D187" s="116">
        <f t="shared" si="6"/>
        <v>75.337082284287092</v>
      </c>
      <c r="E187" s="116">
        <f t="shared" si="6"/>
        <v>63.026149206118788</v>
      </c>
      <c r="F187" s="116">
        <f t="shared" si="6"/>
        <v>51.534518715307328</v>
      </c>
      <c r="G187" s="116">
        <f t="shared" si="6"/>
        <v>62.642658974193097</v>
      </c>
      <c r="H187" s="116">
        <f t="shared" si="6"/>
        <v>52.606876032157921</v>
      </c>
      <c r="I187" s="116">
        <f t="shared" si="6"/>
        <v>54.760166323371493</v>
      </c>
      <c r="J187" s="116">
        <f t="shared" si="6"/>
        <v>78.594816852104515</v>
      </c>
      <c r="K187" s="116">
        <f t="shared" si="6"/>
        <v>11.567962333778537</v>
      </c>
    </row>
    <row r="188" spans="3:11" x14ac:dyDescent="0.2">
      <c r="C188" s="87" t="s">
        <v>127</v>
      </c>
      <c r="D188" s="47">
        <f t="shared" si="6"/>
        <v>62.435780128311002</v>
      </c>
      <c r="E188" s="47">
        <f t="shared" si="6"/>
        <v>80.104329979314855</v>
      </c>
      <c r="F188" s="47">
        <f t="shared" si="6"/>
        <v>88.640414545997629</v>
      </c>
      <c r="G188" s="47">
        <f t="shared" si="6"/>
        <v>65.681221621759292</v>
      </c>
      <c r="H188" s="47">
        <f t="shared" si="6"/>
        <v>63.80910053912725</v>
      </c>
      <c r="I188" s="47">
        <f t="shared" si="6"/>
        <v>56.508224192817494</v>
      </c>
      <c r="J188" s="47">
        <f t="shared" si="6"/>
        <v>71.948912043500016</v>
      </c>
      <c r="K188" s="47">
        <f t="shared" si="6"/>
        <v>8.3451372994999993</v>
      </c>
    </row>
    <row r="189" spans="3:11" x14ac:dyDescent="0.2">
      <c r="C189" s="88" t="s">
        <v>128</v>
      </c>
      <c r="D189" s="116">
        <f t="shared" si="6"/>
        <v>90.848894623430382</v>
      </c>
      <c r="E189" s="116">
        <f t="shared" si="6"/>
        <v>92.025774575038696</v>
      </c>
      <c r="F189" s="116">
        <f t="shared" si="6"/>
        <v>78.252098690669058</v>
      </c>
      <c r="G189" s="116">
        <f t="shared" si="6"/>
        <v>71.026731229345046</v>
      </c>
      <c r="H189" s="116">
        <f t="shared" si="6"/>
        <v>65.672370923946815</v>
      </c>
      <c r="I189" s="116">
        <f t="shared" si="6"/>
        <v>54.801893244960631</v>
      </c>
      <c r="J189" s="116">
        <f t="shared" si="6"/>
        <v>55.017391218460155</v>
      </c>
      <c r="K189" s="116">
        <f t="shared" si="6"/>
        <v>2.4110513945199612</v>
      </c>
    </row>
    <row r="190" spans="3:11" x14ac:dyDescent="0.2">
      <c r="C190" s="87" t="s">
        <v>129</v>
      </c>
      <c r="D190" s="47">
        <f t="shared" si="6"/>
        <v>63.878212513751663</v>
      </c>
      <c r="E190" s="47">
        <f t="shared" si="6"/>
        <v>74.642310633267456</v>
      </c>
      <c r="F190" s="47">
        <f t="shared" si="6"/>
        <v>70.830973113947309</v>
      </c>
      <c r="G190" s="47">
        <f t="shared" si="6"/>
        <v>64.654082970108021</v>
      </c>
      <c r="H190" s="47">
        <f t="shared" si="6"/>
        <v>67.76934694880282</v>
      </c>
      <c r="I190" s="47">
        <f t="shared" si="6"/>
        <v>35.975656001795478</v>
      </c>
      <c r="J190" s="47">
        <f t="shared" si="6"/>
        <v>41.008196997553121</v>
      </c>
      <c r="K190" s="47">
        <f t="shared" si="6"/>
        <v>3.8330544341948984</v>
      </c>
    </row>
    <row r="191" spans="3:11" x14ac:dyDescent="0.2">
      <c r="C191" s="88" t="s">
        <v>130</v>
      </c>
      <c r="D191" s="116">
        <f t="shared" si="6"/>
        <v>49.849446931551725</v>
      </c>
      <c r="E191" s="116">
        <f t="shared" si="6"/>
        <v>48.345347668945422</v>
      </c>
      <c r="F191" s="116">
        <f t="shared" si="6"/>
        <v>87.375443519254858</v>
      </c>
      <c r="G191" s="116">
        <f t="shared" si="6"/>
        <v>60.033506326257047</v>
      </c>
      <c r="H191" s="116">
        <f t="shared" si="6"/>
        <v>57.507935874152302</v>
      </c>
      <c r="I191" s="116">
        <f t="shared" si="6"/>
        <v>32.31799046689293</v>
      </c>
      <c r="J191" s="116">
        <f t="shared" si="6"/>
        <v>64.744425410607505</v>
      </c>
      <c r="K191" s="116">
        <f t="shared" si="6"/>
        <v>1.6150510462356296</v>
      </c>
    </row>
    <row r="192" spans="3:11" x14ac:dyDescent="0.2">
      <c r="C192" s="87" t="s">
        <v>131</v>
      </c>
      <c r="D192" s="47">
        <f t="shared" si="6"/>
        <v>96.663263337636181</v>
      </c>
      <c r="E192" s="47">
        <f t="shared" si="6"/>
        <v>99.041787861263614</v>
      </c>
      <c r="F192" s="47">
        <f t="shared" si="6"/>
        <v>99.261022389831282</v>
      </c>
      <c r="G192" s="47">
        <f t="shared" si="6"/>
        <v>98.731888657950122</v>
      </c>
      <c r="H192" s="47">
        <f t="shared" si="6"/>
        <v>91.170794347382085</v>
      </c>
      <c r="I192" s="47">
        <f t="shared" si="6"/>
        <v>71.142941183111844</v>
      </c>
      <c r="J192" s="47">
        <f t="shared" si="6"/>
        <v>90.305850988807308</v>
      </c>
      <c r="K192" s="47">
        <f t="shared" si="6"/>
        <v>0.86772684861790039</v>
      </c>
    </row>
    <row r="193" spans="3:11" x14ac:dyDescent="0.2">
      <c r="C193" s="88" t="s">
        <v>132</v>
      </c>
      <c r="D193" s="116">
        <f t="shared" si="6"/>
        <v>84.496681502113461</v>
      </c>
      <c r="E193" s="116">
        <f t="shared" si="6"/>
        <v>64.730659099273907</v>
      </c>
      <c r="F193" s="116">
        <f t="shared" si="6"/>
        <v>61.079860371230566</v>
      </c>
      <c r="G193" s="116">
        <f t="shared" si="6"/>
        <v>62.039458157618675</v>
      </c>
      <c r="H193" s="116">
        <f t="shared" si="6"/>
        <v>62.767599274308658</v>
      </c>
      <c r="I193" s="116">
        <f t="shared" si="6"/>
        <v>84.386937973923864</v>
      </c>
      <c r="J193" s="116">
        <f t="shared" si="6"/>
        <v>81.879746350842481</v>
      </c>
      <c r="K193" s="116">
        <f t="shared" si="6"/>
        <v>2.2176337065192366</v>
      </c>
    </row>
    <row r="194" spans="3:11" x14ac:dyDescent="0.2">
      <c r="C194" s="87" t="s">
        <v>133</v>
      </c>
      <c r="D194" s="47">
        <f t="shared" ref="D194:K203" si="7">+IFERROR(IF(D152&gt;0,+((D152/D25)*100)," "),"")</f>
        <v>69.566317122186334</v>
      </c>
      <c r="E194" s="47">
        <f t="shared" si="7"/>
        <v>68.650346066257228</v>
      </c>
      <c r="F194" s="47">
        <f t="shared" si="7"/>
        <v>84.830941038703713</v>
      </c>
      <c r="G194" s="47">
        <f t="shared" si="7"/>
        <v>80.20904417642312</v>
      </c>
      <c r="H194" s="47">
        <f t="shared" si="7"/>
        <v>72.220671800627628</v>
      </c>
      <c r="I194" s="47">
        <f t="shared" si="7"/>
        <v>69.364828294227223</v>
      </c>
      <c r="J194" s="47">
        <f t="shared" si="7"/>
        <v>60.912266365515997</v>
      </c>
      <c r="K194" s="47">
        <f t="shared" si="7"/>
        <v>1.3319538098314647</v>
      </c>
    </row>
    <row r="195" spans="3:11" x14ac:dyDescent="0.2">
      <c r="C195" s="88" t="s">
        <v>134</v>
      </c>
      <c r="D195" s="116">
        <f t="shared" si="7"/>
        <v>29.487565034724568</v>
      </c>
      <c r="E195" s="116">
        <f t="shared" si="7"/>
        <v>30.427127660737618</v>
      </c>
      <c r="F195" s="116">
        <f t="shared" si="7"/>
        <v>35.725786409005231</v>
      </c>
      <c r="G195" s="116">
        <f t="shared" si="7"/>
        <v>39.386393758129302</v>
      </c>
      <c r="H195" s="116">
        <f t="shared" si="7"/>
        <v>22.841570060964173</v>
      </c>
      <c r="I195" s="116">
        <f t="shared" si="7"/>
        <v>30.688218328781826</v>
      </c>
      <c r="J195" s="116">
        <f t="shared" si="7"/>
        <v>24.927805532937509</v>
      </c>
      <c r="K195" s="116">
        <f t="shared" si="7"/>
        <v>10.590837373622062</v>
      </c>
    </row>
    <row r="196" spans="3:11" x14ac:dyDescent="0.2">
      <c r="C196" s="87" t="s">
        <v>135</v>
      </c>
      <c r="D196" s="47" t="str">
        <f t="shared" si="7"/>
        <v xml:space="preserve"> </v>
      </c>
      <c r="E196" s="47" t="str">
        <f t="shared" si="7"/>
        <v xml:space="preserve"> </v>
      </c>
      <c r="F196" s="47" t="str">
        <f t="shared" si="7"/>
        <v xml:space="preserve"> </v>
      </c>
      <c r="G196" s="47" t="str">
        <f t="shared" si="7"/>
        <v xml:space="preserve"> </v>
      </c>
      <c r="H196" s="47" t="str">
        <f t="shared" si="7"/>
        <v/>
      </c>
      <c r="I196" s="47">
        <f t="shared" si="7"/>
        <v>90.684378150447614</v>
      </c>
      <c r="J196" s="47">
        <f t="shared" si="7"/>
        <v>94.058772324455489</v>
      </c>
      <c r="K196" s="47">
        <f t="shared" si="7"/>
        <v>10.208814400764453</v>
      </c>
    </row>
    <row r="197" spans="3:11" x14ac:dyDescent="0.2">
      <c r="C197" s="88" t="s">
        <v>136</v>
      </c>
      <c r="D197" s="116">
        <f t="shared" si="7"/>
        <v>88.464719995402305</v>
      </c>
      <c r="E197" s="116">
        <f t="shared" si="7"/>
        <v>95.50885099586111</v>
      </c>
      <c r="F197" s="116">
        <f t="shared" si="7"/>
        <v>88.811625791138269</v>
      </c>
      <c r="G197" s="116">
        <f t="shared" si="7"/>
        <v>96.305237357954667</v>
      </c>
      <c r="H197" s="116">
        <f t="shared" si="7"/>
        <v>48.707487074707757</v>
      </c>
      <c r="I197" s="116">
        <f t="shared" si="7"/>
        <v>76.931328695328872</v>
      </c>
      <c r="J197" s="116">
        <f t="shared" si="7"/>
        <v>77.34112430594125</v>
      </c>
      <c r="K197" s="116">
        <f t="shared" si="7"/>
        <v>12.018011357529721</v>
      </c>
    </row>
    <row r="198" spans="3:11" x14ac:dyDescent="0.2">
      <c r="C198" s="87" t="s">
        <v>137</v>
      </c>
      <c r="D198" s="47">
        <f t="shared" si="7"/>
        <v>80.390952145147466</v>
      </c>
      <c r="E198" s="47">
        <f t="shared" si="7"/>
        <v>82.485597231494495</v>
      </c>
      <c r="F198" s="47">
        <f t="shared" si="7"/>
        <v>56.884390956784905</v>
      </c>
      <c r="G198" s="47">
        <f t="shared" si="7"/>
        <v>47.191737196700231</v>
      </c>
      <c r="H198" s="47">
        <f t="shared" si="7"/>
        <v>44.095920212987238</v>
      </c>
      <c r="I198" s="47">
        <f t="shared" si="7"/>
        <v>54.93046778083356</v>
      </c>
      <c r="J198" s="47">
        <f t="shared" si="7"/>
        <v>62.933143343731615</v>
      </c>
      <c r="K198" s="47">
        <f t="shared" si="7"/>
        <v>3.4401537371598199</v>
      </c>
    </row>
    <row r="199" spans="3:11" x14ac:dyDescent="0.2">
      <c r="C199" s="88" t="s">
        <v>138</v>
      </c>
      <c r="D199" s="116">
        <f t="shared" si="7"/>
        <v>65.780091142444846</v>
      </c>
      <c r="E199" s="116">
        <f t="shared" si="7"/>
        <v>96.787518520749089</v>
      </c>
      <c r="F199" s="116">
        <f t="shared" si="7"/>
        <v>95.896709671133394</v>
      </c>
      <c r="G199" s="116">
        <f t="shared" si="7"/>
        <v>86.521347843124985</v>
      </c>
      <c r="H199" s="116">
        <f t="shared" si="7"/>
        <v>74.404912973551731</v>
      </c>
      <c r="I199" s="116">
        <f t="shared" si="7"/>
        <v>40.323998133990543</v>
      </c>
      <c r="J199" s="116">
        <f t="shared" si="7"/>
        <v>43.415105868937658</v>
      </c>
      <c r="K199" s="116" t="str">
        <f t="shared" si="7"/>
        <v xml:space="preserve"> </v>
      </c>
    </row>
    <row r="200" spans="3:11" x14ac:dyDescent="0.2">
      <c r="C200" s="87" t="s">
        <v>160</v>
      </c>
      <c r="D200" s="47">
        <f t="shared" si="7"/>
        <v>56.835727192817345</v>
      </c>
      <c r="E200" s="47">
        <f t="shared" si="7"/>
        <v>84.205955597966408</v>
      </c>
      <c r="F200" s="47">
        <f t="shared" si="7"/>
        <v>84.958584080910072</v>
      </c>
      <c r="G200" s="47">
        <f t="shared" si="7"/>
        <v>67.476115445292876</v>
      </c>
      <c r="H200" s="47">
        <f t="shared" si="7"/>
        <v>48.773059638985977</v>
      </c>
      <c r="I200" s="47">
        <f t="shared" si="7"/>
        <v>38.684416503186156</v>
      </c>
      <c r="J200" s="47">
        <f t="shared" si="7"/>
        <v>52.632883078099013</v>
      </c>
      <c r="K200" s="47">
        <f t="shared" si="7"/>
        <v>0.17855845385494515</v>
      </c>
    </row>
    <row r="201" spans="3:11" x14ac:dyDescent="0.2">
      <c r="C201" s="88" t="s">
        <v>161</v>
      </c>
      <c r="D201" s="116">
        <f t="shared" si="7"/>
        <v>23.95395443981274</v>
      </c>
      <c r="E201" s="116">
        <f t="shared" si="7"/>
        <v>26.964685584205881</v>
      </c>
      <c r="F201" s="116">
        <f t="shared" si="7"/>
        <v>21.557945321558666</v>
      </c>
      <c r="G201" s="116">
        <f t="shared" si="7"/>
        <v>21.769044765247198</v>
      </c>
      <c r="H201" s="116">
        <f t="shared" si="7"/>
        <v>46.936211035928935</v>
      </c>
      <c r="I201" s="116">
        <f t="shared" si="7"/>
        <v>39.732257624640958</v>
      </c>
      <c r="J201" s="116">
        <f t="shared" si="7"/>
        <v>46.016069840398629</v>
      </c>
      <c r="K201" s="116">
        <f t="shared" si="7"/>
        <v>0.25484729482334328</v>
      </c>
    </row>
    <row r="202" spans="3:11" x14ac:dyDescent="0.2">
      <c r="C202" s="87" t="s">
        <v>140</v>
      </c>
      <c r="D202" s="47">
        <f t="shared" si="7"/>
        <v>82.643110787227954</v>
      </c>
      <c r="E202" s="47">
        <f t="shared" si="7"/>
        <v>86.786585043176245</v>
      </c>
      <c r="F202" s="47">
        <f t="shared" si="7"/>
        <v>89.591003981771848</v>
      </c>
      <c r="G202" s="47">
        <f t="shared" si="7"/>
        <v>82.164023117624382</v>
      </c>
      <c r="H202" s="47">
        <f t="shared" si="7"/>
        <v>85.617913680295928</v>
      </c>
      <c r="I202" s="47">
        <f t="shared" si="7"/>
        <v>59.30832378746026</v>
      </c>
      <c r="J202" s="47">
        <f t="shared" si="7"/>
        <v>67.282376840147123</v>
      </c>
      <c r="K202" s="47">
        <f t="shared" si="7"/>
        <v>0.1514164593837751</v>
      </c>
    </row>
    <row r="203" spans="3:11" x14ac:dyDescent="0.2">
      <c r="C203" s="88" t="s">
        <v>141</v>
      </c>
      <c r="D203" s="116">
        <f t="shared" si="7"/>
        <v>55.034902967913709</v>
      </c>
      <c r="E203" s="116">
        <f t="shared" si="7"/>
        <v>64.088217125479815</v>
      </c>
      <c r="F203" s="116">
        <f t="shared" si="7"/>
        <v>42.864468040514325</v>
      </c>
      <c r="G203" s="116">
        <f t="shared" si="7"/>
        <v>39.606988049768241</v>
      </c>
      <c r="H203" s="116">
        <f t="shared" si="7"/>
        <v>52.376949216519954</v>
      </c>
      <c r="I203" s="116">
        <f t="shared" si="7"/>
        <v>66.947135447977786</v>
      </c>
      <c r="J203" s="116">
        <f t="shared" si="7"/>
        <v>60.797072904315577</v>
      </c>
      <c r="K203" s="116">
        <f t="shared" si="7"/>
        <v>0.59274535906014103</v>
      </c>
    </row>
    <row r="204" spans="3:11" x14ac:dyDescent="0.2">
      <c r="C204" s="87" t="s">
        <v>142</v>
      </c>
      <c r="D204" s="47">
        <f t="shared" ref="D204:K213" si="8">+IFERROR(IF(D162&gt;0,+((D162/D35)*100)," "),"")</f>
        <v>53.622125539248785</v>
      </c>
      <c r="E204" s="47">
        <f t="shared" si="8"/>
        <v>64.487360109499164</v>
      </c>
      <c r="F204" s="47">
        <f t="shared" si="8"/>
        <v>67.297873160255193</v>
      </c>
      <c r="G204" s="47">
        <f t="shared" si="8"/>
        <v>23.864727772621404</v>
      </c>
      <c r="H204" s="47">
        <f t="shared" si="8"/>
        <v>27.178410878568187</v>
      </c>
      <c r="I204" s="47">
        <f t="shared" si="8"/>
        <v>39.450341039905481</v>
      </c>
      <c r="J204" s="47">
        <f t="shared" si="8"/>
        <v>40.345596565376091</v>
      </c>
      <c r="K204" s="47">
        <f t="shared" si="8"/>
        <v>0.60242996461682075</v>
      </c>
    </row>
    <row r="205" spans="3:11" x14ac:dyDescent="0.2">
      <c r="C205" s="88" t="s">
        <v>143</v>
      </c>
      <c r="D205" s="116">
        <f t="shared" si="8"/>
        <v>36.20799340157248</v>
      </c>
      <c r="E205" s="116">
        <f t="shared" si="8"/>
        <v>14.537634251059389</v>
      </c>
      <c r="F205" s="116">
        <f t="shared" si="8"/>
        <v>15.398422647813675</v>
      </c>
      <c r="G205" s="116">
        <f t="shared" si="8"/>
        <v>21.12352492580882</v>
      </c>
      <c r="H205" s="116">
        <f t="shared" si="8"/>
        <v>6.7167675801642073</v>
      </c>
      <c r="I205" s="116">
        <f t="shared" si="8"/>
        <v>12.103505724695998</v>
      </c>
      <c r="J205" s="116">
        <f t="shared" si="8"/>
        <v>68.649408582188315</v>
      </c>
      <c r="K205" s="116">
        <f t="shared" si="8"/>
        <v>0.31977171346401462</v>
      </c>
    </row>
    <row r="206" spans="3:11" x14ac:dyDescent="0.2">
      <c r="C206" s="87" t="s">
        <v>144</v>
      </c>
      <c r="D206" s="47">
        <f t="shared" si="8"/>
        <v>46.132177133745444</v>
      </c>
      <c r="E206" s="47">
        <f t="shared" si="8"/>
        <v>48.003168124169164</v>
      </c>
      <c r="F206" s="47">
        <f t="shared" si="8"/>
        <v>29.449286348009007</v>
      </c>
      <c r="G206" s="47">
        <f t="shared" si="8"/>
        <v>35.088937628773998</v>
      </c>
      <c r="H206" s="47">
        <f t="shared" si="8"/>
        <v>43.65413836329774</v>
      </c>
      <c r="I206" s="47">
        <f t="shared" si="8"/>
        <v>24.568764552564804</v>
      </c>
      <c r="J206" s="47">
        <f t="shared" si="8"/>
        <v>38.304058927837083</v>
      </c>
      <c r="K206" s="47">
        <f t="shared" si="8"/>
        <v>0.18320126898594233</v>
      </c>
    </row>
    <row r="207" spans="3:11" x14ac:dyDescent="0.2">
      <c r="C207" s="88" t="s">
        <v>145</v>
      </c>
      <c r="D207" s="116">
        <f t="shared" si="8"/>
        <v>84.028955606058005</v>
      </c>
      <c r="E207" s="116">
        <f t="shared" si="8"/>
        <v>73.428862847641469</v>
      </c>
      <c r="F207" s="116">
        <f t="shared" si="8"/>
        <v>63.85370853925243</v>
      </c>
      <c r="G207" s="116">
        <f t="shared" si="8"/>
        <v>71.640386846885747</v>
      </c>
      <c r="H207" s="116">
        <f t="shared" si="8"/>
        <v>57.178658497823562</v>
      </c>
      <c r="I207" s="116">
        <f t="shared" si="8"/>
        <v>50.709704078255669</v>
      </c>
      <c r="J207" s="116">
        <f t="shared" si="8"/>
        <v>73.092546249040737</v>
      </c>
      <c r="K207" s="116">
        <f t="shared" si="8"/>
        <v>8.7410278765929321E-3</v>
      </c>
    </row>
    <row r="208" spans="3:11" x14ac:dyDescent="0.2">
      <c r="C208" s="87" t="s">
        <v>146</v>
      </c>
      <c r="D208" s="47">
        <f t="shared" si="8"/>
        <v>89.080061468378887</v>
      </c>
      <c r="E208" s="47">
        <f t="shared" si="8"/>
        <v>88.582648378395461</v>
      </c>
      <c r="F208" s="47">
        <f t="shared" si="8"/>
        <v>75.400129826099516</v>
      </c>
      <c r="G208" s="47">
        <f t="shared" si="8"/>
        <v>62.767736682593224</v>
      </c>
      <c r="H208" s="47">
        <f t="shared" si="8"/>
        <v>70.975732738840023</v>
      </c>
      <c r="I208" s="47">
        <f t="shared" si="8"/>
        <v>77.863707166309325</v>
      </c>
      <c r="J208" s="47">
        <f t="shared" si="8"/>
        <v>80.493853725790032</v>
      </c>
      <c r="K208" s="47">
        <f t="shared" si="8"/>
        <v>6.0132623559717988</v>
      </c>
    </row>
    <row r="209" spans="1:11" x14ac:dyDescent="0.2">
      <c r="C209" s="88" t="s">
        <v>162</v>
      </c>
      <c r="D209" s="116">
        <f t="shared" si="8"/>
        <v>90.700976987474988</v>
      </c>
      <c r="E209" s="116">
        <f t="shared" si="8"/>
        <v>91.793899376859756</v>
      </c>
      <c r="F209" s="116">
        <f t="shared" si="8"/>
        <v>90.209008977301735</v>
      </c>
      <c r="G209" s="116">
        <f t="shared" si="8"/>
        <v>89.220575752241956</v>
      </c>
      <c r="H209" s="116">
        <f t="shared" si="8"/>
        <v>65.805723090582362</v>
      </c>
      <c r="I209" s="116">
        <f t="shared" si="8"/>
        <v>45.657613156298595</v>
      </c>
      <c r="J209" s="116">
        <f t="shared" si="8"/>
        <v>43.578769739840169</v>
      </c>
      <c r="K209" s="116">
        <f t="shared" si="8"/>
        <v>0.62852069496007623</v>
      </c>
    </row>
    <row r="210" spans="1:11" x14ac:dyDescent="0.2">
      <c r="C210" s="87" t="s">
        <v>148</v>
      </c>
      <c r="D210" s="47">
        <f t="shared" si="8"/>
        <v>61.866202437315053</v>
      </c>
      <c r="E210" s="47">
        <f t="shared" si="8"/>
        <v>79.625252443993361</v>
      </c>
      <c r="F210" s="47">
        <f t="shared" si="8"/>
        <v>84.546406859085337</v>
      </c>
      <c r="G210" s="47">
        <f t="shared" si="8"/>
        <v>86.660191564308178</v>
      </c>
      <c r="H210" s="47">
        <f t="shared" si="8"/>
        <v>85.634371030818386</v>
      </c>
      <c r="I210" s="47">
        <f t="shared" si="8"/>
        <v>76.470991278651852</v>
      </c>
      <c r="J210" s="47">
        <f t="shared" si="8"/>
        <v>78.260160187165098</v>
      </c>
      <c r="K210" s="47">
        <f t="shared" si="8"/>
        <v>8.1891395637000741</v>
      </c>
    </row>
    <row r="211" spans="1:11" x14ac:dyDescent="0.2">
      <c r="C211" s="88" t="s">
        <v>149</v>
      </c>
      <c r="D211" s="116">
        <f t="shared" si="8"/>
        <v>87.997075966332787</v>
      </c>
      <c r="E211" s="116">
        <f t="shared" si="8"/>
        <v>94.156172403724284</v>
      </c>
      <c r="F211" s="116">
        <f t="shared" si="8"/>
        <v>78.243377529836692</v>
      </c>
      <c r="G211" s="116">
        <f t="shared" si="8"/>
        <v>78.848773074036174</v>
      </c>
      <c r="H211" s="116">
        <f t="shared" si="8"/>
        <v>88.830506488322214</v>
      </c>
      <c r="I211" s="116">
        <f t="shared" si="8"/>
        <v>65.575614728830246</v>
      </c>
      <c r="J211" s="116">
        <f t="shared" si="8"/>
        <v>67.665759847638242</v>
      </c>
      <c r="K211" s="116">
        <f t="shared" si="8"/>
        <v>12.250039514447733</v>
      </c>
    </row>
    <row r="212" spans="1:11" x14ac:dyDescent="0.2">
      <c r="C212" s="87" t="s">
        <v>163</v>
      </c>
      <c r="D212" s="47">
        <f t="shared" si="8"/>
        <v>91.409979350322232</v>
      </c>
      <c r="E212" s="47">
        <f t="shared" si="8"/>
        <v>87.407792009136614</v>
      </c>
      <c r="F212" s="47">
        <f t="shared" si="8"/>
        <v>88.081481723598714</v>
      </c>
      <c r="G212" s="47">
        <f t="shared" si="8"/>
        <v>93.19610166528247</v>
      </c>
      <c r="H212" s="47">
        <f t="shared" si="8"/>
        <v>89.209237439380857</v>
      </c>
      <c r="I212" s="47">
        <f t="shared" si="8"/>
        <v>83.808731329403813</v>
      </c>
      <c r="J212" s="47">
        <f t="shared" si="8"/>
        <v>81.113203569073349</v>
      </c>
      <c r="K212" s="47">
        <f t="shared" si="8"/>
        <v>5.306840051421938</v>
      </c>
    </row>
    <row r="213" spans="1:11" x14ac:dyDescent="0.2">
      <c r="C213" s="88" t="s">
        <v>150</v>
      </c>
      <c r="D213" s="116">
        <f t="shared" si="8"/>
        <v>75.696460100733006</v>
      </c>
      <c r="E213" s="116">
        <f t="shared" si="8"/>
        <v>78.262535191860067</v>
      </c>
      <c r="F213" s="116">
        <f t="shared" si="8"/>
        <v>78.649530328753997</v>
      </c>
      <c r="G213" s="116">
        <f t="shared" si="8"/>
        <v>72.033558629078001</v>
      </c>
      <c r="H213" s="116">
        <f t="shared" si="8"/>
        <v>76.520395228262856</v>
      </c>
      <c r="I213" s="116">
        <f t="shared" si="8"/>
        <v>37.6773798980986</v>
      </c>
      <c r="J213" s="116">
        <f t="shared" si="8"/>
        <v>37.284219145040154</v>
      </c>
      <c r="K213" s="116">
        <f t="shared" si="8"/>
        <v>7.9198886096286394</v>
      </c>
    </row>
    <row r="214" spans="1:11" x14ac:dyDescent="0.2">
      <c r="C214" s="87" t="s">
        <v>151</v>
      </c>
      <c r="D214" s="47">
        <f t="shared" ref="D214:K215" si="9">+IFERROR(IF(D172&gt;0,+((D172/D45)*100)," "),"")</f>
        <v>35.049078283909395</v>
      </c>
      <c r="E214" s="47">
        <f t="shared" si="9"/>
        <v>49.391158648910718</v>
      </c>
      <c r="F214" s="47">
        <f t="shared" si="9"/>
        <v>59.120324785235134</v>
      </c>
      <c r="G214" s="47">
        <f t="shared" si="9"/>
        <v>64.134454219274943</v>
      </c>
      <c r="H214" s="47">
        <f t="shared" si="9"/>
        <v>41.086929110770178</v>
      </c>
      <c r="I214" s="47">
        <f t="shared" si="9"/>
        <v>30.058288663373826</v>
      </c>
      <c r="J214" s="47">
        <f t="shared" si="9"/>
        <v>36.85667056627554</v>
      </c>
      <c r="K214" s="47">
        <f t="shared" si="9"/>
        <v>2.0554025740550457</v>
      </c>
    </row>
    <row r="215" spans="1:11" x14ac:dyDescent="0.2">
      <c r="C215" s="91" t="s">
        <v>202</v>
      </c>
      <c r="D215" s="64">
        <f t="shared" si="9"/>
        <v>77.211463425633639</v>
      </c>
      <c r="E215" s="64">
        <f t="shared" si="9"/>
        <v>80.728665056895025</v>
      </c>
      <c r="F215" s="64">
        <f t="shared" si="9"/>
        <v>76.995510073232239</v>
      </c>
      <c r="G215" s="64">
        <f t="shared" si="9"/>
        <v>78.77014482113384</v>
      </c>
      <c r="H215" s="64">
        <f t="shared" si="9"/>
        <v>71.268748001503013</v>
      </c>
      <c r="I215" s="64">
        <f t="shared" si="9"/>
        <v>56.965136486340874</v>
      </c>
      <c r="J215" s="64">
        <f t="shared" si="9"/>
        <v>64.221817950914485</v>
      </c>
      <c r="K215" s="64">
        <f t="shared" si="9"/>
        <v>5.7773051827540804</v>
      </c>
    </row>
    <row r="216" spans="1:11" s="31" customFormat="1" x14ac:dyDescent="0.2">
      <c r="A216" s="5"/>
      <c r="B216" s="5"/>
      <c r="C216" s="72" t="str">
        <f>+'C1 Aprop Resumen 2000-2026'!B20</f>
        <v>* Información con corte a 28 de febrero</v>
      </c>
      <c r="D216" s="47"/>
      <c r="E216" s="47"/>
      <c r="F216" s="47"/>
      <c r="G216" s="47"/>
      <c r="H216" s="47"/>
      <c r="I216" s="47"/>
    </row>
    <row r="217" spans="1:11" x14ac:dyDescent="0.2">
      <c r="C217" s="1" t="s">
        <v>52</v>
      </c>
      <c r="D217" s="11"/>
      <c r="E217" s="11"/>
      <c r="F217" s="11"/>
    </row>
    <row r="218" spans="1:11" x14ac:dyDescent="0.2">
      <c r="E218" s="3"/>
      <c r="F218" s="3"/>
    </row>
    <row r="219" spans="1:11" x14ac:dyDescent="0.2">
      <c r="E219" s="3"/>
      <c r="F219" s="3"/>
    </row>
    <row r="220" spans="1:11" x14ac:dyDescent="0.2">
      <c r="E220" s="3"/>
      <c r="F220" s="3"/>
    </row>
    <row r="221" spans="1:11" ht="18" customHeight="1" x14ac:dyDescent="0.2">
      <c r="C221" s="9"/>
      <c r="D221" s="131" t="s">
        <v>207</v>
      </c>
      <c r="E221" s="131"/>
      <c r="F221" s="131"/>
      <c r="G221" s="131"/>
      <c r="H221" s="131"/>
      <c r="I221" s="131"/>
      <c r="J221" s="131"/>
      <c r="K221" s="131"/>
    </row>
    <row r="222" spans="1:11" ht="15.75" customHeight="1" x14ac:dyDescent="0.2">
      <c r="C222" s="150"/>
      <c r="D222" s="150"/>
      <c r="E222" s="150"/>
      <c r="F222" s="150"/>
      <c r="G222" s="150"/>
      <c r="H222" s="150"/>
      <c r="I222" s="150"/>
      <c r="J222" s="150"/>
    </row>
    <row r="223" spans="1:11" x14ac:dyDescent="0.2">
      <c r="C223" s="177" t="s">
        <v>120</v>
      </c>
      <c r="D223" s="153">
        <v>2019</v>
      </c>
      <c r="E223" s="153">
        <v>2020</v>
      </c>
      <c r="F223" s="153">
        <v>2021</v>
      </c>
      <c r="G223" s="153">
        <v>2022</v>
      </c>
      <c r="H223" s="153">
        <v>2023</v>
      </c>
      <c r="I223" s="153">
        <v>2024</v>
      </c>
      <c r="J223" s="153">
        <v>2025</v>
      </c>
      <c r="K223" s="153" t="s">
        <v>36</v>
      </c>
    </row>
    <row r="224" spans="1:11" ht="12" customHeight="1" thickBot="1" x14ac:dyDescent="0.25">
      <c r="C224" s="156"/>
      <c r="D224" s="154"/>
      <c r="E224" s="154"/>
      <c r="F224" s="154"/>
      <c r="G224" s="154"/>
      <c r="H224" s="154"/>
      <c r="I224" s="154"/>
      <c r="J224" s="154"/>
      <c r="K224" s="154"/>
    </row>
    <row r="225" spans="3:11" x14ac:dyDescent="0.2">
      <c r="C225" s="87" t="s">
        <v>123</v>
      </c>
      <c r="D225" s="42">
        <f>870.899372097949*Deflactores!$T$5</f>
        <v>1317.7600274305983</v>
      </c>
      <c r="E225" s="42">
        <f>854.99585787813*Deflactores!$U$5</f>
        <v>1273.1978940246356</v>
      </c>
      <c r="F225" s="42">
        <f>1319.99384408719*Deflactores!$V$5</f>
        <v>1861.0482955386281</v>
      </c>
      <c r="G225" s="42">
        <f>1216.69333105053*Deflactores!$W$5</f>
        <v>1516.4478120801764</v>
      </c>
      <c r="H225" s="42">
        <f>3262.92800712956*Deflactores!$X$5</f>
        <v>3721.4582109671273</v>
      </c>
      <c r="I225" s="42">
        <f>2206.05256963647*Deflactores!$Y$5</f>
        <v>2391.6948723668534</v>
      </c>
      <c r="J225" s="42">
        <f>2212.28815895224*Deflactores!$Z$5</f>
        <v>2282.0696431435995</v>
      </c>
      <c r="K225" s="42">
        <f>44.73837060169*Deflactores!$AA$5</f>
        <v>44.738370601690001</v>
      </c>
    </row>
    <row r="226" spans="3:11" x14ac:dyDescent="0.2">
      <c r="C226" s="88" t="s">
        <v>124</v>
      </c>
      <c r="D226" s="50">
        <f>245.47944673166*Deflactores!$T$5</f>
        <v>371.43556744048112</v>
      </c>
      <c r="E226" s="50">
        <f>250.91034662321*Deflactores!$U$5</f>
        <v>373.63751176815356</v>
      </c>
      <c r="F226" s="50">
        <f>398.08688807036*Deflactores!$V$5</f>
        <v>561.25937847228613</v>
      </c>
      <c r="G226" s="50">
        <f>445.319226332289*Deflactores!$W$5</f>
        <v>555.03169879772338</v>
      </c>
      <c r="H226" s="50">
        <f>500.0834862054*Deflactores!$X$5</f>
        <v>570.35882858639377</v>
      </c>
      <c r="I226" s="50">
        <f>526.08695068756*Deflactores!$Y$5</f>
        <v>570.35787800192509</v>
      </c>
      <c r="J226" s="50">
        <f>649.899812294939*Deflactores!$Z$5</f>
        <v>670.3993902066635</v>
      </c>
      <c r="K226" s="50">
        <f>25.24323369903*Deflactores!$AA$5</f>
        <v>25.24323369903</v>
      </c>
    </row>
    <row r="227" spans="3:11" x14ac:dyDescent="0.2">
      <c r="C227" s="87" t="s">
        <v>125</v>
      </c>
      <c r="D227" s="42">
        <f>127.44265654972*Deflactores!$T$5</f>
        <v>192.83380373352648</v>
      </c>
      <c r="E227" s="42">
        <f>159.44373548996*Deflactores!$U$5</f>
        <v>237.43206048393978</v>
      </c>
      <c r="F227" s="42">
        <f>334.840820390469*Deflactores!$V$5</f>
        <v>472.08927591277217</v>
      </c>
      <c r="G227" s="42">
        <f>265.99201824601*Deflactores!$W$5</f>
        <v>331.52397880875725</v>
      </c>
      <c r="H227" s="42">
        <f>293.92692347326*Deflactores!$X$5</f>
        <v>335.23165708646212</v>
      </c>
      <c r="I227" s="42">
        <f>300.61243224908*Deflactores!$Y$5</f>
        <v>325.90937436197657</v>
      </c>
      <c r="J227" s="42">
        <f>234.79407262684*Deflactores!$Z$5</f>
        <v>242.20010551678439</v>
      </c>
      <c r="K227" s="42">
        <f>0.914211186*Deflactores!$AA$5</f>
        <v>0.91421118599999995</v>
      </c>
    </row>
    <row r="228" spans="3:11" x14ac:dyDescent="0.2">
      <c r="C228" s="88" t="s">
        <v>126</v>
      </c>
      <c r="D228" s="50">
        <f>253.90118740172*Deflactores!$T$5</f>
        <v>384.17852440192382</v>
      </c>
      <c r="E228" s="50">
        <f>237.33553989448*Deflactores!$U$5</f>
        <v>353.42289297256866</v>
      </c>
      <c r="F228" s="50">
        <f>252.32579918136*Deflactores!$V$5</f>
        <v>355.75203671622137</v>
      </c>
      <c r="G228" s="50">
        <f>304.09910319849*Deflactores!$W$5</f>
        <v>379.01943565575607</v>
      </c>
      <c r="H228" s="50">
        <f>335.473007943*Deflactores!$X$5</f>
        <v>382.61609733326429</v>
      </c>
      <c r="I228" s="50">
        <f>166.97769397893*Deflactores!$Y$5</f>
        <v>181.02909240955125</v>
      </c>
      <c r="J228" s="50">
        <f>302.4773270746*Deflactores!$Z$5</f>
        <v>312.01827079483286</v>
      </c>
      <c r="K228" s="50">
        <f>38.4714436572999*Deflactores!$AA$5</f>
        <v>38.471443657299901</v>
      </c>
    </row>
    <row r="229" spans="3:11" x14ac:dyDescent="0.2">
      <c r="C229" s="87" t="s">
        <v>127</v>
      </c>
      <c r="D229" s="42">
        <f>56.1706710994799*Deflactores!$T$5</f>
        <v>84.991983529092337</v>
      </c>
      <c r="E229" s="42">
        <f>63.9798286538699*Deflactores!$U$5</f>
        <v>95.274126010766309</v>
      </c>
      <c r="F229" s="42">
        <f>102.568897871439*Deflactores!$V$5</f>
        <v>144.611032402897</v>
      </c>
      <c r="G229" s="42">
        <f>135.40986192558*Deflactores!$W$5</f>
        <v>168.77053864824427</v>
      </c>
      <c r="H229" s="42">
        <f>176.44283537095*Deflactores!$X$5</f>
        <v>201.23785661920999</v>
      </c>
      <c r="I229" s="42">
        <f>148.44162962711*Deflactores!$Y$5</f>
        <v>160.93319321191092</v>
      </c>
      <c r="J229" s="42">
        <f>143.897824087*Deflactores!$Z$5</f>
        <v>148.43674624145106</v>
      </c>
      <c r="K229" s="42">
        <f>16.690274599*Deflactores!$AA$5</f>
        <v>16.690274598999999</v>
      </c>
    </row>
    <row r="230" spans="3:11" x14ac:dyDescent="0.2">
      <c r="C230" s="88" t="s">
        <v>128</v>
      </c>
      <c r="D230" s="50">
        <f>132.50515653713*Deflactores!$T$5</f>
        <v>200.49388518037188</v>
      </c>
      <c r="E230" s="50">
        <f>128.3827433356*Deflactores!$U$5</f>
        <v>191.17828108506481</v>
      </c>
      <c r="F230" s="50">
        <f>275.43636481924*Deflactores!$V$5</f>
        <v>388.33543017822086</v>
      </c>
      <c r="G230" s="50">
        <f>266.14110669492*Deflactores!$W$5</f>
        <v>331.7097979025142</v>
      </c>
      <c r="H230" s="50">
        <f>330.004997479369*Deflactores!$X$5</f>
        <v>376.3796825570048</v>
      </c>
      <c r="I230" s="50">
        <f>535.81786077479*Deflactores!$Y$5</f>
        <v>580.90765731336091</v>
      </c>
      <c r="J230" s="50">
        <f>402.27827056939*Deflactores!$Z$5</f>
        <v>414.96720291514748</v>
      </c>
      <c r="K230" s="50">
        <f>12.03606003501*Deflactores!$AA$5</f>
        <v>12.036060035009999</v>
      </c>
    </row>
    <row r="231" spans="3:11" x14ac:dyDescent="0.2">
      <c r="C231" s="87" t="s">
        <v>129</v>
      </c>
      <c r="D231" s="42">
        <f>711.298442804919*Deflactores!$T$5</f>
        <v>1076.2674604346053</v>
      </c>
      <c r="E231" s="42">
        <f>1024.81212119999*Deflactores!$U$5</f>
        <v>1526.0759715501804</v>
      </c>
      <c r="F231" s="42">
        <f>1479.48005353321*Deflactores!$V$5</f>
        <v>2085.906570129056</v>
      </c>
      <c r="G231" s="42">
        <f>1335.90781256922*Deflactores!$W$5</f>
        <v>1665.0329444661627</v>
      </c>
      <c r="H231" s="42">
        <f>1315.4353521251*Deflactores!$X$5</f>
        <v>1500.2898260292541</v>
      </c>
      <c r="I231" s="42">
        <f>1107.93540161164*Deflactores!$Y$5</f>
        <v>1201.1696617841392</v>
      </c>
      <c r="J231" s="42">
        <f>928.05454486514*Deflactores!$Z$5</f>
        <v>957.32786682781671</v>
      </c>
      <c r="K231" s="42">
        <f>139.26528878983*Deflactores!$AA$5</f>
        <v>139.26528878983001</v>
      </c>
    </row>
    <row r="232" spans="3:11" x14ac:dyDescent="0.2">
      <c r="C232" s="88" t="s">
        <v>130</v>
      </c>
      <c r="D232" s="50">
        <f>230.302374533769*Deflactores!$T$5</f>
        <v>348.47110137635855</v>
      </c>
      <c r="E232" s="50">
        <f>204.19736059113*Deflactores!$U$5</f>
        <v>304.07591694680889</v>
      </c>
      <c r="F232" s="50">
        <f>635.752490601649*Deflactores!$V$5</f>
        <v>896.3421263807686</v>
      </c>
      <c r="G232" s="50">
        <f>507.382871380989*Deflactores!$W$5</f>
        <v>632.38584905229811</v>
      </c>
      <c r="H232" s="50">
        <f>512.78972961935*Deflactores!$X$5</f>
        <v>584.85064507148661</v>
      </c>
      <c r="I232" s="50">
        <f>321.04538850098*Deflactores!$Y$5</f>
        <v>348.06179147460165</v>
      </c>
      <c r="J232" s="50">
        <f>258.97770164243*Deflactores!$Z$5</f>
        <v>267.14655085854429</v>
      </c>
      <c r="K232" s="50">
        <f>7.13678924267*Deflactores!$AA$5</f>
        <v>7.1367892426699999</v>
      </c>
    </row>
    <row r="233" spans="3:11" x14ac:dyDescent="0.2">
      <c r="C233" s="87" t="s">
        <v>131</v>
      </c>
      <c r="D233" s="42">
        <f>3622.8553488274*Deflactores!$T$5</f>
        <v>5481.7515281328651</v>
      </c>
      <c r="E233" s="42">
        <f>3956.23225516396*Deflactores!$U$5</f>
        <v>5891.3344773947038</v>
      </c>
      <c r="F233" s="42">
        <f>4821.58926597245*Deflactores!$V$5</f>
        <v>6797.9184338019259</v>
      </c>
      <c r="G233" s="42">
        <f>5464.59927778128*Deflactores!$W$5</f>
        <v>6810.9024741109379</v>
      </c>
      <c r="H233" s="42">
        <f>6741.82893090033*Deflactores!$X$5</f>
        <v>7689.2394122744572</v>
      </c>
      <c r="I233" s="42">
        <f>5645.24354420322*Deflactores!$Y$5</f>
        <v>6120.2984116365988</v>
      </c>
      <c r="J233" s="42">
        <f>6119.14713700715*Deflactores!$Z$5</f>
        <v>6312.1614003063314</v>
      </c>
      <c r="K233" s="42">
        <f>55.28720099067*Deflactores!$AA$5</f>
        <v>55.287200990670001</v>
      </c>
    </row>
    <row r="234" spans="3:11" x14ac:dyDescent="0.2">
      <c r="C234" s="88" t="s">
        <v>132</v>
      </c>
      <c r="D234" s="50">
        <f>261.8565787948*Deflactores!$T$5</f>
        <v>396.21584710100046</v>
      </c>
      <c r="E234" s="50">
        <f>155.32594950191*Deflactores!$U$5</f>
        <v>231.30015189079114</v>
      </c>
      <c r="F234" s="50">
        <f>197.47763613564*Deflactores!$V$5</f>
        <v>278.42206975698184</v>
      </c>
      <c r="G234" s="50">
        <f>203.8268573481*Deflactores!$W$5</f>
        <v>254.04330243334556</v>
      </c>
      <c r="H234" s="50">
        <f>237.728725246769*Deflactores!$X$5</f>
        <v>271.13608226085768</v>
      </c>
      <c r="I234" s="50">
        <f>302.42129296855*Deflactores!$Y$5</f>
        <v>327.87045315362803</v>
      </c>
      <c r="J234" s="50">
        <f>315.693776920289*Deflactores!$Z$5</f>
        <v>325.6516028094386</v>
      </c>
      <c r="K234" s="50">
        <f>8.79368253239*Deflactores!$AA$5</f>
        <v>8.7936825323899992</v>
      </c>
    </row>
    <row r="235" spans="3:11" x14ac:dyDescent="0.2">
      <c r="C235" s="87" t="s">
        <v>133</v>
      </c>
      <c r="D235" s="42">
        <f>102.65119464308*Deflactores!$T$5</f>
        <v>155.32178045184671</v>
      </c>
      <c r="E235" s="42">
        <f>111.8464278155*Deflactores!$U$5</f>
        <v>166.55359793470592</v>
      </c>
      <c r="F235" s="42">
        <f>172.33203368914*Deflactores!$V$5</f>
        <v>242.9694948961405</v>
      </c>
      <c r="G235" s="42">
        <f>159.5055588466*Deflactores!$W$5</f>
        <v>198.80264776227895</v>
      </c>
      <c r="H235" s="42">
        <f>175.91577541669*Deflactores!$X$5</f>
        <v>200.63673039449185</v>
      </c>
      <c r="I235" s="42">
        <f>178.55302487861*Deflactores!$Y$5</f>
        <v>193.57850303546226</v>
      </c>
      <c r="J235" s="42">
        <f>206.121331868329*Deflactores!$Z$5</f>
        <v>212.62294984384803</v>
      </c>
      <c r="K235" s="42">
        <f>5.421725204*Deflactores!$AA$5</f>
        <v>5.4217252040000004</v>
      </c>
    </row>
    <row r="236" spans="3:11" x14ac:dyDescent="0.2">
      <c r="C236" s="88" t="s">
        <v>134</v>
      </c>
      <c r="D236" s="50">
        <f>534.55895980256*Deflactores!$T$5</f>
        <v>808.84250477271939</v>
      </c>
      <c r="E236" s="50">
        <f>584.39430822141*Deflactores!$U$5</f>
        <v>870.23766916721013</v>
      </c>
      <c r="F236" s="50">
        <f>806.95337771394*Deflactores!$V$5</f>
        <v>1137.7168271661039</v>
      </c>
      <c r="G236" s="50">
        <f>1022.28960838346*Deflactores!$W$5</f>
        <v>1274.1492045549933</v>
      </c>
      <c r="H236" s="50">
        <f>1097.80541243596*Deflactores!$X$5</f>
        <v>1252.0769557977374</v>
      </c>
      <c r="I236" s="50">
        <f>1003.60990451344*Deflactores!$Y$5</f>
        <v>1088.0650332267132</v>
      </c>
      <c r="J236" s="50">
        <f>683.71826086667*Deflactores!$Z$5</f>
        <v>705.2845630768702</v>
      </c>
      <c r="K236" s="50">
        <f>519.770198614029*Deflactores!$AA$5</f>
        <v>519.77019861402903</v>
      </c>
    </row>
    <row r="237" spans="3:11" x14ac:dyDescent="0.2">
      <c r="C237" s="87" t="s">
        <v>135</v>
      </c>
      <c r="D237" s="42">
        <f>0*Deflactores!$T$5</f>
        <v>0</v>
      </c>
      <c r="E237" s="42">
        <f>0*Deflactores!$U$5</f>
        <v>0</v>
      </c>
      <c r="F237" s="42">
        <f>0*Deflactores!$V$5</f>
        <v>0</v>
      </c>
      <c r="G237" s="42">
        <f>0*Deflactores!$W$5</f>
        <v>0</v>
      </c>
      <c r="H237" s="42">
        <f>0*Deflactores!$X$5</f>
        <v>0</v>
      </c>
      <c r="I237" s="42">
        <f>8806.20255992043*Deflactores!$Y$5</f>
        <v>9547.2563970024821</v>
      </c>
      <c r="J237" s="42">
        <f>9374.60843165103*Deflactores!$Z$5</f>
        <v>9670.3086492859984</v>
      </c>
      <c r="K237" s="42">
        <f>958.53224744942*Deflactores!$AA$5</f>
        <v>958.53224744941997</v>
      </c>
    </row>
    <row r="238" spans="3:11" x14ac:dyDescent="0.2">
      <c r="C238" s="88" t="s">
        <v>136</v>
      </c>
      <c r="D238" s="50">
        <f>8798.43971438817*Deflactores!$T$5</f>
        <v>13312.941231601477</v>
      </c>
      <c r="E238" s="50">
        <f>10069.8370382365*Deflactores!$U$5</f>
        <v>14995.271839178267</v>
      </c>
      <c r="F238" s="50">
        <f>12720.2070925784*Deflactores!$V$5</f>
        <v>17934.113734380204</v>
      </c>
      <c r="G238" s="50">
        <f>20884.0907597158*Deflactores!$W$5</f>
        <v>26029.265494954529</v>
      </c>
      <c r="H238" s="50">
        <f>17482.3798851368*Deflactores!$X$5</f>
        <v>19939.130139749228</v>
      </c>
      <c r="I238" s="50">
        <f>8406.17716686667*Deflactores!$Y$5</f>
        <v>9113.5683269394594</v>
      </c>
      <c r="J238" s="50">
        <f>6844.6693317788*Deflactores!$Z$5</f>
        <v>7060.5685051472537</v>
      </c>
      <c r="K238" s="50">
        <f>1275.23471848813*Deflactores!$AA$5</f>
        <v>1275.2347184881301</v>
      </c>
    </row>
    <row r="239" spans="3:11" x14ac:dyDescent="0.2">
      <c r="C239" s="87" t="s">
        <v>137</v>
      </c>
      <c r="D239" s="42">
        <f>181.59155977753*Deflactores!$T$5</f>
        <v>274.76664521775535</v>
      </c>
      <c r="E239" s="42">
        <f>173.470425166409*Deflactores!$U$5</f>
        <v>258.31959063000693</v>
      </c>
      <c r="F239" s="42">
        <f>236.28350081734*Deflactores!$V$5</f>
        <v>333.13413424598116</v>
      </c>
      <c r="G239" s="42">
        <f>227.84447028166*Deflactores!$W$5</f>
        <v>283.97809015264556</v>
      </c>
      <c r="H239" s="42">
        <f>351.12540838812*Deflactores!$X$5</f>
        <v>400.46808610854845</v>
      </c>
      <c r="I239" s="42">
        <f>573.58152695417*Deflactores!$Y$5</f>
        <v>621.84918699679918</v>
      </c>
      <c r="J239" s="42">
        <f>474.8351184949*Deflactores!$Z$5</f>
        <v>489.81268784122199</v>
      </c>
      <c r="K239" s="42">
        <f>17.92575681081*Deflactores!$AA$5</f>
        <v>17.92575681081</v>
      </c>
    </row>
    <row r="240" spans="3:11" x14ac:dyDescent="0.2">
      <c r="C240" s="88" t="s">
        <v>138</v>
      </c>
      <c r="D240" s="50">
        <f>4.76299823841*Deflactores!$T$5</f>
        <v>7.2069045981504551</v>
      </c>
      <c r="E240" s="50">
        <f>6.86644852094*Deflactores!$U$5</f>
        <v>10.225017718782336</v>
      </c>
      <c r="F240" s="50">
        <f>7.52410469154*Deflactores!$V$5</f>
        <v>10.608172359567297</v>
      </c>
      <c r="G240" s="50">
        <f>6.92170782745*Deflactores!$W$5</f>
        <v>8.6269961566501419</v>
      </c>
      <c r="H240" s="50">
        <f>19.5820033794*Deflactores!$X$5</f>
        <v>22.33380788795338</v>
      </c>
      <c r="I240" s="50">
        <f>16.3466193832*Deflactores!$Y$5</f>
        <v>17.722209478341949</v>
      </c>
      <c r="J240" s="50">
        <f>15.28163051567*Deflactores!$Z$5</f>
        <v>15.763654005210563</v>
      </c>
      <c r="K240" s="50">
        <f>0*Deflactores!$AA$5</f>
        <v>0</v>
      </c>
    </row>
    <row r="241" spans="3:11" x14ac:dyDescent="0.2">
      <c r="C241" s="87" t="s">
        <v>160</v>
      </c>
      <c r="D241" s="42">
        <f>56.33923937076*Deflactores!$T$5</f>
        <v>85.247044603772977</v>
      </c>
      <c r="E241" s="42">
        <f>180.48963312414*Deflactores!$U$5</f>
        <v>268.77208663587402</v>
      </c>
      <c r="F241" s="42">
        <f>302.87816957598*Deflactores!$V$5</f>
        <v>427.02540149725485</v>
      </c>
      <c r="G241" s="42">
        <f>448.64499702241*Deflactores!$W$5</f>
        <v>559.17683344899967</v>
      </c>
      <c r="H241" s="42">
        <f>231.05889590605*Deflactores!$X$5</f>
        <v>263.52896034105657</v>
      </c>
      <c r="I241" s="42">
        <f>216.14172170666*Deflactores!$Y$5</f>
        <v>234.33033946038208</v>
      </c>
      <c r="J241" s="42">
        <f>226.52304626985*Deflactores!$Z$5</f>
        <v>233.66818887177243</v>
      </c>
      <c r="K241" s="42">
        <f>0.62809303841*Deflactores!$AA$5</f>
        <v>0.62809303840999997</v>
      </c>
    </row>
    <row r="242" spans="3:11" x14ac:dyDescent="0.2">
      <c r="C242" s="88" t="s">
        <v>161</v>
      </c>
      <c r="D242" s="50">
        <f>84.4381848406299*Deflactores!$T$5</f>
        <v>127.76362957265293</v>
      </c>
      <c r="E242" s="50">
        <f>118.35858074122*Deflactores!$U$5</f>
        <v>176.25102431893399</v>
      </c>
      <c r="F242" s="50">
        <f>105.7393870491*Deflactores!$V$5</f>
        <v>149.08107861299121</v>
      </c>
      <c r="G242" s="50">
        <f>144.3451402207*Deflactores!$W$5</f>
        <v>179.90718489686208</v>
      </c>
      <c r="H242" s="50">
        <f>242.966443412419*Deflactores!$X$5</f>
        <v>277.10984240257687</v>
      </c>
      <c r="I242" s="50">
        <f>265.5921623199*Deflactores!$Y$5</f>
        <v>287.94210142780298</v>
      </c>
      <c r="J242" s="50">
        <f>353.732365300569*Deflactores!$Z$5</f>
        <v>364.89002998240881</v>
      </c>
      <c r="K242" s="50">
        <f>1.61497982933*Deflactores!$AA$5</f>
        <v>1.6149798293299999</v>
      </c>
    </row>
    <row r="243" spans="3:11" x14ac:dyDescent="0.2">
      <c r="C243" s="87" t="s">
        <v>140</v>
      </c>
      <c r="D243" s="42">
        <f>2730.44416751863*Deflactores!$T$5</f>
        <v>4131.4419281524024</v>
      </c>
      <c r="E243" s="42">
        <f>2729.89591549877*Deflactores!$U$5</f>
        <v>4065.1632385041457</v>
      </c>
      <c r="F243" s="42">
        <f>4369.80094889342*Deflactores!$V$5</f>
        <v>6160.9458591111479</v>
      </c>
      <c r="G243" s="42">
        <f>3919.59224262997*Deflactores!$W$5</f>
        <v>4885.2549191262042</v>
      </c>
      <c r="H243" s="42">
        <f>6149.8801567618*Deflactores!$X$5</f>
        <v>7014.1057221726987</v>
      </c>
      <c r="I243" s="42">
        <f>4374.33372210827*Deflactores!$Y$5</f>
        <v>4742.4398118091003</v>
      </c>
      <c r="J243" s="42">
        <f>4754.46406209129*Deflactores!$Z$5</f>
        <v>4904.4325720454099</v>
      </c>
      <c r="K243" s="42">
        <f>12.07974927477*Deflactores!$AA$5</f>
        <v>12.07974927477</v>
      </c>
    </row>
    <row r="244" spans="3:11" x14ac:dyDescent="0.2">
      <c r="C244" s="88" t="s">
        <v>141</v>
      </c>
      <c r="D244" s="50">
        <f>88.0391492213199*Deflactores!$T$5</f>
        <v>133.21225782191178</v>
      </c>
      <c r="E244" s="50">
        <f>138.70427380604*Deflactores!$U$5</f>
        <v>206.54835655032917</v>
      </c>
      <c r="F244" s="50">
        <f>146.82482003572*Deflactores!$V$5</f>
        <v>207.00708741501793</v>
      </c>
      <c r="G244" s="50">
        <f>174.92951562245*Deflactores!$W$5</f>
        <v>218.02657618322428</v>
      </c>
      <c r="H244" s="50">
        <f>297.228480203929*Deflactores!$X$5</f>
        <v>338.99717240812276</v>
      </c>
      <c r="I244" s="50">
        <f>344.725257502229*Deflactores!$Y$5</f>
        <v>373.7343534289792</v>
      </c>
      <c r="J244" s="50">
        <f>230.666522926599*Deflactores!$Z$5</f>
        <v>237.94236186193086</v>
      </c>
      <c r="K244" s="50">
        <f>5.17835254273*Deflactores!$AA$5</f>
        <v>5.1783525427299999</v>
      </c>
    </row>
    <row r="245" spans="3:11" x14ac:dyDescent="0.2">
      <c r="C245" s="87" t="s">
        <v>142</v>
      </c>
      <c r="D245" s="42">
        <f>160.54512041897*Deflactores!$T$5</f>
        <v>242.9212249602549</v>
      </c>
      <c r="E245" s="42">
        <f>136.69293097257*Deflactores!$U$5</f>
        <v>203.55321050822923</v>
      </c>
      <c r="F245" s="42">
        <f>385.89593333116*Deflactores!$V$5</f>
        <v>544.07145321035739</v>
      </c>
      <c r="G245" s="42">
        <f>259.33202205762*Deflactores!$W$5</f>
        <v>323.22317170264279</v>
      </c>
      <c r="H245" s="42">
        <f>370.8819956665*Deflactores!$X$5</f>
        <v>423.00101168556586</v>
      </c>
      <c r="I245" s="42">
        <f>384.485154251849*Deflactores!$Y$5</f>
        <v>416.84009918080051</v>
      </c>
      <c r="J245" s="42">
        <f>254.19793248682*Deflactores!$Z$5</f>
        <v>262.21601500266479</v>
      </c>
      <c r="K245" s="42">
        <f>5.50890010154999*Deflactores!$AA$5</f>
        <v>5.5089001015499903</v>
      </c>
    </row>
    <row r="246" spans="3:11" x14ac:dyDescent="0.2">
      <c r="C246" s="88" t="s">
        <v>143</v>
      </c>
      <c r="D246" s="50">
        <f>112.15803622659*Deflactores!$T$5</f>
        <v>169.70660633096733</v>
      </c>
      <c r="E246" s="50">
        <f>105.81953022551*Deflactores!$U$5</f>
        <v>157.57877864362675</v>
      </c>
      <c r="F246" s="50">
        <f>378.39641547953*Deflactores!$V$5</f>
        <v>533.49794563101773</v>
      </c>
      <c r="G246" s="50">
        <f>284.808375562789*Deflactores!$W$5</f>
        <v>354.97608720464302</v>
      </c>
      <c r="H246" s="50">
        <f>140.362077430749*Deflactores!$X$5</f>
        <v>160.08677004877717</v>
      </c>
      <c r="I246" s="50">
        <f>99.66116934525*Deflactores!$Y$5</f>
        <v>108.04779132547947</v>
      </c>
      <c r="J246" s="50">
        <f>337.93775238791*Deflactores!$Z$5</f>
        <v>348.59721274369343</v>
      </c>
      <c r="K246" s="50">
        <f>1.01788097067*Deflactores!$AA$5</f>
        <v>1.0178809706700001</v>
      </c>
    </row>
    <row r="247" spans="3:11" x14ac:dyDescent="0.2">
      <c r="C247" s="87" t="s">
        <v>144</v>
      </c>
      <c r="D247" s="42">
        <f>85.39372257432*Deflactores!$T$5</f>
        <v>129.20945611760172</v>
      </c>
      <c r="E247" s="42">
        <f>117.47647423659*Deflactores!$U$5</f>
        <v>174.93745521371332</v>
      </c>
      <c r="F247" s="42">
        <f>134.42534392621*Deflactores!$V$5</f>
        <v>189.52516961476243</v>
      </c>
      <c r="G247" s="42">
        <f>197.41762997504*Deflactores!$W$5</f>
        <v>246.05504559083514</v>
      </c>
      <c r="H247" s="42">
        <f>316.03648607077*Deflactores!$X$5</f>
        <v>360.44821506433124</v>
      </c>
      <c r="I247" s="42">
        <f>273.69532425554*Deflactores!$Y$5</f>
        <v>296.72715538262423</v>
      </c>
      <c r="J247" s="42">
        <f>413.75541038021*Deflactores!$Z$5</f>
        <v>426.80636240546983</v>
      </c>
      <c r="K247" s="42">
        <f>0.809150516*Deflactores!$AA$5</f>
        <v>0.80915051599999999</v>
      </c>
    </row>
    <row r="248" spans="3:11" x14ac:dyDescent="0.2">
      <c r="C248" s="88" t="s">
        <v>145</v>
      </c>
      <c r="D248" s="50">
        <f>86.7914911759899*Deflactores!$T$5</f>
        <v>131.32442329967819</v>
      </c>
      <c r="E248" s="50">
        <f>106.19156752508*Deflactores!$U$5</f>
        <v>158.13278963905626</v>
      </c>
      <c r="F248" s="50">
        <f>76.70464296508*Deflactores!$V$5</f>
        <v>108.14523544144041</v>
      </c>
      <c r="G248" s="50">
        <f>152.18519158899*Deflactores!$W$5</f>
        <v>189.67877519051007</v>
      </c>
      <c r="H248" s="50">
        <f>190.8538692442*Deflactores!$X$5</f>
        <v>217.67403302854203</v>
      </c>
      <c r="I248" s="50">
        <f>138.22035972623*Deflactores!$Y$5</f>
        <v>149.85178964633732</v>
      </c>
      <c r="J248" s="50">
        <f>248.61933629653*Deflactores!$Z$5</f>
        <v>256.46145497136814</v>
      </c>
      <c r="K248" s="50">
        <f>0.03466365*Deflactores!$AA$5</f>
        <v>3.4663649999999997E-2</v>
      </c>
    </row>
    <row r="249" spans="3:11" x14ac:dyDescent="0.2">
      <c r="C249" s="87" t="s">
        <v>146</v>
      </c>
      <c r="D249" s="42">
        <f>42.54174689761*Deflactores!$T$5</f>
        <v>64.370024086359251</v>
      </c>
      <c r="E249" s="42">
        <f>40.68287753257*Deflactores!$U$5</f>
        <v>60.581994076412727</v>
      </c>
      <c r="F249" s="42">
        <f>54.25965995313*Deflactores!$V$5</f>
        <v>76.500241364465097</v>
      </c>
      <c r="G249" s="42">
        <f>49.53013560463*Deflactores!$W$5</f>
        <v>61.732783317570629</v>
      </c>
      <c r="H249" s="42">
        <f>83.99308787253*Deflactores!$X$5</f>
        <v>95.796403060295546</v>
      </c>
      <c r="I249" s="42">
        <f>79.38945510604*Deflactores!$Y$5</f>
        <v>86.070184958649236</v>
      </c>
      <c r="J249" s="42">
        <f>143.93915537752*Deflactores!$Z$5</f>
        <v>148.47938123139392</v>
      </c>
      <c r="K249" s="42">
        <f>12.07694652695*Deflactores!$AA$5</f>
        <v>12.07694652695</v>
      </c>
    </row>
    <row r="250" spans="3:11" x14ac:dyDescent="0.2">
      <c r="C250" s="88" t="s">
        <v>162</v>
      </c>
      <c r="D250" s="50">
        <f>586.84908370685*Deflactores!$T$5</f>
        <v>887.96282259368206</v>
      </c>
      <c r="E250" s="50">
        <f>636.67548029874*Deflactores!$U$5</f>
        <v>948.09100327714464</v>
      </c>
      <c r="F250" s="50">
        <f>788.56022172829*Deflactores!$V$5</f>
        <v>1111.7844701706504</v>
      </c>
      <c r="G250" s="50">
        <f>1043.99331411954*Deflactores!$W$5</f>
        <v>1301.2000120490172</v>
      </c>
      <c r="H250" s="50">
        <f>1384.44605197206*Deflactores!$X$5</f>
        <v>1578.9984077168976</v>
      </c>
      <c r="I250" s="50">
        <f>919.54622167962*Deflactores!$Y$5</f>
        <v>996.92727796503686</v>
      </c>
      <c r="J250" s="50">
        <f>901.09647763355*Deflactores!$Z$5</f>
        <v>929.519470069877</v>
      </c>
      <c r="K250" s="50">
        <f>16.01278469082*Deflactores!$AA$5</f>
        <v>16.012784690819998</v>
      </c>
    </row>
    <row r="251" spans="3:11" x14ac:dyDescent="0.2">
      <c r="C251" s="87" t="s">
        <v>148</v>
      </c>
      <c r="D251" s="42">
        <f>92.6315586623199*Deflactores!$T$5</f>
        <v>140.16104408221932</v>
      </c>
      <c r="E251" s="42">
        <f>138.628278518*Deflactores!$U$5</f>
        <v>206.43518987262334</v>
      </c>
      <c r="F251" s="42">
        <f>178.78469355741*Deflactores!$V$5</f>
        <v>252.0670461486153</v>
      </c>
      <c r="G251" s="42">
        <f>218.56945861701*Deflactores!$W$5</f>
        <v>272.41801105388663</v>
      </c>
      <c r="H251" s="42">
        <f>206.08951802692*Deflactores!$X$5</f>
        <v>235.05070518863153</v>
      </c>
      <c r="I251" s="42">
        <f>193.75256609657*Deflactores!$Y$5</f>
        <v>210.05710617197505</v>
      </c>
      <c r="J251" s="42">
        <f>207.06352164687*Deflactores!$Z$5</f>
        <v>213.59485880741946</v>
      </c>
      <c r="K251" s="42">
        <f>21.6600646262099*Deflactores!$AA$5</f>
        <v>21.660064626209898</v>
      </c>
    </row>
    <row r="252" spans="3:11" x14ac:dyDescent="0.2">
      <c r="C252" s="88" t="s">
        <v>149</v>
      </c>
      <c r="D252" s="50">
        <f>900.88784004888*Deflactores!$T$5</f>
        <v>1363.13565361164</v>
      </c>
      <c r="E252" s="50">
        <f>938.82415410774*Deflactores!$U$5</f>
        <v>1398.0289200884204</v>
      </c>
      <c r="F252" s="50">
        <f>1186.41208293331*Deflactores!$V$5</f>
        <v>1672.7124862285543</v>
      </c>
      <c r="G252" s="50">
        <f>1119.63767808898*Deflactores!$W$5</f>
        <v>1395.4807377752024</v>
      </c>
      <c r="H252" s="50">
        <f>1214.31160980754*Deflactores!$X$5</f>
        <v>1384.955445267826</v>
      </c>
      <c r="I252" s="50">
        <f>1849.00688100822*Deflactores!$Y$5</f>
        <v>2004.6033068954118</v>
      </c>
      <c r="J252" s="50">
        <f>1247.02382272671*Deflactores!$Z$5</f>
        <v>1286.3582886369131</v>
      </c>
      <c r="K252" s="50">
        <f>147.41973355624*Deflactores!$AA$5</f>
        <v>147.41973355624</v>
      </c>
    </row>
    <row r="253" spans="3:11" x14ac:dyDescent="0.2">
      <c r="C253" s="87" t="s">
        <v>163</v>
      </c>
      <c r="D253" s="42">
        <f>4719.83288206851*Deflactores!$T$5</f>
        <v>7141.5909890481907</v>
      </c>
      <c r="E253" s="42">
        <f>5074.60431216971*Deflactores!$U$5</f>
        <v>7556.7331276869754</v>
      </c>
      <c r="F253" s="42">
        <f>3647.97199372783*Deflactores!$V$5</f>
        <v>5143.2452442947824</v>
      </c>
      <c r="G253" s="42">
        <f>4022.08978073502*Deflactores!$W$5</f>
        <v>5013.0045857318419</v>
      </c>
      <c r="H253" s="42">
        <f>4540.49256556645*Deflactores!$X$5</f>
        <v>5178.5553659295092</v>
      </c>
      <c r="I253" s="42">
        <f>4707.59633447779*Deflactores!$Y$5</f>
        <v>5103.7469230385977</v>
      </c>
      <c r="J253" s="42">
        <f>5348.67346517219*Deflactores!$Z$5</f>
        <v>5517.3849286152827</v>
      </c>
      <c r="K253" s="42">
        <f>356.35586328253*Deflactores!$AA$5</f>
        <v>356.35586328252998</v>
      </c>
    </row>
    <row r="254" spans="3:11" x14ac:dyDescent="0.2">
      <c r="C254" s="88" t="s">
        <v>150</v>
      </c>
      <c r="D254" s="50">
        <f>4872.89781717344*Deflactores!$T$5</f>
        <v>7373.1939268211781</v>
      </c>
      <c r="E254" s="50">
        <f>5261.84166035491*Deflactores!$U$5</f>
        <v>7835.5534227744565</v>
      </c>
      <c r="F254" s="50">
        <f>7858.11143029916*Deflactores!$V$5</f>
        <v>11079.085670754746</v>
      </c>
      <c r="G254" s="50">
        <f>7876.36269158671*Deflactores!$W$5</f>
        <v>9816.8475703682052</v>
      </c>
      <c r="H254" s="50">
        <f>8519.63831453348*Deflactores!$X$5</f>
        <v>9716.8794073340523</v>
      </c>
      <c r="I254" s="50">
        <f>4735.22572993308*Deflactores!$Y$5</f>
        <v>5133.701369431461</v>
      </c>
      <c r="J254" s="50">
        <f>4359.55658780405*Deflactores!$Z$5</f>
        <v>4497.0686600366589</v>
      </c>
      <c r="K254" s="50">
        <f>1160.01620639964*Deflactores!$AA$5</f>
        <v>1160.0162063996399</v>
      </c>
    </row>
    <row r="255" spans="3:11" x14ac:dyDescent="0.2">
      <c r="C255" s="87" t="s">
        <v>151</v>
      </c>
      <c r="D255" s="42">
        <f>685.72883814402*Deflactores!$T$5</f>
        <v>1037.5780273969315</v>
      </c>
      <c r="E255" s="42">
        <f>985.788235944099*Deflactores!$U$5</f>
        <v>1467.9644285916395</v>
      </c>
      <c r="F255" s="42">
        <f>1911.31594845107*Deflactores!$V$5</f>
        <v>2694.7483914672748</v>
      </c>
      <c r="G255" s="42">
        <f>2029.19921821926*Deflactores!$W$5</f>
        <v>2529.1292688244412</v>
      </c>
      <c r="H255" s="42">
        <f>2048.35031908934*Deflactores!$X$5</f>
        <v>2336.1992962321224</v>
      </c>
      <c r="I255" s="42">
        <f>1612.91081893585*Deflactores!$Y$5</f>
        <v>1748.639442381728</v>
      </c>
      <c r="J255" s="42">
        <f>1474.55170074259*Deflactores!$Z$5</f>
        <v>1521.0630043349049</v>
      </c>
      <c r="K255" s="42">
        <f>52.95044461248*Deflactores!$AA$5</f>
        <v>52.950444612479998</v>
      </c>
    </row>
    <row r="256" spans="3:11" x14ac:dyDescent="0.2">
      <c r="C256" s="79" t="s">
        <v>202</v>
      </c>
      <c r="D256" s="44">
        <f t="shared" ref="D256:K256" si="10">+SUM(D225:D255)</f>
        <v>47572.297853902208</v>
      </c>
      <c r="E256" s="44">
        <f t="shared" si="10"/>
        <v>51661.862025138158</v>
      </c>
      <c r="F256" s="44">
        <f t="shared" si="10"/>
        <v>63849.669793300825</v>
      </c>
      <c r="G256" s="44">
        <f t="shared" si="10"/>
        <v>67785.801828001102</v>
      </c>
      <c r="H256" s="44">
        <f t="shared" si="10"/>
        <v>67028.830776604489</v>
      </c>
      <c r="I256" s="44">
        <f t="shared" si="10"/>
        <v>54683.931094898151</v>
      </c>
      <c r="J256" s="44">
        <f t="shared" si="10"/>
        <v>51235.222578438181</v>
      </c>
      <c r="K256" s="44">
        <f t="shared" si="10"/>
        <v>4918.8250155183096</v>
      </c>
    </row>
    <row r="257" spans="1:11" s="31" customFormat="1" x14ac:dyDescent="0.2">
      <c r="A257" s="5"/>
      <c r="B257" s="5"/>
      <c r="C257" s="72" t="str">
        <f>+'C1 Aprop Resumen 2000-2026'!B20</f>
        <v>* Información con corte a 28 de febrero</v>
      </c>
      <c r="D257" s="121">
        <f>+D256-'C5 Ejecución PGN 2019-2026'!D130</f>
        <v>0</v>
      </c>
      <c r="E257" s="121">
        <f>+E256-'C5 Ejecución PGN 2019-2026'!E130</f>
        <v>0</v>
      </c>
      <c r="F257" s="121">
        <f>+F256-'C5 Ejecución PGN 2019-2026'!F130</f>
        <v>1.0186340659856796E-10</v>
      </c>
      <c r="G257" s="121">
        <f>+G256-'C5 Ejecución PGN 2019-2026'!G130</f>
        <v>0</v>
      </c>
      <c r="H257" s="121">
        <f>+H256-'C5 Ejecución PGN 2019-2026'!H130</f>
        <v>0</v>
      </c>
      <c r="I257" s="121">
        <f>+I256-'C5 Ejecución PGN 2019-2026'!I130</f>
        <v>0</v>
      </c>
      <c r="J257" s="121">
        <f>+J256-'C5 Ejecución PGN 2019-2026'!J130</f>
        <v>8.0035533756017685E-11</v>
      </c>
      <c r="K257" s="121">
        <f>+K256-'C5 Ejecución PGN 2019-2026'!K130</f>
        <v>-1.0004441719502211E-11</v>
      </c>
    </row>
    <row r="258" spans="1:11" x14ac:dyDescent="0.2">
      <c r="C258" s="1" t="s">
        <v>52</v>
      </c>
      <c r="E258" s="3"/>
      <c r="F258" s="3"/>
    </row>
    <row r="259" spans="1:11" x14ac:dyDescent="0.2">
      <c r="B259" s="9"/>
      <c r="E259" s="3"/>
      <c r="F259" s="3"/>
    </row>
    <row r="260" spans="1:11" x14ac:dyDescent="0.2">
      <c r="E260" s="3"/>
      <c r="F260" s="3"/>
    </row>
    <row r="261" spans="1:11" x14ac:dyDescent="0.2">
      <c r="E261" s="3"/>
      <c r="F261" s="3"/>
    </row>
    <row r="262" spans="1:11" ht="18" customHeight="1" x14ac:dyDescent="0.2">
      <c r="C262" s="9"/>
      <c r="D262" s="131" t="s">
        <v>208</v>
      </c>
      <c r="E262" s="131"/>
      <c r="F262" s="131"/>
      <c r="G262" s="131"/>
      <c r="H262" s="131"/>
      <c r="I262" s="131"/>
      <c r="J262" s="131"/>
      <c r="K262" s="131"/>
    </row>
    <row r="263" spans="1:11" ht="5.25" customHeight="1" x14ac:dyDescent="0.2">
      <c r="D263" s="28"/>
      <c r="E263" s="28"/>
      <c r="F263" s="28"/>
    </row>
    <row r="264" spans="1:11" x14ac:dyDescent="0.2">
      <c r="E264" s="29"/>
      <c r="F264" s="29"/>
    </row>
    <row r="265" spans="1:11" ht="13.5" customHeight="1" x14ac:dyDescent="0.2">
      <c r="C265" s="177" t="s">
        <v>120</v>
      </c>
      <c r="D265" s="153">
        <v>2019</v>
      </c>
      <c r="E265" s="153">
        <v>2020</v>
      </c>
      <c r="F265" s="153">
        <v>2021</v>
      </c>
      <c r="G265" s="153">
        <v>2022</v>
      </c>
      <c r="H265" s="153">
        <v>2023</v>
      </c>
      <c r="I265" s="153">
        <v>2024</v>
      </c>
      <c r="J265" s="153">
        <v>2025</v>
      </c>
      <c r="K265" s="153" t="s">
        <v>36</v>
      </c>
    </row>
    <row r="266" spans="1:11" ht="12" customHeight="1" thickBot="1" x14ac:dyDescent="0.25">
      <c r="C266" s="156"/>
      <c r="D266" s="154"/>
      <c r="E266" s="154"/>
      <c r="F266" s="154"/>
      <c r="G266" s="154"/>
      <c r="H266" s="154"/>
      <c r="I266" s="154"/>
      <c r="J266" s="154"/>
      <c r="K266" s="154"/>
    </row>
    <row r="267" spans="1:11" x14ac:dyDescent="0.2">
      <c r="C267" s="87" t="s">
        <v>123</v>
      </c>
      <c r="D267" s="47">
        <f t="shared" ref="D267:K276" si="11">+IFERROR(IF(D225&gt;0,+((D225/D15)*100)," "),"")</f>
        <v>57.068270782821848</v>
      </c>
      <c r="E267" s="47">
        <f t="shared" si="11"/>
        <v>76.167185864158185</v>
      </c>
      <c r="F267" s="47">
        <f t="shared" si="11"/>
        <v>75.044360218293619</v>
      </c>
      <c r="G267" s="47">
        <f t="shared" si="11"/>
        <v>66.698006367901158</v>
      </c>
      <c r="H267" s="47">
        <f t="shared" si="11"/>
        <v>73.413318388007482</v>
      </c>
      <c r="I267" s="47">
        <f t="shared" si="11"/>
        <v>32.341777558227655</v>
      </c>
      <c r="J267" s="47">
        <f t="shared" si="11"/>
        <v>52.765922958204371</v>
      </c>
      <c r="K267" s="47">
        <f t="shared" si="11"/>
        <v>1.3921742047347312</v>
      </c>
    </row>
    <row r="268" spans="1:11" x14ac:dyDescent="0.2">
      <c r="C268" s="88" t="s">
        <v>124</v>
      </c>
      <c r="D268" s="116">
        <f t="shared" si="11"/>
        <v>80.97061834194291</v>
      </c>
      <c r="E268" s="116">
        <f t="shared" si="11"/>
        <v>66.608315979399705</v>
      </c>
      <c r="F268" s="116">
        <f t="shared" si="11"/>
        <v>52.544477086994576</v>
      </c>
      <c r="G268" s="116">
        <f t="shared" si="11"/>
        <v>48.591085689677548</v>
      </c>
      <c r="H268" s="116">
        <f t="shared" si="11"/>
        <v>33.499845231388683</v>
      </c>
      <c r="I268" s="116">
        <f t="shared" si="11"/>
        <v>36.555023511496536</v>
      </c>
      <c r="J268" s="116">
        <f t="shared" si="11"/>
        <v>66.562770983543075</v>
      </c>
      <c r="K268" s="116">
        <f t="shared" si="11"/>
        <v>2.2654019764101156</v>
      </c>
    </row>
    <row r="269" spans="1:11" x14ac:dyDescent="0.2">
      <c r="C269" s="87" t="s">
        <v>125</v>
      </c>
      <c r="D269" s="47">
        <f t="shared" si="11"/>
        <v>38.913776933468036</v>
      </c>
      <c r="E269" s="47">
        <f t="shared" si="11"/>
        <v>64.847987038389832</v>
      </c>
      <c r="F269" s="47">
        <f t="shared" si="11"/>
        <v>86.641915716549391</v>
      </c>
      <c r="G269" s="47">
        <f t="shared" si="11"/>
        <v>87.814711001104428</v>
      </c>
      <c r="H269" s="47">
        <f t="shared" si="11"/>
        <v>64.230697522473022</v>
      </c>
      <c r="I269" s="47">
        <f t="shared" si="11"/>
        <v>86.419740850164644</v>
      </c>
      <c r="J269" s="47">
        <f t="shared" si="11"/>
        <v>92.284332065112281</v>
      </c>
      <c r="K269" s="47">
        <f t="shared" si="11"/>
        <v>0.26227696114088683</v>
      </c>
    </row>
    <row r="270" spans="1:11" x14ac:dyDescent="0.2">
      <c r="C270" s="88" t="s">
        <v>126</v>
      </c>
      <c r="D270" s="116">
        <f t="shared" si="11"/>
        <v>73.40552859450419</v>
      </c>
      <c r="E270" s="116">
        <f t="shared" si="11"/>
        <v>60.94940428712794</v>
      </c>
      <c r="F270" s="116">
        <f t="shared" si="11"/>
        <v>50.696548280140327</v>
      </c>
      <c r="G270" s="116">
        <f t="shared" si="11"/>
        <v>61.412109983893657</v>
      </c>
      <c r="H270" s="116">
        <f t="shared" si="11"/>
        <v>51.641892073258802</v>
      </c>
      <c r="I270" s="116">
        <f t="shared" si="11"/>
        <v>48.58237463085608</v>
      </c>
      <c r="J270" s="116">
        <f t="shared" si="11"/>
        <v>75.824189108301255</v>
      </c>
      <c r="K270" s="116">
        <f t="shared" si="11"/>
        <v>11.52983783839448</v>
      </c>
    </row>
    <row r="271" spans="1:11" x14ac:dyDescent="0.2">
      <c r="C271" s="87" t="s">
        <v>127</v>
      </c>
      <c r="D271" s="47">
        <f t="shared" si="11"/>
        <v>62.41185677719988</v>
      </c>
      <c r="E271" s="47">
        <f t="shared" si="11"/>
        <v>76.953282922668251</v>
      </c>
      <c r="F271" s="47">
        <f t="shared" si="11"/>
        <v>88.640414545997629</v>
      </c>
      <c r="G271" s="47">
        <f t="shared" si="11"/>
        <v>64.779039574677853</v>
      </c>
      <c r="H271" s="47">
        <f t="shared" si="11"/>
        <v>63.80910053912725</v>
      </c>
      <c r="I271" s="47">
        <f t="shared" si="11"/>
        <v>56.441684268863114</v>
      </c>
      <c r="J271" s="47">
        <f t="shared" si="11"/>
        <v>71.948912043500016</v>
      </c>
      <c r="K271" s="47">
        <f t="shared" si="11"/>
        <v>8.3451372994999993</v>
      </c>
    </row>
    <row r="272" spans="1:11" x14ac:dyDescent="0.2">
      <c r="C272" s="88" t="s">
        <v>128</v>
      </c>
      <c r="D272" s="116">
        <f t="shared" si="11"/>
        <v>90.41999303122742</v>
      </c>
      <c r="E272" s="116">
        <f t="shared" si="11"/>
        <v>90.434490495417393</v>
      </c>
      <c r="F272" s="116">
        <f t="shared" si="11"/>
        <v>74.002144834496434</v>
      </c>
      <c r="G272" s="116">
        <f t="shared" si="11"/>
        <v>70.62167990625187</v>
      </c>
      <c r="H272" s="116">
        <f t="shared" si="11"/>
        <v>65.393567558527238</v>
      </c>
      <c r="I272" s="116">
        <f t="shared" si="11"/>
        <v>54.370843913055467</v>
      </c>
      <c r="J272" s="116">
        <f t="shared" si="11"/>
        <v>54.789796463811868</v>
      </c>
      <c r="K272" s="116">
        <f t="shared" si="11"/>
        <v>1.6279394922938937</v>
      </c>
    </row>
    <row r="273" spans="3:11" x14ac:dyDescent="0.2">
      <c r="C273" s="87" t="s">
        <v>129</v>
      </c>
      <c r="D273" s="47">
        <f t="shared" si="11"/>
        <v>62.769159498582482</v>
      </c>
      <c r="E273" s="47">
        <f t="shared" si="11"/>
        <v>73.665617473829684</v>
      </c>
      <c r="F273" s="47">
        <f t="shared" si="11"/>
        <v>70.263117700909618</v>
      </c>
      <c r="G273" s="47">
        <f t="shared" si="11"/>
        <v>64.133581373752534</v>
      </c>
      <c r="H273" s="47">
        <f t="shared" si="11"/>
        <v>66.386083008907661</v>
      </c>
      <c r="I273" s="47">
        <f t="shared" si="11"/>
        <v>35.703648747445804</v>
      </c>
      <c r="J273" s="47">
        <f t="shared" si="11"/>
        <v>40.158217487483391</v>
      </c>
      <c r="K273" s="47">
        <f t="shared" si="11"/>
        <v>3.7886630269112742</v>
      </c>
    </row>
    <row r="274" spans="3:11" x14ac:dyDescent="0.2">
      <c r="C274" s="88" t="s">
        <v>130</v>
      </c>
      <c r="D274" s="116">
        <f t="shared" si="11"/>
        <v>49.848998816833117</v>
      </c>
      <c r="E274" s="116">
        <f t="shared" si="11"/>
        <v>48.343622959020365</v>
      </c>
      <c r="F274" s="116">
        <f t="shared" si="11"/>
        <v>87.347860989701559</v>
      </c>
      <c r="G274" s="116">
        <f t="shared" si="11"/>
        <v>60.024088483070983</v>
      </c>
      <c r="H274" s="116">
        <f t="shared" si="11"/>
        <v>57.506390153402975</v>
      </c>
      <c r="I274" s="116">
        <f t="shared" si="11"/>
        <v>32.297065731908866</v>
      </c>
      <c r="J274" s="116">
        <f t="shared" si="11"/>
        <v>64.744425410607505</v>
      </c>
      <c r="K274" s="116">
        <f t="shared" si="11"/>
        <v>1.6150510462356296</v>
      </c>
    </row>
    <row r="275" spans="3:11" x14ac:dyDescent="0.2">
      <c r="C275" s="87" t="s">
        <v>131</v>
      </c>
      <c r="D275" s="47">
        <f t="shared" si="11"/>
        <v>89.181574614621567</v>
      </c>
      <c r="E275" s="47">
        <f t="shared" si="11"/>
        <v>99.034787268277697</v>
      </c>
      <c r="F275" s="47">
        <f t="shared" si="11"/>
        <v>99.18427930844112</v>
      </c>
      <c r="G275" s="47">
        <f t="shared" si="11"/>
        <v>98.727487208611777</v>
      </c>
      <c r="H275" s="47">
        <f t="shared" si="11"/>
        <v>91.061327190283563</v>
      </c>
      <c r="I275" s="47">
        <f t="shared" si="11"/>
        <v>69.85754896536659</v>
      </c>
      <c r="J275" s="47">
        <f t="shared" si="11"/>
        <v>90.293636214165247</v>
      </c>
      <c r="K275" s="47">
        <f t="shared" si="11"/>
        <v>0.81062705935512036</v>
      </c>
    </row>
    <row r="276" spans="3:11" x14ac:dyDescent="0.2">
      <c r="C276" s="88" t="s">
        <v>132</v>
      </c>
      <c r="D276" s="116">
        <f t="shared" si="11"/>
        <v>80.661001464209775</v>
      </c>
      <c r="E276" s="116">
        <f t="shared" si="11"/>
        <v>59.568678606948389</v>
      </c>
      <c r="F276" s="116">
        <f t="shared" si="11"/>
        <v>59.012061754037802</v>
      </c>
      <c r="G276" s="116">
        <f t="shared" si="11"/>
        <v>60.589428616529716</v>
      </c>
      <c r="H276" s="116">
        <f t="shared" si="11"/>
        <v>60.493804166733071</v>
      </c>
      <c r="I276" s="116">
        <f t="shared" si="11"/>
        <v>80.611226722861574</v>
      </c>
      <c r="J276" s="116">
        <f t="shared" si="11"/>
        <v>79.410126992330603</v>
      </c>
      <c r="K276" s="116">
        <f t="shared" si="11"/>
        <v>2.1373832409556197</v>
      </c>
    </row>
    <row r="277" spans="3:11" x14ac:dyDescent="0.2">
      <c r="C277" s="87" t="s">
        <v>133</v>
      </c>
      <c r="D277" s="47">
        <f t="shared" ref="D277:K286" si="12">+IFERROR(IF(D235&gt;0,+((D235/D25)*100)," "),"")</f>
        <v>59.84775238057447</v>
      </c>
      <c r="E277" s="47">
        <f t="shared" si="12"/>
        <v>64.287515997135358</v>
      </c>
      <c r="F277" s="47">
        <f t="shared" si="12"/>
        <v>84.667868510559686</v>
      </c>
      <c r="G277" s="47">
        <f t="shared" si="12"/>
        <v>79.532121628657848</v>
      </c>
      <c r="H277" s="47">
        <f t="shared" si="12"/>
        <v>72.179226118818349</v>
      </c>
      <c r="I277" s="47">
        <f t="shared" si="12"/>
        <v>69.279119467273958</v>
      </c>
      <c r="J277" s="47">
        <f t="shared" si="12"/>
        <v>60.912040885299604</v>
      </c>
      <c r="K277" s="47">
        <f t="shared" si="12"/>
        <v>1.3319538098314647</v>
      </c>
    </row>
    <row r="278" spans="3:11" x14ac:dyDescent="0.2">
      <c r="C278" s="88" t="s">
        <v>134</v>
      </c>
      <c r="D278" s="116">
        <f t="shared" si="12"/>
        <v>29.256737341891071</v>
      </c>
      <c r="E278" s="116">
        <f t="shared" si="12"/>
        <v>30.291277348377051</v>
      </c>
      <c r="F278" s="116">
        <f t="shared" si="12"/>
        <v>35.483198909538011</v>
      </c>
      <c r="G278" s="116">
        <f t="shared" si="12"/>
        <v>39.114821166899787</v>
      </c>
      <c r="H278" s="116">
        <f t="shared" si="12"/>
        <v>22.72452598468228</v>
      </c>
      <c r="I278" s="116">
        <f t="shared" si="12"/>
        <v>30.270694419861009</v>
      </c>
      <c r="J278" s="116">
        <f t="shared" si="12"/>
        <v>24.546466495026152</v>
      </c>
      <c r="K278" s="116">
        <f t="shared" si="12"/>
        <v>10.589712629813341</v>
      </c>
    </row>
    <row r="279" spans="3:11" x14ac:dyDescent="0.2">
      <c r="C279" s="87" t="s">
        <v>135</v>
      </c>
      <c r="D279" s="47" t="str">
        <f t="shared" si="12"/>
        <v xml:space="preserve"> </v>
      </c>
      <c r="E279" s="47" t="str">
        <f t="shared" si="12"/>
        <v xml:space="preserve"> </v>
      </c>
      <c r="F279" s="47" t="str">
        <f t="shared" si="12"/>
        <v xml:space="preserve"> </v>
      </c>
      <c r="G279" s="47" t="str">
        <f t="shared" si="12"/>
        <v xml:space="preserve"> </v>
      </c>
      <c r="H279" s="47" t="str">
        <f t="shared" si="12"/>
        <v xml:space="preserve"> </v>
      </c>
      <c r="I279" s="47">
        <f t="shared" si="12"/>
        <v>88.348636504156545</v>
      </c>
      <c r="J279" s="47">
        <f t="shared" si="12"/>
        <v>93.833230052895374</v>
      </c>
      <c r="K279" s="47">
        <f t="shared" si="12"/>
        <v>10.177654620240274</v>
      </c>
    </row>
    <row r="280" spans="3:11" x14ac:dyDescent="0.2">
      <c r="C280" s="88" t="s">
        <v>136</v>
      </c>
      <c r="D280" s="116">
        <f t="shared" si="12"/>
        <v>87.908532943968865</v>
      </c>
      <c r="E280" s="116">
        <f t="shared" si="12"/>
        <v>95.171943661756202</v>
      </c>
      <c r="F280" s="116">
        <f t="shared" si="12"/>
        <v>88.122953016883685</v>
      </c>
      <c r="G280" s="116">
        <f t="shared" si="12"/>
        <v>96.118037031503206</v>
      </c>
      <c r="H280" s="116">
        <f t="shared" si="12"/>
        <v>88.204110594746084</v>
      </c>
      <c r="I280" s="116">
        <f t="shared" si="12"/>
        <v>75.376124026061561</v>
      </c>
      <c r="J280" s="116">
        <f t="shared" si="12"/>
        <v>77.110985832072927</v>
      </c>
      <c r="K280" s="116">
        <f t="shared" si="12"/>
        <v>11.86127204973025</v>
      </c>
    </row>
    <row r="281" spans="3:11" x14ac:dyDescent="0.2">
      <c r="C281" s="87" t="s">
        <v>137</v>
      </c>
      <c r="D281" s="47">
        <f t="shared" si="12"/>
        <v>80.283631242071891</v>
      </c>
      <c r="E281" s="47">
        <f t="shared" si="12"/>
        <v>81.805078618906848</v>
      </c>
      <c r="F281" s="47">
        <f t="shared" si="12"/>
        <v>56.142467660775097</v>
      </c>
      <c r="G281" s="47">
        <f t="shared" si="12"/>
        <v>47.091901289303784</v>
      </c>
      <c r="H281" s="47">
        <f t="shared" si="12"/>
        <v>43.806805610609594</v>
      </c>
      <c r="I281" s="47">
        <f t="shared" si="12"/>
        <v>54.876695428642442</v>
      </c>
      <c r="J281" s="47">
        <f t="shared" si="12"/>
        <v>62.904532199154374</v>
      </c>
      <c r="K281" s="47">
        <f t="shared" si="12"/>
        <v>3.4314002406253459</v>
      </c>
    </row>
    <row r="282" spans="3:11" x14ac:dyDescent="0.2">
      <c r="C282" s="88" t="s">
        <v>138</v>
      </c>
      <c r="D282" s="116">
        <f t="shared" si="12"/>
        <v>65.780091142444846</v>
      </c>
      <c r="E282" s="116">
        <f t="shared" si="12"/>
        <v>96.787518520749089</v>
      </c>
      <c r="F282" s="116">
        <f t="shared" si="12"/>
        <v>95.896709671133394</v>
      </c>
      <c r="G282" s="116">
        <f t="shared" si="12"/>
        <v>86.521347843124985</v>
      </c>
      <c r="H282" s="116">
        <f t="shared" si="12"/>
        <v>67.524149584137945</v>
      </c>
      <c r="I282" s="116">
        <f t="shared" si="12"/>
        <v>40.323998133990543</v>
      </c>
      <c r="J282" s="116">
        <f t="shared" si="12"/>
        <v>43.415105868937658</v>
      </c>
      <c r="K282" s="116" t="str">
        <f t="shared" si="12"/>
        <v xml:space="preserve"> </v>
      </c>
    </row>
    <row r="283" spans="3:11" x14ac:dyDescent="0.2">
      <c r="C283" s="87" t="s">
        <v>160</v>
      </c>
      <c r="D283" s="47">
        <f t="shared" si="12"/>
        <v>56.835505153051557</v>
      </c>
      <c r="E283" s="47">
        <f t="shared" si="12"/>
        <v>83.77608800614766</v>
      </c>
      <c r="F283" s="47">
        <f t="shared" si="12"/>
        <v>84.94506324597188</v>
      </c>
      <c r="G283" s="47">
        <f t="shared" si="12"/>
        <v>67.238967150732606</v>
      </c>
      <c r="H283" s="47">
        <f t="shared" si="12"/>
        <v>46.549927422718604</v>
      </c>
      <c r="I283" s="47">
        <f t="shared" si="12"/>
        <v>38.510090335302401</v>
      </c>
      <c r="J283" s="47">
        <f t="shared" si="12"/>
        <v>48.494477660270462</v>
      </c>
      <c r="K283" s="47">
        <f t="shared" si="12"/>
        <v>0.14847027517368502</v>
      </c>
    </row>
    <row r="284" spans="3:11" x14ac:dyDescent="0.2">
      <c r="C284" s="88" t="s">
        <v>161</v>
      </c>
      <c r="D284" s="116">
        <f t="shared" si="12"/>
        <v>22.104833053345583</v>
      </c>
      <c r="E284" s="116">
        <f t="shared" si="12"/>
        <v>26.806640846106898</v>
      </c>
      <c r="F284" s="116">
        <f t="shared" si="12"/>
        <v>20.479206145916972</v>
      </c>
      <c r="G284" s="116">
        <f t="shared" si="12"/>
        <v>20.244716021481544</v>
      </c>
      <c r="H284" s="116">
        <f t="shared" si="12"/>
        <v>44.819345247568819</v>
      </c>
      <c r="I284" s="116">
        <f t="shared" si="12"/>
        <v>36.335183148831923</v>
      </c>
      <c r="J284" s="116">
        <f t="shared" si="12"/>
        <v>44.861751576277882</v>
      </c>
      <c r="K284" s="116">
        <f t="shared" si="12"/>
        <v>0.22897653754329955</v>
      </c>
    </row>
    <row r="285" spans="3:11" x14ac:dyDescent="0.2">
      <c r="C285" s="87" t="s">
        <v>140</v>
      </c>
      <c r="D285" s="47">
        <f t="shared" si="12"/>
        <v>82.122234762349251</v>
      </c>
      <c r="E285" s="47">
        <f t="shared" si="12"/>
        <v>86.414987541947326</v>
      </c>
      <c r="F285" s="47">
        <f t="shared" si="12"/>
        <v>89.225976924008592</v>
      </c>
      <c r="G285" s="47">
        <f t="shared" si="12"/>
        <v>81.877282771058162</v>
      </c>
      <c r="H285" s="47">
        <f t="shared" si="12"/>
        <v>84.392002104530974</v>
      </c>
      <c r="I285" s="47">
        <f t="shared" si="12"/>
        <v>58.125248007358024</v>
      </c>
      <c r="J285" s="47">
        <f t="shared" si="12"/>
        <v>67.188950272871523</v>
      </c>
      <c r="K285" s="47">
        <f t="shared" si="12"/>
        <v>0.11910829700198279</v>
      </c>
    </row>
    <row r="286" spans="3:11" x14ac:dyDescent="0.2">
      <c r="C286" s="88" t="s">
        <v>141</v>
      </c>
      <c r="D286" s="116">
        <f t="shared" si="12"/>
        <v>54.90394046317293</v>
      </c>
      <c r="E286" s="116">
        <f t="shared" si="12"/>
        <v>62.135277209440943</v>
      </c>
      <c r="F286" s="116">
        <f t="shared" si="12"/>
        <v>41.482779756104478</v>
      </c>
      <c r="G286" s="116">
        <f t="shared" si="12"/>
        <v>39.365620770265444</v>
      </c>
      <c r="H286" s="116">
        <f t="shared" si="12"/>
        <v>51.103650345418153</v>
      </c>
      <c r="I286" s="116">
        <f t="shared" si="12"/>
        <v>66.915125248114876</v>
      </c>
      <c r="J286" s="116">
        <f t="shared" si="12"/>
        <v>60.114302083214099</v>
      </c>
      <c r="K286" s="116">
        <f t="shared" si="12"/>
        <v>0.58181878553379651</v>
      </c>
    </row>
    <row r="287" spans="3:11" x14ac:dyDescent="0.2">
      <c r="C287" s="87" t="s">
        <v>142</v>
      </c>
      <c r="D287" s="47">
        <f t="shared" ref="D287:K296" si="13">+IFERROR(IF(D245&gt;0,+((D245/D35)*100)," "),"")</f>
        <v>53.186179743453508</v>
      </c>
      <c r="E287" s="47">
        <f t="shared" si="13"/>
        <v>63.744084487387283</v>
      </c>
      <c r="F287" s="47">
        <f t="shared" si="13"/>
        <v>65.947653620592789</v>
      </c>
      <c r="G287" s="47">
        <f t="shared" si="13"/>
        <v>22.802324351558095</v>
      </c>
      <c r="H287" s="47">
        <f t="shared" si="13"/>
        <v>26.345450635956613</v>
      </c>
      <c r="I287" s="47">
        <f t="shared" si="13"/>
        <v>39.134971856707864</v>
      </c>
      <c r="J287" s="47">
        <f t="shared" si="13"/>
        <v>39.388892538107676</v>
      </c>
      <c r="K287" s="47">
        <f t="shared" si="13"/>
        <v>0.53633230351007222</v>
      </c>
    </row>
    <row r="288" spans="3:11" x14ac:dyDescent="0.2">
      <c r="C288" s="88" t="s">
        <v>143</v>
      </c>
      <c r="D288" s="116">
        <f t="shared" si="13"/>
        <v>34.246467774806838</v>
      </c>
      <c r="E288" s="116">
        <f t="shared" si="13"/>
        <v>14.518119334915131</v>
      </c>
      <c r="F288" s="116">
        <f t="shared" si="13"/>
        <v>15.17960725059306</v>
      </c>
      <c r="G288" s="116">
        <f t="shared" si="13"/>
        <v>20.853073764880754</v>
      </c>
      <c r="H288" s="116">
        <f t="shared" si="13"/>
        <v>6.0543642672007163</v>
      </c>
      <c r="I288" s="116">
        <f t="shared" si="13"/>
        <v>12.092961400349242</v>
      </c>
      <c r="J288" s="116">
        <f t="shared" si="13"/>
        <v>68.631254148051909</v>
      </c>
      <c r="K288" s="116">
        <f t="shared" si="13"/>
        <v>0.3133166127813008</v>
      </c>
    </row>
    <row r="289" spans="1:11" x14ac:dyDescent="0.2">
      <c r="C289" s="87" t="s">
        <v>144</v>
      </c>
      <c r="D289" s="47">
        <f t="shared" si="13"/>
        <v>24.927490100548255</v>
      </c>
      <c r="E289" s="47">
        <f t="shared" si="13"/>
        <v>42.51007764840957</v>
      </c>
      <c r="F289" s="47">
        <f t="shared" si="13"/>
        <v>27.990080037847402</v>
      </c>
      <c r="G289" s="47">
        <f t="shared" si="13"/>
        <v>33.989349671051443</v>
      </c>
      <c r="H289" s="47">
        <f t="shared" si="13"/>
        <v>43.476709810820431</v>
      </c>
      <c r="I289" s="47">
        <f t="shared" si="13"/>
        <v>24.070865412934786</v>
      </c>
      <c r="J289" s="47">
        <f t="shared" si="13"/>
        <v>33.115923985172103</v>
      </c>
      <c r="K289" s="47">
        <f t="shared" si="13"/>
        <v>5.5818474921167247E-2</v>
      </c>
    </row>
    <row r="290" spans="1:11" x14ac:dyDescent="0.2">
      <c r="C290" s="88" t="s">
        <v>145</v>
      </c>
      <c r="D290" s="116">
        <f t="shared" si="13"/>
        <v>79.762910148545984</v>
      </c>
      <c r="E290" s="116">
        <f t="shared" si="13"/>
        <v>71.494099793168715</v>
      </c>
      <c r="F290" s="116">
        <f t="shared" si="13"/>
        <v>63.80956546578156</v>
      </c>
      <c r="G290" s="116">
        <f t="shared" si="13"/>
        <v>70.607383806611651</v>
      </c>
      <c r="H290" s="116">
        <f t="shared" si="13"/>
        <v>56.71982613486837</v>
      </c>
      <c r="I290" s="116">
        <f t="shared" si="13"/>
        <v>44.528548347370432</v>
      </c>
      <c r="J290" s="116">
        <f t="shared" si="13"/>
        <v>73.052219062504193</v>
      </c>
      <c r="K290" s="116">
        <f t="shared" si="13"/>
        <v>8.7410278765929321E-3</v>
      </c>
    </row>
    <row r="291" spans="1:11" x14ac:dyDescent="0.2">
      <c r="C291" s="87" t="s">
        <v>146</v>
      </c>
      <c r="D291" s="47">
        <f t="shared" si="13"/>
        <v>85.897593161494001</v>
      </c>
      <c r="E291" s="47">
        <f t="shared" si="13"/>
        <v>88.405056887134521</v>
      </c>
      <c r="F291" s="47">
        <f t="shared" si="13"/>
        <v>75.400129826099516</v>
      </c>
      <c r="G291" s="47">
        <f t="shared" si="13"/>
        <v>62.555059991185992</v>
      </c>
      <c r="H291" s="47">
        <f t="shared" si="13"/>
        <v>70.945325097351954</v>
      </c>
      <c r="I291" s="47">
        <f t="shared" si="13"/>
        <v>75.599834910359945</v>
      </c>
      <c r="J291" s="47">
        <f t="shared" si="13"/>
        <v>76.587639587986459</v>
      </c>
      <c r="K291" s="47">
        <f t="shared" si="13"/>
        <v>6.0056535204615216</v>
      </c>
    </row>
    <row r="292" spans="1:11" x14ac:dyDescent="0.2">
      <c r="C292" s="88" t="s">
        <v>162</v>
      </c>
      <c r="D292" s="116">
        <f t="shared" si="13"/>
        <v>89.525433821184592</v>
      </c>
      <c r="E292" s="116">
        <f t="shared" si="13"/>
        <v>90.032152208552716</v>
      </c>
      <c r="F292" s="116">
        <f t="shared" si="13"/>
        <v>89.634911693336477</v>
      </c>
      <c r="G292" s="116">
        <f t="shared" si="13"/>
        <v>88.256201914529768</v>
      </c>
      <c r="H292" s="116">
        <f t="shared" si="13"/>
        <v>65.140899490937514</v>
      </c>
      <c r="I292" s="116">
        <f t="shared" si="13"/>
        <v>44.71087753666842</v>
      </c>
      <c r="J292" s="116">
        <f t="shared" si="13"/>
        <v>42.377089405310834</v>
      </c>
      <c r="K292" s="116">
        <f t="shared" si="13"/>
        <v>0.61052379833184311</v>
      </c>
    </row>
    <row r="293" spans="1:11" x14ac:dyDescent="0.2">
      <c r="C293" s="87" t="s">
        <v>148</v>
      </c>
      <c r="D293" s="47">
        <f t="shared" si="13"/>
        <v>61.503990634633929</v>
      </c>
      <c r="E293" s="47">
        <f t="shared" si="13"/>
        <v>77.892443986985597</v>
      </c>
      <c r="F293" s="47">
        <f t="shared" si="13"/>
        <v>83.457287076111314</v>
      </c>
      <c r="G293" s="47">
        <f t="shared" si="13"/>
        <v>85.684745548631653</v>
      </c>
      <c r="H293" s="47">
        <f t="shared" si="13"/>
        <v>82.745670948322044</v>
      </c>
      <c r="I293" s="47">
        <f t="shared" si="13"/>
        <v>76.199741432760277</v>
      </c>
      <c r="J293" s="47">
        <f t="shared" si="13"/>
        <v>78.260160187165098</v>
      </c>
      <c r="K293" s="47">
        <f t="shared" si="13"/>
        <v>8.1491832394142172</v>
      </c>
    </row>
    <row r="294" spans="1:11" x14ac:dyDescent="0.2">
      <c r="C294" s="88" t="s">
        <v>149</v>
      </c>
      <c r="D294" s="116">
        <f t="shared" si="13"/>
        <v>78.930544045734564</v>
      </c>
      <c r="E294" s="116">
        <f t="shared" si="13"/>
        <v>73.994049578465393</v>
      </c>
      <c r="F294" s="116">
        <f t="shared" si="13"/>
        <v>73.842728953728013</v>
      </c>
      <c r="G294" s="116">
        <f t="shared" si="13"/>
        <v>71.515341588499126</v>
      </c>
      <c r="H294" s="116">
        <f t="shared" si="13"/>
        <v>81.208583995977904</v>
      </c>
      <c r="I294" s="116">
        <f t="shared" si="13"/>
        <v>56.717434111417433</v>
      </c>
      <c r="J294" s="116">
        <f t="shared" si="13"/>
        <v>65.653460414082758</v>
      </c>
      <c r="K294" s="116">
        <f t="shared" si="13"/>
        <v>8.6318825684209592</v>
      </c>
    </row>
    <row r="295" spans="1:11" x14ac:dyDescent="0.2">
      <c r="C295" s="87" t="s">
        <v>163</v>
      </c>
      <c r="D295" s="47">
        <f t="shared" si="13"/>
        <v>91.139287592412828</v>
      </c>
      <c r="E295" s="47">
        <f t="shared" si="13"/>
        <v>87.337698774189846</v>
      </c>
      <c r="F295" s="47">
        <f t="shared" si="13"/>
        <v>87.980758203429133</v>
      </c>
      <c r="G295" s="47">
        <f t="shared" si="13"/>
        <v>92.83393507437593</v>
      </c>
      <c r="H295" s="47">
        <f t="shared" si="13"/>
        <v>88.672782082078612</v>
      </c>
      <c r="I295" s="47">
        <f t="shared" si="13"/>
        <v>83.123248409885804</v>
      </c>
      <c r="J295" s="47">
        <f t="shared" si="13"/>
        <v>80.527802504961485</v>
      </c>
      <c r="K295" s="47">
        <f t="shared" si="13"/>
        <v>5.2543075245618294</v>
      </c>
    </row>
    <row r="296" spans="1:11" x14ac:dyDescent="0.2">
      <c r="C296" s="88" t="s">
        <v>150</v>
      </c>
      <c r="D296" s="116">
        <f t="shared" si="13"/>
        <v>73.208533133686387</v>
      </c>
      <c r="E296" s="116">
        <f t="shared" si="13"/>
        <v>74.969936044678605</v>
      </c>
      <c r="F296" s="116">
        <f t="shared" si="13"/>
        <v>75.866708616309026</v>
      </c>
      <c r="G296" s="116">
        <f t="shared" si="13"/>
        <v>70.121038356500094</v>
      </c>
      <c r="H296" s="116">
        <f t="shared" si="13"/>
        <v>75.369419267563103</v>
      </c>
      <c r="I296" s="116">
        <f t="shared" si="13"/>
        <v>37.061912814278777</v>
      </c>
      <c r="J296" s="116">
        <f t="shared" si="13"/>
        <v>35.935464464040336</v>
      </c>
      <c r="K296" s="116">
        <f t="shared" si="13"/>
        <v>7.4573233781315498</v>
      </c>
    </row>
    <row r="297" spans="1:11" x14ac:dyDescent="0.2">
      <c r="C297" s="87" t="s">
        <v>151</v>
      </c>
      <c r="D297" s="47">
        <f t="shared" ref="D297:K298" si="14">+IFERROR(IF(D255&gt;0,+((D255/D45)*100)," "),"")</f>
        <v>35.043130369733952</v>
      </c>
      <c r="E297" s="47">
        <f t="shared" si="14"/>
        <v>49.388868779629597</v>
      </c>
      <c r="F297" s="47">
        <f t="shared" si="14"/>
        <v>59.113463610007656</v>
      </c>
      <c r="G297" s="47">
        <f t="shared" si="14"/>
        <v>64.106687541363414</v>
      </c>
      <c r="H297" s="47">
        <f t="shared" si="14"/>
        <v>40.898056392847593</v>
      </c>
      <c r="I297" s="47">
        <f t="shared" si="14"/>
        <v>30.052897510864902</v>
      </c>
      <c r="J297" s="47">
        <f t="shared" si="14"/>
        <v>36.849709534697602</v>
      </c>
      <c r="K297" s="47">
        <f t="shared" si="14"/>
        <v>2.0537350849466973</v>
      </c>
    </row>
    <row r="298" spans="1:11" x14ac:dyDescent="0.2">
      <c r="C298" s="91" t="s">
        <v>202</v>
      </c>
      <c r="D298" s="64">
        <f t="shared" si="14"/>
        <v>75.219775103782709</v>
      </c>
      <c r="E298" s="64">
        <f t="shared" si="14"/>
        <v>79.272171533345229</v>
      </c>
      <c r="F298" s="64">
        <f t="shared" si="14"/>
        <v>76.020777911977788</v>
      </c>
      <c r="G298" s="64">
        <f t="shared" si="14"/>
        <v>78.049495433137722</v>
      </c>
      <c r="H298" s="64">
        <f t="shared" si="14"/>
        <v>70.519380164221445</v>
      </c>
      <c r="I298" s="64">
        <f t="shared" si="14"/>
        <v>55.671141066818173</v>
      </c>
      <c r="J298" s="64">
        <f t="shared" si="14"/>
        <v>63.580157782853611</v>
      </c>
      <c r="K298" s="64">
        <f t="shared" si="14"/>
        <v>5.5642349297678475</v>
      </c>
    </row>
    <row r="299" spans="1:11" s="31" customFormat="1" x14ac:dyDescent="0.2">
      <c r="A299" s="5"/>
      <c r="B299" s="5"/>
      <c r="C299" s="72" t="str">
        <f>+'C1 Aprop Resumen 2000-2026'!B20</f>
        <v>* Información con corte a 28 de febrero</v>
      </c>
      <c r="D299" s="47"/>
      <c r="E299" s="47"/>
      <c r="F299" s="47"/>
      <c r="G299" s="47"/>
      <c r="H299" s="47"/>
      <c r="I299" s="47"/>
    </row>
    <row r="300" spans="1:11" x14ac:dyDescent="0.2">
      <c r="C300" s="1" t="s">
        <v>52</v>
      </c>
      <c r="D300" s="11"/>
    </row>
  </sheetData>
  <mergeCells count="75">
    <mergeCell ref="G223:G224"/>
    <mergeCell ref="J13:J14"/>
    <mergeCell ref="C265:C266"/>
    <mergeCell ref="D140:D141"/>
    <mergeCell ref="E8:E9"/>
    <mergeCell ref="I223:I224"/>
    <mergeCell ref="G265:G266"/>
    <mergeCell ref="I265:I266"/>
    <mergeCell ref="J265:J266"/>
    <mergeCell ref="D182:D183"/>
    <mergeCell ref="F182:F183"/>
    <mergeCell ref="D265:D266"/>
    <mergeCell ref="D223:D224"/>
    <mergeCell ref="J223:J224"/>
    <mergeCell ref="C98:C99"/>
    <mergeCell ref="D56:D57"/>
    <mergeCell ref="D6:K6"/>
    <mergeCell ref="F8:F9"/>
    <mergeCell ref="K56:K57"/>
    <mergeCell ref="C56:C57"/>
    <mergeCell ref="D13:D14"/>
    <mergeCell ref="D8:D9"/>
    <mergeCell ref="K13:K14"/>
    <mergeCell ref="A9:C9"/>
    <mergeCell ref="C13:C14"/>
    <mergeCell ref="H8:H9"/>
    <mergeCell ref="J8:J9"/>
    <mergeCell ref="G8:G9"/>
    <mergeCell ref="E13:E14"/>
    <mergeCell ref="G13:G14"/>
    <mergeCell ref="H56:H57"/>
    <mergeCell ref="I56:I57"/>
    <mergeCell ref="H98:H99"/>
    <mergeCell ref="F56:F57"/>
    <mergeCell ref="F140:F141"/>
    <mergeCell ref="I98:I99"/>
    <mergeCell ref="E56:E57"/>
    <mergeCell ref="G56:G57"/>
    <mergeCell ref="G140:G141"/>
    <mergeCell ref="I140:I141"/>
    <mergeCell ref="E98:E99"/>
    <mergeCell ref="E140:E141"/>
    <mergeCell ref="G98:G99"/>
    <mergeCell ref="D2:K4"/>
    <mergeCell ref="C182:C183"/>
    <mergeCell ref="E182:E183"/>
    <mergeCell ref="A7:C8"/>
    <mergeCell ref="C223:C224"/>
    <mergeCell ref="F13:F14"/>
    <mergeCell ref="H13:H14"/>
    <mergeCell ref="K98:K99"/>
    <mergeCell ref="H140:H141"/>
    <mergeCell ref="I8:I9"/>
    <mergeCell ref="J56:J57"/>
    <mergeCell ref="K8:K9"/>
    <mergeCell ref="G182:G183"/>
    <mergeCell ref="I13:I14"/>
    <mergeCell ref="I182:I183"/>
    <mergeCell ref="C140:C141"/>
    <mergeCell ref="K265:K266"/>
    <mergeCell ref="D98:D99"/>
    <mergeCell ref="F98:F99"/>
    <mergeCell ref="J140:J141"/>
    <mergeCell ref="H265:H266"/>
    <mergeCell ref="K182:K183"/>
    <mergeCell ref="E223:E224"/>
    <mergeCell ref="K140:K141"/>
    <mergeCell ref="K223:K224"/>
    <mergeCell ref="E265:E266"/>
    <mergeCell ref="F265:F266"/>
    <mergeCell ref="H182:H183"/>
    <mergeCell ref="J182:J183"/>
    <mergeCell ref="J98:J99"/>
    <mergeCell ref="F223:F224"/>
    <mergeCell ref="H223:H224"/>
  </mergeCells>
  <pageMargins left="0.7" right="0.7" top="0.75" bottom="0.75" header="0.3" footer="0.3"/>
  <pageSetup orientation="portrait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Hoja24"/>
  <dimension ref="A1:V277"/>
  <sheetViews>
    <sheetView showGridLines="0" zoomScaleNormal="100" workbookViewId="0">
      <pane xSplit="3" ySplit="7" topLeftCell="D256" activePane="bottomRight" state="frozen"/>
      <selection activeCell="O5" sqref="O5:O6"/>
      <selection pane="topRight" activeCell="O5" sqref="O5:O6"/>
      <selection pane="bottomLeft" activeCell="O5" sqref="O5:O6"/>
      <selection pane="bottomRight" activeCell="A5" sqref="A5:C7"/>
    </sheetView>
  </sheetViews>
  <sheetFormatPr baseColWidth="10" defaultColWidth="11.42578125" defaultRowHeight="11.25" x14ac:dyDescent="0.2"/>
  <cols>
    <col min="1" max="2" width="2.7109375" style="3" customWidth="1"/>
    <col min="3" max="3" width="45.7109375" style="3" customWidth="1"/>
    <col min="4" max="22" width="10.7109375" style="3" customWidth="1"/>
    <col min="23" max="33" width="10.7109375" style="9" customWidth="1"/>
    <col min="34" max="34" width="11.42578125" style="9" customWidth="1"/>
    <col min="35" max="16384" width="11.42578125" style="9"/>
  </cols>
  <sheetData>
    <row r="1" spans="1:22" ht="16.5" customHeight="1" x14ac:dyDescent="0.2"/>
    <row r="2" spans="1:22" ht="16.5" customHeight="1" x14ac:dyDescent="0.2">
      <c r="D2" s="159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  <c r="Q2" s="158"/>
      <c r="R2" s="158"/>
      <c r="S2" s="158"/>
      <c r="T2" s="158"/>
      <c r="U2" s="158"/>
      <c r="V2" s="158"/>
    </row>
    <row r="3" spans="1:22" ht="16.5" customHeight="1" x14ac:dyDescent="0.2"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  <c r="R3" s="98"/>
      <c r="S3" s="98"/>
      <c r="T3" s="98"/>
      <c r="U3" s="98"/>
      <c r="V3" s="98"/>
    </row>
    <row r="4" spans="1:22" ht="16.5" customHeight="1" x14ac:dyDescent="0.2">
      <c r="D4" s="161"/>
      <c r="E4" s="158"/>
      <c r="F4" s="158"/>
      <c r="G4" s="158"/>
      <c r="H4" s="158"/>
      <c r="I4" s="158"/>
      <c r="J4" s="158"/>
      <c r="K4" s="158"/>
      <c r="L4" s="158"/>
      <c r="M4" s="158"/>
      <c r="N4" s="158"/>
      <c r="O4" s="158"/>
      <c r="P4" s="158"/>
      <c r="Q4" s="158"/>
      <c r="R4" s="158"/>
      <c r="S4" s="158"/>
      <c r="T4" s="158"/>
      <c r="U4" s="158"/>
      <c r="V4" s="158"/>
    </row>
    <row r="5" spans="1:22" ht="21" customHeight="1" x14ac:dyDescent="0.2">
      <c r="A5" s="165" t="s">
        <v>22</v>
      </c>
      <c r="B5" s="158"/>
      <c r="C5" s="158"/>
      <c r="D5" s="147"/>
      <c r="E5" s="147"/>
      <c r="F5" s="147"/>
      <c r="G5" s="147"/>
      <c r="H5" s="147"/>
      <c r="I5" s="147"/>
      <c r="J5" s="147"/>
      <c r="K5" s="147"/>
      <c r="L5" s="147"/>
      <c r="M5" s="147"/>
      <c r="N5" s="147"/>
      <c r="O5" s="147"/>
      <c r="P5" s="147"/>
      <c r="Q5" s="147"/>
      <c r="R5" s="147"/>
      <c r="S5" s="147"/>
      <c r="T5" s="147"/>
      <c r="U5" s="147"/>
      <c r="V5" s="147"/>
    </row>
    <row r="6" spans="1:22" s="102" customFormat="1" ht="21" customHeight="1" x14ac:dyDescent="0.25">
      <c r="A6" s="176"/>
      <c r="B6" s="176"/>
      <c r="C6" s="176"/>
      <c r="D6" s="151" t="s">
        <v>27</v>
      </c>
      <c r="E6" s="151" t="s">
        <v>28</v>
      </c>
      <c r="F6" s="151" t="s">
        <v>29</v>
      </c>
      <c r="G6" s="151" t="s">
        <v>30</v>
      </c>
      <c r="H6" s="151">
        <v>2004</v>
      </c>
      <c r="I6" s="151" t="s">
        <v>31</v>
      </c>
      <c r="J6" s="151" t="s">
        <v>32</v>
      </c>
      <c r="K6" s="151" t="s">
        <v>33</v>
      </c>
      <c r="L6" s="151" t="s">
        <v>34</v>
      </c>
      <c r="M6" s="151" t="s">
        <v>35</v>
      </c>
      <c r="N6" s="151">
        <v>2010</v>
      </c>
      <c r="O6" s="151">
        <v>2011</v>
      </c>
      <c r="P6" s="151">
        <v>2012</v>
      </c>
      <c r="Q6" s="151">
        <v>2013</v>
      </c>
      <c r="R6" s="151">
        <v>2014</v>
      </c>
      <c r="S6" s="151">
        <v>2015</v>
      </c>
      <c r="T6" s="151">
        <v>2016</v>
      </c>
      <c r="U6" s="151">
        <v>2017</v>
      </c>
      <c r="V6" s="151">
        <v>2018</v>
      </c>
    </row>
    <row r="7" spans="1:22" s="102" customFormat="1" ht="15" customHeight="1" x14ac:dyDescent="0.25">
      <c r="A7" s="162" t="s">
        <v>227</v>
      </c>
      <c r="B7" s="176"/>
      <c r="C7" s="176"/>
      <c r="D7" s="176"/>
      <c r="E7" s="176"/>
      <c r="F7" s="176"/>
      <c r="G7" s="176"/>
      <c r="H7" s="176"/>
      <c r="I7" s="176"/>
      <c r="J7" s="176"/>
      <c r="K7" s="176"/>
      <c r="L7" s="176"/>
      <c r="M7" s="176"/>
      <c r="N7" s="176"/>
      <c r="O7" s="176"/>
      <c r="P7" s="176"/>
      <c r="Q7" s="176"/>
      <c r="R7" s="176"/>
      <c r="S7" s="176"/>
      <c r="T7" s="176"/>
      <c r="U7" s="176"/>
      <c r="V7" s="176"/>
    </row>
    <row r="9" spans="1:22" ht="18" customHeight="1" x14ac:dyDescent="0.2">
      <c r="D9" s="160" t="s">
        <v>210</v>
      </c>
      <c r="E9" s="158"/>
      <c r="F9" s="158"/>
      <c r="G9" s="158"/>
      <c r="H9" s="158"/>
      <c r="I9" s="158"/>
      <c r="J9" s="158"/>
      <c r="K9" s="158"/>
      <c r="L9" s="158"/>
      <c r="M9" s="158"/>
      <c r="N9" s="158"/>
      <c r="O9" s="158"/>
      <c r="P9" s="158"/>
      <c r="Q9" s="158"/>
      <c r="R9" s="158"/>
      <c r="S9" s="158"/>
      <c r="T9" s="158"/>
      <c r="U9" s="158"/>
      <c r="V9" s="158"/>
    </row>
    <row r="10" spans="1:22" x14ac:dyDescent="0.2">
      <c r="C10" s="150"/>
      <c r="D10" s="150"/>
      <c r="E10" s="150"/>
      <c r="F10" s="150"/>
      <c r="G10" s="150"/>
      <c r="H10" s="150"/>
      <c r="I10" s="150"/>
      <c r="J10" s="150"/>
      <c r="K10" s="150"/>
      <c r="L10" s="150"/>
      <c r="M10" s="150"/>
      <c r="N10" s="150"/>
      <c r="O10" s="150"/>
      <c r="P10" s="150"/>
      <c r="Q10" s="150"/>
      <c r="R10" s="150"/>
      <c r="S10" s="150"/>
      <c r="T10" s="150"/>
      <c r="U10" s="150"/>
      <c r="V10" s="150"/>
    </row>
    <row r="11" spans="1:22" ht="9.9499999999999993" customHeight="1" x14ac:dyDescent="0.2">
      <c r="C11" s="177" t="s">
        <v>120</v>
      </c>
      <c r="D11" s="153" t="s">
        <v>27</v>
      </c>
      <c r="E11" s="153" t="s">
        <v>28</v>
      </c>
      <c r="F11" s="153" t="s">
        <v>29</v>
      </c>
      <c r="G11" s="153" t="s">
        <v>30</v>
      </c>
      <c r="H11" s="153" t="s">
        <v>121</v>
      </c>
      <c r="I11" s="153" t="s">
        <v>31</v>
      </c>
      <c r="J11" s="153" t="s">
        <v>32</v>
      </c>
      <c r="K11" s="153" t="s">
        <v>33</v>
      </c>
      <c r="L11" s="153" t="s">
        <v>34</v>
      </c>
      <c r="M11" s="153" t="s">
        <v>122</v>
      </c>
      <c r="N11" s="153">
        <v>2010</v>
      </c>
      <c r="O11" s="153">
        <v>2011</v>
      </c>
      <c r="P11" s="153">
        <v>2012</v>
      </c>
      <c r="Q11" s="153">
        <v>2013</v>
      </c>
      <c r="R11" s="153">
        <v>2014</v>
      </c>
      <c r="S11" s="153">
        <v>2015</v>
      </c>
      <c r="T11" s="153">
        <v>2016</v>
      </c>
      <c r="U11" s="153">
        <v>2017</v>
      </c>
      <c r="V11" s="153">
        <v>2018</v>
      </c>
    </row>
    <row r="12" spans="1:22" ht="9.9499999999999993" customHeight="1" thickBot="1" x14ac:dyDescent="0.25">
      <c r="C12" s="156"/>
      <c r="D12" s="154"/>
      <c r="E12" s="154"/>
      <c r="F12" s="154"/>
      <c r="G12" s="154"/>
      <c r="H12" s="154"/>
      <c r="I12" s="154"/>
      <c r="J12" s="154"/>
      <c r="K12" s="154"/>
      <c r="L12" s="154"/>
      <c r="M12" s="154"/>
      <c r="N12" s="154"/>
      <c r="O12" s="154"/>
      <c r="P12" s="154"/>
      <c r="Q12" s="154"/>
      <c r="R12" s="154"/>
      <c r="S12" s="154"/>
      <c r="T12" s="154"/>
      <c r="U12" s="154"/>
      <c r="V12" s="154"/>
    </row>
    <row r="13" spans="1:22" x14ac:dyDescent="0.2">
      <c r="C13" s="87" t="s">
        <v>123</v>
      </c>
      <c r="D13" s="56">
        <f>229.59071*Deflactores!$A$5</f>
        <v>833.54264801863917</v>
      </c>
      <c r="E13" s="56">
        <f>459.331971*Deflactores!$B$5</f>
        <v>1549.1483081734768</v>
      </c>
      <c r="F13" s="56">
        <f>487.711700528*Deflactores!$C$5</f>
        <v>1537.3715466134133</v>
      </c>
      <c r="G13" s="56">
        <f>230.740085283*Deflactores!$D$5</f>
        <v>683.00570660455094</v>
      </c>
      <c r="H13" s="56">
        <f>328.22322*Deflactores!$E$5</f>
        <v>920.93832395166066</v>
      </c>
      <c r="I13" s="56">
        <f>354.447373817*Deflactores!$F$5</f>
        <v>948.46908004478348</v>
      </c>
      <c r="J13" s="56">
        <f>569.476647364*Deflactores!$G$5</f>
        <v>1458.5546241244479</v>
      </c>
      <c r="K13" s="56">
        <f>926.0728*Deflactores!$H$5</f>
        <v>2244.0869394457186</v>
      </c>
      <c r="L13" s="56">
        <f>1084.672855*Deflactores!$I$5</f>
        <v>2441.0741754475093</v>
      </c>
      <c r="M13" s="56">
        <f>1231.5633562*Deflactores!$J$5</f>
        <v>2717.2593593162037</v>
      </c>
      <c r="N13" s="56">
        <f>1203.420920914*Deflactores!$K$5</f>
        <v>2573.5541853753602</v>
      </c>
      <c r="O13" s="56">
        <f>1403.200092593*Deflactores!$L$5</f>
        <v>2892.9762266352609</v>
      </c>
      <c r="P13" s="56">
        <f>1771.965427896*Deflactores!$M$5</f>
        <v>3566.2430197038211</v>
      </c>
      <c r="Q13" s="56">
        <f>2274.689352841*Deflactores!$N$5</f>
        <v>4490.8976346372656</v>
      </c>
      <c r="R13" s="56">
        <f>2955.571862701*Deflactores!$O$5</f>
        <v>5629.1313157388486</v>
      </c>
      <c r="S13" s="56">
        <f>3221.328635005*Deflactores!$P$5</f>
        <v>5746.2649542219451</v>
      </c>
      <c r="T13" s="56">
        <f>2022.923061735*Deflactores!$Q$5</f>
        <v>3412.3188344783648</v>
      </c>
      <c r="U13" s="56">
        <f>2204.269531189*Deflactores!$R$5</f>
        <v>3572.1190699509029</v>
      </c>
      <c r="V13" s="56">
        <f>1688.096824764*Deflactores!$S$5</f>
        <v>2651.3255604171763</v>
      </c>
    </row>
    <row r="14" spans="1:22" x14ac:dyDescent="0.2">
      <c r="C14" s="88" t="s">
        <v>124</v>
      </c>
      <c r="D14" s="57">
        <f>47.978288797*Deflactores!$A$5</f>
        <v>174.18801436371004</v>
      </c>
      <c r="E14" s="57">
        <f>61.531096275*Deflactores!$B$5</f>
        <v>207.52048564561073</v>
      </c>
      <c r="F14" s="57">
        <f>65.804059586*Deflactores!$C$5</f>
        <v>207.42846388480694</v>
      </c>
      <c r="G14" s="57">
        <f>91.710622727*Deflactores!$D$5</f>
        <v>271.46942674469489</v>
      </c>
      <c r="H14" s="57">
        <f>217.596500478*Deflactores!$E$5</f>
        <v>610.53863418912294</v>
      </c>
      <c r="I14" s="57">
        <f>185.568144775*Deflactores!$F$5</f>
        <v>496.56355375123348</v>
      </c>
      <c r="J14" s="57">
        <f>303.409095*Deflactores!$G$5</f>
        <v>777.09725335023347</v>
      </c>
      <c r="K14" s="57">
        <f>373.502738097*Deflactores!$H$5</f>
        <v>905.08285786030274</v>
      </c>
      <c r="L14" s="57">
        <f>399.58485*Deflactores!$I$5</f>
        <v>899.27230476793545</v>
      </c>
      <c r="M14" s="57">
        <f>432.790001344*Deflactores!$J$5</f>
        <v>954.88606075372638</v>
      </c>
      <c r="N14" s="57">
        <f>490.95898*Deflactores!$K$5</f>
        <v>1049.9315043210154</v>
      </c>
      <c r="O14" s="57">
        <f>259.985760927*Deflactores!$L$5</f>
        <v>536.01238312036412</v>
      </c>
      <c r="P14" s="57">
        <f>140.855635091*Deflactores!$M$5</f>
        <v>283.48489057468782</v>
      </c>
      <c r="Q14" s="57">
        <f>250.271*Deflactores!$N$5</f>
        <v>494.1076637627653</v>
      </c>
      <c r="R14" s="57">
        <f>267.629175799*Deflactores!$O$5</f>
        <v>509.72192336368011</v>
      </c>
      <c r="S14" s="57">
        <f>389.363420612*Deflactores!$P$5</f>
        <v>694.55359319936065</v>
      </c>
      <c r="T14" s="57">
        <f>350.08898539*Deflactores!$Q$5</f>
        <v>590.53913675052604</v>
      </c>
      <c r="U14" s="57">
        <f>360.121033791*Deflactores!$R$5</f>
        <v>583.5925208299609</v>
      </c>
      <c r="V14" s="57">
        <f>299.448237621*Deflactores!$S$5</f>
        <v>470.31352395170074</v>
      </c>
    </row>
    <row r="15" spans="1:22" x14ac:dyDescent="0.2">
      <c r="C15" s="87" t="s">
        <v>125</v>
      </c>
      <c r="D15" s="56">
        <f>32.050006*Deflactores!$A$5</f>
        <v>116.35944185308402</v>
      </c>
      <c r="E15" s="56">
        <f>63.89527*Deflactores!$B$5</f>
        <v>215.49392524385703</v>
      </c>
      <c r="F15" s="56">
        <f>61.663702*Deflactores!$C$5</f>
        <v>194.37717161802246</v>
      </c>
      <c r="G15" s="56">
        <f>40.978811588*Deflactores!$D$5</f>
        <v>121.29995587957252</v>
      </c>
      <c r="H15" s="56">
        <f>60.86346663*Deflactores!$E$5</f>
        <v>170.77249729047207</v>
      </c>
      <c r="I15" s="56">
        <f>52.564930851*Deflactores!$F$5</f>
        <v>140.65899563585486</v>
      </c>
      <c r="J15" s="56">
        <f>77.775174253*Deflactores!$G$5</f>
        <v>199.19928336638066</v>
      </c>
      <c r="K15" s="56">
        <f>74.414494159*Deflactores!$H$5</f>
        <v>180.32339838473996</v>
      </c>
      <c r="L15" s="56">
        <f>129.433*Deflactores!$I$5</f>
        <v>291.29110431245874</v>
      </c>
      <c r="M15" s="56">
        <f>161.168313684*Deflactores!$J$5</f>
        <v>355.59364979347436</v>
      </c>
      <c r="N15" s="56">
        <f>330.373713918*Deflactores!$K$5</f>
        <v>706.51476920138327</v>
      </c>
      <c r="O15" s="56">
        <f>369.096924049*Deflactores!$L$5</f>
        <v>760.96675893512145</v>
      </c>
      <c r="P15" s="56">
        <f>408.25358631*Deflactores!$M$5</f>
        <v>821.64780391671411</v>
      </c>
      <c r="Q15" s="56">
        <f>412.522279571*Deflactores!$N$5</f>
        <v>814.43882754660808</v>
      </c>
      <c r="R15" s="56">
        <f>353.983072066*Deflactores!$O$5</f>
        <v>674.19006837721577</v>
      </c>
      <c r="S15" s="56">
        <f>333.381822119*Deflactores!$P$5</f>
        <v>594.69259360869</v>
      </c>
      <c r="T15" s="56">
        <f>284.643625037*Deflactores!$Q$5</f>
        <v>480.14421368794041</v>
      </c>
      <c r="U15" s="56">
        <f>356.899597891*Deflactores!$R$5</f>
        <v>578.37203737809944</v>
      </c>
      <c r="V15" s="56">
        <f>311.078*Deflactores!$S$5</f>
        <v>488.57923348014054</v>
      </c>
    </row>
    <row r="16" spans="1:22" x14ac:dyDescent="0.2">
      <c r="C16" s="88" t="s">
        <v>126</v>
      </c>
      <c r="D16" s="57">
        <f>95.333257*Deflactores!$A$5</f>
        <v>346.11302645486603</v>
      </c>
      <c r="E16" s="57">
        <f>138.101733277*Deflactores!$B$5</f>
        <v>465.76349997176504</v>
      </c>
      <c r="F16" s="57">
        <f>128.942898647*Deflactores!$C$5</f>
        <v>406.4555828846149</v>
      </c>
      <c r="G16" s="57">
        <f>51.137240104*Deflactores!$D$5</f>
        <v>151.36956705290939</v>
      </c>
      <c r="H16" s="57">
        <f>38.726016188*Deflactores!$E$5</f>
        <v>108.65859046018011</v>
      </c>
      <c r="I16" s="57">
        <f>42.792052*Deflactores!$F$5</f>
        <v>114.50765668424287</v>
      </c>
      <c r="J16" s="57">
        <f>53.2814*Deflactores!$G$5</f>
        <v>136.46535412742037</v>
      </c>
      <c r="K16" s="57">
        <f>84.75470447*Deflactores!$H$5</f>
        <v>205.38010117315687</v>
      </c>
      <c r="L16" s="57">
        <f>62.263170329*Deflactores!$I$5</f>
        <v>140.12429321061185</v>
      </c>
      <c r="M16" s="57">
        <f>167.918695247*Deflactores!$J$5</f>
        <v>370.4873516795173</v>
      </c>
      <c r="N16" s="57">
        <f>202.692101417*Deflactores!$K$5</f>
        <v>433.46355118046449</v>
      </c>
      <c r="O16" s="57">
        <f>190.375558736*Deflactores!$L$5</f>
        <v>392.49709892614658</v>
      </c>
      <c r="P16" s="57">
        <f>267.966216727*Deflactores!$M$5</f>
        <v>539.30659982108466</v>
      </c>
      <c r="Q16" s="57">
        <f>324.059911486*Deflactores!$N$5</f>
        <v>639.78841249491938</v>
      </c>
      <c r="R16" s="57">
        <f>226.149835266*Deflactores!$O$5</f>
        <v>430.72108508356308</v>
      </c>
      <c r="S16" s="57">
        <f>227.031080113*Deflactores!$P$5</f>
        <v>404.98219430209173</v>
      </c>
      <c r="T16" s="57">
        <f>208.389456536*Deflactores!$Q$5</f>
        <v>351.51671405368324</v>
      </c>
      <c r="U16" s="57">
        <f>242.24551449*Deflactores!$R$5</f>
        <v>392.56987844541459</v>
      </c>
      <c r="V16" s="57">
        <f>133.054675674*Deflactores!$S$5</f>
        <v>208.97572779737439</v>
      </c>
    </row>
    <row r="17" spans="3:22" x14ac:dyDescent="0.2">
      <c r="C17" s="87" t="s">
        <v>127</v>
      </c>
      <c r="D17" s="56">
        <f>0*Deflactores!$A$5</f>
        <v>0</v>
      </c>
      <c r="E17" s="56">
        <f>24.3405*Deflactores!$B$5</f>
        <v>82.091051300011756</v>
      </c>
      <c r="F17" s="56">
        <f>2*Deflactores!$C$5</f>
        <v>6.3044275745242304</v>
      </c>
      <c r="G17" s="56">
        <f>17*Deflactores!$D$5</f>
        <v>50.321109130372783</v>
      </c>
      <c r="H17" s="56">
        <f>0*Deflactores!$E$5</f>
        <v>0</v>
      </c>
      <c r="I17" s="56">
        <f>8.75*Deflactores!$F$5</f>
        <v>23.414207759588749</v>
      </c>
      <c r="J17" s="56">
        <f>42.5*Deflactores!$G$5</f>
        <v>108.85182353345382</v>
      </c>
      <c r="K17" s="56">
        <f>13.9*Deflactores!$H$5</f>
        <v>33.682890220180845</v>
      </c>
      <c r="L17" s="56">
        <f>19.1*Deflactores!$I$5</f>
        <v>42.98486546991851</v>
      </c>
      <c r="M17" s="56">
        <f>21.35*Deflactores!$J$5</f>
        <v>47.1055646705843</v>
      </c>
      <c r="N17" s="56">
        <f>40*Deflactores!$K$5</f>
        <v>85.541281214248528</v>
      </c>
      <c r="O17" s="56">
        <f>50*Deflactores!$L$5</f>
        <v>103.0849499620997</v>
      </c>
      <c r="P17" s="56">
        <f>44.306053303*Deflactores!$M$5</f>
        <v>89.169997808627031</v>
      </c>
      <c r="Q17" s="56">
        <f>62.49231726*Deflactores!$N$5</f>
        <v>123.37798979690071</v>
      </c>
      <c r="R17" s="56">
        <f>60.205094278*Deflactores!$O$5</f>
        <v>114.66558666504146</v>
      </c>
      <c r="S17" s="56">
        <f>55.263618437*Deflactores!$P$5</f>
        <v>98.580253631133786</v>
      </c>
      <c r="T17" s="56">
        <f>65.953428391*Deflactores!$Q$5</f>
        <v>111.25194534289767</v>
      </c>
      <c r="U17" s="56">
        <f>69.270503705*Deflactores!$R$5</f>
        <v>112.25600307429862</v>
      </c>
      <c r="V17" s="56">
        <f>71.915*Deflactores!$S$5</f>
        <v>112.94972828591001</v>
      </c>
    </row>
    <row r="18" spans="3:22" x14ac:dyDescent="0.2">
      <c r="C18" s="88" t="s">
        <v>128</v>
      </c>
      <c r="D18" s="57">
        <f>24.545407*Deflactores!$A$5</f>
        <v>89.113551447596649</v>
      </c>
      <c r="E18" s="57">
        <f>24.88674*Deflactores!$B$5</f>
        <v>83.93330663010434</v>
      </c>
      <c r="F18" s="57">
        <f>17.027*Deflactores!$C$5</f>
        <v>53.672744155712039</v>
      </c>
      <c r="G18" s="57">
        <f>12.167795508*Deflactores!$D$5</f>
        <v>36.017468566713397</v>
      </c>
      <c r="H18" s="57">
        <f>36.078619019*Deflactores!$E$5</f>
        <v>101.23044594422164</v>
      </c>
      <c r="I18" s="57">
        <f>33.4189275*Deflactores!$F$5</f>
        <v>89.426024181443864</v>
      </c>
      <c r="J18" s="57">
        <f>48.3094278*Deflactores!$G$5</f>
        <v>123.73104258559361</v>
      </c>
      <c r="K18" s="57">
        <f>57.973823482*Deflactores!$H$5</f>
        <v>140.48387999916176</v>
      </c>
      <c r="L18" s="57">
        <f>72.195176238*Deflactores!$I$5</f>
        <v>162.47643655327158</v>
      </c>
      <c r="M18" s="57">
        <f>85.353958947*Deflactores!$J$5</f>
        <v>188.32067602193467</v>
      </c>
      <c r="N18" s="57">
        <f>96.130306905*Deflactores!$K$5</f>
        <v>205.57774040431553</v>
      </c>
      <c r="O18" s="57">
        <f>111.256*Deflactores!$L$5</f>
        <v>229.37638385966727</v>
      </c>
      <c r="P18" s="57">
        <f>185.083860208*Deflactores!$M$5</f>
        <v>372.49825201745284</v>
      </c>
      <c r="Q18" s="57">
        <f>190.714*Deflactores!$N$5</f>
        <v>376.52484301757704</v>
      </c>
      <c r="R18" s="57">
        <f>183.49963*Deflactores!$O$5</f>
        <v>349.49023797902811</v>
      </c>
      <c r="S18" s="57">
        <f>205.738413485*Deflactores!$P$5</f>
        <v>366.99994601582904</v>
      </c>
      <c r="T18" s="57">
        <f>155.49282274*Deflactores!$Q$5</f>
        <v>262.28930684434232</v>
      </c>
      <c r="U18" s="57">
        <f>177.608659235*Deflactores!$R$5</f>
        <v>287.82291351617675</v>
      </c>
      <c r="V18" s="57">
        <f>132.58775454*Deflactores!$S$5</f>
        <v>208.2423812741699</v>
      </c>
    </row>
    <row r="19" spans="3:22" x14ac:dyDescent="0.2">
      <c r="C19" s="87" t="s">
        <v>129</v>
      </c>
      <c r="D19" s="56">
        <f>469.826062939*Deflactores!$A$5</f>
        <v>1705.7313016295211</v>
      </c>
      <c r="E19" s="56">
        <f>864.096495*Deflactores!$B$5</f>
        <v>2914.2618146383747</v>
      </c>
      <c r="F19" s="56">
        <f>997.426742*Deflactores!$C$5</f>
        <v>3144.1023279163328</v>
      </c>
      <c r="G19" s="56">
        <f>915.049566741*Deflactores!$D$5</f>
        <v>2708.6064180984822</v>
      </c>
      <c r="H19" s="56">
        <f>866.3419813335*Deflactores!$E$5</f>
        <v>2430.8077053726861</v>
      </c>
      <c r="I19" s="56">
        <f>769.109281662*Deflactores!$F$5</f>
        <v>2058.0668012185288</v>
      </c>
      <c r="J19" s="56">
        <f>1121.08325730662*Deflactores!$G$5</f>
        <v>2871.3401621329367</v>
      </c>
      <c r="K19" s="56">
        <f>1114.244201*Deflactores!$H$5</f>
        <v>2700.0694317090733</v>
      </c>
      <c r="L19" s="56">
        <f>3376.98035509242*Deflactores!$I$5</f>
        <v>7599.9500658746229</v>
      </c>
      <c r="M19" s="56">
        <f>3110.191878499*Deflactores!$J$5</f>
        <v>6862.1707105649039</v>
      </c>
      <c r="N19" s="56">
        <f>2076.590855899*Deflactores!$K$5</f>
        <v>4440.8560592848353</v>
      </c>
      <c r="O19" s="56">
        <f>1454.279*Deflactores!$L$5</f>
        <v>2998.2855589186474</v>
      </c>
      <c r="P19" s="56">
        <f>1869.107636383*Deflactores!$M$5</f>
        <v>3761.7506280812181</v>
      </c>
      <c r="Q19" s="56">
        <f>2864.188578691*Deflactores!$N$5</f>
        <v>5654.7403702107131</v>
      </c>
      <c r="R19" s="56">
        <f>2329.961368703*Deflactores!$O$5</f>
        <v>4437.6043332073941</v>
      </c>
      <c r="S19" s="56">
        <f>1375.317438871*Deflactores!$P$5</f>
        <v>2453.3164092717425</v>
      </c>
      <c r="T19" s="56">
        <f>976.5937619664*Deflactores!$Q$5</f>
        <v>1647.343564680056</v>
      </c>
      <c r="U19" s="56">
        <f>923.911836825*Deflactores!$R$5</f>
        <v>1497.2411697292434</v>
      </c>
      <c r="V19" s="56">
        <f>775.229311092*Deflactores!$S$5</f>
        <v>1217.5754716973454</v>
      </c>
    </row>
    <row r="20" spans="3:22" x14ac:dyDescent="0.2">
      <c r="C20" s="88" t="s">
        <v>130</v>
      </c>
      <c r="D20" s="57">
        <f>25.04995*Deflactores!$A$5</f>
        <v>90.945324641987952</v>
      </c>
      <c r="E20" s="57">
        <f>59.2*Deflactores!$B$5</f>
        <v>199.65860343709852</v>
      </c>
      <c r="F20" s="57">
        <f>16.792*Deflactores!$C$5</f>
        <v>52.931973915705441</v>
      </c>
      <c r="G20" s="57">
        <f>20.243244393*Deflactores!$D$5</f>
        <v>59.921324132527062</v>
      </c>
      <c r="H20" s="57">
        <f>67.794*Deflactores!$E$5</f>
        <v>190.21839080726488</v>
      </c>
      <c r="I20" s="57">
        <f>52.25*Deflactores!$F$5</f>
        <v>139.81626919297281</v>
      </c>
      <c r="J20" s="57">
        <f>73.8295*Deflactores!$G$5</f>
        <v>189.09354601325009</v>
      </c>
      <c r="K20" s="57">
        <f>61.548284903*Deflactores!$H$5</f>
        <v>149.14562040490381</v>
      </c>
      <c r="L20" s="57">
        <f>130.388*Deflactores!$I$5</f>
        <v>293.44034758595473</v>
      </c>
      <c r="M20" s="57">
        <f>120.519815558*Deflactores!$J$5</f>
        <v>265.90885085968432</v>
      </c>
      <c r="N20" s="57">
        <f>128.384527177*Deflactores!$K$5</f>
        <v>274.55442357015221</v>
      </c>
      <c r="O20" s="57">
        <f>160.026*Deflactores!$L$5</f>
        <v>329.92544405269933</v>
      </c>
      <c r="P20" s="57">
        <f>311.496829077*Deflactores!$M$5</f>
        <v>626.91595155711173</v>
      </c>
      <c r="Q20" s="57">
        <f>364.064*Deflactores!$N$5</f>
        <v>718.76810537428389</v>
      </c>
      <c r="R20" s="57">
        <f>327.703656*Deflactores!$O$5</f>
        <v>624.1387447050306</v>
      </c>
      <c r="S20" s="57">
        <f>407.679743203*Deflactores!$P$5</f>
        <v>727.22658453938379</v>
      </c>
      <c r="T20" s="57">
        <f>345.24351458*Deflactores!$Q$5</f>
        <v>582.36567152110842</v>
      </c>
      <c r="U20" s="57">
        <f>534.058554407*Deflactores!$R$5</f>
        <v>865.46618717658225</v>
      </c>
      <c r="V20" s="57">
        <f>531.119*Deflactores!$S$5</f>
        <v>834.17571768732853</v>
      </c>
    </row>
    <row r="21" spans="3:22" x14ac:dyDescent="0.2">
      <c r="C21" s="87" t="s">
        <v>131</v>
      </c>
      <c r="D21" s="56">
        <f>117.263982*Deflactores!$A$5</f>
        <v>425.73382029913159</v>
      </c>
      <c r="E21" s="56">
        <f>134.4054*Deflactores!$B$5</f>
        <v>453.29720368926684</v>
      </c>
      <c r="F21" s="56">
        <f>136.591040087*Deflactores!$C$5</f>
        <v>430.5641597787137</v>
      </c>
      <c r="G21" s="56">
        <f>121.20778498*Deflactores!$D$5</f>
        <v>358.78295149584346</v>
      </c>
      <c r="H21" s="56">
        <f>267.450469733*Deflactores!$E$5</f>
        <v>750.42036128947041</v>
      </c>
      <c r="I21" s="56">
        <f>475.125582192*Deflactores!$F$5</f>
        <v>1271.3930392387483</v>
      </c>
      <c r="J21" s="56">
        <f>509.019370411*Deflactores!$G$5</f>
        <v>1303.7102748961868</v>
      </c>
      <c r="K21" s="56">
        <f>626.544187651*Deflactores!$H$5</f>
        <v>1518.260366240361</v>
      </c>
      <c r="L21" s="56">
        <f>833.699304869*Deflactores!$I$5</f>
        <v>1876.2540556103947</v>
      </c>
      <c r="M21" s="56">
        <f>960.083320319*Deflactores!$J$5</f>
        <v>2118.2794817066019</v>
      </c>
      <c r="N21" s="56">
        <f>1032.313906607*Deflactores!$K$5</f>
        <v>2207.636354661222</v>
      </c>
      <c r="O21" s="56">
        <f>941.693842924*Deflactores!$L$5</f>
        <v>1941.4892535487581</v>
      </c>
      <c r="P21" s="56">
        <f>1208.110642949*Deflactores!$M$5</f>
        <v>2431.4335255188944</v>
      </c>
      <c r="Q21" s="56">
        <f>1555.672191764*Deflactores!$N$5</f>
        <v>3071.3488668411869</v>
      </c>
      <c r="R21" s="56">
        <f>1898.48780494*Deflactores!$O$5</f>
        <v>3615.82720765575</v>
      </c>
      <c r="S21" s="56">
        <f>2454.364663344*Deflactores!$P$5</f>
        <v>4378.140589754662</v>
      </c>
      <c r="T21" s="56">
        <f>2586.101939876*Deflactores!$Q$5</f>
        <v>4362.3035024136379</v>
      </c>
      <c r="U21" s="56">
        <f>3260.121065948*Deflactores!$R$5</f>
        <v>5283.1745234621194</v>
      </c>
      <c r="V21" s="56">
        <f>3416.373771847*Deflactores!$S$5</f>
        <v>5365.758037311105</v>
      </c>
    </row>
    <row r="22" spans="3:22" x14ac:dyDescent="0.2">
      <c r="C22" s="88" t="s">
        <v>132</v>
      </c>
      <c r="D22" s="57">
        <f>0*Deflactores!$A$5</f>
        <v>0</v>
      </c>
      <c r="E22" s="57">
        <f>0*Deflactores!$B$5</f>
        <v>0</v>
      </c>
      <c r="F22" s="57">
        <f>0*Deflactores!$C$5</f>
        <v>0</v>
      </c>
      <c r="G22" s="57">
        <f>0*Deflactores!$D$5</f>
        <v>0</v>
      </c>
      <c r="H22" s="57">
        <f>2*Deflactores!$E$5</f>
        <v>5.6116585776695542</v>
      </c>
      <c r="I22" s="57">
        <f>7.114266017*Deflactores!$F$5</f>
        <v>19.037131723316563</v>
      </c>
      <c r="J22" s="57">
        <f>1.1967085*Deflactores!$G$5</f>
        <v>3.0650329991290404</v>
      </c>
      <c r="K22" s="57">
        <f>3.124195057*Deflactores!$H$5</f>
        <v>7.5706416641268079</v>
      </c>
      <c r="L22" s="57">
        <f>2.758*Deflactores!$I$5</f>
        <v>6.206924553195563</v>
      </c>
      <c r="M22" s="57">
        <f>0.558412*Deflactores!$J$5</f>
        <v>1.2320521114206238</v>
      </c>
      <c r="N22" s="57">
        <f>3.433067729*Deflactores!$K$5</f>
        <v>7.3417253008487631</v>
      </c>
      <c r="O22" s="57">
        <f>4*Deflactores!$L$5</f>
        <v>8.2467959969679754</v>
      </c>
      <c r="P22" s="57">
        <f>9.812141434*Deflactores!$M$5</f>
        <v>19.747835000877298</v>
      </c>
      <c r="Q22" s="57">
        <f>6.9682*Deflactores!$N$5</f>
        <v>13.757251230193276</v>
      </c>
      <c r="R22" s="57">
        <f>9.079490093*Deflactores!$O$5</f>
        <v>17.29264060821702</v>
      </c>
      <c r="S22" s="57">
        <f>9.00615728*Deflactores!$P$5</f>
        <v>16.065348126207098</v>
      </c>
      <c r="T22" s="57">
        <f>15.19512*Deflactores!$Q$5</f>
        <v>25.631520619320142</v>
      </c>
      <c r="U22" s="57">
        <f>20.500561481*Deflactores!$R$5</f>
        <v>33.222092659185805</v>
      </c>
      <c r="V22" s="57">
        <f>21.5006786*Deflactores!$S$5</f>
        <v>33.768974564870746</v>
      </c>
    </row>
    <row r="23" spans="3:22" x14ac:dyDescent="0.2">
      <c r="C23" s="87" t="s">
        <v>133</v>
      </c>
      <c r="D23" s="56">
        <f>28.41036*Deflactores!$A$5</f>
        <v>103.14549184312739</v>
      </c>
      <c r="E23" s="56">
        <f>38.21*Deflactores!$B$5</f>
        <v>128.86748711708671</v>
      </c>
      <c r="F23" s="56">
        <f>28.859662*Deflactores!$C$5</f>
        <v>90.971824452124551</v>
      </c>
      <c r="G23" s="56">
        <f>29.399156606*Deflactores!$D$5</f>
        <v>87.023421641849751</v>
      </c>
      <c r="H23" s="56">
        <f>39.28227*Deflactores!$E$5</f>
        <v>110.21934369791569</v>
      </c>
      <c r="I23" s="56">
        <f>44.352426552*Deflactores!$F$5</f>
        <v>118.68307770633466</v>
      </c>
      <c r="J23" s="56">
        <f>49.517468*Deflactores!$G$5</f>
        <v>126.82509855433992</v>
      </c>
      <c r="K23" s="56">
        <f>72.4534*Deflactores!$H$5</f>
        <v>175.57121714236337</v>
      </c>
      <c r="L23" s="56">
        <f>93.521*Deflactores!$I$5</f>
        <v>210.47055516294498</v>
      </c>
      <c r="M23" s="56">
        <f>97.849253622*Deflactores!$J$5</f>
        <v>215.88966484587945</v>
      </c>
      <c r="N23" s="56">
        <f>113.877152127*Deflactores!$K$5</f>
        <v>243.52993734933668</v>
      </c>
      <c r="O23" s="56">
        <f>122.988*Deflactores!$L$5</f>
        <v>253.56423651877435</v>
      </c>
      <c r="P23" s="56">
        <f>133.778*Deflactores!$M$5</f>
        <v>269.24050050819545</v>
      </c>
      <c r="Q23" s="56">
        <f>149.145867265*Deflactores!$N$5</f>
        <v>294.4572724533831</v>
      </c>
      <c r="R23" s="56">
        <f>149.783953417*Deflactores!$O$5</f>
        <v>285.27594047544937</v>
      </c>
      <c r="S23" s="56">
        <f>156.964*Deflactores!$P$5</f>
        <v>279.99525489987565</v>
      </c>
      <c r="T23" s="56">
        <f>173.994350885*Deflactores!$Q$5</f>
        <v>293.49816206480119</v>
      </c>
      <c r="U23" s="56">
        <f>162.883383878*Deflactores!$R$5</f>
        <v>263.95993479748768</v>
      </c>
      <c r="V23" s="56">
        <f>116.702603119*Deflactores!$S$5</f>
        <v>183.29315598344493</v>
      </c>
    </row>
    <row r="24" spans="3:22" x14ac:dyDescent="0.2">
      <c r="C24" s="88" t="s">
        <v>134</v>
      </c>
      <c r="D24" s="57">
        <f>872.539599578*Deflactores!$A$5</f>
        <v>3167.8066082611494</v>
      </c>
      <c r="E24" s="57">
        <f>1784.720426*Deflactores!$B$5</f>
        <v>6019.1687125139106</v>
      </c>
      <c r="F24" s="57">
        <f>1132.24577*Deflactores!$C$5</f>
        <v>3569.0807267632099</v>
      </c>
      <c r="G24" s="57">
        <f>1295.677946821*Deflactores!$D$5</f>
        <v>3835.2912564586404</v>
      </c>
      <c r="H24" s="57">
        <f>1494.711437*Deflactores!$E$5</f>
        <v>4193.9051282909177</v>
      </c>
      <c r="I24" s="57">
        <f>1926.347467021*Deflactores!$F$5</f>
        <v>5154.7314068556834</v>
      </c>
      <c r="J24" s="57">
        <f>854.185933062*Deflactores!$G$5</f>
        <v>2187.7575635393746</v>
      </c>
      <c r="K24" s="57">
        <f>937.649251359*Deflactores!$H$5</f>
        <v>2272.1393380258955</v>
      </c>
      <c r="L24" s="57">
        <f>969.128928036*Deflactores!$I$5</f>
        <v>2181.0406594049109</v>
      </c>
      <c r="M24" s="57">
        <f>1006.402117932*Deflactores!$J$5</f>
        <v>2220.4749438341373</v>
      </c>
      <c r="N24" s="57">
        <f>817.308*Deflactores!$K$5</f>
        <v>1747.8393366663759</v>
      </c>
      <c r="O24" s="57">
        <f>1418.578964307*Deflactores!$L$5</f>
        <v>2924.6828310574861</v>
      </c>
      <c r="P24" s="57">
        <f>2464.76273402*Deflactores!$M$5</f>
        <v>4960.561169560714</v>
      </c>
      <c r="Q24" s="57">
        <f>2578.89869377*Deflactores!$N$5</f>
        <v>5091.4952537830668</v>
      </c>
      <c r="R24" s="57">
        <f>2892.482027615*Deflactores!$O$5</f>
        <v>5508.9715013661225</v>
      </c>
      <c r="S24" s="57">
        <f>3099.490326584*Deflactores!$P$5</f>
        <v>5528.9275505949508</v>
      </c>
      <c r="T24" s="57">
        <f>2019.093119931*Deflactores!$Q$5</f>
        <v>3405.8583897882258</v>
      </c>
      <c r="U24" s="57">
        <f>1505.60948357244*Deflactores!$R$5</f>
        <v>2439.9086736307568</v>
      </c>
      <c r="V24" s="57">
        <f>1510.480047697*Deflactores!$S$5</f>
        <v>2372.3605780249532</v>
      </c>
    </row>
    <row r="25" spans="3:22" x14ac:dyDescent="0.2">
      <c r="C25" s="87" t="s">
        <v>135</v>
      </c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</row>
    <row r="26" spans="3:22" x14ac:dyDescent="0.2">
      <c r="C26" s="88" t="s">
        <v>136</v>
      </c>
      <c r="D26" s="57">
        <f>68.377086275*Deflactores!$A$5</f>
        <v>248.24705475871582</v>
      </c>
      <c r="E26" s="57">
        <f>144.036191308*Deflactores!$B$5</f>
        <v>485.778121637737</v>
      </c>
      <c r="F26" s="57">
        <f>107.609*Deflactores!$C$5</f>
        <v>339.20657343348893</v>
      </c>
      <c r="G26" s="57">
        <f>86.075913592*Deflactores!$D$5</f>
        <v>254.79032007997472</v>
      </c>
      <c r="H26" s="57">
        <f>215.341*Deflactores!$E$5</f>
        <v>604.21008488696975</v>
      </c>
      <c r="I26" s="57">
        <f>436.51196154492*Deflactores!$F$5</f>
        <v>1168.0664865323852</v>
      </c>
      <c r="J26" s="57">
        <f>1100.338036282*Deflactores!$G$5</f>
        <v>2818.2071000591854</v>
      </c>
      <c r="K26" s="57">
        <f>1492.502359342*Deflactores!$H$5</f>
        <v>3616.6757642501793</v>
      </c>
      <c r="L26" s="57">
        <f>2079.745027916*Deflactores!$I$5</f>
        <v>4680.5005359529405</v>
      </c>
      <c r="M26" s="57">
        <f>2008.936570261*Deflactores!$J$5</f>
        <v>4432.4164650834355</v>
      </c>
      <c r="N26" s="57">
        <f>2924.565314314*Deflactores!$K$5</f>
        <v>6254.2765995292748</v>
      </c>
      <c r="O26" s="57">
        <f>2896.64486*Deflactores!$L$5</f>
        <v>5972.0098090214651</v>
      </c>
      <c r="P26" s="57">
        <f>4429.952800968*Deflactores!$M$5</f>
        <v>8915.686505705773</v>
      </c>
      <c r="Q26" s="57">
        <f>4962.958039526*Deflactores!$N$5</f>
        <v>9798.3210290558072</v>
      </c>
      <c r="R26" s="57">
        <f>7480.534453324*Deflactores!$O$5</f>
        <v>14247.297208732922</v>
      </c>
      <c r="S26" s="57">
        <f>8493.415886682*Deflactores!$P$5</f>
        <v>15150.710648060574</v>
      </c>
      <c r="T26" s="57">
        <f>7312.805863734*Deflactores!$Q$5</f>
        <v>12335.429682778635</v>
      </c>
      <c r="U26" s="57">
        <f>7720.884731568*Deflactores!$R$5</f>
        <v>12512.045009146403</v>
      </c>
      <c r="V26" s="57">
        <f>7453.468800327*Deflactores!$S$5</f>
        <v>11706.421133066011</v>
      </c>
    </row>
    <row r="27" spans="3:22" x14ac:dyDescent="0.2">
      <c r="C27" s="87" t="s">
        <v>137</v>
      </c>
      <c r="D27" s="56">
        <f>38.63*Deflactores!$A$5</f>
        <v>140.24849913552703</v>
      </c>
      <c r="E27" s="56">
        <f>23.29*Deflactores!$B$5</f>
        <v>78.548122872466621</v>
      </c>
      <c r="F27" s="56">
        <f>36.00359*Deflactores!$C$5</f>
        <v>113.49101278893242</v>
      </c>
      <c r="G27" s="56">
        <f>18.829*Deflactores!$D$5</f>
        <v>55.735068459752306</v>
      </c>
      <c r="H27" s="56">
        <f>49.321212*Deflactores!$E$5</f>
        <v>138.38690119042928</v>
      </c>
      <c r="I27" s="56">
        <f>139.414558155*Deflactores!$F$5</f>
        <v>373.06073478313573</v>
      </c>
      <c r="J27" s="56">
        <f>40.057*Deflactores!$G$5</f>
        <v>102.59476459481317</v>
      </c>
      <c r="K27" s="56">
        <f>82.899906386*Deflactores!$H$5</f>
        <v>200.88549971675587</v>
      </c>
      <c r="L27" s="56">
        <f>89.0376*Deflactores!$I$5</f>
        <v>200.38058941174953</v>
      </c>
      <c r="M27" s="56">
        <f>83.5417707*Deflactores!$J$5</f>
        <v>184.32235514772714</v>
      </c>
      <c r="N27" s="56">
        <f>122.052182866*Deflactores!$K$5</f>
        <v>261.01250243383481</v>
      </c>
      <c r="O27" s="56">
        <f>137.280566095*Deflactores!$L$5</f>
        <v>283.03120573343591</v>
      </c>
      <c r="P27" s="56">
        <f>169.037542364*Deflactores!$M$5</f>
        <v>340.20356494160967</v>
      </c>
      <c r="Q27" s="56">
        <f>220.153063749*Deflactores!$N$5</f>
        <v>434.64610761627813</v>
      </c>
      <c r="R27" s="56">
        <f>402.030507676*Deflactores!$O$5</f>
        <v>765.70038752947198</v>
      </c>
      <c r="S27" s="56">
        <f>213.804315149*Deflactores!$P$5</f>
        <v>381.38804897197826</v>
      </c>
      <c r="T27" s="56">
        <f>163.089896377*Deflactores!$Q$5</f>
        <v>275.1042467443404</v>
      </c>
      <c r="U27" s="56">
        <f>184.325336221*Deflactores!$R$5</f>
        <v>298.70759418199759</v>
      </c>
      <c r="V27" s="56">
        <f>414.479073103*Deflactores!$S$5</f>
        <v>650.98100100368038</v>
      </c>
    </row>
    <row r="28" spans="3:22" x14ac:dyDescent="0.2">
      <c r="C28" s="88" t="s">
        <v>138</v>
      </c>
      <c r="D28" s="57">
        <f>7*Deflactores!$A$5</f>
        <v>25.413913899784859</v>
      </c>
      <c r="E28" s="57">
        <f>18*Deflactores!$B$5</f>
        <v>60.707007801820495</v>
      </c>
      <c r="F28" s="57">
        <f>6*Deflactores!$C$5</f>
        <v>18.913282723572692</v>
      </c>
      <c r="G28" s="57">
        <f>23.845630165*Deflactores!$D$5</f>
        <v>70.584621047969065</v>
      </c>
      <c r="H28" s="57">
        <f>0*Deflactores!$E$5</f>
        <v>0</v>
      </c>
      <c r="I28" s="57">
        <f>0*Deflactores!$F$5</f>
        <v>0</v>
      </c>
      <c r="J28" s="57">
        <f>0*Deflactores!$G$5</f>
        <v>0</v>
      </c>
      <c r="K28" s="57">
        <f>0*Deflactores!$H$5</f>
        <v>0</v>
      </c>
      <c r="L28" s="57">
        <f>45*Deflactores!$I$5</f>
        <v>101.27324325373471</v>
      </c>
      <c r="M28" s="57">
        <f>18.5*Deflactores!$J$5</f>
        <v>40.81746821572878</v>
      </c>
      <c r="N28" s="57">
        <f>15.5*Deflactores!$K$5</f>
        <v>33.147246470521303</v>
      </c>
      <c r="O28" s="57">
        <f>0*Deflactores!$L$5</f>
        <v>0</v>
      </c>
      <c r="P28" s="57">
        <f>65.45*Deflactores!$M$5</f>
        <v>131.72413071103915</v>
      </c>
      <c r="Q28" s="57">
        <f>34.58654082*Deflactores!$N$5</f>
        <v>68.283879803116292</v>
      </c>
      <c r="R28" s="57">
        <f>20.2136*Deflactores!$O$5</f>
        <v>38.498474762117411</v>
      </c>
      <c r="S28" s="57">
        <f>16.871*Deflactores!$P$5</f>
        <v>30.094798459620051</v>
      </c>
      <c r="T28" s="57">
        <f>10.642*Deflactores!$Q$5</f>
        <v>17.951200282117217</v>
      </c>
      <c r="U28" s="57">
        <f>8.630885526*Deflactores!$R$5</f>
        <v>13.986742701722866</v>
      </c>
      <c r="V28" s="57">
        <f>7.0382*Deflactores!$S$5</f>
        <v>11.054199786162716</v>
      </c>
    </row>
    <row r="29" spans="3:22" x14ac:dyDescent="0.2">
      <c r="C29" s="87" t="s">
        <v>139</v>
      </c>
      <c r="D29" s="56">
        <f>62.829603*Deflactores!$A$5</f>
        <v>228.10658871423777</v>
      </c>
      <c r="E29" s="56">
        <f>135.464*Deflactores!$B$5</f>
        <v>456.86745027032282</v>
      </c>
      <c r="F29" s="56">
        <f>111.081184*Deflactores!$C$5</f>
        <v>350.15163971019985</v>
      </c>
      <c r="G29" s="56">
        <f>43.6291969890999*Deflactores!$D$5</f>
        <v>129.14526958582516</v>
      </c>
      <c r="H29" s="56">
        <f>105.788638576*Deflactores!$E$5</f>
        <v>296.82486054249733</v>
      </c>
      <c r="I29" s="56">
        <f>77.35820685992*Deflactores!$F$5</f>
        <v>207.00355740884689</v>
      </c>
      <c r="J29" s="56">
        <f>156.86602319662*Deflactores!$G$5</f>
        <v>401.76829824454484</v>
      </c>
      <c r="K29" s="56">
        <f>382.43698995*Deflactores!$H$5</f>
        <v>926.73260062030602</v>
      </c>
      <c r="L29" s="56">
        <f>491.063164271*Deflactores!$I$5</f>
        <v>1105.145761959237</v>
      </c>
      <c r="M29" s="56">
        <f>420.146037371*Deflactores!$J$5</f>
        <v>926.98905547865888</v>
      </c>
      <c r="N29" s="56">
        <f>214.54927933444*Deflactores!$K$5</f>
        <v>458.82050594654231</v>
      </c>
      <c r="O29" s="56">
        <f>3786.032538026*Deflactores!$L$5</f>
        <v>7805.6594947458307</v>
      </c>
      <c r="P29" s="56">
        <f>224.177842033*Deflactores!$M$5</f>
        <v>451.17847771540988</v>
      </c>
      <c r="Q29" s="56">
        <f>403.509697248*Deflactores!$N$5</f>
        <v>796.64537166843149</v>
      </c>
      <c r="R29" s="56">
        <f>366.333806039*Deflactores!$O$5</f>
        <v>697.71306379382474</v>
      </c>
      <c r="S29" s="56">
        <f>369.157160991*Deflactores!$P$5</f>
        <v>658.50929760830184</v>
      </c>
      <c r="T29" s="56">
        <f>418.955793696*Deflactores!$Q$5</f>
        <v>706.70544653169316</v>
      </c>
      <c r="U29" s="56">
        <f>565.949349763*Deflactores!$R$5</f>
        <v>917.14667208789047</v>
      </c>
      <c r="V29" s="56">
        <f>467.877953018*Deflactores!$S$5</f>
        <v>734.849303543779</v>
      </c>
    </row>
    <row r="30" spans="3:22" x14ac:dyDescent="0.2">
      <c r="C30" s="88" t="s">
        <v>140</v>
      </c>
      <c r="D30" s="57">
        <f>253.450981*Deflactores!$A$5</f>
        <v>920.16877270714406</v>
      </c>
      <c r="E30" s="57">
        <f>491.525325087*Deflactores!$B$5</f>
        <v>1657.7239858249368</v>
      </c>
      <c r="F30" s="57">
        <f>297.3839574*Deflactores!$C$5</f>
        <v>937.41781062684947</v>
      </c>
      <c r="G30" s="57">
        <f>335.296588*Deflactores!$D$5</f>
        <v>992.49977622291999</v>
      </c>
      <c r="H30" s="57">
        <f>630.026*Deflactores!$E$5</f>
        <v>1767.7454035274191</v>
      </c>
      <c r="I30" s="57">
        <f>639.47819*Deflactores!$F$5</f>
        <v>1711.1857369583736</v>
      </c>
      <c r="J30" s="57">
        <f>714.5003*Deflactores!$G$5</f>
        <v>1829.9920134164663</v>
      </c>
      <c r="K30" s="57">
        <f>3804.539*Deflactores!$H$5</f>
        <v>9219.2711852803313</v>
      </c>
      <c r="L30" s="57">
        <f>1471.441203472*Deflactores!$I$5</f>
        <v>3311.5027318397338</v>
      </c>
      <c r="M30" s="57">
        <f>6862.096479655*Deflactores!$J$5</f>
        <v>15140.184051436881</v>
      </c>
      <c r="N30" s="57">
        <f>1093.52613373*Deflactores!$K$5</f>
        <v>2338.540663013197</v>
      </c>
      <c r="O30" s="57">
        <f>1674.393*Deflactores!$L$5</f>
        <v>3452.0943724377998</v>
      </c>
      <c r="P30" s="57">
        <f>2043.800368294*Deflactores!$M$5</f>
        <v>4113.3357809080035</v>
      </c>
      <c r="Q30" s="57">
        <f>2665.363384229*Deflactores!$N$5</f>
        <v>5262.2016728274912</v>
      </c>
      <c r="R30" s="57">
        <f>2264.070316214*Deflactores!$O$5</f>
        <v>4312.1093683670324</v>
      </c>
      <c r="S30" s="57">
        <f>2478.076190319*Deflactores!$P$5</f>
        <v>4420.437645381624</v>
      </c>
      <c r="T30" s="57">
        <f>2467.358875997*Deflactores!$Q$5</f>
        <v>4162.0046373690811</v>
      </c>
      <c r="U30" s="57">
        <f>3022.515815001*Deflactores!$R$5</f>
        <v>4898.1244032209606</v>
      </c>
      <c r="V30" s="57">
        <f>3293.8765126739*Deflactores!$S$5</f>
        <v>5173.3637921693353</v>
      </c>
    </row>
    <row r="31" spans="3:22" x14ac:dyDescent="0.2">
      <c r="C31" s="87" t="s">
        <v>141</v>
      </c>
      <c r="D31" s="56">
        <f>7.965*Deflactores!$A$5</f>
        <v>28.917403458826627</v>
      </c>
      <c r="E31" s="56">
        <f>20.772*Deflactores!$B$5</f>
        <v>70.055887003300839</v>
      </c>
      <c r="F31" s="56">
        <f>21*Deflactores!$C$5</f>
        <v>66.196489532504415</v>
      </c>
      <c r="G31" s="56">
        <f>18.588984708*Deflactores!$D$5</f>
        <v>55.024607536123469</v>
      </c>
      <c r="H31" s="56">
        <f>24.279327303*Deflactores!$E$5</f>
        <v>68.123647659963268</v>
      </c>
      <c r="I31" s="56">
        <f>31.09759956255*Deflactores!$F$5</f>
        <v>83.214360797947634</v>
      </c>
      <c r="J31" s="56">
        <f>35.4240541*Deflactores!$G$5</f>
        <v>90.728773781946387</v>
      </c>
      <c r="K31" s="56">
        <f>46.1247*Deflactores!$H$5</f>
        <v>111.77073428336513</v>
      </c>
      <c r="L31" s="56">
        <f>52.39423125*Deflactores!$I$5</f>
        <v>117.91408281052618</v>
      </c>
      <c r="M31" s="56">
        <f>67.12711006*Deflactores!$J$5</f>
        <v>148.10587466420421</v>
      </c>
      <c r="N31" s="56">
        <f>100.2800729*Deflactores!$K$5</f>
        <v>214.45214790310607</v>
      </c>
      <c r="O31" s="56">
        <f>87.342329204*Deflactores!$L$5</f>
        <v>180.07359271135155</v>
      </c>
      <c r="P31" s="56">
        <f>84.205509705*Deflactores!$M$5</f>
        <v>169.47131500337807</v>
      </c>
      <c r="Q31" s="56">
        <f>111.465*Deflactores!$N$5</f>
        <v>220.06429327136041</v>
      </c>
      <c r="R31" s="56">
        <f>78.538677102*Deflactores!$O$5</f>
        <v>149.58341306157413</v>
      </c>
      <c r="S31" s="56">
        <f>162.32579725032*Deflactores!$P$5</f>
        <v>289.55972693056293</v>
      </c>
      <c r="T31" s="56">
        <f>93.786762993*Deflactores!$Q$5</f>
        <v>158.20193255955667</v>
      </c>
      <c r="U31" s="56">
        <f>230.662058359*Deflactores!$R$5</f>
        <v>373.79836073579702</v>
      </c>
      <c r="V31" s="56">
        <f>225.030057713*Deflactores!$S$5</f>
        <v>353.43230028291725</v>
      </c>
    </row>
    <row r="32" spans="3:22" x14ac:dyDescent="0.2">
      <c r="C32" s="88" t="s">
        <v>142</v>
      </c>
      <c r="D32" s="57">
        <f>465.738917783*Deflactores!$A$5</f>
        <v>1690.8926794737342</v>
      </c>
      <c r="E32" s="57">
        <f>1052.066674*Deflactores!$B$5</f>
        <v>3548.2122103640741</v>
      </c>
      <c r="F32" s="57">
        <f>849.501593829*Deflactores!$C$5</f>
        <v>2677.8106363689149</v>
      </c>
      <c r="G32" s="57">
        <f>384.106108506*Deflactores!$D$5</f>
        <v>1136.9791413984256</v>
      </c>
      <c r="H32" s="57">
        <f>283.430120755*Deflactores!$E$5</f>
        <v>795.25653415235672</v>
      </c>
      <c r="I32" s="57">
        <f>250.104447196*Deflactores!$F$5</f>
        <v>669.25685579934134</v>
      </c>
      <c r="J32" s="57">
        <f>329.13975945*Deflactores!$G$5</f>
        <v>842.9991297292903</v>
      </c>
      <c r="K32" s="57">
        <f>359.921261215*Deflactores!$H$5</f>
        <v>872.17182225999125</v>
      </c>
      <c r="L32" s="57">
        <f>572.116698195*Deflactores!$I$5</f>
        <v>1287.558078796128</v>
      </c>
      <c r="M32" s="57">
        <f>1089.551599412*Deflactores!$J$5</f>
        <v>2403.931771805177</v>
      </c>
      <c r="N32" s="57">
        <f>854.537142788*Deflactores!$K$5</f>
        <v>1827.4550509812188</v>
      </c>
      <c r="O32" s="57">
        <f>839.308874474*Deflactores!$L$5</f>
        <v>1730.4022665579701</v>
      </c>
      <c r="P32" s="57">
        <f>926.15332568*Deflactores!$M$5</f>
        <v>1863.9685520295786</v>
      </c>
      <c r="Q32" s="57">
        <f>498.57342583*Deflactores!$N$5</f>
        <v>984.32879019566656</v>
      </c>
      <c r="R32" s="57">
        <f>295.028622986*Deflactores!$O$5</f>
        <v>561.906439037518</v>
      </c>
      <c r="S32" s="57">
        <f>232.206690663*Deflactores!$P$5</f>
        <v>414.21454309041093</v>
      </c>
      <c r="T32" s="57">
        <f>377.870444209*Deflactores!$Q$5</f>
        <v>637.40161855744782</v>
      </c>
      <c r="U32" s="57">
        <f>347.965795564*Deflactores!$R$5</f>
        <v>563.89440421758729</v>
      </c>
      <c r="V32" s="57">
        <f>302.012874721*Deflactores!$S$5</f>
        <v>474.34154402535671</v>
      </c>
    </row>
    <row r="33" spans="3:22" x14ac:dyDescent="0.2">
      <c r="C33" s="87" t="s">
        <v>143</v>
      </c>
      <c r="D33" s="56">
        <f>740.963730109*Deflactores!$A$5</f>
        <v>2690.1126342647931</v>
      </c>
      <c r="E33" s="56">
        <f>771.67087*Deflactores!$B$5</f>
        <v>2602.5460847515337</v>
      </c>
      <c r="F33" s="56">
        <f>1115.46146151117*Deflactores!$C$5</f>
        <v>3516.1729981350595</v>
      </c>
      <c r="G33" s="56">
        <f>759.492901155*Deflactores!$D$5</f>
        <v>2248.1485389861286</v>
      </c>
      <c r="H33" s="56">
        <f>695.501*Deflactores!$E$5</f>
        <v>1951.4570762138762</v>
      </c>
      <c r="I33" s="56">
        <f>584.40788099108*Deflactores!$F$5</f>
        <v>1563.8225762132756</v>
      </c>
      <c r="J33" s="56">
        <f>48.0321587*Deflactores!$G$5</f>
        <v>123.02089559395878</v>
      </c>
      <c r="K33" s="56">
        <f>137.336993113*Deflactores!$H$5</f>
        <v>332.79905483416633</v>
      </c>
      <c r="L33" s="56">
        <f>117.114709903*Deflactores!$I$5</f>
        <v>263.56858899104651</v>
      </c>
      <c r="M33" s="56">
        <f>58.489158295*Deflactores!$J$5</f>
        <v>129.04753295518336</v>
      </c>
      <c r="N33" s="56">
        <f>78.109975922*Deflactores!$K$5</f>
        <v>167.0406853995496</v>
      </c>
      <c r="O33" s="56">
        <f>85.521490061*Deflactores!$L$5</f>
        <v>176.31957047244782</v>
      </c>
      <c r="P33" s="56">
        <f>391.489530938*Deflactores!$M$5</f>
        <v>787.90860420596653</v>
      </c>
      <c r="Q33" s="56">
        <f>135.415239569*Deflactores!$N$5</f>
        <v>267.34902430291072</v>
      </c>
      <c r="R33" s="56">
        <f>129.548946725*Deflactores!$O$5</f>
        <v>246.73669489607519</v>
      </c>
      <c r="S33" s="56">
        <f>139.695944487*Deflactores!$P$5</f>
        <v>249.19218155192556</v>
      </c>
      <c r="T33" s="56">
        <f>83.326729762*Deflactores!$Q$5</f>
        <v>140.55767852015782</v>
      </c>
      <c r="U33" s="56">
        <f>63.413974727*Deflactores!$R$5</f>
        <v>102.76523139233043</v>
      </c>
      <c r="V33" s="56">
        <f>727.853555875*Deflactores!$S$5</f>
        <v>1143.1670912607196</v>
      </c>
    </row>
    <row r="34" spans="3:22" x14ac:dyDescent="0.2">
      <c r="C34" s="88" t="s">
        <v>144</v>
      </c>
      <c r="D34" s="57">
        <f>23.667013131*Deflactores!$A$5</f>
        <v>85.924490568044519</v>
      </c>
      <c r="E34" s="57">
        <f>47.35*Deflactores!$B$5</f>
        <v>159.69315663423336</v>
      </c>
      <c r="F34" s="57">
        <f>41.728323*Deflactores!$C$5</f>
        <v>131.53659507992683</v>
      </c>
      <c r="G34" s="57">
        <f>37.58558644*Deflactores!$D$5</f>
        <v>111.25578805742938</v>
      </c>
      <c r="H34" s="57">
        <f>67.580101871*Deflactores!$E$5</f>
        <v>189.61822917208971</v>
      </c>
      <c r="I34" s="57">
        <f>70.046061931*Deflactores!$F$5</f>
        <v>187.4369196335376</v>
      </c>
      <c r="J34" s="57">
        <f>83.134218673*Deflactores!$G$5</f>
        <v>212.9249717784696</v>
      </c>
      <c r="K34" s="57">
        <f>92.944505*Deflactores!$H$5</f>
        <v>225.22586751683812</v>
      </c>
      <c r="L34" s="57">
        <f>103.973509666*Deflactores!$I$5</f>
        <v>233.99410080776343</v>
      </c>
      <c r="M34" s="57">
        <f>87.61814*Deflactores!$J$5</f>
        <v>193.31625105790673</v>
      </c>
      <c r="N34" s="57">
        <f>151.999710278*Deflactores!$K$5</f>
        <v>325.05624903436751</v>
      </c>
      <c r="O34" s="57">
        <f>230.441737145*Deflactores!$L$5</f>
        <v>475.10149885543308</v>
      </c>
      <c r="P34" s="57">
        <f>201.068989259*Deflactores!$M$5</f>
        <v>404.6697910326821</v>
      </c>
      <c r="Q34" s="57">
        <f>331.910058937*Deflactores!$N$5</f>
        <v>655.28688422039636</v>
      </c>
      <c r="R34" s="57">
        <f>268.378864469*Deflactores!$O$5</f>
        <v>511.14976750531946</v>
      </c>
      <c r="S34" s="57">
        <f>249.892939291*Deflactores!$P$5</f>
        <v>445.76359696785698</v>
      </c>
      <c r="T34" s="57">
        <f>165.546554066*Deflactores!$Q$5</f>
        <v>279.24820034327308</v>
      </c>
      <c r="U34" s="57">
        <f>235.972024956*Deflactores!$R$5</f>
        <v>382.40340321066833</v>
      </c>
      <c r="V34" s="57">
        <f>223.185517411*Deflactores!$S$5</f>
        <v>350.53526453344483</v>
      </c>
    </row>
    <row r="35" spans="3:22" x14ac:dyDescent="0.2">
      <c r="C35" s="87" t="s">
        <v>145</v>
      </c>
      <c r="D35" s="56">
        <f>29.860910294*Deflactores!$A$5</f>
        <v>108.41180045441648</v>
      </c>
      <c r="E35" s="56">
        <f>0*Deflactores!$B$5</f>
        <v>0</v>
      </c>
      <c r="F35" s="56">
        <f>10.4926*Deflactores!$C$5</f>
        <v>33.074918384226471</v>
      </c>
      <c r="G35" s="56">
        <f>5.5556524*Deflactores!$D$5</f>
        <v>16.445093571224557</v>
      </c>
      <c r="H35" s="56">
        <f>10*Deflactores!$E$5</f>
        <v>28.058292888347772</v>
      </c>
      <c r="I35" s="56">
        <f>57*Deflactores!$F$5</f>
        <v>152.52683911960671</v>
      </c>
      <c r="J35" s="56">
        <f>77.991531558*Deflactores!$G$5</f>
        <v>199.75342188835791</v>
      </c>
      <c r="K35" s="56">
        <f>82.639810092*Deflactores!$H$5</f>
        <v>200.25522670111002</v>
      </c>
      <c r="L35" s="56">
        <f>99.635072312*Deflactores!$I$5</f>
        <v>224.23037588570276</v>
      </c>
      <c r="M35" s="56">
        <f>105.288*Deflactores!$J$5</f>
        <v>232.30214018906227</v>
      </c>
      <c r="N35" s="56">
        <f>70.48*Deflactores!$K$5</f>
        <v>150.72373749950592</v>
      </c>
      <c r="O35" s="56">
        <f>44.568103*Deflactores!$L$5</f>
        <v>91.886013353214111</v>
      </c>
      <c r="P35" s="56">
        <f>45.90514609*Deflactores!$M$5</f>
        <v>92.388318775683842</v>
      </c>
      <c r="Q35" s="56">
        <f>46.489944685*Deflactores!$N$5</f>
        <v>91.784657258593839</v>
      </c>
      <c r="R35" s="56">
        <f>48.132*Deflactores!$O$5</f>
        <v>91.671379034424106</v>
      </c>
      <c r="S35" s="56">
        <f>50.257864278*Deflactores!$P$5</f>
        <v>89.650897780650126</v>
      </c>
      <c r="T35" s="56">
        <f>35.2*Deflactores!$Q$5</f>
        <v>59.376268552013357</v>
      </c>
      <c r="U35" s="56">
        <f>50.30385533*Deflactores!$R$5</f>
        <v>81.519686396707328</v>
      </c>
      <c r="V35" s="56">
        <f>50*Deflactores!$S$5</f>
        <v>78.530020361475351</v>
      </c>
    </row>
    <row r="36" spans="3:22" x14ac:dyDescent="0.2">
      <c r="C36" s="88" t="s">
        <v>146</v>
      </c>
      <c r="D36" s="57">
        <f>0.3277*Deflactores!$A$5</f>
        <v>1.1897342264227855</v>
      </c>
      <c r="E36" s="57">
        <f>0*Deflactores!$B$5</f>
        <v>0</v>
      </c>
      <c r="F36" s="57">
        <f>0*Deflactores!$C$5</f>
        <v>0</v>
      </c>
      <c r="G36" s="57">
        <f>0*Deflactores!$D$5</f>
        <v>0</v>
      </c>
      <c r="H36" s="57">
        <f>2*Deflactores!$E$5</f>
        <v>5.6116585776695542</v>
      </c>
      <c r="I36" s="57">
        <f>1.035*Deflactores!$F$5</f>
        <v>2.7695662892770687</v>
      </c>
      <c r="J36" s="57">
        <f>1.96605*Deflactores!$G$5</f>
        <v>5.0354853566575741</v>
      </c>
      <c r="K36" s="57">
        <f>3.007107125*Deflactores!$H$5</f>
        <v>7.2869107317768806</v>
      </c>
      <c r="L36" s="57">
        <f>7.557*Deflactores!$I$5</f>
        <v>17.007153317077183</v>
      </c>
      <c r="M36" s="57">
        <f>10.1032*Deflactores!$J$5</f>
        <v>22.291191614981134</v>
      </c>
      <c r="N36" s="57">
        <f>5.826*Deflactores!$K$5</f>
        <v>12.459087608855297</v>
      </c>
      <c r="O36" s="57">
        <f>3.883*Deflactores!$L$5</f>
        <v>8.0055772140566628</v>
      </c>
      <c r="P36" s="57">
        <f>14.920711*Deflactores!$M$5</f>
        <v>30.029300016281738</v>
      </c>
      <c r="Q36" s="57">
        <f>15.73*Deflactores!$N$5</f>
        <v>31.055589944453409</v>
      </c>
      <c r="R36" s="57">
        <f>44.435897154*Deflactores!$O$5</f>
        <v>84.631845149568306</v>
      </c>
      <c r="S36" s="57">
        <f>32.538696706*Deflactores!$P$5</f>
        <v>58.04312248863571</v>
      </c>
      <c r="T36" s="57">
        <f>61.7*Deflactores!$Q$5</f>
        <v>104.07715254713705</v>
      </c>
      <c r="U36" s="57">
        <f>49.260336345*Deflactores!$R$5</f>
        <v>79.828616401213793</v>
      </c>
      <c r="V36" s="57">
        <f>58.995235087*Deflactores!$S$5</f>
        <v>92.657940252242696</v>
      </c>
    </row>
    <row r="37" spans="3:22" x14ac:dyDescent="0.2">
      <c r="C37" s="90" t="s">
        <v>147</v>
      </c>
      <c r="D37" s="58">
        <f>897.77381*Deflactores!$A$5</f>
        <v>3259.4209012602587</v>
      </c>
      <c r="E37" s="58">
        <f>1235.800430618*Deflactores!$B$5</f>
        <v>4167.8747990566699</v>
      </c>
      <c r="F37" s="58">
        <f>1156.4231411*Deflactores!$C$5</f>
        <v>3645.2929692843827</v>
      </c>
      <c r="G37" s="58">
        <f>1194.702896944*Deflactores!$D$5</f>
        <v>3536.3985209112666</v>
      </c>
      <c r="H37" s="58">
        <f>1631.554467787*Deflactores!$E$5</f>
        <v>4577.8633120460017</v>
      </c>
      <c r="I37" s="58">
        <f>1689.3461041*Deflactores!$F$5</f>
        <v>4520.5372181999128</v>
      </c>
      <c r="J37" s="58">
        <f>2313.319938528*Deflactores!$G$5</f>
        <v>5924.9198523545901</v>
      </c>
      <c r="K37" s="58">
        <f>2667.663215726*Deflactores!$H$5</f>
        <v>6464.3602330729109</v>
      </c>
      <c r="L37" s="58">
        <f>1756.224974127*Deflactores!$I$5</f>
        <v>3952.4133114010579</v>
      </c>
      <c r="M37" s="58">
        <f>2026.276829969*Deflactores!$J$5</f>
        <v>4470.6751407312067</v>
      </c>
      <c r="N37" s="58">
        <f>2549.136939872*Deflactores!$K$5</f>
        <v>5451.4109956804923</v>
      </c>
      <c r="O37" s="58">
        <f>3589.097850593*Deflactores!$L$5</f>
        <v>7399.63944674918</v>
      </c>
      <c r="P37" s="58">
        <f>3898.879749674*Deflactores!$M$5</f>
        <v>7846.8532585589237</v>
      </c>
      <c r="Q37" s="58">
        <f>4968.382167894*Deflactores!$N$5</f>
        <v>9809.0298342943752</v>
      </c>
      <c r="R37" s="58">
        <f>7355.350441971*Deflactores!$O$5</f>
        <v>14008.873894642698</v>
      </c>
      <c r="S37" s="58">
        <f>7614.870078471*Deflactores!$P$5</f>
        <v>13583.544562134781</v>
      </c>
      <c r="T37" s="58">
        <f>7459.182847125*Deflactores!$Q$5</f>
        <v>12582.342156518907</v>
      </c>
      <c r="U37" s="58">
        <f>3556.50412033556*Deflactores!$R$5</f>
        <v>5763.4767485793082</v>
      </c>
      <c r="V37" s="58">
        <f>3712.739427675*Deflactores!$S$5</f>
        <v>5831.2300570434018</v>
      </c>
    </row>
    <row r="38" spans="3:22" ht="22.5" customHeight="1" x14ac:dyDescent="0.2">
      <c r="C38" s="89" t="s">
        <v>148</v>
      </c>
      <c r="D38" s="59">
        <f>0*Deflactores!$A$5</f>
        <v>0</v>
      </c>
      <c r="E38" s="59">
        <f>0*Deflactores!$B$5</f>
        <v>0</v>
      </c>
      <c r="F38" s="59">
        <f>0*Deflactores!$C$5</f>
        <v>0</v>
      </c>
      <c r="G38" s="59">
        <f>0*Deflactores!$D$5</f>
        <v>0</v>
      </c>
      <c r="H38" s="59">
        <f>0*Deflactores!$E$5</f>
        <v>0</v>
      </c>
      <c r="I38" s="59">
        <f>0*Deflactores!$F$5</f>
        <v>0</v>
      </c>
      <c r="J38" s="59">
        <f>0*Deflactores!$G$5</f>
        <v>0</v>
      </c>
      <c r="K38" s="59">
        <f>0*Deflactores!$H$5</f>
        <v>0</v>
      </c>
      <c r="L38" s="59">
        <f>0*Deflactores!$I$5</f>
        <v>0</v>
      </c>
      <c r="M38" s="59">
        <f>0*Deflactores!$J$5</f>
        <v>0</v>
      </c>
      <c r="N38" s="59">
        <f>0*Deflactores!$K$5</f>
        <v>0</v>
      </c>
      <c r="O38" s="59">
        <f>0*Deflactores!$L$5</f>
        <v>0</v>
      </c>
      <c r="P38" s="59">
        <f>0*Deflactores!$M$5</f>
        <v>0</v>
      </c>
      <c r="Q38" s="59">
        <f>0*Deflactores!$N$5</f>
        <v>0</v>
      </c>
      <c r="R38" s="59">
        <f>0*Deflactores!$O$5</f>
        <v>0</v>
      </c>
      <c r="S38" s="59">
        <f>0*Deflactores!$P$5</f>
        <v>0</v>
      </c>
      <c r="T38" s="59">
        <f>0*Deflactores!$Q$5</f>
        <v>0</v>
      </c>
      <c r="U38" s="59">
        <f>0*Deflactores!$R$5</f>
        <v>0</v>
      </c>
      <c r="V38" s="59">
        <f>21.884891604*Deflactores!$S$5</f>
        <v>34.372419665416018</v>
      </c>
    </row>
    <row r="39" spans="3:22" x14ac:dyDescent="0.2">
      <c r="C39" s="87" t="s">
        <v>149</v>
      </c>
      <c r="D39" s="56">
        <f>1.75*Deflactores!$A$5</f>
        <v>6.3534784749462148</v>
      </c>
      <c r="E39" s="56">
        <f>9*Deflactores!$B$5</f>
        <v>30.353503900910248</v>
      </c>
      <c r="F39" s="56">
        <f>2*Deflactores!$C$5</f>
        <v>6.3044275745242304</v>
      </c>
      <c r="G39" s="56">
        <f>0.381433517*Deflactores!$D$5</f>
        <v>1.1290680961728765</v>
      </c>
      <c r="H39" s="56">
        <f>1.222*Deflactores!$E$5</f>
        <v>3.4287233909560975</v>
      </c>
      <c r="I39" s="56">
        <f>3.980475166*Deflactores!$F$5</f>
        <v>10.651391144983716</v>
      </c>
      <c r="J39" s="56">
        <f>2.48464386*Deflactores!$G$5</f>
        <v>6.3637179998164592</v>
      </c>
      <c r="K39" s="56">
        <f>2.2*Deflactores!$H$5</f>
        <v>5.3311049269350983</v>
      </c>
      <c r="L39" s="56">
        <f>2.19*Deflactores!$I$5</f>
        <v>4.9286311716817552</v>
      </c>
      <c r="M39" s="56">
        <f>13.069*Deflactores!$J$5</f>
        <v>28.834783357370782</v>
      </c>
      <c r="N39" s="56">
        <f>15.70730339*Deflactores!$K$5</f>
        <v>33.590571410037732</v>
      </c>
      <c r="O39" s="56">
        <f>31.3681*Deflactores!$L$5</f>
        <v>64.671580378122783</v>
      </c>
      <c r="P39" s="56">
        <f>17.941*Deflactores!$M$5</f>
        <v>36.107908771378966</v>
      </c>
      <c r="Q39" s="56">
        <f>18.157*Deflactores!$N$5</f>
        <v>35.847193046499711</v>
      </c>
      <c r="R39" s="56">
        <f>9.3*Deflactores!$O$5</f>
        <v>17.712619982966515</v>
      </c>
      <c r="S39" s="56">
        <f>11.669*Deflactores!$P$5</f>
        <v>20.815375687588549</v>
      </c>
      <c r="T39" s="56">
        <f>13.849*Deflactores!$Q$5</f>
        <v>23.360850658432753</v>
      </c>
      <c r="U39" s="56">
        <f>16.358*Deflactores!$R$5</f>
        <v>26.508883291934726</v>
      </c>
      <c r="V39" s="56">
        <f>15.636*Deflactores!$S$5</f>
        <v>24.55790796744057</v>
      </c>
    </row>
    <row r="40" spans="3:22" x14ac:dyDescent="0.2">
      <c r="C40" s="88" t="s">
        <v>150</v>
      </c>
      <c r="D40" s="57">
        <f>598.869604296*Deflactores!$A$5</f>
        <v>2174.231508682396</v>
      </c>
      <c r="E40" s="57">
        <f>931.247477287*Deflactores!$B$5</f>
        <v>3140.7359927270868</v>
      </c>
      <c r="F40" s="57">
        <f>713.148174383*Deflactores!$C$5</f>
        <v>2247.9955076508995</v>
      </c>
      <c r="G40" s="57">
        <f>342.411369758*Deflactores!$D$5</f>
        <v>1013.5599944160438</v>
      </c>
      <c r="H40" s="57">
        <f>605.84213264*Deflactores!$E$5</f>
        <v>1699.8896001714361</v>
      </c>
      <c r="I40" s="57">
        <f>1055.593564524*Deflactores!$F$5</f>
        <v>2824.6728033656896</v>
      </c>
      <c r="J40" s="57">
        <f>1944.915453699*Deflactores!$G$5</f>
        <v>4981.3551471419014</v>
      </c>
      <c r="K40" s="57">
        <f>2255.937110128*Deflactores!$H$5</f>
        <v>5466.6533830268663</v>
      </c>
      <c r="L40" s="57">
        <f>1724.497968756*Deflactores!$I$5</f>
        <v>3881.0111617866178</v>
      </c>
      <c r="M40" s="57">
        <f>2738.022564808*Deflactores!$J$5</f>
        <v>6041.0350817837152</v>
      </c>
      <c r="N40" s="57">
        <f>2848.056610452*Deflactores!$K$5</f>
        <v>6090.6602857193502</v>
      </c>
      <c r="O40" s="57">
        <f>4329.184*Deflactores!$L$5</f>
        <v>8925.4743203344515</v>
      </c>
      <c r="P40" s="57">
        <f>6803.875696052*Deflactores!$M$5</f>
        <v>13693.424163917742</v>
      </c>
      <c r="Q40" s="57">
        <f>7147.64278583815*Deflactores!$N$5</f>
        <v>14111.523421895754</v>
      </c>
      <c r="R40" s="57">
        <f>5966.430650399*Deflactores!$O$5</f>
        <v>11363.561157552818</v>
      </c>
      <c r="S40" s="57">
        <f>5443.0497*Deflactores!$P$5</f>
        <v>9709.4116369625626</v>
      </c>
      <c r="T40" s="57">
        <f>4047.248755053*Deflactores!$Q$5</f>
        <v>6827.0036641144497</v>
      </c>
      <c r="U40" s="57">
        <f>3931.12555255*Deflactores!$R$5</f>
        <v>6370.5678248251834</v>
      </c>
      <c r="V40" s="57">
        <f>3130.041138985*Deflactores!$S$5</f>
        <v>4916.043887534951</v>
      </c>
    </row>
    <row r="41" spans="3:22" x14ac:dyDescent="0.2">
      <c r="C41" s="87" t="s">
        <v>151</v>
      </c>
      <c r="D41" s="56">
        <f>142.66996*Deflactores!$A$5</f>
        <v>517.97172564653567</v>
      </c>
      <c r="E41" s="56">
        <f>149.768*Deflactores!$B$5</f>
        <v>505.10928580350287</v>
      </c>
      <c r="F41" s="56">
        <f>148.44*Deflactores!$C$5</f>
        <v>467.9146145811884</v>
      </c>
      <c r="G41" s="56">
        <f>195.059687178*Deflactores!$D$5</f>
        <v>577.38940031885375</v>
      </c>
      <c r="H41" s="56">
        <f>223.0216262*Deflactores!$E$5</f>
        <v>625.76061083552145</v>
      </c>
      <c r="I41" s="56">
        <f>176.525*Deflactores!$F$5</f>
        <v>472.36491711558898</v>
      </c>
      <c r="J41" s="56">
        <f>197.4*Deflactores!$G$5</f>
        <v>505.58470507067727</v>
      </c>
      <c r="K41" s="56">
        <f>369.5*Deflactores!$H$5</f>
        <v>895.38330477387206</v>
      </c>
      <c r="L41" s="56">
        <f>433.30015*Deflactores!$I$5</f>
        <v>975.14914428510519</v>
      </c>
      <c r="M41" s="56">
        <f>714.228*Deflactores!$J$5</f>
        <v>1575.836685880191</v>
      </c>
      <c r="N41" s="56">
        <f>623.1806148*Deflactores!$K$5</f>
        <v>1332.691705446877</v>
      </c>
      <c r="O41" s="56">
        <f>817.044239073*Deflactores!$L$5</f>
        <v>1684.4992900332404</v>
      </c>
      <c r="P41" s="56">
        <f>1715.897983146*Deflactores!$M$5</f>
        <v>3453.4021423794061</v>
      </c>
      <c r="Q41" s="56">
        <f>2129.81033*Deflactores!$N$5</f>
        <v>4204.8643526980923</v>
      </c>
      <c r="R41" s="56">
        <f>2196.074667687*Deflactores!$O$5</f>
        <v>4182.6060261246557</v>
      </c>
      <c r="S41" s="56">
        <f>2285.997895576*Deflactores!$P$5</f>
        <v>4077.8048690934315</v>
      </c>
      <c r="T41" s="56">
        <f>1493.759169527*Deflactores!$Q$5</f>
        <v>2519.7115227803292</v>
      </c>
      <c r="U41" s="56">
        <f>1900.775902648*Deflactores!$R$5</f>
        <v>3080.2938358856654</v>
      </c>
      <c r="V41" s="56">
        <f>1839.399503537*Deflactores!$S$5</f>
        <v>2888.9616093129653</v>
      </c>
    </row>
    <row r="42" spans="3:22" ht="21" customHeight="1" x14ac:dyDescent="0.2">
      <c r="C42" s="79" t="s">
        <v>202</v>
      </c>
      <c r="D42" s="44">
        <f t="shared" ref="D42:V42" si="0">+SUM(D13:D41)</f>
        <v>19178.290414538595</v>
      </c>
      <c r="E42" s="44">
        <f t="shared" si="0"/>
        <v>29283.410007009163</v>
      </c>
      <c r="F42" s="44">
        <f t="shared" si="0"/>
        <v>24244.740425431854</v>
      </c>
      <c r="G42" s="44">
        <f t="shared" si="0"/>
        <v>18562.193814494261</v>
      </c>
      <c r="H42" s="44">
        <f t="shared" si="0"/>
        <v>22345.556015127113</v>
      </c>
      <c r="I42" s="44">
        <f t="shared" si="0"/>
        <v>24521.337207354634</v>
      </c>
      <c r="J42" s="44">
        <f t="shared" si="0"/>
        <v>27530.939336233419</v>
      </c>
      <c r="K42" s="44">
        <f t="shared" si="0"/>
        <v>39076.599374265388</v>
      </c>
      <c r="L42" s="44">
        <f t="shared" si="0"/>
        <v>36501.163279623826</v>
      </c>
      <c r="M42" s="44">
        <f t="shared" si="0"/>
        <v>52287.714215559492</v>
      </c>
      <c r="N42" s="44">
        <f t="shared" si="0"/>
        <v>38927.678902606291</v>
      </c>
      <c r="O42" s="44">
        <f t="shared" si="0"/>
        <v>51619.975960130003</v>
      </c>
      <c r="P42" s="44">
        <f t="shared" si="0"/>
        <v>60072.351988742259</v>
      </c>
      <c r="Q42" s="44">
        <f t="shared" si="0"/>
        <v>68554.934593248079</v>
      </c>
      <c r="R42" s="44">
        <f t="shared" si="0"/>
        <v>73476.782325398337</v>
      </c>
      <c r="S42" s="44">
        <f t="shared" si="0"/>
        <v>70868.886223336391</v>
      </c>
      <c r="T42" s="44">
        <f t="shared" si="0"/>
        <v>56353.537221102466</v>
      </c>
      <c r="U42" s="44">
        <f t="shared" si="0"/>
        <v>51374.77242092559</v>
      </c>
      <c r="V42" s="44">
        <f t="shared" si="0"/>
        <v>48611.817562284821</v>
      </c>
    </row>
    <row r="43" spans="3:22" x14ac:dyDescent="0.2">
      <c r="C43" s="1" t="s">
        <v>52</v>
      </c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</row>
    <row r="44" spans="3:22" x14ac:dyDescent="0.2"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</row>
    <row r="45" spans="3:22" x14ac:dyDescent="0.2"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</row>
    <row r="46" spans="3:22" x14ac:dyDescent="0.2"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</row>
    <row r="48" spans="3:22" ht="18" customHeight="1" x14ac:dyDescent="0.2">
      <c r="D48" s="160" t="s">
        <v>211</v>
      </c>
      <c r="E48" s="158"/>
      <c r="F48" s="158"/>
      <c r="G48" s="158"/>
      <c r="H48" s="158"/>
      <c r="I48" s="158"/>
      <c r="J48" s="158"/>
      <c r="K48" s="158"/>
      <c r="L48" s="158"/>
      <c r="M48" s="158"/>
      <c r="N48" s="158"/>
      <c r="O48" s="158"/>
      <c r="P48" s="158"/>
      <c r="Q48" s="158"/>
      <c r="R48" s="158"/>
      <c r="S48" s="158"/>
      <c r="T48" s="158"/>
      <c r="U48" s="158"/>
      <c r="V48" s="158"/>
    </row>
    <row r="49" spans="3:22" ht="11.25" hidden="1" customHeight="1" x14ac:dyDescent="0.2">
      <c r="H49" s="27"/>
      <c r="I49" s="27"/>
      <c r="J49" s="27"/>
      <c r="L49" s="27"/>
      <c r="M49" s="27"/>
      <c r="N49" s="27"/>
      <c r="O49" s="27"/>
      <c r="P49" s="27"/>
      <c r="Q49" s="98"/>
      <c r="R49" s="28"/>
      <c r="S49" s="28"/>
      <c r="T49" s="28"/>
      <c r="U49" s="28"/>
      <c r="V49" s="28"/>
    </row>
    <row r="50" spans="3:22" x14ac:dyDescent="0.2">
      <c r="C50" s="150"/>
      <c r="D50" s="150"/>
      <c r="E50" s="150"/>
      <c r="F50" s="150"/>
      <c r="G50" s="150"/>
      <c r="H50" s="150"/>
      <c r="I50" s="150"/>
      <c r="J50" s="150"/>
      <c r="K50" s="150"/>
      <c r="L50" s="150"/>
      <c r="M50" s="150"/>
      <c r="N50" s="150"/>
      <c r="O50" s="150"/>
      <c r="P50" s="150"/>
      <c r="Q50" s="150"/>
      <c r="R50" s="150"/>
      <c r="S50" s="150"/>
      <c r="T50" s="150"/>
      <c r="U50" s="150"/>
      <c r="V50" s="150"/>
    </row>
    <row r="51" spans="3:22" ht="12" thickBot="1" x14ac:dyDescent="0.25">
      <c r="C51" s="177" t="s">
        <v>120</v>
      </c>
      <c r="D51" s="153">
        <v>2000</v>
      </c>
      <c r="E51" s="153">
        <v>2001</v>
      </c>
      <c r="F51" s="153">
        <v>2002</v>
      </c>
      <c r="G51" s="153">
        <v>2003</v>
      </c>
      <c r="H51" s="153">
        <v>2004</v>
      </c>
      <c r="I51" s="153">
        <v>2005</v>
      </c>
      <c r="J51" s="153">
        <v>2006</v>
      </c>
      <c r="K51" s="153">
        <v>2007</v>
      </c>
      <c r="L51" s="153">
        <v>2008</v>
      </c>
      <c r="M51" s="153">
        <v>2009</v>
      </c>
      <c r="N51" s="153">
        <v>2010</v>
      </c>
      <c r="O51" s="153">
        <v>2011</v>
      </c>
      <c r="P51" s="153">
        <v>2012</v>
      </c>
      <c r="Q51" s="153">
        <v>2013</v>
      </c>
      <c r="R51" s="153">
        <v>2014</v>
      </c>
      <c r="S51" s="153">
        <v>2015</v>
      </c>
      <c r="T51" s="153">
        <v>2016</v>
      </c>
      <c r="U51" s="153">
        <v>2017</v>
      </c>
      <c r="V51" s="153">
        <v>2018</v>
      </c>
    </row>
    <row r="52" spans="3:22" ht="12" customHeight="1" thickBot="1" x14ac:dyDescent="0.25">
      <c r="C52" s="156"/>
      <c r="D52" s="154"/>
      <c r="E52" s="154"/>
      <c r="F52" s="154"/>
      <c r="G52" s="154"/>
      <c r="H52" s="154"/>
      <c r="I52" s="154"/>
      <c r="J52" s="154"/>
      <c r="K52" s="154"/>
      <c r="L52" s="154"/>
      <c r="M52" s="154"/>
      <c r="N52" s="154"/>
      <c r="O52" s="154"/>
      <c r="P52" s="154"/>
      <c r="Q52" s="154"/>
      <c r="R52" s="154"/>
      <c r="S52" s="154"/>
      <c r="T52" s="154"/>
      <c r="U52" s="154"/>
      <c r="V52" s="154"/>
    </row>
    <row r="53" spans="3:22" x14ac:dyDescent="0.2">
      <c r="C53" s="87" t="s">
        <v>123</v>
      </c>
      <c r="D53" s="56">
        <f>191.707275233*Deflactores!$A$5</f>
        <v>696.00459810483142</v>
      </c>
      <c r="E53" s="56">
        <f>440.82459281919*Deflactores!$B$5</f>
        <v>1486.7301108616061</v>
      </c>
      <c r="F53" s="56">
        <f>415.86312054002*Deflactores!$C$5</f>
        <v>1310.889462180098</v>
      </c>
      <c r="G53" s="56">
        <f>229.32429410695*Deflactores!$D$5</f>
        <v>678.81487235303143</v>
      </c>
      <c r="H53" s="56">
        <f>321.69932212067*Deflactores!$E$5</f>
        <v>902.6333802044694</v>
      </c>
      <c r="I53" s="56">
        <f>350.507542143*Deflactores!$F$5</f>
        <v>937.92644720445844</v>
      </c>
      <c r="J53" s="56">
        <f>563.96566850137*Deflactores!$G$5</f>
        <v>1444.4397982738224</v>
      </c>
      <c r="K53" s="56">
        <f>921.561909184*Deflactores!$H$5</f>
        <v>2233.1560156938804</v>
      </c>
      <c r="L53" s="56">
        <f>1081.25630115642*Deflactores!$I$5</f>
        <v>2433.3851645921677</v>
      </c>
      <c r="M53" s="56">
        <f>1136.97274765136*Deflactores!$J$5</f>
        <v>2508.5594048329299</v>
      </c>
      <c r="N53" s="56">
        <f>1103.37375722998*Deflactores!$K$5</f>
        <v>2359.6001212907922</v>
      </c>
      <c r="O53" s="56">
        <f>1352.48047791286*Deflactores!$L$5</f>
        <v>2788.4076478072766</v>
      </c>
      <c r="P53" s="56">
        <f>1675.36142684568*Deflactores!$M$5</f>
        <v>3371.8186031788141</v>
      </c>
      <c r="Q53" s="56">
        <f>2139.70403113845*Deflactores!$N$5</f>
        <v>4224.3973931042383</v>
      </c>
      <c r="R53" s="56">
        <f>2820.73345589256*Deflactores!$O$5</f>
        <v>5372.3204061790047</v>
      </c>
      <c r="S53" s="56">
        <f>3106.59630030355*Deflactores!$P$5</f>
        <v>5541.6033165216431</v>
      </c>
      <c r="T53" s="56">
        <f>1889.57333516677*Deflactores!$Q$5</f>
        <v>3187.3810737950475</v>
      </c>
      <c r="U53" s="56">
        <f>2133.90044819943*Deflactores!$R$5</f>
        <v>3458.0827691604036</v>
      </c>
      <c r="V53" s="56">
        <f>1512.38288981327*Deflactores!$S$5</f>
        <v>2375.3491826276604</v>
      </c>
    </row>
    <row r="54" spans="3:22" x14ac:dyDescent="0.2">
      <c r="C54" s="88" t="s">
        <v>124</v>
      </c>
      <c r="D54" s="57">
        <f>27.16185983841*Deflactores!$A$5</f>
        <v>98.612738184482282</v>
      </c>
      <c r="E54" s="57">
        <f>56.6910035441*Deflactores!$B$5</f>
        <v>191.19673302470622</v>
      </c>
      <c r="F54" s="57">
        <f>52.44195235293*Deflactores!$C$5</f>
        <v>165.30824523784887</v>
      </c>
      <c r="G54" s="57">
        <f>91.05221337022*Deflactores!$D$5</f>
        <v>269.52049209204876</v>
      </c>
      <c r="H54" s="57">
        <f>214.967727395979*Deflactores!$E$5</f>
        <v>603.16274568188805</v>
      </c>
      <c r="I54" s="57">
        <f>183.468562566279*Deflactores!$F$5</f>
        <v>490.9452618605672</v>
      </c>
      <c r="J54" s="57">
        <f>300.858789266599*Deflactores!$G$5</f>
        <v>770.5653608879154</v>
      </c>
      <c r="K54" s="57">
        <f>369.17402329909*Deflactores!$H$5</f>
        <v>894.59338841192323</v>
      </c>
      <c r="L54" s="57">
        <f>385.05520974357*Deflactores!$I$5</f>
        <v>866.57310938840897</v>
      </c>
      <c r="M54" s="57">
        <f>413.025580983789*Deflactores!$J$5</f>
        <v>911.27883913993082</v>
      </c>
      <c r="N54" s="57">
        <f>442.70411733104*Deflactores!$K$5</f>
        <v>946.73693488300421</v>
      </c>
      <c r="O54" s="57">
        <f>249.91843376607*Deflactores!$L$5</f>
        <v>515.25658478763307</v>
      </c>
      <c r="P54" s="57">
        <f>127.73794835965*Deflactores!$M$5</f>
        <v>257.08434234509559</v>
      </c>
      <c r="Q54" s="57">
        <f>223.2597506611*Deflactores!$N$5</f>
        <v>440.77961014825377</v>
      </c>
      <c r="R54" s="57">
        <f>248.187511756361*Deflactores!$O$5</f>
        <v>472.69366454392002</v>
      </c>
      <c r="S54" s="57">
        <f>248.01483407794*Deflactores!$P$5</f>
        <v>442.41339852834523</v>
      </c>
      <c r="T54" s="57">
        <f>333.07761807791*Deflactores!$Q$5</f>
        <v>561.84392328576484</v>
      </c>
      <c r="U54" s="57">
        <f>343.403348279539*Deflactores!$R$5</f>
        <v>556.50075080094825</v>
      </c>
      <c r="V54" s="57">
        <f>293.70376755317*Deflactores!$S$5</f>
        <v>461.29125692384923</v>
      </c>
    </row>
    <row r="55" spans="3:22" x14ac:dyDescent="0.2">
      <c r="C55" s="87" t="s">
        <v>125</v>
      </c>
      <c r="D55" s="56">
        <f>24.2938074915*Deflactores!$A$5</f>
        <v>88.20010455527563</v>
      </c>
      <c r="E55" s="56">
        <f>63.8912654064*Deflactores!$B$5</f>
        <v>215.48041930525048</v>
      </c>
      <c r="F55" s="56">
        <f>54.898043486*Deflactores!$C$5</f>
        <v>173.05036957028435</v>
      </c>
      <c r="G55" s="56">
        <f>40.97606363414*Deflactores!$D$5</f>
        <v>121.29182175686226</v>
      </c>
      <c r="H55" s="56">
        <f>60.86225664717*Deflactores!$E$5</f>
        <v>170.76910228520867</v>
      </c>
      <c r="I55" s="56">
        <f>52.487891175*Deflactores!$F$5</f>
        <v>140.45284443818682</v>
      </c>
      <c r="J55" s="56">
        <f>77.757363085*Deflactores!$G$5</f>
        <v>199.15366505776743</v>
      </c>
      <c r="K55" s="56">
        <f>73.99336811804*Deflactores!$H$5</f>
        <v>179.30291333391153</v>
      </c>
      <c r="L55" s="56">
        <f>129.135889885*Deflactores!$I$5</f>
        <v>290.6224530913579</v>
      </c>
      <c r="M55" s="56">
        <f>135.52775205055*Deflactores!$J$5</f>
        <v>299.0216060363511</v>
      </c>
      <c r="N55" s="56">
        <f>326.17376122012*Deflactores!$K$5</f>
        <v>697.53303583098591</v>
      </c>
      <c r="O55" s="56">
        <f>357.63197116238*Deflactores!$L$5</f>
        <v>737.32947704242042</v>
      </c>
      <c r="P55" s="56">
        <f>395.318574008219*Deflactores!$M$5</f>
        <v>795.6149047388883</v>
      </c>
      <c r="Q55" s="56">
        <f>408.031867973449*Deflactores!$N$5</f>
        <v>805.57345048015145</v>
      </c>
      <c r="R55" s="56">
        <f>352.21857460752*Deflactores!$O$5</f>
        <v>670.82943687797206</v>
      </c>
      <c r="S55" s="56">
        <f>331.86681327818*Deflactores!$P$5</f>
        <v>591.99009312092869</v>
      </c>
      <c r="T55" s="56">
        <f>284.3579347929*Deflactores!$Q$5</f>
        <v>479.66230401020255</v>
      </c>
      <c r="U55" s="56">
        <f>356.684413090219*Deflactores!$R$5</f>
        <v>578.02332061748677</v>
      </c>
      <c r="V55" s="56">
        <f>308.16254996055*Deflactores!$S$5</f>
        <v>484.0002264609231</v>
      </c>
    </row>
    <row r="56" spans="3:22" x14ac:dyDescent="0.2">
      <c r="C56" s="88" t="s">
        <v>126</v>
      </c>
      <c r="D56" s="57">
        <f>53.4335002950999*Deflactores!$A$5</f>
        <v>193.99348226625679</v>
      </c>
      <c r="E56" s="57">
        <f>123.51905912*Deflactores!$B$5</f>
        <v>416.58180475952037</v>
      </c>
      <c r="F56" s="57">
        <f>101.83982071821*Deflactores!$C$5</f>
        <v>321.02088696024362</v>
      </c>
      <c r="G56" s="57">
        <f>51.0124360491599*Deflactores!$D$5</f>
        <v>151.00013890799636</v>
      </c>
      <c r="H56" s="57">
        <f>37.83104251916*Deflactores!$E$5</f>
        <v>106.14744712741292</v>
      </c>
      <c r="I56" s="57">
        <f>41.0578760537799*Deflactores!$F$5</f>
        <v>109.86715886750244</v>
      </c>
      <c r="J56" s="57">
        <f>51.45490915204*Deflactores!$G$5</f>
        <v>131.78731037524133</v>
      </c>
      <c r="K56" s="57">
        <f>79.8518542200199*Deflactores!$H$5</f>
        <v>193.49936975329604</v>
      </c>
      <c r="L56" s="57">
        <f>60.8944291656*Deflactores!$I$5</f>
        <v>137.04391861522504</v>
      </c>
      <c r="M56" s="57">
        <f>149.84292926031*Deflactores!$J$5</f>
        <v>330.60589202348109</v>
      </c>
      <c r="N56" s="57">
        <f>191.552647331909*Deflactores!$K$5</f>
        <v>409.64147181881498</v>
      </c>
      <c r="O56" s="57">
        <f>186.1289268119*Deflactores!$L$5</f>
        <v>383.74182213808052</v>
      </c>
      <c r="P56" s="57">
        <f>264.76499965384*Deflactores!$M$5</f>
        <v>532.86385671674032</v>
      </c>
      <c r="Q56" s="57">
        <f>317.67817978191*Deflactores!$N$5</f>
        <v>627.18902006403971</v>
      </c>
      <c r="R56" s="57">
        <f>222.99659405562*Deflactores!$O$5</f>
        <v>424.71547612935979</v>
      </c>
      <c r="S56" s="57">
        <f>221.24060560313*Deflactores!$P$5</f>
        <v>394.65303993304991</v>
      </c>
      <c r="T56" s="57">
        <f>206.0582115822*Deflactores!$Q$5</f>
        <v>347.5843098935311</v>
      </c>
      <c r="U56" s="57">
        <f>239.281896709099*Deflactores!$R$5</f>
        <v>387.76720098632376</v>
      </c>
      <c r="V56" s="57">
        <f>130.690230862169*Deflactores!$S$5</f>
        <v>205.2621298130409</v>
      </c>
    </row>
    <row r="57" spans="3:22" x14ac:dyDescent="0.2">
      <c r="C57" s="87" t="s">
        <v>127</v>
      </c>
      <c r="D57" s="56">
        <f>0*Deflactores!$A$5</f>
        <v>0</v>
      </c>
      <c r="E57" s="56">
        <f>21*Deflactores!$B$5</f>
        <v>70.824842435457242</v>
      </c>
      <c r="F57" s="56">
        <f>0*Deflactores!$C$5</f>
        <v>0</v>
      </c>
      <c r="G57" s="56">
        <f>14.9744652*Deflactores!$D$5</f>
        <v>44.325393970480555</v>
      </c>
      <c r="H57" s="56">
        <f>0*Deflactores!$E$5</f>
        <v>0</v>
      </c>
      <c r="I57" s="56">
        <f>8.18164595*Deflactores!$F$5</f>
        <v>21.89334378156547</v>
      </c>
      <c r="J57" s="56">
        <f>42.151147558*Deflactores!$G$5</f>
        <v>107.95833589919974</v>
      </c>
      <c r="K57" s="56">
        <f>13.883329842*Deflactores!$H$5</f>
        <v>33.64249460134149</v>
      </c>
      <c r="L57" s="56">
        <f>17.657005947*Deflactores!$I$5</f>
        <v>39.737383520070473</v>
      </c>
      <c r="M57" s="56">
        <f>10.95474626127*Deflactores!$J$5</f>
        <v>24.1700003962574</v>
      </c>
      <c r="N57" s="56">
        <f>32.43583129201*Deflactores!$K$5</f>
        <v>69.365064149193742</v>
      </c>
      <c r="O57" s="56">
        <f>25.051149962*Deflactores!$L$5</f>
        <v>51.647930806516513</v>
      </c>
      <c r="P57" s="56">
        <f>9.35651947946*Deflactores!$M$5</f>
        <v>18.830854009362458</v>
      </c>
      <c r="Q57" s="56">
        <f>38.45019782851*Deflactores!$N$5</f>
        <v>75.911861223478667</v>
      </c>
      <c r="R57" s="56">
        <f>53.28708509442*Deflactores!$O$5</f>
        <v>101.48966540617857</v>
      </c>
      <c r="S57" s="56">
        <f>53.7211401660599*Deflactores!$P$5</f>
        <v>95.828752671363432</v>
      </c>
      <c r="T57" s="56">
        <f>65.56133830154*Deflactores!$Q$5</f>
        <v>110.59055765970562</v>
      </c>
      <c r="U57" s="56">
        <f>67.6016049140899*Deflactores!$R$5</f>
        <v>109.55147664843442</v>
      </c>
      <c r="V57" s="56">
        <f>70.94132724622*Deflactores!$S$5</f>
        <v>111.42047746231485</v>
      </c>
    </row>
    <row r="58" spans="3:22" x14ac:dyDescent="0.2">
      <c r="C58" s="88" t="s">
        <v>128</v>
      </c>
      <c r="D58" s="57">
        <f>11.53791260804*Deflactores!$A$5</f>
        <v>41.889073943424386</v>
      </c>
      <c r="E58" s="57">
        <f>24.88114729509*Deflactores!$B$5</f>
        <v>83.914444608959627</v>
      </c>
      <c r="F58" s="57">
        <f>11.90782632726*Deflactores!$C$5</f>
        <v>37.536014325111772</v>
      </c>
      <c r="G58" s="57">
        <f>12.16635150602*Deflactores!$D$5</f>
        <v>36.01319422664163</v>
      </c>
      <c r="H58" s="57">
        <f>36.0627305145*Deflactores!$E$5</f>
        <v>101.18586551293974</v>
      </c>
      <c r="I58" s="57">
        <f>33.3887086545*Deflactores!$F$5</f>
        <v>89.345161286953356</v>
      </c>
      <c r="J58" s="57">
        <f>48.25435763768*Deflactores!$G$5</f>
        <v>123.58999581875089</v>
      </c>
      <c r="K58" s="57">
        <f>50.63463985141*Deflactores!$H$5</f>
        <v>122.69935362974367</v>
      </c>
      <c r="L58" s="57">
        <f>71.744050698*Deflactores!$I$5</f>
        <v>161.46117107437396</v>
      </c>
      <c r="M58" s="57">
        <f>79.90609449082*Deflactores!$J$5</f>
        <v>176.30078227686843</v>
      </c>
      <c r="N58" s="57">
        <f>95.60026334474*Deflactores!$K$5</f>
        <v>204.44422527321549</v>
      </c>
      <c r="O58" s="57">
        <f>107.54241148895*Deflactores!$L$5</f>
        <v>221.72008214283892</v>
      </c>
      <c r="P58" s="57">
        <f>184.217040501599*Deflactores!$M$5</f>
        <v>370.75369781869244</v>
      </c>
      <c r="Q58" s="57">
        <f>189.623507254719*Deflactores!$N$5</f>
        <v>374.37189352394398</v>
      </c>
      <c r="R58" s="57">
        <f>183.141992081719*Deflactores!$O$5</f>
        <v>348.80908695343555</v>
      </c>
      <c r="S58" s="57">
        <f>205.56950974212*Deflactores!$P$5</f>
        <v>366.69865242913892</v>
      </c>
      <c r="T58" s="57">
        <f>154.24486163276*Deflactores!$Q$5</f>
        <v>260.18421383735506</v>
      </c>
      <c r="U58" s="57">
        <f>177.43589015843*Deflactores!$R$5</f>
        <v>287.54293336657111</v>
      </c>
      <c r="V58" s="57">
        <f>131.345124674144*Deflactores!$S$5</f>
        <v>206.29070630082091</v>
      </c>
    </row>
    <row r="59" spans="3:22" x14ac:dyDescent="0.2">
      <c r="C59" s="87" t="s">
        <v>129</v>
      </c>
      <c r="D59" s="56">
        <f>439.52202228726*Deflactores!$A$5</f>
        <v>1595.710690209678</v>
      </c>
      <c r="E59" s="56">
        <f>843.977621941239*Deflactores!$B$5</f>
        <v>2846.4086710971501</v>
      </c>
      <c r="F59" s="56">
        <f>848.48478433995*Deflactores!$C$5</f>
        <v>2674.6054354785128</v>
      </c>
      <c r="G59" s="56">
        <f>906.7749581923*Deflactores!$D$5</f>
        <v>2684.11303693435</v>
      </c>
      <c r="H59" s="56">
        <f>840.98077032346*Deflactores!$E$5</f>
        <v>2359.648476720397</v>
      </c>
      <c r="I59" s="56">
        <f>765.64734064211*Deflactores!$F$5</f>
        <v>2048.8029604995404</v>
      </c>
      <c r="J59" s="56">
        <f>1116.68771860601*Deflactores!$G$5</f>
        <v>2860.082223239448</v>
      </c>
      <c r="K59" s="56">
        <f>1104.7998985502*Deflactores!$H$5</f>
        <v>2677.1837192901667</v>
      </c>
      <c r="L59" s="56">
        <f>3368.4965695054*Deflactores!$I$5</f>
        <v>7580.8571662864724</v>
      </c>
      <c r="M59" s="56">
        <f>2886.48757605585*Deflactores!$J$5</f>
        <v>6368.6008049057118</v>
      </c>
      <c r="N59" s="56">
        <f>1910.59710132039*Deflactores!$K$5</f>
        <v>4085.8730982793891</v>
      </c>
      <c r="O59" s="56">
        <f>1408.3536893518*Deflactores!$L$5</f>
        <v>2903.6013919153761</v>
      </c>
      <c r="P59" s="56">
        <f>1860.63766157418*Deflactores!$M$5</f>
        <v>3744.7040265711153</v>
      </c>
      <c r="Q59" s="56">
        <f>2847.41131691476*Deflactores!$N$5</f>
        <v>5621.6171812651528</v>
      </c>
      <c r="R59" s="56">
        <f>2317.66654041695*Deflactores!$O$5</f>
        <v>4414.1878148002288</v>
      </c>
      <c r="S59" s="56">
        <f>1366.15685652527*Deflactores!$P$5</f>
        <v>2436.975594888037</v>
      </c>
      <c r="T59" s="56">
        <f>960.89072230535*Deflactores!$Q$5</f>
        <v>1620.8552720664927</v>
      </c>
      <c r="U59" s="56">
        <f>920.363495242199*Deflactores!$R$5</f>
        <v>1491.4909207441356</v>
      </c>
      <c r="V59" s="56">
        <f>768.78475440922*Deflactores!$S$5</f>
        <v>1207.4536483469574</v>
      </c>
    </row>
    <row r="60" spans="3:22" x14ac:dyDescent="0.2">
      <c r="C60" s="88" t="s">
        <v>130</v>
      </c>
      <c r="D60" s="57">
        <f>20.777910023*Deflactores!$A$5</f>
        <v>75.435430905999837</v>
      </c>
      <c r="E60" s="57">
        <f>58.99255654247*Deflactores!$B$5</f>
        <v>198.95897723739236</v>
      </c>
      <c r="F60" s="57">
        <f>13.64579514761*Deflactores!$C$5</f>
        <v>43.014463602450711</v>
      </c>
      <c r="G60" s="57">
        <f>19.71005576198*Deflactores!$D$5</f>
        <v>58.343050997901678</v>
      </c>
      <c r="H60" s="57">
        <f>67.6349567456*Deflactores!$E$5</f>
        <v>189.77214258587773</v>
      </c>
      <c r="I60" s="57">
        <f>52.17338736896*Deflactores!$F$5</f>
        <v>139.61126072895232</v>
      </c>
      <c r="J60" s="57">
        <f>72.69782102248*Deflactores!$G$5</f>
        <v>186.19506788719065</v>
      </c>
      <c r="K60" s="57">
        <f>59.55076334925*Deflactores!$H$5</f>
        <v>144.30516722451486</v>
      </c>
      <c r="L60" s="57">
        <f>128.85491375329*Deflactores!$I$5</f>
        <v>289.99011166613207</v>
      </c>
      <c r="M60" s="57">
        <f>117.88778820045*Deflactores!$J$5</f>
        <v>260.10167826456404</v>
      </c>
      <c r="N60" s="57">
        <f>126.14423089435*Deflactores!$K$5</f>
        <v>269.76347821221725</v>
      </c>
      <c r="O60" s="57">
        <f>159.217122064419*Deflactores!$L$5</f>
        <v>328.25778122240303</v>
      </c>
      <c r="P60" s="57">
        <f>293.25471935746*Deflactores!$M$5</f>
        <v>590.20203184524303</v>
      </c>
      <c r="Q60" s="57">
        <f>346.04840091425*Deflactores!$N$5</f>
        <v>683.2000788128903</v>
      </c>
      <c r="R60" s="57">
        <f>312.98886697327*Deflactores!$O$5</f>
        <v>596.11321070933218</v>
      </c>
      <c r="S60" s="57">
        <f>400.464941900219*Deflactores!$P$5</f>
        <v>714.35668997869391</v>
      </c>
      <c r="T60" s="57">
        <f>341.40097011582*Deflactores!$Q$5</f>
        <v>575.8839683384889</v>
      </c>
      <c r="U60" s="57">
        <f>527.29201561002*Deflactores!$R$5</f>
        <v>854.50070317734708</v>
      </c>
      <c r="V60" s="57">
        <f>527.58570957124*Deflactores!$S$5</f>
        <v>828.62633030105803</v>
      </c>
    </row>
    <row r="61" spans="3:22" x14ac:dyDescent="0.2">
      <c r="C61" s="87" t="s">
        <v>131</v>
      </c>
      <c r="D61" s="56">
        <f>99.424475219*Deflactores!$A$5</f>
        <v>360.96643610670844</v>
      </c>
      <c r="E61" s="56">
        <f>109.69989959829*Deflactores!$B$5</f>
        <v>369.97514782068419</v>
      </c>
      <c r="F61" s="56">
        <f>123.526102373839*Deflactores!$C$5</f>
        <v>389.38068298956676</v>
      </c>
      <c r="G61" s="56">
        <f>121.175296792*Deflactores!$D$5</f>
        <v>358.68678433973781</v>
      </c>
      <c r="H61" s="56">
        <f>264.65579382517*Deflactores!$E$5</f>
        <v>742.57897777448011</v>
      </c>
      <c r="I61" s="56">
        <f>470.056424369879*Deflactores!$F$5</f>
        <v>1257.8284318772298</v>
      </c>
      <c r="J61" s="56">
        <f>475.62310579036*Deflactores!$G$5</f>
        <v>1218.1751148217766</v>
      </c>
      <c r="K61" s="56">
        <f>618.653069262509*Deflactores!$H$5</f>
        <v>1499.1383752767645</v>
      </c>
      <c r="L61" s="56">
        <f>793.012999575399*Deflactores!$I$5</f>
        <v>1784.6888535416267</v>
      </c>
      <c r="M61" s="56">
        <f>899.55068405228*Deflactores!$J$5</f>
        <v>1984.7233218778931</v>
      </c>
      <c r="N61" s="56">
        <f>959.18785309871*Deflactores!$K$5</f>
        <v>2051.2539469802014</v>
      </c>
      <c r="O61" s="56">
        <f>923.96373155706*Deflactores!$L$5</f>
        <v>1904.9351006870888</v>
      </c>
      <c r="P61" s="56">
        <f>1088.11515320219*Deflactores!$M$5</f>
        <v>2189.9315915823936</v>
      </c>
      <c r="Q61" s="56">
        <f>1472.27276630141*Deflactores!$N$5</f>
        <v>2906.6941714331006</v>
      </c>
      <c r="R61" s="56">
        <f>1890.5518975455*Deflactores!$O$5</f>
        <v>3600.7126149784604</v>
      </c>
      <c r="S61" s="56">
        <f>2448.0112399168*Deflactores!$P$5</f>
        <v>4366.8072368075809</v>
      </c>
      <c r="T61" s="56">
        <f>2568.27857323365*Deflactores!$Q$5</f>
        <v>4332.2385875199689</v>
      </c>
      <c r="U61" s="56">
        <f>3237.15191288646*Deflactores!$R$5</f>
        <v>5245.9519658253093</v>
      </c>
      <c r="V61" s="56">
        <f>3413.6247766772*Deflactores!$S$5</f>
        <v>5361.4404643779453</v>
      </c>
    </row>
    <row r="62" spans="3:22" x14ac:dyDescent="0.2">
      <c r="C62" s="88" t="s">
        <v>132</v>
      </c>
      <c r="D62" s="57">
        <f>0*Deflactores!$A$5</f>
        <v>0</v>
      </c>
      <c r="E62" s="57">
        <f>0*Deflactores!$B$5</f>
        <v>0</v>
      </c>
      <c r="F62" s="57">
        <f>0*Deflactores!$C$5</f>
        <v>0</v>
      </c>
      <c r="G62" s="57">
        <f>0*Deflactores!$D$5</f>
        <v>0</v>
      </c>
      <c r="H62" s="57">
        <f>2*Deflactores!$E$5</f>
        <v>5.6116585776695542</v>
      </c>
      <c r="I62" s="57">
        <f>7.114266017*Deflactores!$F$5</f>
        <v>19.037131723316563</v>
      </c>
      <c r="J62" s="57">
        <f>1.1967085*Deflactores!$G$5</f>
        <v>3.0650329991290404</v>
      </c>
      <c r="K62" s="57">
        <f>3.01051064264*Deflactores!$H$5</f>
        <v>7.295158236167568</v>
      </c>
      <c r="L62" s="57">
        <f>2.758*Deflactores!$I$5</f>
        <v>6.206924553195563</v>
      </c>
      <c r="M62" s="57">
        <f>0.55841199934*Deflactores!$J$5</f>
        <v>1.232052109964433</v>
      </c>
      <c r="N62" s="57">
        <f>2.35854278671*Deflactores!$K$5</f>
        <v>5.0438192943449378</v>
      </c>
      <c r="O62" s="57">
        <f>3.49427210056*Deflactores!$L$5</f>
        <v>7.2041372928037717</v>
      </c>
      <c r="P62" s="57">
        <f>9.22299242554*Deflactores!$M$5</f>
        <v>18.562118560867148</v>
      </c>
      <c r="Q62" s="57">
        <f>6.77195395508*Deflactores!$N$5</f>
        <v>13.369804523311121</v>
      </c>
      <c r="R62" s="57">
        <f>8.19544139536*Deflactores!$O$5</f>
        <v>15.608896669751021</v>
      </c>
      <c r="S62" s="57">
        <f>8.38615291393*Deflactores!$P$5</f>
        <v>14.959372994859747</v>
      </c>
      <c r="T62" s="57">
        <f>14.76139661105*Deflactores!$Q$5</f>
        <v>24.899904811945582</v>
      </c>
      <c r="U62" s="57">
        <f>19.89336937759*Deflactores!$R$5</f>
        <v>32.238110228260261</v>
      </c>
      <c r="V62" s="57">
        <f>19.62933852681*Deflactores!$S$5</f>
        <v>30.829847083853636</v>
      </c>
    </row>
    <row r="63" spans="3:22" x14ac:dyDescent="0.2">
      <c r="C63" s="87" t="s">
        <v>133</v>
      </c>
      <c r="D63" s="56">
        <f>19.1010561143*Deflactores!$A$5</f>
        <v>69.347513640539901</v>
      </c>
      <c r="E63" s="56">
        <f>31.40879010143*Deflactores!$B$5</f>
        <v>105.92964809629184</v>
      </c>
      <c r="F63" s="56">
        <f>18.17713100576*Deflactores!$C$5</f>
        <v>57.298202969226352</v>
      </c>
      <c r="G63" s="56">
        <f>28.331641808*Deflactores!$D$5</f>
        <v>83.863508191941179</v>
      </c>
      <c r="H63" s="56">
        <f>38.50665057368*Deflactores!$E$5</f>
        <v>108.04308799455781</v>
      </c>
      <c r="I63" s="56">
        <f>44.12831130191*Deflactores!$F$5</f>
        <v>118.08336558888331</v>
      </c>
      <c r="J63" s="56">
        <f>49.3477782746*Deflactores!$G$5</f>
        <v>126.39048594152391</v>
      </c>
      <c r="K63" s="56">
        <f>70.1679892061399*Deflactores!$H$5</f>
        <v>170.03314225908233</v>
      </c>
      <c r="L63" s="56">
        <f>75.79614864572*Deflactores!$I$5</f>
        <v>170.58048443320524</v>
      </c>
      <c r="M63" s="56">
        <f>85.38424177695*Deflactores!$J$5</f>
        <v>188.38749053268964</v>
      </c>
      <c r="N63" s="56">
        <f>88.17141688894*Deflactores!$K$5</f>
        <v>188.55739917888897</v>
      </c>
      <c r="O63" s="56">
        <f>112.376240826*Deflactores!$L$5</f>
        <v>231.68598324954149</v>
      </c>
      <c r="P63" s="56">
        <f>122.44791439944*Deflactores!$M$5</f>
        <v>246.43766358511789</v>
      </c>
      <c r="Q63" s="56">
        <f>145.82184665841*Deflactores!$N$5</f>
        <v>287.8946900678032</v>
      </c>
      <c r="R63" s="56">
        <f>139.16425978375*Deflactores!$O$5</f>
        <v>265.04985470541862</v>
      </c>
      <c r="S63" s="56">
        <f>125.52180336825*Deflactores!$P$5</f>
        <v>223.90808930445982</v>
      </c>
      <c r="T63" s="56">
        <f>165.83417220908*Deflactores!$Q$5</f>
        <v>279.73336205077169</v>
      </c>
      <c r="U63" s="56">
        <f>160.89029154666*Deflactores!$R$5</f>
        <v>260.7300379884926</v>
      </c>
      <c r="V63" s="56">
        <f>113.17003312776*Deflactores!$S$5</f>
        <v>177.74490011663664</v>
      </c>
    </row>
    <row r="64" spans="3:22" x14ac:dyDescent="0.2">
      <c r="C64" s="88" t="s">
        <v>134</v>
      </c>
      <c r="D64" s="57">
        <f>861.58858302593*Deflactores!$A$5</f>
        <v>3128.0482951512317</v>
      </c>
      <c r="E64" s="57">
        <f>1741.36638585276*Deflactores!$B$5</f>
        <v>5872.9523762106364</v>
      </c>
      <c r="F64" s="57">
        <f>981.04630662233*Deflactores!$C$5</f>
        <v>3092.4676936774854</v>
      </c>
      <c r="G64" s="57">
        <f>1290.40359949958*Deflactores!$D$5</f>
        <v>3819.6788442731895</v>
      </c>
      <c r="H64" s="57">
        <f>1384.61525435362*Deflactores!$E$5</f>
        <v>3884.9940344328015</v>
      </c>
      <c r="I64" s="57">
        <f>1652.47901847495*Deflactores!$F$5</f>
        <v>4421.8842350781451</v>
      </c>
      <c r="J64" s="57">
        <f>841.52576368015*Deflactores!$G$5</f>
        <v>2155.3320923992155</v>
      </c>
      <c r="K64" s="57">
        <f>776.521754038009*Deflactores!$H$5</f>
        <v>1881.6904312837789</v>
      </c>
      <c r="L64" s="57">
        <f>874.246293897039*Deflactores!$I$5</f>
        <v>1967.5057241224638</v>
      </c>
      <c r="M64" s="57">
        <f>954.02669478836*Deflactores!$J$5</f>
        <v>2104.9164481881444</v>
      </c>
      <c r="N64" s="57">
        <f>789.88917436802*Deflactores!$K$5</f>
        <v>1689.2032998176348</v>
      </c>
      <c r="O64" s="57">
        <f>1342.99154514663*Deflactores!$L$5</f>
        <v>2768.844324619266</v>
      </c>
      <c r="P64" s="57">
        <f>2049.59604465662*Deflactores!$M$5</f>
        <v>4125.0001114007246</v>
      </c>
      <c r="Q64" s="57">
        <f>1823.58339900579*Deflactores!$N$5</f>
        <v>3600.2834246049824</v>
      </c>
      <c r="R64" s="57">
        <f>2006.54068005587*Deflactores!$O$5</f>
        <v>3821.6228544293353</v>
      </c>
      <c r="S64" s="57">
        <f>2606.73889683716*Deflactores!$P$5</f>
        <v>4649.9485351885869</v>
      </c>
      <c r="T64" s="57">
        <f>1393.94596669665*Deflactores!$Q$5</f>
        <v>2351.3440359538677</v>
      </c>
      <c r="U64" s="57">
        <f>1428.2776986594*Deflactores!$R$5</f>
        <v>2314.588997569088</v>
      </c>
      <c r="V64" s="57">
        <f>1336.98498892648*Deflactores!$S$5</f>
        <v>2099.869168067667</v>
      </c>
    </row>
    <row r="65" spans="3:22" x14ac:dyDescent="0.2">
      <c r="C65" s="87" t="s">
        <v>135</v>
      </c>
      <c r="D65" s="56"/>
      <c r="E65" s="56"/>
      <c r="F65" s="56"/>
      <c r="G65" s="56"/>
      <c r="H65" s="56"/>
      <c r="I65" s="56"/>
      <c r="J65" s="56"/>
      <c r="K65" s="56"/>
      <c r="L65" s="56"/>
      <c r="M65" s="56"/>
      <c r="N65" s="56"/>
      <c r="O65" s="56"/>
      <c r="P65" s="56"/>
      <c r="Q65" s="56"/>
      <c r="R65" s="56">
        <f>0*Deflactores!$O$5</f>
        <v>0</v>
      </c>
      <c r="S65" s="56"/>
      <c r="T65" s="56"/>
      <c r="U65" s="56"/>
      <c r="V65" s="56"/>
    </row>
    <row r="66" spans="3:22" x14ac:dyDescent="0.2">
      <c r="C66" s="88" t="s">
        <v>136</v>
      </c>
      <c r="D66" s="57">
        <f>33.51855518542*Deflactores!$A$5</f>
        <v>121.69109650392159</v>
      </c>
      <c r="E66" s="57">
        <f>138.63791861612*Deflactores!$B$5</f>
        <v>467.57184483649729</v>
      </c>
      <c r="F66" s="57">
        <f>97.73172289339*Deflactores!$C$5</f>
        <v>308.07128435742447</v>
      </c>
      <c r="G66" s="57">
        <f>86.00048478234*Deflactores!$D$5</f>
        <v>254.56704588218204</v>
      </c>
      <c r="H66" s="57">
        <f>215.172174706989*Deflactores!$E$5</f>
        <v>603.73638993514339</v>
      </c>
      <c r="I66" s="57">
        <f>435.269761751489*Deflactores!$F$5</f>
        <v>1164.742472356121</v>
      </c>
      <c r="J66" s="57">
        <f>1098.0265489335*Deflactores!$G$5</f>
        <v>2812.2868738719208</v>
      </c>
      <c r="K66" s="57">
        <f>1420.59279148005*Deflactores!$H$5</f>
        <v>3442.4223771944444</v>
      </c>
      <c r="L66" s="57">
        <f>2077.28339574255*Deflactores!$I$5</f>
        <v>4674.9605920884296</v>
      </c>
      <c r="M66" s="57">
        <f>1983.83376491108*Deflactores!$J$5</f>
        <v>4377.0308997052744</v>
      </c>
      <c r="N66" s="57">
        <f>2920.58595480099*Deflactores!$K$5</f>
        <v>6245.7666117504004</v>
      </c>
      <c r="O66" s="57">
        <f>2865.19534301589*Deflactores!$L$5</f>
        <v>5907.1703713286815</v>
      </c>
      <c r="P66" s="57">
        <f>4255.57283750492*Deflactores!$M$5</f>
        <v>8564.7308280801499</v>
      </c>
      <c r="Q66" s="57">
        <f>4865.47020415373*Deflactores!$N$5</f>
        <v>9605.8517194630804</v>
      </c>
      <c r="R66" s="57">
        <f>7358.22494047452*Deflactores!$O$5</f>
        <v>14014.348615033501</v>
      </c>
      <c r="S66" s="57">
        <f>8405.2633582762*Deflactores!$P$5</f>
        <v>14993.462555115373</v>
      </c>
      <c r="T66" s="57">
        <f>7227.98690576446*Deflactores!$Q$5</f>
        <v>12192.354875201892</v>
      </c>
      <c r="U66" s="57">
        <f>7610.49497318583*Deflactores!$R$5</f>
        <v>12333.153382934286</v>
      </c>
      <c r="V66" s="57">
        <f>7361.65231787757*Deflactores!$S$5</f>
        <v>11562.214128340554</v>
      </c>
    </row>
    <row r="67" spans="3:22" x14ac:dyDescent="0.2">
      <c r="C67" s="87" t="s">
        <v>137</v>
      </c>
      <c r="D67" s="56">
        <f>15.40921231487*Deflactores!$A$5</f>
        <v>55.944056433372957</v>
      </c>
      <c r="E67" s="56">
        <f>22.53521359798*Deflactores!$B$5</f>
        <v>76.002521539347953</v>
      </c>
      <c r="F67" s="56">
        <f>30.213601169*Deflactores!$C$5</f>
        <v>95.239730167760555</v>
      </c>
      <c r="G67" s="56">
        <f>18.6628678595499*Deflactores!$D$5</f>
        <v>55.243306485066888</v>
      </c>
      <c r="H67" s="56">
        <f>48.99903775582*Deflactores!$E$5</f>
        <v>137.48293526000083</v>
      </c>
      <c r="I67" s="56">
        <f>139.25990758784*Deflactores!$F$5</f>
        <v>372.64690386775027</v>
      </c>
      <c r="J67" s="56">
        <f>40.02939212704*Deflactores!$G$5</f>
        <v>102.52405477562314</v>
      </c>
      <c r="K67" s="56">
        <f>79.99118788793*Deflactores!$H$5</f>
        <v>193.83700720942485</v>
      </c>
      <c r="L67" s="56">
        <f>87.08348911109*Deflactores!$I$5</f>
        <v>195.98283058069723</v>
      </c>
      <c r="M67" s="56">
        <f>74.24212829038*Deflactores!$J$5</f>
        <v>163.80409252760239</v>
      </c>
      <c r="N67" s="56">
        <f>104.17793351069*Deflactores!$K$5</f>
        <v>222.78784766893045</v>
      </c>
      <c r="O67" s="56">
        <f>129.340234307469*Deflactores!$L$5</f>
        <v>266.66063163343381</v>
      </c>
      <c r="P67" s="56">
        <f>161.803760222959*Deflactores!$M$5</f>
        <v>325.64491460881112</v>
      </c>
      <c r="Q67" s="56">
        <f>202.86806681298*Deflactores!$N$5</f>
        <v>400.52050195600026</v>
      </c>
      <c r="R67" s="56">
        <f>398.035031673199*Deflactores!$O$5</f>
        <v>758.09067268122726</v>
      </c>
      <c r="S67" s="56">
        <f>212.33099441312*Deflactores!$P$5</f>
        <v>378.75991248850448</v>
      </c>
      <c r="T67" s="56">
        <f>161.519508798299*Deflactores!$Q$5</f>
        <v>272.45527644309897</v>
      </c>
      <c r="U67" s="56">
        <f>182.96576209382*Deflactores!$R$5</f>
        <v>296.50434244803574</v>
      </c>
      <c r="V67" s="56">
        <f>412.321144302499*Deflactores!$S$5</f>
        <v>647.59175715084132</v>
      </c>
    </row>
    <row r="68" spans="3:22" x14ac:dyDescent="0.2">
      <c r="C68" s="88" t="s">
        <v>138</v>
      </c>
      <c r="D68" s="57">
        <f>6.976741362*Deflactores!$A$5</f>
        <v>25.329472039276535</v>
      </c>
      <c r="E68" s="57">
        <f>17.98057369246*Deflactores!$B$5</f>
        <v>60.641490412743188</v>
      </c>
      <c r="F68" s="57">
        <f>0.20713626815*Deflactores!$C$5</f>
        <v>0.65293780030445259</v>
      </c>
      <c r="G68" s="57">
        <f>23.780309356*Deflactores!$D$5</f>
        <v>70.391267191605934</v>
      </c>
      <c r="H68" s="57">
        <f>0*Deflactores!$E$5</f>
        <v>0</v>
      </c>
      <c r="I68" s="57">
        <f>0*Deflactores!$F$5</f>
        <v>0</v>
      </c>
      <c r="J68" s="57">
        <f>0*Deflactores!$G$5</f>
        <v>0</v>
      </c>
      <c r="K68" s="57">
        <f>0*Deflactores!$H$5</f>
        <v>0</v>
      </c>
      <c r="L68" s="57">
        <f>41.51245946219*Deflactores!$I$5</f>
        <v>93.424475670559318</v>
      </c>
      <c r="M68" s="57">
        <f>2.9899*Deflactores!$J$5</f>
        <v>6.5967647685517559</v>
      </c>
      <c r="N68" s="57">
        <f>9.591098789*Deflactores!$K$5</f>
        <v>20.510871966587189</v>
      </c>
      <c r="O68" s="57">
        <f>0*Deflactores!$L$5</f>
        <v>0</v>
      </c>
      <c r="P68" s="57">
        <f>60.01099712731*Deflactores!$M$5</f>
        <v>120.77763834526473</v>
      </c>
      <c r="Q68" s="57">
        <f>32.47919553503*Deflactores!$N$5</f>
        <v>64.12336797594493</v>
      </c>
      <c r="R68" s="57">
        <f>19.08622883591*Deflactores!$O$5</f>
        <v>36.351303040689366</v>
      </c>
      <c r="S68" s="57">
        <f>16.82887569798*Deflactores!$P$5</f>
        <v>30.019656359001001</v>
      </c>
      <c r="T68" s="57">
        <f>10.5742991878899*Deflactores!$Q$5</f>
        <v>17.837000804814984</v>
      </c>
      <c r="U68" s="57">
        <f>8.47548850454999*Deflactores!$R$5</f>
        <v>13.734914757870769</v>
      </c>
      <c r="V68" s="57">
        <f>7.03642349455999*Deflactores!$S$5</f>
        <v>11.051409605995191</v>
      </c>
    </row>
    <row r="69" spans="3:22" x14ac:dyDescent="0.2">
      <c r="C69" s="87" t="s">
        <v>139</v>
      </c>
      <c r="D69" s="56">
        <f>55.36459150445*Deflactores!$A$5</f>
        <v>201.00442308440748</v>
      </c>
      <c r="E69" s="56">
        <f>102.82566501807*Deflactores!$B$5</f>
        <v>346.79102491551976</v>
      </c>
      <c r="F69" s="56">
        <f>48.59989571413*Deflactores!$C$5</f>
        <v>153.19726132958158</v>
      </c>
      <c r="G69" s="56">
        <f>43.4893480909*Deflactores!$D$5</f>
        <v>128.73130772299695</v>
      </c>
      <c r="H69" s="56">
        <f>101.02952123466*Deflactores!$E$5</f>
        <v>283.47158971716408</v>
      </c>
      <c r="I69" s="56">
        <f>71.5925937668*Deflactores!$F$5</f>
        <v>191.5752988004221</v>
      </c>
      <c r="J69" s="56">
        <f>149.09245059344*Deflactores!$G$5</f>
        <v>381.85847346276029</v>
      </c>
      <c r="K69" s="56">
        <f>258.75655691835*Deflactores!$H$5</f>
        <v>627.0265252109898</v>
      </c>
      <c r="L69" s="56">
        <f>487.16309497873*Deflactores!$I$5</f>
        <v>1096.3685916005152</v>
      </c>
      <c r="M69" s="56">
        <f>410.70882542095*Deflactores!$J$5</f>
        <v>906.1672663534556</v>
      </c>
      <c r="N69" s="56">
        <f>191.17987524425*Deflactores!$K$5</f>
        <v>408.84428676933351</v>
      </c>
      <c r="O69" s="56">
        <f>3743.3923314154*Deflactores!$L$5</f>
        <v>7717.7482234492845</v>
      </c>
      <c r="P69" s="56">
        <f>154.59855419909*Deflactores!$M$5</f>
        <v>311.14377633397402</v>
      </c>
      <c r="Q69" s="56">
        <f>331.921173618399*Deflactores!$N$5</f>
        <v>655.30882783056109</v>
      </c>
      <c r="R69" s="56">
        <f>354.967127632319*Deflactores!$O$5</f>
        <v>676.06428367703631</v>
      </c>
      <c r="S69" s="56">
        <f>345.17542170455*Deflactores!$P$5</f>
        <v>615.73023231656657</v>
      </c>
      <c r="T69" s="56">
        <f>398.1072460012*Deflactores!$Q$5</f>
        <v>671.53757815538904</v>
      </c>
      <c r="U69" s="56">
        <f>431.2875060202*Deflactores!$R$5</f>
        <v>698.92102716463364</v>
      </c>
      <c r="V69" s="56">
        <f>237.59622170355*Deflactores!$S$5</f>
        <v>373.16872256378781</v>
      </c>
    </row>
    <row r="70" spans="3:22" x14ac:dyDescent="0.2">
      <c r="C70" s="88" t="s">
        <v>140</v>
      </c>
      <c r="D70" s="57">
        <f>219.46698163615*Deflactores!$A$5</f>
        <v>796.78785359239725</v>
      </c>
      <c r="E70" s="57">
        <f>361.18454247233*Deflactores!$B$5</f>
        <v>1218.1351576535947</v>
      </c>
      <c r="F70" s="57">
        <f>232.63090600464*Deflactores!$C$5</f>
        <v>733.30234925110335</v>
      </c>
      <c r="G70" s="57">
        <f>334.595588163*Deflactores!$D$5</f>
        <v>990.42477097009362</v>
      </c>
      <c r="H70" s="57">
        <f>619.353883818*Deflactores!$E$5</f>
        <v>1737.801267370116</v>
      </c>
      <c r="I70" s="57">
        <f>598.27169132421*Deflactores!$F$5</f>
        <v>1600.9208774109259</v>
      </c>
      <c r="J70" s="57">
        <f>554.872970992919*Deflactores!$G$5</f>
        <v>1421.1514052236344</v>
      </c>
      <c r="K70" s="57">
        <f>2312.74420682185*Deflactores!$H$5</f>
        <v>5604.3100162402588</v>
      </c>
      <c r="L70" s="57">
        <f>1447.29405972253*Deflactores!$I$5</f>
        <v>3257.1591859992227</v>
      </c>
      <c r="M70" s="57">
        <f>6116.0150536541*Deflactores!$J$5</f>
        <v>13494.06757078081</v>
      </c>
      <c r="N70" s="57">
        <f>1074.98448658375*Deflactores!$K$5</f>
        <v>2298.8887566953781</v>
      </c>
      <c r="O70" s="57">
        <f>1652.35286708225*Deflactores!$L$5</f>
        <v>3406.6542524581141</v>
      </c>
      <c r="P70" s="57">
        <f>2019.85289872824*Deflactores!$M$5</f>
        <v>4065.1393009801377</v>
      </c>
      <c r="Q70" s="57">
        <f>2623.8575613442*Deflactores!$N$5</f>
        <v>5180.2571200101065</v>
      </c>
      <c r="R70" s="57">
        <f>2237.311642446*Deflactores!$O$5</f>
        <v>4261.14525872179</v>
      </c>
      <c r="S70" s="57">
        <f>2468.82002595136*Deflactores!$P$5</f>
        <v>4403.9263300385355</v>
      </c>
      <c r="T70" s="57">
        <f>2404.90778839495*Deflactores!$Q$5</f>
        <v>4056.660530868382</v>
      </c>
      <c r="U70" s="57">
        <f>2959.67941433577*Deflactores!$R$5</f>
        <v>4796.2951568754524</v>
      </c>
      <c r="V70" s="57">
        <f>3263.83068956039*Deflactores!$S$5</f>
        <v>5126.1738101517112</v>
      </c>
    </row>
    <row r="71" spans="3:22" x14ac:dyDescent="0.2">
      <c r="C71" s="87" t="s">
        <v>141</v>
      </c>
      <c r="D71" s="56">
        <f>5.64863593475*Deflactores!$A$5</f>
        <v>20.507706756709606</v>
      </c>
      <c r="E71" s="56">
        <f>20.0888766262399*Deflactores!$B$5</f>
        <v>67.751977226608616</v>
      </c>
      <c r="F71" s="56">
        <f>17.040597778*Deflactores!$C$5</f>
        <v>53.715607258999761</v>
      </c>
      <c r="G71" s="56">
        <f>12.34781983744*Deflactores!$D$5</f>
        <v>36.550352327176476</v>
      </c>
      <c r="H71" s="56">
        <f>22.2047966701899*Deflactores!$E$5</f>
        <v>62.302868849839754</v>
      </c>
      <c r="I71" s="56">
        <f>23.7869984367499*Deflactores!$F$5</f>
        <v>63.651854100008563</v>
      </c>
      <c r="J71" s="56">
        <f>30.1996308465999*Deflactores!$G$5</f>
        <v>77.347879710342141</v>
      </c>
      <c r="K71" s="56">
        <f>37.21121188987*Deflactores!$H$5</f>
        <v>90.171306837869011</v>
      </c>
      <c r="L71" s="56">
        <f>45.32734943506*Deflactores!$I$5</f>
        <v>102.0099485640859</v>
      </c>
      <c r="M71" s="56">
        <f>58.31524640694*Deflactores!$J$5</f>
        <v>128.66382252473866</v>
      </c>
      <c r="N71" s="56">
        <f>70.8266128051599*Deflactores!$K$5</f>
        <v>151.46498008547195</v>
      </c>
      <c r="O71" s="56">
        <f>73.46044401012*Deflactores!$L$5</f>
        <v>151.45332389953691</v>
      </c>
      <c r="P71" s="56">
        <f>74.28506358539*Deflactores!$M$5</f>
        <v>149.50550688464122</v>
      </c>
      <c r="Q71" s="56">
        <f>95.27540191069*Deflactores!$N$5</f>
        <v>188.10132317427724</v>
      </c>
      <c r="R71" s="56">
        <f>73.0700691745*Deflactores!$O$5</f>
        <v>139.167996496451</v>
      </c>
      <c r="S71" s="56">
        <f>153.2975827367*Deflactores!$P$5</f>
        <v>273.45503270748134</v>
      </c>
      <c r="T71" s="56">
        <f>87.6501313463999*Deflactores!$Q$5</f>
        <v>147.85050390463306</v>
      </c>
      <c r="U71" s="56">
        <f>214.37124976986*Deflactores!$R$5</f>
        <v>347.39836418238212</v>
      </c>
      <c r="V71" s="56">
        <f>218.45234918743*Deflactores!$S$5</f>
        <v>343.10134859402001</v>
      </c>
    </row>
    <row r="72" spans="3:22" x14ac:dyDescent="0.2">
      <c r="C72" s="88" t="s">
        <v>142</v>
      </c>
      <c r="D72" s="57">
        <f>318.10798131315*Deflactores!$A$5</f>
        <v>1154.9098354181092</v>
      </c>
      <c r="E72" s="57">
        <f>1022.83150860517*Deflactores!$B$5</f>
        <v>3449.6133540467713</v>
      </c>
      <c r="F72" s="57">
        <f>811.92508892651*Deflactores!$C$5</f>
        <v>2559.3614595381641</v>
      </c>
      <c r="G72" s="57">
        <f>364.0211898864*Deflactores!$D$5</f>
        <v>1077.5264718848052</v>
      </c>
      <c r="H72" s="57">
        <f>232.3155134236*Deflactores!$E$5</f>
        <v>651.83767181462576</v>
      </c>
      <c r="I72" s="57">
        <f>126.20888414071*Deflactores!$F$5</f>
        <v>337.72354678587993</v>
      </c>
      <c r="J72" s="57">
        <f>224.06681407523*Deflactores!$G$5</f>
        <v>573.88426600988578</v>
      </c>
      <c r="K72" s="57">
        <f>345.60666410874*Deflactores!$H$5</f>
        <v>837.48426809623049</v>
      </c>
      <c r="L72" s="57">
        <f>545.00926632428*Deflactores!$I$5</f>
        <v>1226.5523556444066</v>
      </c>
      <c r="M72" s="57">
        <f>1018.08438016179*Deflactores!$J$5</f>
        <v>2246.2500988207462</v>
      </c>
      <c r="N72" s="57">
        <f>799.51100983529*Deflactores!$K$5</f>
        <v>1709.779903155209</v>
      </c>
      <c r="O72" s="57">
        <f>775.02236804989*Deflactores!$L$5</f>
        <v>1597.8628405986185</v>
      </c>
      <c r="P72" s="57">
        <f>855.36378436331*Deflactores!$M$5</f>
        <v>1721.4981044608364</v>
      </c>
      <c r="Q72" s="57">
        <f>412.401456028499*Deflactores!$N$5</f>
        <v>814.20028677155744</v>
      </c>
      <c r="R72" s="57">
        <f>250.70895280581*Deflactores!$O$5</f>
        <v>477.49595778245146</v>
      </c>
      <c r="S72" s="57">
        <f>218.83972360682*Deflactores!$P$5</f>
        <v>390.37030270323072</v>
      </c>
      <c r="T72" s="57">
        <f>365.19623246981*Deflactores!$Q$5</f>
        <v>616.02243105996979</v>
      </c>
      <c r="U72" s="57">
        <f>342.14897024862*Deflactores!$R$5</f>
        <v>554.46797412741864</v>
      </c>
      <c r="V72" s="57">
        <f>288.44382243044*Deflactores!$S$5</f>
        <v>453.02998497208466</v>
      </c>
    </row>
    <row r="73" spans="3:22" x14ac:dyDescent="0.2">
      <c r="C73" s="87" t="s">
        <v>143</v>
      </c>
      <c r="D73" s="56">
        <f>718.83400763482*Deflactores!$A$5</f>
        <v>2609.7693683240864</v>
      </c>
      <c r="E73" s="56">
        <f>722.37718287329*Deflactores!$B$5</f>
        <v>2436.2976264747736</v>
      </c>
      <c r="F73" s="56">
        <f>932.78088231035*Deflactores!$C$5</f>
        <v>2940.3247577132056</v>
      </c>
      <c r="G73" s="56">
        <f>758.92303201324*Deflactores!$D$5</f>
        <v>2246.4616891465676</v>
      </c>
      <c r="H73" s="56">
        <f>633.89435920078*Deflactores!$E$5</f>
        <v>1778.5993590727012</v>
      </c>
      <c r="I73" s="56">
        <f>551.2099915281*Deflactores!$F$5</f>
        <v>1474.9880298057242</v>
      </c>
      <c r="J73" s="56">
        <f>48.00364836342*Deflactores!$G$5</f>
        <v>122.94787436745796</v>
      </c>
      <c r="K73" s="56">
        <f>132.29978147938*Deflactores!$H$5</f>
        <v>320.5927349441634</v>
      </c>
      <c r="L73" s="56">
        <f>82.8717276501*Deflactores!$I$5</f>
        <v>186.50419184812955</v>
      </c>
      <c r="M73" s="56">
        <f>48.50818394186*Deflactores!$J$5</f>
        <v>107.02601385132949</v>
      </c>
      <c r="N73" s="56">
        <f>47.92771045118*Deflactores!$K$5</f>
        <v>102.49494394148665</v>
      </c>
      <c r="O73" s="56">
        <f>66.8277242546*Deflactores!$L$5</f>
        <v>137.77865221732873</v>
      </c>
      <c r="P73" s="56">
        <f>382.216795287749*Deflactores!$M$5</f>
        <v>769.2463728409158</v>
      </c>
      <c r="Q73" s="56">
        <f>125.762035803839*Deflactores!$N$5</f>
        <v>248.29079558192572</v>
      </c>
      <c r="R73" s="56">
        <f>122.41872268299*Deflactores!$O$5</f>
        <v>233.1565928692435</v>
      </c>
      <c r="S73" s="56">
        <f>136.3901192927*Deflactores!$P$5</f>
        <v>243.29519008934525</v>
      </c>
      <c r="T73" s="56">
        <f>78.56124793909*Deflactores!$Q$5</f>
        <v>132.51914077877026</v>
      </c>
      <c r="U73" s="56">
        <f>62.6304179163499*Deflactores!$R$5</f>
        <v>101.49544192869648</v>
      </c>
      <c r="V73" s="56">
        <f>726.19727391496*Deflactores!$S$5</f>
        <v>1140.5657341397939</v>
      </c>
    </row>
    <row r="74" spans="3:22" x14ac:dyDescent="0.2">
      <c r="C74" s="88" t="s">
        <v>144</v>
      </c>
      <c r="D74" s="57">
        <f>15.2193574071399*Deflactores!$A$5</f>
        <v>55.254776965015189</v>
      </c>
      <c r="E74" s="57">
        <f>45.32678188888*Deflactores!$B$5</f>
        <v>152.86962787553634</v>
      </c>
      <c r="F74" s="57">
        <f>30.92432823204*Deflactores!$C$5</f>
        <v>97.480093814855564</v>
      </c>
      <c r="G74" s="57">
        <f>37.2056596771999*Deflactores!$D$5</f>
        <v>110.13118005199331</v>
      </c>
      <c r="H74" s="57">
        <f>67.48196439365*Deflactores!$E$5</f>
        <v>189.34287216380875</v>
      </c>
      <c r="I74" s="57">
        <f>68.95384151998*Deflactores!$F$5</f>
        <v>184.51423670520782</v>
      </c>
      <c r="J74" s="57">
        <f>80.74833162888*Deflactores!$G$5</f>
        <v>206.81419164912126</v>
      </c>
      <c r="K74" s="57">
        <f>87.14270982288*Deflactores!$H$5</f>
        <v>211.16678621965048</v>
      </c>
      <c r="L74" s="57">
        <f>95.53384608263*Deflactores!$I$5</f>
        <v>215.00049851757865</v>
      </c>
      <c r="M74" s="57">
        <f>86.6913067308*Deflactores!$J$5</f>
        <v>191.27133281429315</v>
      </c>
      <c r="N74" s="57">
        <f>132.322731976669*Deflactores!$K$5</f>
        <v>282.97640067634694</v>
      </c>
      <c r="O74" s="57">
        <f>179.644728939399*Deflactores!$L$5</f>
        <v>370.37335787345813</v>
      </c>
      <c r="P74" s="57">
        <f>108.201749797299*Deflactores!$M$5</f>
        <v>217.7659500911011</v>
      </c>
      <c r="Q74" s="57">
        <f>278.88190536155*Deflactores!$N$5</f>
        <v>550.59390310465096</v>
      </c>
      <c r="R74" s="57">
        <f>250.50582259173*Deflactores!$O$5</f>
        <v>477.1090794718001</v>
      </c>
      <c r="S74" s="57">
        <f>209.56169389352*Deflactores!$P$5</f>
        <v>373.81998355652155</v>
      </c>
      <c r="T74" s="57">
        <f>157.6644854495*Deflactores!$Q$5</f>
        <v>265.95252355581005</v>
      </c>
      <c r="U74" s="57">
        <f>230.93068023465*Deflactores!$R$5</f>
        <v>374.23367470763134</v>
      </c>
      <c r="V74" s="57">
        <f>214.92697770978*Deflactores!$S$5</f>
        <v>337.56439871558763</v>
      </c>
    </row>
    <row r="75" spans="3:22" x14ac:dyDescent="0.2">
      <c r="C75" s="87" t="s">
        <v>145</v>
      </c>
      <c r="D75" s="56">
        <f>24.325811986*Deflactores!$A$5</f>
        <v>88.316298764936931</v>
      </c>
      <c r="E75" s="56">
        <f>0*Deflactores!$B$5</f>
        <v>0</v>
      </c>
      <c r="F75" s="56">
        <f>10.4926*Deflactores!$C$5</f>
        <v>33.074918384226471</v>
      </c>
      <c r="G75" s="56">
        <f>5.234205173*Deflactores!$D$5</f>
        <v>15.493588807134987</v>
      </c>
      <c r="H75" s="56">
        <f>10*Deflactores!$E$5</f>
        <v>28.058292888347772</v>
      </c>
      <c r="I75" s="56">
        <f>54.690459181*Deflactores!$F$5</f>
        <v>146.34671699785622</v>
      </c>
      <c r="J75" s="56">
        <f>77.98032648*Deflactores!$G$5</f>
        <v>199.72472322546062</v>
      </c>
      <c r="K75" s="56">
        <f>82.525718539*Deflactores!$H$5</f>
        <v>199.97875668278272</v>
      </c>
      <c r="L75" s="56">
        <f>98.726422448*Deflactores!$I$5</f>
        <v>222.18544435882839</v>
      </c>
      <c r="M75" s="56">
        <f>104.918153958*Deflactores!$J$5</f>
        <v>231.48613050992455</v>
      </c>
      <c r="N75" s="56">
        <f>60.434590227*Deflactores!$K$5</f>
        <v>129.24130694189208</v>
      </c>
      <c r="O75" s="56">
        <f>42.363929773*Deflactores!$L$5</f>
        <v>87.341671616952212</v>
      </c>
      <c r="P75" s="56">
        <f>45.199365*Deflactores!$M$5</f>
        <v>90.96786956938071</v>
      </c>
      <c r="Q75" s="56">
        <f>46.3516336*Deflactores!$N$5</f>
        <v>91.511590994097176</v>
      </c>
      <c r="R75" s="56">
        <f>47.529700032*Deflactores!$O$5</f>
        <v>90.524248878624448</v>
      </c>
      <c r="S75" s="56">
        <f>49.885251471*Deflactores!$P$5</f>
        <v>88.986224238468964</v>
      </c>
      <c r="T75" s="56">
        <f>35.162183767*Deflactores!$Q$5</f>
        <v>59.312479154108992</v>
      </c>
      <c r="U75" s="56">
        <f>50.295496*Deflactores!$R$5</f>
        <v>81.506139722091319</v>
      </c>
      <c r="V75" s="56">
        <f>49.896445673*Deflactores!$S$5</f>
        <v>78.367377893318775</v>
      </c>
    </row>
    <row r="76" spans="3:22" x14ac:dyDescent="0.2">
      <c r="C76" s="88" t="s">
        <v>146</v>
      </c>
      <c r="D76" s="57">
        <f>0*Deflactores!$A$5</f>
        <v>0</v>
      </c>
      <c r="E76" s="57">
        <f>0*Deflactores!$B$5</f>
        <v>0</v>
      </c>
      <c r="F76" s="57">
        <f>0*Deflactores!$C$5</f>
        <v>0</v>
      </c>
      <c r="G76" s="57">
        <f>0*Deflactores!$D$5</f>
        <v>0</v>
      </c>
      <c r="H76" s="57">
        <f>1.86046955664*Deflactores!$E$5</f>
        <v>5.2201599730059645</v>
      </c>
      <c r="I76" s="57">
        <f>1.00402834921*Deflactores!$F$5</f>
        <v>2.6866889559908413</v>
      </c>
      <c r="J76" s="57">
        <f>1.96082205932999*Deflactores!$G$5</f>
        <v>5.0220954537103903</v>
      </c>
      <c r="K76" s="57">
        <f>1.90845864181*Deflactores!$H$5</f>
        <v>4.6246333037296159</v>
      </c>
      <c r="L76" s="57">
        <f>6.46691510307*Deflactores!$I$5</f>
        <v>14.553899251876866</v>
      </c>
      <c r="M76" s="57">
        <f>7.46237018448*Deflactores!$J$5</f>
        <v>16.464597719946731</v>
      </c>
      <c r="N76" s="57">
        <f>4.4124287392*Deflactores!$K$5</f>
        <v>9.4361201904434822</v>
      </c>
      <c r="O76" s="57">
        <f>3.65644287386*Deflactores!$L$5</f>
        <v>7.538484613822682</v>
      </c>
      <c r="P76" s="57">
        <f>13.82591733092*Deflactores!$M$5</f>
        <v>27.825927298672688</v>
      </c>
      <c r="Q76" s="57">
        <f>15.4398285184599*Deflactores!$N$5</f>
        <v>30.48270713807808</v>
      </c>
      <c r="R76" s="57">
        <f>44.0926587177359*Deflactores!$O$5</f>
        <v>83.978119129665757</v>
      </c>
      <c r="S76" s="57">
        <f>32.102720879817*Deflactores!$P$5</f>
        <v>57.265420833591918</v>
      </c>
      <c r="T76" s="57">
        <f>60.28553626688*Deflactores!$Q$5</f>
        <v>101.69119861319339</v>
      </c>
      <c r="U76" s="57">
        <f>49.2473584113499*Deflactores!$R$5</f>
        <v>79.8075850692355</v>
      </c>
      <c r="V76" s="57">
        <f>58.3394641086*Deflactores!$S$5</f>
        <v>91.627986086518362</v>
      </c>
    </row>
    <row r="77" spans="3:22" x14ac:dyDescent="0.2">
      <c r="C77" s="90" t="s">
        <v>147</v>
      </c>
      <c r="D77" s="58">
        <f>597.07131979618*Deflactores!$A$5</f>
        <v>2167.7027304758612</v>
      </c>
      <c r="E77" s="58">
        <f>1133.73253047342*Deflactores!$B$5</f>
        <v>3823.6394207015328</v>
      </c>
      <c r="F77" s="58">
        <f>954.26999568777*Deflactores!$C$5</f>
        <v>3008.0630371775478</v>
      </c>
      <c r="G77" s="58">
        <f>1175.39528480148*Deflactores!$D$5</f>
        <v>3479.2467292835813</v>
      </c>
      <c r="H77" s="58">
        <f>1571.24315885272*Deflactores!$E$5</f>
        <v>4408.6400749902359</v>
      </c>
      <c r="I77" s="58">
        <f>1606.52801086515*Deflactores!$F$5</f>
        <v>4298.9234991994826</v>
      </c>
      <c r="J77" s="58">
        <f>2172.23391631723*Deflactores!$G$5</f>
        <v>5563.5675984081508</v>
      </c>
      <c r="K77" s="58">
        <f>2473.03173740458*Deflactores!$H$5</f>
        <v>5992.7234907929178</v>
      </c>
      <c r="L77" s="58">
        <f>1726.70258820499*Deflactores!$I$5</f>
        <v>3885.9726942697166</v>
      </c>
      <c r="M77" s="58">
        <f>1959.84380743553*Deflactores!$J$5</f>
        <v>4324.1006658266278</v>
      </c>
      <c r="N77" s="58">
        <f>2359.8953462305*Deflactores!$K$5</f>
        <v>5046.7117862024897</v>
      </c>
      <c r="O77" s="58">
        <f>3563.09870421238*Deflactores!$L$5</f>
        <v>7346.037032675109</v>
      </c>
      <c r="P77" s="58">
        <f>3820.44606671218*Deflactores!$M$5</f>
        <v>7688.9982745006964</v>
      </c>
      <c r="Q77" s="58">
        <f>4836.80132428942*Deflactores!$N$5</f>
        <v>9549.2510216097544</v>
      </c>
      <c r="R77" s="58">
        <f>7267.82870355578*Deflactores!$O$5</f>
        <v>13842.18149756771</v>
      </c>
      <c r="S77" s="58">
        <f>7512.29984477692*Deflactores!$P$5</f>
        <v>13400.577902720433</v>
      </c>
      <c r="T77" s="58">
        <f>7411.97484807425*Deflactores!$Q$5</f>
        <v>12502.710485227984</v>
      </c>
      <c r="U77" s="58">
        <f>3504.0536629721*Deflactores!$R$5</f>
        <v>5678.4783959166016</v>
      </c>
      <c r="V77" s="58">
        <f>3660.66230100003*Deflactores!$S$5</f>
        <v>5749.4377006803506</v>
      </c>
    </row>
    <row r="78" spans="3:22" ht="22.5" customHeight="1" x14ac:dyDescent="0.2">
      <c r="C78" s="89" t="s">
        <v>148</v>
      </c>
      <c r="D78" s="59">
        <f>0*Deflactores!$A$5</f>
        <v>0</v>
      </c>
      <c r="E78" s="59">
        <f>0*Deflactores!$B$5</f>
        <v>0</v>
      </c>
      <c r="F78" s="59">
        <f>0*Deflactores!$C$5</f>
        <v>0</v>
      </c>
      <c r="G78" s="59">
        <f>0*Deflactores!$D$5</f>
        <v>0</v>
      </c>
      <c r="H78" s="59">
        <f>0*Deflactores!$E$5</f>
        <v>0</v>
      </c>
      <c r="I78" s="59">
        <f>0*Deflactores!$F$5</f>
        <v>0</v>
      </c>
      <c r="J78" s="59">
        <f>0*Deflactores!$G$5</f>
        <v>0</v>
      </c>
      <c r="K78" s="59">
        <f>0*Deflactores!$H$5</f>
        <v>0</v>
      </c>
      <c r="L78" s="59">
        <f>0*Deflactores!$I$5</f>
        <v>0</v>
      </c>
      <c r="M78" s="59">
        <f>0*Deflactores!$J$5</f>
        <v>0</v>
      </c>
      <c r="N78" s="59">
        <f>0*Deflactores!$K$5</f>
        <v>0</v>
      </c>
      <c r="O78" s="59">
        <f>0*Deflactores!$L$5</f>
        <v>0</v>
      </c>
      <c r="P78" s="59">
        <f>0*Deflactores!$M$5</f>
        <v>0</v>
      </c>
      <c r="Q78" s="59">
        <f>0*Deflactores!$N$5</f>
        <v>0</v>
      </c>
      <c r="R78" s="59">
        <f>0*Deflactores!$O$5</f>
        <v>0</v>
      </c>
      <c r="S78" s="59">
        <f>0*Deflactores!$P$5</f>
        <v>0</v>
      </c>
      <c r="T78" s="59">
        <f>0*Deflactores!$Q$5</f>
        <v>0</v>
      </c>
      <c r="U78" s="59">
        <f>0*Deflactores!$R$5</f>
        <v>0</v>
      </c>
      <c r="V78" s="59">
        <f>20.4014959273*Deflactores!$S$5</f>
        <v>32.042597811508507</v>
      </c>
    </row>
    <row r="79" spans="3:22" x14ac:dyDescent="0.2">
      <c r="C79" s="87" t="s">
        <v>149</v>
      </c>
      <c r="D79" s="56">
        <f>1.4*Deflactores!$A$5</f>
        <v>5.0827827799569709</v>
      </c>
      <c r="E79" s="56">
        <f>9*Deflactores!$B$5</f>
        <v>30.353503900910248</v>
      </c>
      <c r="F79" s="56">
        <f>1.97282699538*Deflactores!$C$5</f>
        <v>6.2187724547197289</v>
      </c>
      <c r="G79" s="56">
        <f>0.379426182659999*Deflactores!$D$5</f>
        <v>1.1231262555620334</v>
      </c>
      <c r="H79" s="56">
        <f>1.18604916086*Deflactores!$E$5</f>
        <v>3.3278514735388978</v>
      </c>
      <c r="I79" s="56">
        <f>3.97975123461999*Deflactores!$F$5</f>
        <v>10.649453970156831</v>
      </c>
      <c r="J79" s="56">
        <f>2.47133676066*Deflactores!$G$5</f>
        <v>6.3296355991317581</v>
      </c>
      <c r="K79" s="56">
        <f>2.00386460649*Deflactores!$H$5</f>
        <v>4.8558238529862274</v>
      </c>
      <c r="L79" s="56">
        <f>2.15647255439*Deflactores!$I$5</f>
        <v>4.8531771015720251</v>
      </c>
      <c r="M79" s="56">
        <f>3.38139765407*Deflactores!$J$5</f>
        <v>7.4605454740401136</v>
      </c>
      <c r="N79" s="56">
        <f>12.6106598777099*Deflactores!$K$5</f>
        <v>26.968300072410585</v>
      </c>
      <c r="O79" s="56">
        <f>21.16685130071*Deflactores!$L$5</f>
        <v>43.639676143777905</v>
      </c>
      <c r="P79" s="56">
        <f>10.440482841*Deflactores!$M$5</f>
        <v>21.012429739255083</v>
      </c>
      <c r="Q79" s="56">
        <f>7.61581647891*Deflactores!$N$5</f>
        <v>15.035834307771134</v>
      </c>
      <c r="R79" s="56">
        <f>9.0004156819*Deflactores!$O$5</f>
        <v>17.142036845400764</v>
      </c>
      <c r="S79" s="56">
        <f>10.9542433684*Deflactores!$P$5</f>
        <v>19.54037973146983</v>
      </c>
      <c r="T79" s="56">
        <f>13.71766981318*Deflactores!$Q$5</f>
        <v>23.139319509523368</v>
      </c>
      <c r="U79" s="56">
        <f>15.94363078064*Deflactores!$R$5</f>
        <v>25.837379118088023</v>
      </c>
      <c r="V79" s="56">
        <f>15.32345948355*Deflactores!$S$5</f>
        <v>24.06703170502848</v>
      </c>
    </row>
    <row r="80" spans="3:22" x14ac:dyDescent="0.2">
      <c r="C80" s="88" t="s">
        <v>150</v>
      </c>
      <c r="D80" s="57">
        <f>403.30809704587*Deflactores!$A$5</f>
        <v>1464.2338933442595</v>
      </c>
      <c r="E80" s="57">
        <f>785.94453023135*Deflactores!$B$5</f>
        <v>2650.6855960307057</v>
      </c>
      <c r="F80" s="57">
        <f>567.83045296122*Deflactores!$C$5</f>
        <v>1789.9229826516496</v>
      </c>
      <c r="G80" s="57">
        <f>338.132208813249*Deflactores!$D$5</f>
        <v>1000.8933988344412</v>
      </c>
      <c r="H80" s="57">
        <f>595.46185758951*Deflactores!$E$5</f>
        <v>1670.7643204086103</v>
      </c>
      <c r="I80" s="57">
        <f>1041.27247365135*Deflactores!$F$5</f>
        <v>2786.3508608472698</v>
      </c>
      <c r="J80" s="57">
        <f>1569.42598475235*Deflactores!$G$5</f>
        <v>4019.6442433195243</v>
      </c>
      <c r="K80" s="57">
        <f>2209.5773285366*Deflactores!$H$5</f>
        <v>5354.3129920934352</v>
      </c>
      <c r="L80" s="57">
        <f>1691.89294821801*Deflactores!$I$5</f>
        <v>3807.6330245369086</v>
      </c>
      <c r="M80" s="57">
        <f>2687.45920755256*Deflactores!$J$5</f>
        <v>5929.4746370456369</v>
      </c>
      <c r="N80" s="57">
        <f>2784.19118222846*Deflactores!$K$5</f>
        <v>5954.0820218308945</v>
      </c>
      <c r="O80" s="57">
        <f>4192.90741864326*Deflactores!$L$5</f>
        <v>8644.5130289311401</v>
      </c>
      <c r="P80" s="57">
        <f>6535.30921120401*Deflactores!$M$5</f>
        <v>13152.909469422386</v>
      </c>
      <c r="Q80" s="57">
        <f>7097.6354265043*Deflactores!$N$5</f>
        <v>14012.794366226522</v>
      </c>
      <c r="R80" s="57">
        <f>5870.60139993367*Deflactores!$O$5</f>
        <v>11181.046415967345</v>
      </c>
      <c r="S80" s="57">
        <f>5320.0642694273*Deflactores!$P$5</f>
        <v>9490.0279758544493</v>
      </c>
      <c r="T80" s="57">
        <f>4046.2031607634*Deflactores!$Q$5</f>
        <v>6825.239928678775</v>
      </c>
      <c r="U80" s="57">
        <f>3885.84263791489*Deflactores!$R$5</f>
        <v>6297.1848012782475</v>
      </c>
      <c r="V80" s="57">
        <f>3120.84024262776*Deflactores!$S$5</f>
        <v>4901.5929559693932</v>
      </c>
    </row>
    <row r="81" spans="3:22" x14ac:dyDescent="0.2">
      <c r="C81" s="87" t="s">
        <v>151</v>
      </c>
      <c r="D81" s="56">
        <f>141.593552588*Deflactores!$A$5</f>
        <v>514.06376489087017</v>
      </c>
      <c r="E81" s="56">
        <f>149.3276983725*Deflactores!$B$5</f>
        <v>503.62431945151417</v>
      </c>
      <c r="F81" s="56">
        <f>132.952113059*Deflactores!$C$5</f>
        <v>419.09348383021131</v>
      </c>
      <c r="G81" s="56">
        <f>180.8746133005*Deflactores!$D$5</f>
        <v>535.40065616520212</v>
      </c>
      <c r="H81" s="56">
        <f>222.92307995768*Deflactores!$E$5</f>
        <v>625.48410690251535</v>
      </c>
      <c r="I81" s="56">
        <f>174.35206345525*Deflactores!$F$5</f>
        <v>466.55033566333992</v>
      </c>
      <c r="J81" s="56">
        <f>196.2975417139*Deflactores!$G$5</f>
        <v>502.76106754569958</v>
      </c>
      <c r="K81" s="56">
        <f>367.54313335697*Deflactores!$H$5</f>
        <v>890.64136777295732</v>
      </c>
      <c r="L81" s="56">
        <f>429.39915759823*Deflactores!$I$5</f>
        <v>966.36989645320693</v>
      </c>
      <c r="M81" s="56">
        <f>692.95606381532*Deflactores!$J$5</f>
        <v>1528.9033572799108</v>
      </c>
      <c r="N81" s="56">
        <f>619.85669036762*Deflactores!$K$5</f>
        <v>1325.583386581749</v>
      </c>
      <c r="O81" s="56">
        <f>806.44353048476*Deflactores!$L$5</f>
        <v>1662.64381974561</v>
      </c>
      <c r="P81" s="56">
        <f>1713.8504980374*Deflactores!$M$5</f>
        <v>3449.28139072052</v>
      </c>
      <c r="Q81" s="56">
        <f>2092.226253567*Deflactores!$N$5</f>
        <v>4130.6624667385095</v>
      </c>
      <c r="R81" s="56">
        <f>2185.42250531032*Deflactores!$O$5</f>
        <v>4162.3181009445498</v>
      </c>
      <c r="S81" s="56">
        <f>2280.40329289248*Deflactores!$P$5</f>
        <v>4067.8251144717624</v>
      </c>
      <c r="T81" s="56">
        <f>1485.76237457173*Deflactores!$Q$5</f>
        <v>2506.2223226434121</v>
      </c>
      <c r="U81" s="56">
        <f>1899.18062441549*Deflactores!$R$5</f>
        <v>3077.7086149244369</v>
      </c>
      <c r="V81" s="56">
        <f>1828.57377922835*Deflactores!$S$5</f>
        <v>2871.9587223052454</v>
      </c>
    </row>
    <row r="82" spans="3:22" x14ac:dyDescent="0.2">
      <c r="C82" s="79" t="s">
        <v>202</v>
      </c>
      <c r="D82" s="44">
        <f t="shared" ref="D82:V82" si="1">+SUM(D53:D81)</f>
        <v>15628.80642244161</v>
      </c>
      <c r="E82" s="44">
        <f t="shared" si="1"/>
        <v>27142.930640523711</v>
      </c>
      <c r="F82" s="44">
        <f t="shared" si="1"/>
        <v>20462.290132720587</v>
      </c>
      <c r="G82" s="44">
        <f t="shared" si="1"/>
        <v>18307.836029052592</v>
      </c>
      <c r="H82" s="44">
        <f t="shared" si="1"/>
        <v>21360.616679717361</v>
      </c>
      <c r="I82" s="44">
        <f t="shared" si="1"/>
        <v>22897.948378401441</v>
      </c>
      <c r="J82" s="44">
        <f t="shared" si="1"/>
        <v>25322.598866223405</v>
      </c>
      <c r="K82" s="44">
        <f t="shared" si="1"/>
        <v>33810.687615446419</v>
      </c>
      <c r="L82" s="44">
        <f t="shared" si="1"/>
        <v>35678.183271370435</v>
      </c>
      <c r="M82" s="44">
        <f t="shared" si="1"/>
        <v>48816.666116587672</v>
      </c>
      <c r="N82" s="44">
        <f t="shared" si="1"/>
        <v>36912.553419537704</v>
      </c>
      <c r="O82" s="44">
        <f t="shared" si="1"/>
        <v>50190.047630896115</v>
      </c>
      <c r="P82" s="44">
        <f t="shared" si="1"/>
        <v>56938.251556229799</v>
      </c>
      <c r="Q82" s="44">
        <f t="shared" si="1"/>
        <v>65198.268412134188</v>
      </c>
      <c r="R82" s="44">
        <f t="shared" si="1"/>
        <v>70554.27316148988</v>
      </c>
      <c r="S82" s="44">
        <f t="shared" si="1"/>
        <v>68667.204985591423</v>
      </c>
      <c r="T82" s="44">
        <f t="shared" si="1"/>
        <v>54523.707107822906</v>
      </c>
      <c r="U82" s="44">
        <f t="shared" si="1"/>
        <v>50333.696382267903</v>
      </c>
      <c r="V82" s="44">
        <f t="shared" si="1"/>
        <v>47293.134004568456</v>
      </c>
    </row>
    <row r="83" spans="3:22" x14ac:dyDescent="0.2">
      <c r="C83" s="1" t="s">
        <v>52</v>
      </c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</row>
    <row r="84" spans="3:22" x14ac:dyDescent="0.2"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</row>
    <row r="85" spans="3:22" x14ac:dyDescent="0.2"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</row>
    <row r="86" spans="3:22" x14ac:dyDescent="0.2"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</row>
    <row r="87" spans="3:22" ht="17.25" customHeight="1" x14ac:dyDescent="0.2">
      <c r="D87" s="160" t="s">
        <v>212</v>
      </c>
      <c r="E87" s="158"/>
      <c r="F87" s="158"/>
      <c r="G87" s="158"/>
      <c r="H87" s="158"/>
      <c r="I87" s="158"/>
      <c r="J87" s="158"/>
      <c r="K87" s="158"/>
      <c r="L87" s="158"/>
      <c r="M87" s="158"/>
      <c r="N87" s="158"/>
      <c r="O87" s="158"/>
      <c r="P87" s="158"/>
      <c r="Q87" s="158"/>
      <c r="R87" s="158"/>
      <c r="S87" s="158"/>
      <c r="T87" s="158"/>
      <c r="U87" s="158"/>
      <c r="V87" s="158"/>
    </row>
    <row r="88" spans="3:22" ht="11.25" hidden="1" customHeight="1" x14ac:dyDescent="0.2">
      <c r="H88" s="27"/>
      <c r="I88" s="27"/>
      <c r="J88" s="27"/>
      <c r="L88" s="175"/>
      <c r="M88" s="158"/>
      <c r="N88" s="158"/>
      <c r="O88" s="158"/>
      <c r="P88" s="158"/>
      <c r="Q88" s="158"/>
      <c r="R88" s="28"/>
      <c r="S88" s="28"/>
      <c r="T88" s="28"/>
      <c r="U88" s="28"/>
      <c r="V88" s="28"/>
    </row>
    <row r="89" spans="3:22" x14ac:dyDescent="0.2"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</row>
    <row r="90" spans="3:22" ht="12" thickBot="1" x14ac:dyDescent="0.25">
      <c r="C90" s="177" t="s">
        <v>120</v>
      </c>
      <c r="D90" s="153">
        <v>2000</v>
      </c>
      <c r="E90" s="153">
        <v>2001</v>
      </c>
      <c r="F90" s="153">
        <v>2002</v>
      </c>
      <c r="G90" s="153">
        <v>2003</v>
      </c>
      <c r="H90" s="153">
        <v>2004</v>
      </c>
      <c r="I90" s="153">
        <v>2005</v>
      </c>
      <c r="J90" s="153">
        <v>2006</v>
      </c>
      <c r="K90" s="153">
        <v>2007</v>
      </c>
      <c r="L90" s="153">
        <v>2008</v>
      </c>
      <c r="M90" s="153">
        <v>2009</v>
      </c>
      <c r="N90" s="153">
        <v>2010</v>
      </c>
      <c r="O90" s="153">
        <v>2011</v>
      </c>
      <c r="P90" s="153">
        <v>2012</v>
      </c>
      <c r="Q90" s="153">
        <v>2013</v>
      </c>
      <c r="R90" s="153">
        <v>2014</v>
      </c>
      <c r="S90" s="153">
        <v>2015</v>
      </c>
      <c r="T90" s="153">
        <v>2016</v>
      </c>
      <c r="U90" s="153">
        <v>2017</v>
      </c>
      <c r="V90" s="153">
        <v>2018</v>
      </c>
    </row>
    <row r="91" spans="3:22" ht="12" customHeight="1" thickBot="1" x14ac:dyDescent="0.25">
      <c r="C91" s="156"/>
      <c r="D91" s="154"/>
      <c r="E91" s="154"/>
      <c r="F91" s="154"/>
      <c r="G91" s="154"/>
      <c r="H91" s="154"/>
      <c r="I91" s="154"/>
      <c r="J91" s="154"/>
      <c r="K91" s="154"/>
      <c r="L91" s="154"/>
      <c r="M91" s="154"/>
      <c r="N91" s="154"/>
      <c r="O91" s="154"/>
      <c r="P91" s="154"/>
      <c r="Q91" s="154"/>
      <c r="R91" s="154"/>
      <c r="S91" s="154"/>
      <c r="T91" s="154"/>
      <c r="U91" s="154"/>
      <c r="V91" s="154"/>
    </row>
    <row r="92" spans="3:22" x14ac:dyDescent="0.2">
      <c r="C92" s="87" t="s">
        <v>123</v>
      </c>
      <c r="D92" s="60">
        <f t="shared" ref="D92:V92" si="2">+IFERROR(IF(D53&gt;0,+((D53/D13)*100)," "),"")</f>
        <v>83.499578546971691</v>
      </c>
      <c r="E92" s="60">
        <f t="shared" si="2"/>
        <v>95.970805572162107</v>
      </c>
      <c r="F92" s="60">
        <f t="shared" si="2"/>
        <v>85.268227128814786</v>
      </c>
      <c r="G92" s="60">
        <f t="shared" si="2"/>
        <v>99.386412996114842</v>
      </c>
      <c r="H92" s="60">
        <f t="shared" si="2"/>
        <v>98.012359430472344</v>
      </c>
      <c r="I92" s="60">
        <f t="shared" si="2"/>
        <v>98.888457930560349</v>
      </c>
      <c r="J92" s="60">
        <f t="shared" si="2"/>
        <v>99.032273072453606</v>
      </c>
      <c r="K92" s="60">
        <f t="shared" si="2"/>
        <v>99.512901057454656</v>
      </c>
      <c r="L92" s="60">
        <f t="shared" si="2"/>
        <v>99.685015271855391</v>
      </c>
      <c r="M92" s="60">
        <f t="shared" si="2"/>
        <v>92.319468740893655</v>
      </c>
      <c r="N92" s="60">
        <f t="shared" si="2"/>
        <v>91.686436396000644</v>
      </c>
      <c r="O92" s="60">
        <f t="shared" si="2"/>
        <v>96.385432487649396</v>
      </c>
      <c r="P92" s="60">
        <f t="shared" si="2"/>
        <v>94.548200572681267</v>
      </c>
      <c r="Q92" s="60">
        <f t="shared" si="2"/>
        <v>94.065768957244273</v>
      </c>
      <c r="R92" s="60">
        <f t="shared" si="2"/>
        <v>95.437823437484752</v>
      </c>
      <c r="S92" s="60">
        <f t="shared" si="2"/>
        <v>96.438353620469044</v>
      </c>
      <c r="T92" s="60">
        <f t="shared" si="2"/>
        <v>93.40806731157339</v>
      </c>
      <c r="U92" s="60">
        <f t="shared" si="2"/>
        <v>96.80760079500746</v>
      </c>
      <c r="V92" s="60">
        <f t="shared" si="2"/>
        <v>89.591003763940179</v>
      </c>
    </row>
    <row r="93" spans="3:22" x14ac:dyDescent="0.2">
      <c r="C93" s="88" t="s">
        <v>124</v>
      </c>
      <c r="D93" s="62">
        <f t="shared" ref="D93:V93" si="3">+IFERROR(IF(D54&gt;0,+((D54/D14)*100)," "),"")</f>
        <v>56.612814919961018</v>
      </c>
      <c r="E93" s="62">
        <f t="shared" si="3"/>
        <v>92.133907854870245</v>
      </c>
      <c r="F93" s="62">
        <f t="shared" si="3"/>
        <v>79.694098939888462</v>
      </c>
      <c r="G93" s="62">
        <f t="shared" si="3"/>
        <v>99.28207950485745</v>
      </c>
      <c r="H93" s="62">
        <f t="shared" si="3"/>
        <v>98.791904706074646</v>
      </c>
      <c r="I93" s="62">
        <f t="shared" si="3"/>
        <v>98.868565393447923</v>
      </c>
      <c r="J93" s="62">
        <f t="shared" si="3"/>
        <v>99.159449807066281</v>
      </c>
      <c r="K93" s="62">
        <f t="shared" si="3"/>
        <v>98.841048710923815</v>
      </c>
      <c r="L93" s="62">
        <f t="shared" si="3"/>
        <v>96.363816031456153</v>
      </c>
      <c r="M93" s="62">
        <f t="shared" si="3"/>
        <v>95.433253934047926</v>
      </c>
      <c r="N93" s="62">
        <f t="shared" si="3"/>
        <v>90.171304602889649</v>
      </c>
      <c r="O93" s="62">
        <f t="shared" si="3"/>
        <v>96.127739025001176</v>
      </c>
      <c r="P93" s="62">
        <f t="shared" si="3"/>
        <v>90.687140970345055</v>
      </c>
      <c r="Q93" s="62">
        <f t="shared" si="3"/>
        <v>89.207199660008555</v>
      </c>
      <c r="R93" s="62">
        <f t="shared" si="3"/>
        <v>92.735596190289655</v>
      </c>
      <c r="S93" s="62">
        <f t="shared" si="3"/>
        <v>63.697517781231525</v>
      </c>
      <c r="T93" s="62">
        <f t="shared" si="3"/>
        <v>95.140844750331325</v>
      </c>
      <c r="U93" s="62">
        <f t="shared" si="3"/>
        <v>95.357759213486176</v>
      </c>
      <c r="V93" s="62">
        <f t="shared" si="3"/>
        <v>98.081648396575119</v>
      </c>
    </row>
    <row r="94" spans="3:22" x14ac:dyDescent="0.2">
      <c r="C94" s="87" t="s">
        <v>125</v>
      </c>
      <c r="D94" s="60">
        <f t="shared" ref="D94:V94" si="4">+IFERROR(IF(D55&gt;0,+((D55/D15)*100)," "),"")</f>
        <v>75.799697171663567</v>
      </c>
      <c r="E94" s="60">
        <f t="shared" si="4"/>
        <v>99.993732566432541</v>
      </c>
      <c r="F94" s="60">
        <f t="shared" si="4"/>
        <v>89.028134389336529</v>
      </c>
      <c r="G94" s="60">
        <f t="shared" si="4"/>
        <v>99.993294208022348</v>
      </c>
      <c r="H94" s="60">
        <f t="shared" si="4"/>
        <v>99.99801197188232</v>
      </c>
      <c r="I94" s="60">
        <f t="shared" si="4"/>
        <v>99.853439023408257</v>
      </c>
      <c r="J94" s="60">
        <f t="shared" si="4"/>
        <v>99.977099160276936</v>
      </c>
      <c r="K94" s="60">
        <f t="shared" si="4"/>
        <v>99.43408062405129</v>
      </c>
      <c r="L94" s="60">
        <f t="shared" si="4"/>
        <v>99.770452577781569</v>
      </c>
      <c r="M94" s="60">
        <f t="shared" si="4"/>
        <v>84.090817203856204</v>
      </c>
      <c r="N94" s="60">
        <f t="shared" si="4"/>
        <v>98.728726735528824</v>
      </c>
      <c r="O94" s="60">
        <f t="shared" si="4"/>
        <v>96.893782597576475</v>
      </c>
      <c r="P94" s="60">
        <f t="shared" si="4"/>
        <v>96.831623104969125</v>
      </c>
      <c r="Q94" s="60">
        <f t="shared" si="4"/>
        <v>98.911474162748064</v>
      </c>
      <c r="R94" s="60">
        <f t="shared" si="4"/>
        <v>99.501530553938181</v>
      </c>
      <c r="S94" s="60">
        <f t="shared" si="4"/>
        <v>99.545563452982975</v>
      </c>
      <c r="T94" s="60">
        <f t="shared" si="4"/>
        <v>99.899632305461651</v>
      </c>
      <c r="U94" s="60">
        <f t="shared" si="4"/>
        <v>99.939707188785704</v>
      </c>
      <c r="V94" s="60">
        <f t="shared" si="4"/>
        <v>99.062791312966525</v>
      </c>
    </row>
    <row r="95" spans="3:22" x14ac:dyDescent="0.2">
      <c r="C95" s="88" t="s">
        <v>126</v>
      </c>
      <c r="D95" s="62">
        <f t="shared" ref="D95:V95" si="5">+IFERROR(IF(D56&gt;0,+((D56/D16)*100)," "),"")</f>
        <v>56.049171062203293</v>
      </c>
      <c r="E95" s="62">
        <f t="shared" si="5"/>
        <v>89.440629157238362</v>
      </c>
      <c r="F95" s="62">
        <f t="shared" si="5"/>
        <v>78.980557895639834</v>
      </c>
      <c r="G95" s="62">
        <f t="shared" si="5"/>
        <v>99.755942920293947</v>
      </c>
      <c r="H95" s="62">
        <f t="shared" si="5"/>
        <v>97.688960143756475</v>
      </c>
      <c r="I95" s="62">
        <f t="shared" si="5"/>
        <v>95.947434476336639</v>
      </c>
      <c r="J95" s="62">
        <f t="shared" si="5"/>
        <v>96.571991636931486</v>
      </c>
      <c r="K95" s="62">
        <f t="shared" si="5"/>
        <v>94.215247070190046</v>
      </c>
      <c r="L95" s="62">
        <f t="shared" si="5"/>
        <v>97.801684115717961</v>
      </c>
      <c r="M95" s="62">
        <f t="shared" si="5"/>
        <v>89.235405884912666</v>
      </c>
      <c r="N95" s="62">
        <f t="shared" si="5"/>
        <v>94.504248558667939</v>
      </c>
      <c r="O95" s="62">
        <f t="shared" si="5"/>
        <v>97.769339744925489</v>
      </c>
      <c r="P95" s="62">
        <f t="shared" si="5"/>
        <v>98.805365425440414</v>
      </c>
      <c r="Q95" s="62">
        <f t="shared" si="5"/>
        <v>98.030693869282956</v>
      </c>
      <c r="R95" s="62">
        <f t="shared" si="5"/>
        <v>98.605684940397538</v>
      </c>
      <c r="S95" s="62">
        <f t="shared" si="5"/>
        <v>97.44947938097819</v>
      </c>
      <c r="T95" s="62">
        <f t="shared" si="5"/>
        <v>98.881303789283947</v>
      </c>
      <c r="U95" s="62">
        <f t="shared" si="5"/>
        <v>98.776605714603079</v>
      </c>
      <c r="V95" s="62">
        <f t="shared" si="5"/>
        <v>98.222952481862279</v>
      </c>
    </row>
    <row r="96" spans="3:22" x14ac:dyDescent="0.2">
      <c r="C96" s="87" t="s">
        <v>127</v>
      </c>
      <c r="D96" s="60" t="str">
        <f t="shared" ref="D96:V96" si="6">+IFERROR(IF(D57&gt;0,+((D57/D17)*100)," "),"")</f>
        <v xml:space="preserve"> </v>
      </c>
      <c r="E96" s="60">
        <f t="shared" si="6"/>
        <v>86.275959820053004</v>
      </c>
      <c r="F96" s="60" t="str">
        <f t="shared" si="6"/>
        <v xml:space="preserve"> </v>
      </c>
      <c r="G96" s="60">
        <f t="shared" si="6"/>
        <v>88.085089411764699</v>
      </c>
      <c r="H96" s="60" t="str">
        <f t="shared" si="6"/>
        <v xml:space="preserve"> </v>
      </c>
      <c r="I96" s="60">
        <f t="shared" si="6"/>
        <v>93.504525142857148</v>
      </c>
      <c r="J96" s="60">
        <f t="shared" si="6"/>
        <v>99.179170724705884</v>
      </c>
      <c r="K96" s="60">
        <f t="shared" si="6"/>
        <v>99.880070805755409</v>
      </c>
      <c r="L96" s="60">
        <f t="shared" si="6"/>
        <v>92.445057314136108</v>
      </c>
      <c r="M96" s="60">
        <f t="shared" si="6"/>
        <v>51.310286938032782</v>
      </c>
      <c r="N96" s="60">
        <f t="shared" si="6"/>
        <v>81.089578230025012</v>
      </c>
      <c r="O96" s="60">
        <f t="shared" si="6"/>
        <v>50.102299923999993</v>
      </c>
      <c r="P96" s="60">
        <f t="shared" si="6"/>
        <v>21.117925840680694</v>
      </c>
      <c r="Q96" s="60">
        <f t="shared" si="6"/>
        <v>61.527879768864246</v>
      </c>
      <c r="R96" s="60">
        <f t="shared" si="6"/>
        <v>88.509262768303714</v>
      </c>
      <c r="S96" s="60">
        <f t="shared" si="6"/>
        <v>97.20887210326535</v>
      </c>
      <c r="T96" s="60">
        <f t="shared" si="6"/>
        <v>99.405504612837518</v>
      </c>
      <c r="U96" s="60">
        <f t="shared" si="6"/>
        <v>97.590751183191372</v>
      </c>
      <c r="V96" s="60">
        <f t="shared" si="6"/>
        <v>98.646078351136751</v>
      </c>
    </row>
    <row r="97" spans="3:22" x14ac:dyDescent="0.2">
      <c r="C97" s="88" t="s">
        <v>128</v>
      </c>
      <c r="D97" s="62">
        <f t="shared" ref="D97:V97" si="7">+IFERROR(IF(D58&gt;0,+((D58/D18)*100)," "),"")</f>
        <v>47.006401678489176</v>
      </c>
      <c r="E97" s="62">
        <f t="shared" si="7"/>
        <v>99.977527370358672</v>
      </c>
      <c r="F97" s="62">
        <f t="shared" si="7"/>
        <v>69.934964040993719</v>
      </c>
      <c r="G97" s="62">
        <f t="shared" si="7"/>
        <v>99.988132591651052</v>
      </c>
      <c r="H97" s="62">
        <f t="shared" si="7"/>
        <v>99.95596143940088</v>
      </c>
      <c r="I97" s="62">
        <f t="shared" si="7"/>
        <v>99.909575657387563</v>
      </c>
      <c r="J97" s="62">
        <f t="shared" si="7"/>
        <v>99.886005351692447</v>
      </c>
      <c r="K97" s="62">
        <f t="shared" si="7"/>
        <v>87.340521653072074</v>
      </c>
      <c r="L97" s="62">
        <f t="shared" si="7"/>
        <v>99.375130634056745</v>
      </c>
      <c r="M97" s="62">
        <f t="shared" si="7"/>
        <v>93.617326573495191</v>
      </c>
      <c r="N97" s="62">
        <f t="shared" si="7"/>
        <v>99.448619714921122</v>
      </c>
      <c r="O97" s="62">
        <f t="shared" si="7"/>
        <v>96.662122931751995</v>
      </c>
      <c r="P97" s="62">
        <f t="shared" si="7"/>
        <v>99.531661104632875</v>
      </c>
      <c r="Q97" s="62">
        <f t="shared" si="7"/>
        <v>99.428205194542087</v>
      </c>
      <c r="R97" s="62">
        <f t="shared" si="7"/>
        <v>99.805101558907225</v>
      </c>
      <c r="S97" s="62">
        <f t="shared" si="7"/>
        <v>99.917903642776793</v>
      </c>
      <c r="T97" s="62">
        <f t="shared" si="7"/>
        <v>99.19741562005936</v>
      </c>
      <c r="U97" s="62">
        <f t="shared" si="7"/>
        <v>99.902724857383561</v>
      </c>
      <c r="V97" s="62">
        <f t="shared" si="7"/>
        <v>99.06278685375797</v>
      </c>
    </row>
    <row r="98" spans="3:22" x14ac:dyDescent="0.2">
      <c r="C98" s="87" t="s">
        <v>129</v>
      </c>
      <c r="D98" s="60">
        <f t="shared" ref="D98:V98" si="8">+IFERROR(IF(D59&gt;0,+((D59/D19)*100)," "),"")</f>
        <v>93.549944747174536</v>
      </c>
      <c r="E98" s="60">
        <f t="shared" si="8"/>
        <v>97.671686764710103</v>
      </c>
      <c r="F98" s="60">
        <f t="shared" si="8"/>
        <v>85.067378746894477</v>
      </c>
      <c r="G98" s="60">
        <f t="shared" si="8"/>
        <v>99.095720182878139</v>
      </c>
      <c r="H98" s="60">
        <f t="shared" si="8"/>
        <v>97.072609713429429</v>
      </c>
      <c r="I98" s="60">
        <f t="shared" si="8"/>
        <v>99.549876577694008</v>
      </c>
      <c r="J98" s="60">
        <f t="shared" si="8"/>
        <v>99.607920404487146</v>
      </c>
      <c r="K98" s="60">
        <f t="shared" si="8"/>
        <v>99.152402817863077</v>
      </c>
      <c r="L98" s="60">
        <f t="shared" si="8"/>
        <v>99.748775986385994</v>
      </c>
      <c r="M98" s="60">
        <f t="shared" si="8"/>
        <v>92.807379377792245</v>
      </c>
      <c r="N98" s="60">
        <f t="shared" si="8"/>
        <v>92.006429475162648</v>
      </c>
      <c r="O98" s="60">
        <f t="shared" si="8"/>
        <v>96.8420563971425</v>
      </c>
      <c r="P98" s="60">
        <f t="shared" si="8"/>
        <v>99.546843924664998</v>
      </c>
      <c r="Q98" s="60">
        <f t="shared" si="8"/>
        <v>99.414240322684762</v>
      </c>
      <c r="R98" s="60">
        <f t="shared" si="8"/>
        <v>99.472316217290143</v>
      </c>
      <c r="S98" s="60">
        <f t="shared" si="8"/>
        <v>99.333929601499875</v>
      </c>
      <c r="T98" s="60">
        <f t="shared" si="8"/>
        <v>98.392060212484708</v>
      </c>
      <c r="U98" s="60">
        <f t="shared" si="8"/>
        <v>99.615943703568632</v>
      </c>
      <c r="V98" s="60">
        <f t="shared" si="8"/>
        <v>99.168690271307952</v>
      </c>
    </row>
    <row r="99" spans="3:22" x14ac:dyDescent="0.2">
      <c r="C99" s="88" t="s">
        <v>130</v>
      </c>
      <c r="D99" s="62">
        <f t="shared" ref="D99:V99" si="9">+IFERROR(IF(D60&gt;0,+((D60/D20)*100)," "),"")</f>
        <v>82.945914155517286</v>
      </c>
      <c r="E99" s="62">
        <f t="shared" si="9"/>
        <v>99.649588754172285</v>
      </c>
      <c r="F99" s="62">
        <f t="shared" si="9"/>
        <v>81.263668101536439</v>
      </c>
      <c r="G99" s="62">
        <f t="shared" si="9"/>
        <v>97.366091024399353</v>
      </c>
      <c r="H99" s="62">
        <f t="shared" si="9"/>
        <v>99.765402167743446</v>
      </c>
      <c r="I99" s="62">
        <f t="shared" si="9"/>
        <v>99.853372954947361</v>
      </c>
      <c r="J99" s="62">
        <f t="shared" si="9"/>
        <v>98.467172366709789</v>
      </c>
      <c r="K99" s="62">
        <f t="shared" si="9"/>
        <v>96.754545545991917</v>
      </c>
      <c r="L99" s="62">
        <f t="shared" si="9"/>
        <v>98.824212161617609</v>
      </c>
      <c r="M99" s="62">
        <f t="shared" si="9"/>
        <v>97.816104061092489</v>
      </c>
      <c r="N99" s="62">
        <f t="shared" si="9"/>
        <v>98.255010683988914</v>
      </c>
      <c r="O99" s="62">
        <f t="shared" si="9"/>
        <v>99.494533428579729</v>
      </c>
      <c r="P99" s="62">
        <f t="shared" si="9"/>
        <v>94.143725387640885</v>
      </c>
      <c r="Q99" s="62">
        <f t="shared" si="9"/>
        <v>95.051529652547359</v>
      </c>
      <c r="R99" s="62">
        <f t="shared" si="9"/>
        <v>95.509726926351391</v>
      </c>
      <c r="S99" s="62">
        <f t="shared" si="9"/>
        <v>98.230277215616155</v>
      </c>
      <c r="T99" s="62">
        <f t="shared" si="9"/>
        <v>98.887004591858982</v>
      </c>
      <c r="U99" s="62">
        <f t="shared" si="9"/>
        <v>98.732996833185595</v>
      </c>
      <c r="V99" s="62">
        <f t="shared" si="9"/>
        <v>99.334745993127726</v>
      </c>
    </row>
    <row r="100" spans="3:22" x14ac:dyDescent="0.2">
      <c r="C100" s="87" t="s">
        <v>131</v>
      </c>
      <c r="D100" s="60">
        <f t="shared" ref="D100:V100" si="10">+IFERROR(IF(D61&gt;0,+((D61/D21)*100)," "),"")</f>
        <v>84.786882999589764</v>
      </c>
      <c r="E100" s="60">
        <f t="shared" si="10"/>
        <v>81.618669784316708</v>
      </c>
      <c r="F100" s="60">
        <f t="shared" si="10"/>
        <v>90.434996537957787</v>
      </c>
      <c r="G100" s="60">
        <f t="shared" si="10"/>
        <v>99.973196286026209</v>
      </c>
      <c r="H100" s="60">
        <f t="shared" si="10"/>
        <v>98.955067863361776</v>
      </c>
      <c r="I100" s="60">
        <f t="shared" si="10"/>
        <v>98.933090952767813</v>
      </c>
      <c r="J100" s="60">
        <f t="shared" si="10"/>
        <v>93.439097495705383</v>
      </c>
      <c r="K100" s="60">
        <f t="shared" si="10"/>
        <v>98.740532823698217</v>
      </c>
      <c r="L100" s="60">
        <f t="shared" si="10"/>
        <v>95.1197865878041</v>
      </c>
      <c r="M100" s="60">
        <f t="shared" si="10"/>
        <v>93.695064273525006</v>
      </c>
      <c r="N100" s="60">
        <f t="shared" si="10"/>
        <v>92.916296773658686</v>
      </c>
      <c r="O100" s="60">
        <f t="shared" si="10"/>
        <v>98.117210651830618</v>
      </c>
      <c r="P100" s="60">
        <f t="shared" si="10"/>
        <v>90.067508266138532</v>
      </c>
      <c r="Q100" s="60">
        <f t="shared" si="10"/>
        <v>94.639010332374582</v>
      </c>
      <c r="R100" s="60">
        <f t="shared" si="10"/>
        <v>99.581987970960355</v>
      </c>
      <c r="S100" s="60">
        <f t="shared" si="10"/>
        <v>99.741137756663136</v>
      </c>
      <c r="T100" s="60">
        <f t="shared" si="10"/>
        <v>99.310801853263214</v>
      </c>
      <c r="U100" s="60">
        <f t="shared" si="10"/>
        <v>99.295450917407564</v>
      </c>
      <c r="V100" s="60">
        <f t="shared" si="10"/>
        <v>99.919534706873904</v>
      </c>
    </row>
    <row r="101" spans="3:22" x14ac:dyDescent="0.2">
      <c r="C101" s="88" t="s">
        <v>132</v>
      </c>
      <c r="D101" s="62" t="str">
        <f t="shared" ref="D101:V101" si="11">+IFERROR(IF(D62&gt;0,+((D62/D22)*100)," "),"")</f>
        <v xml:space="preserve"> </v>
      </c>
      <c r="E101" s="62" t="str">
        <f t="shared" si="11"/>
        <v xml:space="preserve"> </v>
      </c>
      <c r="F101" s="62" t="str">
        <f t="shared" si="11"/>
        <v xml:space="preserve"> </v>
      </c>
      <c r="G101" s="62" t="str">
        <f t="shared" si="11"/>
        <v xml:space="preserve"> </v>
      </c>
      <c r="H101" s="62">
        <f t="shared" si="11"/>
        <v>100</v>
      </c>
      <c r="I101" s="62">
        <f t="shared" si="11"/>
        <v>100</v>
      </c>
      <c r="J101" s="62">
        <f t="shared" si="11"/>
        <v>100</v>
      </c>
      <c r="K101" s="62">
        <f t="shared" si="11"/>
        <v>96.361161442039872</v>
      </c>
      <c r="L101" s="62">
        <f t="shared" si="11"/>
        <v>100</v>
      </c>
      <c r="M101" s="62">
        <f t="shared" si="11"/>
        <v>99.999999881807696</v>
      </c>
      <c r="N101" s="62">
        <f t="shared" si="11"/>
        <v>68.700735694399128</v>
      </c>
      <c r="O101" s="62">
        <f t="shared" si="11"/>
        <v>87.356802513999995</v>
      </c>
      <c r="P101" s="62">
        <f t="shared" si="11"/>
        <v>93.995714264589139</v>
      </c>
      <c r="Q101" s="62">
        <f t="shared" si="11"/>
        <v>97.183690983037224</v>
      </c>
      <c r="R101" s="62">
        <f t="shared" si="11"/>
        <v>90.263234073887318</v>
      </c>
      <c r="S101" s="62">
        <f t="shared" si="11"/>
        <v>93.115772389997602</v>
      </c>
      <c r="T101" s="62">
        <f t="shared" si="11"/>
        <v>97.145640251936143</v>
      </c>
      <c r="U101" s="62">
        <f t="shared" si="11"/>
        <v>97.038168422983205</v>
      </c>
      <c r="V101" s="62">
        <f t="shared" si="11"/>
        <v>91.296367393771476</v>
      </c>
    </row>
    <row r="102" spans="3:22" x14ac:dyDescent="0.2">
      <c r="C102" s="87" t="s">
        <v>133</v>
      </c>
      <c r="D102" s="60">
        <f t="shared" ref="D102:V102" si="12">+IFERROR(IF(D63&gt;0,+((D63/D23)*100)," "),"")</f>
        <v>67.232714102531617</v>
      </c>
      <c r="E102" s="60">
        <f t="shared" si="12"/>
        <v>82.200445175163566</v>
      </c>
      <c r="F102" s="60">
        <f t="shared" si="12"/>
        <v>62.98455957578436</v>
      </c>
      <c r="G102" s="60">
        <f t="shared" si="12"/>
        <v>96.368893120620569</v>
      </c>
      <c r="H102" s="60">
        <f t="shared" si="12"/>
        <v>98.02552289793843</v>
      </c>
      <c r="I102" s="60">
        <f t="shared" si="12"/>
        <v>99.494694501489704</v>
      </c>
      <c r="J102" s="60">
        <f t="shared" si="12"/>
        <v>99.657313404231417</v>
      </c>
      <c r="K102" s="60">
        <f t="shared" si="12"/>
        <v>96.845681784622798</v>
      </c>
      <c r="L102" s="60">
        <f t="shared" si="12"/>
        <v>81.047196507436823</v>
      </c>
      <c r="M102" s="60">
        <f t="shared" si="12"/>
        <v>87.261004674390861</v>
      </c>
      <c r="N102" s="60">
        <f t="shared" si="12"/>
        <v>77.426784251337779</v>
      </c>
      <c r="O102" s="60">
        <f t="shared" si="12"/>
        <v>91.371711732851978</v>
      </c>
      <c r="P102" s="60">
        <f t="shared" si="12"/>
        <v>91.530680978516656</v>
      </c>
      <c r="Q102" s="60">
        <f t="shared" si="12"/>
        <v>97.771295532658698</v>
      </c>
      <c r="R102" s="60">
        <f t="shared" si="12"/>
        <v>92.909992431776274</v>
      </c>
      <c r="S102" s="60">
        <f t="shared" si="12"/>
        <v>79.968529961169438</v>
      </c>
      <c r="T102" s="60">
        <f t="shared" si="12"/>
        <v>95.310089876818253</v>
      </c>
      <c r="U102" s="60">
        <f t="shared" si="12"/>
        <v>98.776368538099135</v>
      </c>
      <c r="V102" s="60">
        <f t="shared" si="12"/>
        <v>96.973015256876579</v>
      </c>
    </row>
    <row r="103" spans="3:22" x14ac:dyDescent="0.2">
      <c r="C103" s="88" t="s">
        <v>134</v>
      </c>
      <c r="D103" s="62">
        <f t="shared" ref="D103:V103" si="13">+IFERROR(IF(D64&gt;0,+((D64/D24)*100)," "),"")</f>
        <v>98.744926126290849</v>
      </c>
      <c r="E103" s="62">
        <f t="shared" si="13"/>
        <v>97.570821764817978</v>
      </c>
      <c r="F103" s="62">
        <f t="shared" si="13"/>
        <v>86.646056237624975</v>
      </c>
      <c r="G103" s="62">
        <f t="shared" si="13"/>
        <v>99.592927599457809</v>
      </c>
      <c r="H103" s="62">
        <f t="shared" si="13"/>
        <v>92.634285125472019</v>
      </c>
      <c r="I103" s="62">
        <f t="shared" si="13"/>
        <v>85.783019250957153</v>
      </c>
      <c r="J103" s="62">
        <f t="shared" si="13"/>
        <v>98.517867259126248</v>
      </c>
      <c r="K103" s="62">
        <f t="shared" si="13"/>
        <v>82.815802701547753</v>
      </c>
      <c r="L103" s="62">
        <f t="shared" si="13"/>
        <v>90.209493144400639</v>
      </c>
      <c r="M103" s="62">
        <f t="shared" si="13"/>
        <v>94.795775743073435</v>
      </c>
      <c r="N103" s="62">
        <f t="shared" si="13"/>
        <v>96.645227303295712</v>
      </c>
      <c r="O103" s="62">
        <f t="shared" si="13"/>
        <v>94.671610036365109</v>
      </c>
      <c r="P103" s="62">
        <f t="shared" si="13"/>
        <v>83.155916647350139</v>
      </c>
      <c r="Q103" s="62">
        <f t="shared" si="13"/>
        <v>70.711711297971078</v>
      </c>
      <c r="R103" s="62">
        <f t="shared" si="13"/>
        <v>69.370895338297615</v>
      </c>
      <c r="S103" s="62">
        <f t="shared" si="13"/>
        <v>84.102178815640656</v>
      </c>
      <c r="T103" s="62">
        <f t="shared" si="13"/>
        <v>69.038220819864236</v>
      </c>
      <c r="U103" s="62">
        <f t="shared" si="13"/>
        <v>94.863755458716241</v>
      </c>
      <c r="V103" s="62">
        <f t="shared" si="13"/>
        <v>88.513912577988378</v>
      </c>
    </row>
    <row r="104" spans="3:22" x14ac:dyDescent="0.2">
      <c r="C104" s="87" t="s">
        <v>135</v>
      </c>
      <c r="D104" s="60" t="str">
        <f t="shared" ref="D104:V104" si="14">+IFERROR(IF(D65&gt;0,+((D65/D25)*100)," "),"")</f>
        <v xml:space="preserve"> </v>
      </c>
      <c r="E104" s="60" t="str">
        <f t="shared" si="14"/>
        <v xml:space="preserve"> </v>
      </c>
      <c r="F104" s="60" t="str">
        <f t="shared" si="14"/>
        <v xml:space="preserve"> </v>
      </c>
      <c r="G104" s="60" t="str">
        <f t="shared" si="14"/>
        <v xml:space="preserve"> </v>
      </c>
      <c r="H104" s="60" t="str">
        <f t="shared" si="14"/>
        <v xml:space="preserve"> </v>
      </c>
      <c r="I104" s="60" t="str">
        <f t="shared" si="14"/>
        <v xml:space="preserve"> </v>
      </c>
      <c r="J104" s="60" t="str">
        <f t="shared" si="14"/>
        <v xml:space="preserve"> </v>
      </c>
      <c r="K104" s="60" t="str">
        <f t="shared" si="14"/>
        <v xml:space="preserve"> </v>
      </c>
      <c r="L104" s="60" t="str">
        <f t="shared" si="14"/>
        <v xml:space="preserve"> </v>
      </c>
      <c r="M104" s="60" t="str">
        <f t="shared" si="14"/>
        <v xml:space="preserve"> </v>
      </c>
      <c r="N104" s="60" t="str">
        <f t="shared" si="14"/>
        <v xml:space="preserve"> </v>
      </c>
      <c r="O104" s="60" t="str">
        <f t="shared" si="14"/>
        <v xml:space="preserve"> </v>
      </c>
      <c r="P104" s="60" t="str">
        <f t="shared" si="14"/>
        <v xml:space="preserve"> </v>
      </c>
      <c r="Q104" s="60" t="str">
        <f t="shared" si="14"/>
        <v xml:space="preserve"> </v>
      </c>
      <c r="R104" s="60" t="str">
        <f t="shared" si="14"/>
        <v xml:space="preserve"> </v>
      </c>
      <c r="S104" s="60" t="str">
        <f t="shared" si="14"/>
        <v xml:space="preserve"> </v>
      </c>
      <c r="T104" s="60" t="str">
        <f t="shared" si="14"/>
        <v xml:space="preserve"> </v>
      </c>
      <c r="U104" s="60" t="str">
        <f t="shared" si="14"/>
        <v xml:space="preserve"> </v>
      </c>
      <c r="V104" s="60" t="str">
        <f t="shared" si="14"/>
        <v xml:space="preserve"> </v>
      </c>
    </row>
    <row r="105" spans="3:22" x14ac:dyDescent="0.2">
      <c r="C105" s="88" t="s">
        <v>136</v>
      </c>
      <c r="D105" s="62">
        <f t="shared" ref="D105:V105" si="15">+IFERROR(IF(D66&gt;0,+((D66/D26)*100)," "),"")</f>
        <v>49.020157206779139</v>
      </c>
      <c r="E105" s="62">
        <f t="shared" si="15"/>
        <v>96.252141463296113</v>
      </c>
      <c r="F105" s="62">
        <f t="shared" si="15"/>
        <v>90.821142184566355</v>
      </c>
      <c r="G105" s="62">
        <f t="shared" si="15"/>
        <v>99.912369434709063</v>
      </c>
      <c r="H105" s="62">
        <f t="shared" si="15"/>
        <v>99.921600952437757</v>
      </c>
      <c r="I105" s="62">
        <f t="shared" si="15"/>
        <v>99.715425944105959</v>
      </c>
      <c r="J105" s="62">
        <f t="shared" si="15"/>
        <v>99.789929342412748</v>
      </c>
      <c r="K105" s="62">
        <f t="shared" si="15"/>
        <v>95.181946118084994</v>
      </c>
      <c r="L105" s="62">
        <f t="shared" si="15"/>
        <v>99.881637790190254</v>
      </c>
      <c r="M105" s="62">
        <f t="shared" si="15"/>
        <v>98.750443108979866</v>
      </c>
      <c r="N105" s="62">
        <f t="shared" si="15"/>
        <v>99.863933299983657</v>
      </c>
      <c r="O105" s="62">
        <f t="shared" si="15"/>
        <v>98.914277776388857</v>
      </c>
      <c r="P105" s="62">
        <f t="shared" si="15"/>
        <v>96.063615769789322</v>
      </c>
      <c r="Q105" s="62">
        <f t="shared" si="15"/>
        <v>98.035690920699764</v>
      </c>
      <c r="R105" s="62">
        <f t="shared" si="15"/>
        <v>98.36496290990101</v>
      </c>
      <c r="S105" s="62">
        <f t="shared" si="15"/>
        <v>98.962107477345754</v>
      </c>
      <c r="T105" s="62">
        <f t="shared" si="15"/>
        <v>98.840131140494535</v>
      </c>
      <c r="U105" s="62">
        <f t="shared" si="15"/>
        <v>98.570244703552888</v>
      </c>
      <c r="V105" s="62">
        <f t="shared" si="15"/>
        <v>98.768137562400454</v>
      </c>
    </row>
    <row r="106" spans="3:22" x14ac:dyDescent="0.2">
      <c r="C106" s="87" t="s">
        <v>137</v>
      </c>
      <c r="D106" s="60">
        <f t="shared" ref="D106:V106" si="16">+IFERROR(IF(D67&gt;0,+((D67/D27)*100)," "),"")</f>
        <v>39.889237159901626</v>
      </c>
      <c r="E106" s="60">
        <f t="shared" si="16"/>
        <v>96.759182473078582</v>
      </c>
      <c r="F106" s="60">
        <f t="shared" si="16"/>
        <v>83.91830139438872</v>
      </c>
      <c r="G106" s="60">
        <f t="shared" si="16"/>
        <v>99.117679428274982</v>
      </c>
      <c r="H106" s="60">
        <f t="shared" si="16"/>
        <v>99.346783602600837</v>
      </c>
      <c r="I106" s="60">
        <f t="shared" si="16"/>
        <v>99.889071436149393</v>
      </c>
      <c r="J106" s="60">
        <f t="shared" si="16"/>
        <v>99.931078530693753</v>
      </c>
      <c r="K106" s="60">
        <f t="shared" si="16"/>
        <v>96.491288561260404</v>
      </c>
      <c r="L106" s="60">
        <f t="shared" si="16"/>
        <v>97.805296988115145</v>
      </c>
      <c r="M106" s="60">
        <f t="shared" si="16"/>
        <v>88.868272324493589</v>
      </c>
      <c r="N106" s="60">
        <f t="shared" si="16"/>
        <v>85.355239918212703</v>
      </c>
      <c r="O106" s="60">
        <f t="shared" si="16"/>
        <v>94.215982630756187</v>
      </c>
      <c r="P106" s="60">
        <f t="shared" si="16"/>
        <v>95.72060618021527</v>
      </c>
      <c r="Q106" s="60">
        <f t="shared" si="16"/>
        <v>92.14864574597658</v>
      </c>
      <c r="R106" s="60">
        <f t="shared" si="16"/>
        <v>99.006175917868148</v>
      </c>
      <c r="S106" s="60">
        <f t="shared" si="16"/>
        <v>99.310902244955528</v>
      </c>
      <c r="T106" s="60">
        <f t="shared" si="16"/>
        <v>99.037103086342697</v>
      </c>
      <c r="U106" s="60">
        <f t="shared" si="16"/>
        <v>99.262405182568131</v>
      </c>
      <c r="V106" s="60">
        <f t="shared" si="16"/>
        <v>99.479363630027066</v>
      </c>
    </row>
    <row r="107" spans="3:22" x14ac:dyDescent="0.2">
      <c r="C107" s="88" t="s">
        <v>138</v>
      </c>
      <c r="D107" s="62">
        <f t="shared" ref="D107:V107" si="17">+IFERROR(IF(D68&gt;0,+((D68/D28)*100)," "),"")</f>
        <v>99.667733742857152</v>
      </c>
      <c r="E107" s="62">
        <f t="shared" si="17"/>
        <v>99.892076069222199</v>
      </c>
      <c r="F107" s="62">
        <f t="shared" si="17"/>
        <v>3.4522711358333331</v>
      </c>
      <c r="G107" s="62">
        <f t="shared" si="17"/>
        <v>99.726068011002383</v>
      </c>
      <c r="H107" s="62" t="str">
        <f t="shared" si="17"/>
        <v xml:space="preserve"> </v>
      </c>
      <c r="I107" s="62" t="str">
        <f t="shared" si="17"/>
        <v xml:space="preserve"> </v>
      </c>
      <c r="J107" s="62" t="str">
        <f t="shared" si="17"/>
        <v xml:space="preserve"> </v>
      </c>
      <c r="K107" s="62" t="str">
        <f t="shared" si="17"/>
        <v xml:space="preserve"> </v>
      </c>
      <c r="L107" s="62">
        <f t="shared" si="17"/>
        <v>92.249909915977796</v>
      </c>
      <c r="M107" s="62">
        <f t="shared" si="17"/>
        <v>16.16162162162162</v>
      </c>
      <c r="N107" s="62">
        <f t="shared" si="17"/>
        <v>61.878056703225816</v>
      </c>
      <c r="O107" s="62" t="str">
        <f t="shared" si="17"/>
        <v xml:space="preserve"> </v>
      </c>
      <c r="P107" s="62">
        <f t="shared" si="17"/>
        <v>91.689835183055763</v>
      </c>
      <c r="Q107" s="62">
        <f t="shared" si="17"/>
        <v>93.907036566804038</v>
      </c>
      <c r="R107" s="62">
        <f t="shared" si="17"/>
        <v>94.422709640588494</v>
      </c>
      <c r="S107" s="62">
        <f t="shared" si="17"/>
        <v>99.750315322031895</v>
      </c>
      <c r="T107" s="62">
        <f t="shared" si="17"/>
        <v>99.363833752019374</v>
      </c>
      <c r="U107" s="62">
        <f t="shared" si="17"/>
        <v>98.199524011969714</v>
      </c>
      <c r="V107" s="62">
        <f t="shared" si="17"/>
        <v>99.974759094086423</v>
      </c>
    </row>
    <row r="108" spans="3:22" x14ac:dyDescent="0.2">
      <c r="C108" s="87" t="s">
        <v>139</v>
      </c>
      <c r="D108" s="60">
        <f t="shared" ref="D108:V108" si="18">+IFERROR(IF(D69&gt;0,+((D69/D29)*100)," "),"")</f>
        <v>88.118639719003141</v>
      </c>
      <c r="E108" s="60">
        <f t="shared" si="18"/>
        <v>75.906266622918267</v>
      </c>
      <c r="F108" s="60">
        <f t="shared" si="18"/>
        <v>43.751690398015569</v>
      </c>
      <c r="G108" s="60">
        <f t="shared" si="18"/>
        <v>99.67946029757357</v>
      </c>
      <c r="H108" s="60">
        <f t="shared" si="18"/>
        <v>95.501296353368815</v>
      </c>
      <c r="I108" s="60">
        <f t="shared" si="18"/>
        <v>92.546863058032926</v>
      </c>
      <c r="J108" s="60">
        <f t="shared" si="18"/>
        <v>95.044451025932858</v>
      </c>
      <c r="K108" s="60">
        <f t="shared" si="18"/>
        <v>67.659918814908565</v>
      </c>
      <c r="L108" s="60">
        <f t="shared" si="18"/>
        <v>99.205790705548068</v>
      </c>
      <c r="M108" s="60">
        <f t="shared" si="18"/>
        <v>97.753825786599847</v>
      </c>
      <c r="N108" s="60">
        <f t="shared" si="18"/>
        <v>89.107675326300352</v>
      </c>
      <c r="O108" s="60">
        <f t="shared" si="18"/>
        <v>98.873749599816378</v>
      </c>
      <c r="P108" s="60">
        <f t="shared" si="18"/>
        <v>68.962459802932869</v>
      </c>
      <c r="Q108" s="60">
        <f t="shared" si="18"/>
        <v>82.258537002246527</v>
      </c>
      <c r="R108" s="60">
        <f t="shared" si="18"/>
        <v>96.897180052918472</v>
      </c>
      <c r="S108" s="60">
        <f t="shared" si="18"/>
        <v>93.503650525951826</v>
      </c>
      <c r="T108" s="60">
        <f t="shared" si="18"/>
        <v>95.023687938320293</v>
      </c>
      <c r="U108" s="60">
        <f t="shared" si="18"/>
        <v>76.206025539354059</v>
      </c>
      <c r="V108" s="60">
        <f t="shared" si="18"/>
        <v>50.781666494640163</v>
      </c>
    </row>
    <row r="109" spans="3:22" x14ac:dyDescent="0.2">
      <c r="C109" s="88" t="s">
        <v>140</v>
      </c>
      <c r="D109" s="62">
        <f t="shared" ref="D109:V109" si="19">+IFERROR(IF(D70&gt;0,+((D70/D30)*100)," "),"")</f>
        <v>86.591490303266966</v>
      </c>
      <c r="E109" s="62">
        <f t="shared" si="19"/>
        <v>73.482387180843702</v>
      </c>
      <c r="F109" s="62">
        <f t="shared" si="19"/>
        <v>78.225775202707695</v>
      </c>
      <c r="G109" s="62">
        <f t="shared" si="19"/>
        <v>99.790931413534111</v>
      </c>
      <c r="H109" s="62">
        <f t="shared" si="19"/>
        <v>98.306083212121408</v>
      </c>
      <c r="I109" s="62">
        <f t="shared" si="19"/>
        <v>93.556230795644481</v>
      </c>
      <c r="J109" s="62">
        <f t="shared" si="19"/>
        <v>77.658885656579713</v>
      </c>
      <c r="K109" s="62">
        <f t="shared" si="19"/>
        <v>60.789078698413924</v>
      </c>
      <c r="L109" s="62">
        <f t="shared" si="19"/>
        <v>98.358946066448809</v>
      </c>
      <c r="M109" s="62">
        <f t="shared" si="19"/>
        <v>89.127500200370108</v>
      </c>
      <c r="N109" s="62">
        <f t="shared" si="19"/>
        <v>98.304416641328459</v>
      </c>
      <c r="O109" s="62">
        <f t="shared" si="19"/>
        <v>98.683694155568617</v>
      </c>
      <c r="P109" s="62">
        <f t="shared" si="19"/>
        <v>98.82828724677502</v>
      </c>
      <c r="Q109" s="62">
        <f t="shared" si="19"/>
        <v>98.442770575659949</v>
      </c>
      <c r="R109" s="62">
        <f t="shared" si="19"/>
        <v>98.818116487974379</v>
      </c>
      <c r="S109" s="62">
        <f t="shared" si="19"/>
        <v>99.626477813563568</v>
      </c>
      <c r="T109" s="62">
        <f t="shared" si="19"/>
        <v>97.468909439579818</v>
      </c>
      <c r="U109" s="62">
        <f t="shared" si="19"/>
        <v>97.921056348047301</v>
      </c>
      <c r="V109" s="62">
        <f t="shared" si="19"/>
        <v>99.087827883106669</v>
      </c>
    </row>
    <row r="110" spans="3:22" x14ac:dyDescent="0.2">
      <c r="C110" s="87" t="s">
        <v>141</v>
      </c>
      <c r="D110" s="60">
        <f t="shared" ref="D110:V110" si="20">+IFERROR(IF(D71&gt;0,+((D71/D31)*100)," "),"")</f>
        <v>70.918216381042058</v>
      </c>
      <c r="E110" s="60">
        <f t="shared" si="20"/>
        <v>96.711325949547017</v>
      </c>
      <c r="F110" s="60">
        <f t="shared" si="20"/>
        <v>81.1457037047619</v>
      </c>
      <c r="G110" s="60">
        <f t="shared" si="20"/>
        <v>66.425466648137913</v>
      </c>
      <c r="H110" s="60">
        <f t="shared" si="20"/>
        <v>91.455567912074059</v>
      </c>
      <c r="I110" s="60">
        <f t="shared" si="20"/>
        <v>76.491429471604434</v>
      </c>
      <c r="J110" s="60">
        <f t="shared" si="20"/>
        <v>85.251763565367582</v>
      </c>
      <c r="K110" s="60">
        <f t="shared" si="20"/>
        <v>80.675238841379993</v>
      </c>
      <c r="L110" s="60">
        <f t="shared" si="20"/>
        <v>86.51209943090825</v>
      </c>
      <c r="M110" s="60">
        <f t="shared" si="20"/>
        <v>86.872869031329174</v>
      </c>
      <c r="N110" s="60">
        <f t="shared" si="20"/>
        <v>70.628800674874554</v>
      </c>
      <c r="O110" s="60">
        <f t="shared" si="20"/>
        <v>84.106348753927847</v>
      </c>
      <c r="P110" s="60">
        <f t="shared" si="20"/>
        <v>88.218768398452056</v>
      </c>
      <c r="Q110" s="60">
        <f t="shared" si="20"/>
        <v>85.475621863984202</v>
      </c>
      <c r="R110" s="60">
        <f t="shared" si="20"/>
        <v>93.037051132911529</v>
      </c>
      <c r="S110" s="60">
        <f t="shared" si="20"/>
        <v>94.438213354530646</v>
      </c>
      <c r="T110" s="60">
        <f t="shared" si="20"/>
        <v>93.456825408231524</v>
      </c>
      <c r="U110" s="60">
        <f t="shared" si="20"/>
        <v>92.937369628521566</v>
      </c>
      <c r="V110" s="60">
        <f t="shared" si="20"/>
        <v>97.076964476470465</v>
      </c>
    </row>
    <row r="111" spans="3:22" x14ac:dyDescent="0.2">
      <c r="C111" s="88" t="s">
        <v>142</v>
      </c>
      <c r="D111" s="62">
        <f t="shared" ref="D111:V111" si="21">+IFERROR(IF(D72&gt;0,+((D72/D32)*100)," "),"")</f>
        <v>68.301782214679534</v>
      </c>
      <c r="E111" s="62">
        <f t="shared" si="21"/>
        <v>97.221168000343866</v>
      </c>
      <c r="F111" s="62">
        <f t="shared" si="21"/>
        <v>95.576641035701954</v>
      </c>
      <c r="G111" s="62">
        <f t="shared" si="21"/>
        <v>94.770997342968272</v>
      </c>
      <c r="H111" s="62">
        <f t="shared" si="21"/>
        <v>81.965710914831106</v>
      </c>
      <c r="I111" s="62">
        <f t="shared" si="21"/>
        <v>50.462471001886499</v>
      </c>
      <c r="J111" s="62">
        <f t="shared" si="21"/>
        <v>68.076495665443389</v>
      </c>
      <c r="K111" s="62">
        <f t="shared" si="21"/>
        <v>96.022853149064417</v>
      </c>
      <c r="L111" s="62">
        <f t="shared" si="21"/>
        <v>95.26190513994041</v>
      </c>
      <c r="M111" s="62">
        <f t="shared" si="21"/>
        <v>93.440676027755003</v>
      </c>
      <c r="N111" s="62">
        <f t="shared" si="21"/>
        <v>93.560709043824289</v>
      </c>
      <c r="O111" s="62">
        <f t="shared" si="21"/>
        <v>92.340542513100587</v>
      </c>
      <c r="P111" s="62">
        <f t="shared" si="21"/>
        <v>92.356606692016697</v>
      </c>
      <c r="Q111" s="62">
        <f t="shared" si="21"/>
        <v>82.716293059934713</v>
      </c>
      <c r="R111" s="62">
        <f t="shared" si="21"/>
        <v>84.977840545900818</v>
      </c>
      <c r="S111" s="62">
        <f t="shared" si="21"/>
        <v>94.243504776708022</v>
      </c>
      <c r="T111" s="62">
        <f t="shared" si="21"/>
        <v>96.645884341200301</v>
      </c>
      <c r="U111" s="62">
        <f t="shared" si="21"/>
        <v>98.328334166882186</v>
      </c>
      <c r="V111" s="62">
        <f t="shared" si="21"/>
        <v>95.507127865626543</v>
      </c>
    </row>
    <row r="112" spans="3:22" x14ac:dyDescent="0.2">
      <c r="C112" s="87" t="s">
        <v>143</v>
      </c>
      <c r="D112" s="60">
        <f t="shared" ref="D112:V112" si="22">+IFERROR(IF(D73&gt;0,+((D73/D33)*100)," "),"")</f>
        <v>97.013386543100466</v>
      </c>
      <c r="E112" s="60">
        <f t="shared" si="22"/>
        <v>93.612083979960261</v>
      </c>
      <c r="F112" s="60">
        <f t="shared" si="22"/>
        <v>83.622869502516579</v>
      </c>
      <c r="G112" s="60">
        <f t="shared" si="22"/>
        <v>99.924967153624038</v>
      </c>
      <c r="H112" s="60">
        <f t="shared" si="22"/>
        <v>91.142120457163969</v>
      </c>
      <c r="I112" s="60">
        <f t="shared" si="22"/>
        <v>94.319397369063424</v>
      </c>
      <c r="J112" s="60">
        <f t="shared" si="22"/>
        <v>99.940643232884725</v>
      </c>
      <c r="K112" s="60">
        <f t="shared" si="22"/>
        <v>96.332225193342168</v>
      </c>
      <c r="L112" s="60">
        <f t="shared" si="22"/>
        <v>70.761160334801943</v>
      </c>
      <c r="M112" s="60">
        <f t="shared" si="22"/>
        <v>82.935342815502196</v>
      </c>
      <c r="N112" s="60">
        <f t="shared" si="22"/>
        <v>61.35926926803846</v>
      </c>
      <c r="O112" s="60">
        <f t="shared" si="22"/>
        <v>78.141440481139554</v>
      </c>
      <c r="P112" s="60">
        <f t="shared" si="22"/>
        <v>97.631421808896462</v>
      </c>
      <c r="Q112" s="60">
        <f t="shared" si="22"/>
        <v>92.871405171319523</v>
      </c>
      <c r="R112" s="60">
        <f t="shared" si="22"/>
        <v>94.496115775340357</v>
      </c>
      <c r="S112" s="60">
        <f t="shared" si="22"/>
        <v>97.633556789039346</v>
      </c>
      <c r="T112" s="60">
        <f t="shared" si="22"/>
        <v>94.280968620127908</v>
      </c>
      <c r="U112" s="60">
        <f t="shared" si="22"/>
        <v>98.764378334549519</v>
      </c>
      <c r="V112" s="60">
        <f t="shared" si="22"/>
        <v>99.772442966490843</v>
      </c>
    </row>
    <row r="113" spans="3:22" x14ac:dyDescent="0.2">
      <c r="C113" s="88" t="s">
        <v>144</v>
      </c>
      <c r="D113" s="62">
        <f t="shared" ref="D113:V113" si="23">+IFERROR(IF(D74&gt;0,+((D74/D34)*100)," "),"")</f>
        <v>64.306202573593779</v>
      </c>
      <c r="E113" s="62">
        <f t="shared" si="23"/>
        <v>95.727100082111932</v>
      </c>
      <c r="F113" s="62">
        <f t="shared" si="23"/>
        <v>74.108725222530509</v>
      </c>
      <c r="G113" s="62">
        <f t="shared" si="23"/>
        <v>98.989168990600689</v>
      </c>
      <c r="H113" s="62">
        <f t="shared" si="23"/>
        <v>99.854783472304732</v>
      </c>
      <c r="I113" s="62">
        <f t="shared" si="23"/>
        <v>98.440711182170531</v>
      </c>
      <c r="J113" s="62">
        <f t="shared" si="23"/>
        <v>97.130078225063201</v>
      </c>
      <c r="K113" s="62">
        <f t="shared" si="23"/>
        <v>93.757785705437868</v>
      </c>
      <c r="L113" s="62">
        <f t="shared" si="23"/>
        <v>91.882871309739187</v>
      </c>
      <c r="M113" s="62">
        <f t="shared" si="23"/>
        <v>98.942190202622413</v>
      </c>
      <c r="N113" s="62">
        <f t="shared" si="23"/>
        <v>87.054594863804155</v>
      </c>
      <c r="O113" s="62">
        <f t="shared" si="23"/>
        <v>77.956680575776858</v>
      </c>
      <c r="P113" s="62">
        <f t="shared" si="23"/>
        <v>53.813245988879309</v>
      </c>
      <c r="Q113" s="62">
        <f t="shared" si="23"/>
        <v>84.023336398637056</v>
      </c>
      <c r="R113" s="62">
        <f t="shared" si="23"/>
        <v>93.340369066456603</v>
      </c>
      <c r="S113" s="62">
        <f t="shared" si="23"/>
        <v>83.860590254407171</v>
      </c>
      <c r="T113" s="62">
        <f t="shared" si="23"/>
        <v>95.238760081132483</v>
      </c>
      <c r="U113" s="62">
        <f t="shared" si="23"/>
        <v>97.863583735279619</v>
      </c>
      <c r="V113" s="62">
        <f t="shared" si="23"/>
        <v>96.299697311447062</v>
      </c>
    </row>
    <row r="114" spans="3:22" x14ac:dyDescent="0.2">
      <c r="C114" s="87" t="s">
        <v>145</v>
      </c>
      <c r="D114" s="60">
        <f t="shared" ref="D114:V114" si="24">+IFERROR(IF(D75&gt;0,+((D75/D35)*100)," "),"")</f>
        <v>81.463732171915154</v>
      </c>
      <c r="E114" s="60" t="str">
        <f t="shared" si="24"/>
        <v xml:space="preserve"> </v>
      </c>
      <c r="F114" s="60">
        <f t="shared" si="24"/>
        <v>100</v>
      </c>
      <c r="G114" s="60">
        <f t="shared" si="24"/>
        <v>94.214050774666902</v>
      </c>
      <c r="H114" s="60">
        <f t="shared" si="24"/>
        <v>100</v>
      </c>
      <c r="I114" s="60">
        <f t="shared" si="24"/>
        <v>95.948174001754381</v>
      </c>
      <c r="J114" s="60">
        <f t="shared" si="24"/>
        <v>99.985632955557918</v>
      </c>
      <c r="K114" s="60">
        <f t="shared" si="24"/>
        <v>99.861941172332067</v>
      </c>
      <c r="L114" s="60">
        <f t="shared" si="24"/>
        <v>99.088022076047039</v>
      </c>
      <c r="M114" s="60">
        <f t="shared" si="24"/>
        <v>99.648729160018249</v>
      </c>
      <c r="N114" s="60">
        <f t="shared" si="24"/>
        <v>85.74714844920544</v>
      </c>
      <c r="O114" s="60">
        <f t="shared" si="24"/>
        <v>95.054370550615531</v>
      </c>
      <c r="P114" s="60">
        <f t="shared" si="24"/>
        <v>98.462522941074454</v>
      </c>
      <c r="Q114" s="60">
        <f t="shared" si="24"/>
        <v>99.702492472432155</v>
      </c>
      <c r="R114" s="60">
        <f t="shared" si="24"/>
        <v>98.748649613562705</v>
      </c>
      <c r="S114" s="60">
        <f t="shared" si="24"/>
        <v>99.258598007788578</v>
      </c>
      <c r="T114" s="60">
        <f t="shared" si="24"/>
        <v>99.892567519886356</v>
      </c>
      <c r="U114" s="60">
        <f t="shared" si="24"/>
        <v>99.983382327368034</v>
      </c>
      <c r="V114" s="60">
        <f t="shared" si="24"/>
        <v>99.792891346000005</v>
      </c>
    </row>
    <row r="115" spans="3:22" x14ac:dyDescent="0.2">
      <c r="C115" s="88" t="s">
        <v>146</v>
      </c>
      <c r="D115" s="62" t="str">
        <f t="shared" ref="D115:V115" si="25">+IFERROR(IF(D76&gt;0,+((D76/D36)*100)," "),"")</f>
        <v xml:space="preserve"> </v>
      </c>
      <c r="E115" s="62" t="str">
        <f t="shared" si="25"/>
        <v xml:space="preserve"> </v>
      </c>
      <c r="F115" s="62" t="str">
        <f t="shared" si="25"/>
        <v xml:space="preserve"> </v>
      </c>
      <c r="G115" s="62" t="str">
        <f t="shared" si="25"/>
        <v xml:space="preserve"> </v>
      </c>
      <c r="H115" s="62">
        <f t="shared" si="25"/>
        <v>93.023477831999998</v>
      </c>
      <c r="I115" s="62">
        <f t="shared" si="25"/>
        <v>97.007569971980672</v>
      </c>
      <c r="J115" s="62">
        <f t="shared" si="25"/>
        <v>99.734089129472281</v>
      </c>
      <c r="K115" s="62">
        <f t="shared" si="25"/>
        <v>63.464936980254727</v>
      </c>
      <c r="L115" s="62">
        <f t="shared" si="25"/>
        <v>85.575163465263984</v>
      </c>
      <c r="M115" s="62">
        <f t="shared" si="25"/>
        <v>73.861451663631328</v>
      </c>
      <c r="N115" s="62">
        <f t="shared" si="25"/>
        <v>75.736847566083085</v>
      </c>
      <c r="O115" s="62">
        <f t="shared" si="25"/>
        <v>94.165410091681679</v>
      </c>
      <c r="P115" s="62">
        <f t="shared" si="25"/>
        <v>92.662590481914691</v>
      </c>
      <c r="Q115" s="62">
        <f t="shared" si="25"/>
        <v>98.155298909471696</v>
      </c>
      <c r="R115" s="62">
        <f t="shared" si="25"/>
        <v>99.227564968308045</v>
      </c>
      <c r="S115" s="62">
        <f t="shared" si="25"/>
        <v>98.660131258107171</v>
      </c>
      <c r="T115" s="62">
        <f t="shared" si="25"/>
        <v>97.70751420888169</v>
      </c>
      <c r="U115" s="62">
        <f t="shared" si="25"/>
        <v>99.9736543949696</v>
      </c>
      <c r="V115" s="62">
        <f t="shared" si="25"/>
        <v>98.888433993977756</v>
      </c>
    </row>
    <row r="116" spans="3:22" x14ac:dyDescent="0.2">
      <c r="C116" s="90" t="s">
        <v>147</v>
      </c>
      <c r="D116" s="61">
        <f t="shared" ref="D116:V116" si="26">+IFERROR(IF(D77&gt;0,+((D77/D37)*100)," "),"")</f>
        <v>66.505762715018378</v>
      </c>
      <c r="E116" s="61">
        <f t="shared" si="26"/>
        <v>91.740745704908193</v>
      </c>
      <c r="F116" s="61">
        <f t="shared" si="26"/>
        <v>82.519102374591</v>
      </c>
      <c r="G116" s="61">
        <f t="shared" si="26"/>
        <v>98.383898441034347</v>
      </c>
      <c r="H116" s="61">
        <f t="shared" si="26"/>
        <v>96.303444958470493</v>
      </c>
      <c r="I116" s="61">
        <f t="shared" si="26"/>
        <v>95.097624279959419</v>
      </c>
      <c r="J116" s="61">
        <f t="shared" si="26"/>
        <v>93.901145282111514</v>
      </c>
      <c r="K116" s="61">
        <f t="shared" si="26"/>
        <v>92.704046103943767</v>
      </c>
      <c r="L116" s="61">
        <f t="shared" si="26"/>
        <v>98.318986100474675</v>
      </c>
      <c r="M116" s="61">
        <f t="shared" si="26"/>
        <v>96.72142416322815</v>
      </c>
      <c r="N116" s="61">
        <f t="shared" si="26"/>
        <v>92.576248428183604</v>
      </c>
      <c r="O116" s="61">
        <f t="shared" si="26"/>
        <v>99.275607758191256</v>
      </c>
      <c r="P116" s="61">
        <f t="shared" si="26"/>
        <v>97.988302076554731</v>
      </c>
      <c r="Q116" s="61">
        <f t="shared" si="26"/>
        <v>97.351636022388462</v>
      </c>
      <c r="R116" s="61">
        <f t="shared" si="26"/>
        <v>98.810094242202183</v>
      </c>
      <c r="S116" s="61">
        <f t="shared" si="26"/>
        <v>98.653027134578835</v>
      </c>
      <c r="T116" s="61">
        <f t="shared" si="26"/>
        <v>99.367115674487792</v>
      </c>
      <c r="U116" s="61">
        <f t="shared" si="26"/>
        <v>98.52522433297473</v>
      </c>
      <c r="V116" s="61">
        <f t="shared" si="26"/>
        <v>98.597339573933368</v>
      </c>
    </row>
    <row r="117" spans="3:22" ht="22.5" customHeight="1" x14ac:dyDescent="0.2">
      <c r="C117" s="89" t="s">
        <v>148</v>
      </c>
      <c r="D117" s="63" t="str">
        <f t="shared" ref="D117:V117" si="27">+IFERROR(IF(D78&gt;0,+((D78/D38)*100)," "),"")</f>
        <v xml:space="preserve"> </v>
      </c>
      <c r="E117" s="63" t="str">
        <f t="shared" si="27"/>
        <v xml:space="preserve"> </v>
      </c>
      <c r="F117" s="63" t="str">
        <f t="shared" si="27"/>
        <v xml:space="preserve"> </v>
      </c>
      <c r="G117" s="63" t="str">
        <f t="shared" si="27"/>
        <v xml:space="preserve"> </v>
      </c>
      <c r="H117" s="63" t="str">
        <f t="shared" si="27"/>
        <v xml:space="preserve"> </v>
      </c>
      <c r="I117" s="63" t="str">
        <f t="shared" si="27"/>
        <v xml:space="preserve"> </v>
      </c>
      <c r="J117" s="63" t="str">
        <f t="shared" si="27"/>
        <v xml:space="preserve"> </v>
      </c>
      <c r="K117" s="63" t="str">
        <f t="shared" si="27"/>
        <v xml:space="preserve"> </v>
      </c>
      <c r="L117" s="63" t="str">
        <f t="shared" si="27"/>
        <v xml:space="preserve"> </v>
      </c>
      <c r="M117" s="63" t="str">
        <f t="shared" si="27"/>
        <v xml:space="preserve"> </v>
      </c>
      <c r="N117" s="63" t="str">
        <f t="shared" si="27"/>
        <v xml:space="preserve"> </v>
      </c>
      <c r="O117" s="63" t="str">
        <f t="shared" si="27"/>
        <v xml:space="preserve"> </v>
      </c>
      <c r="P117" s="63" t="str">
        <f t="shared" si="27"/>
        <v xml:space="preserve"> </v>
      </c>
      <c r="Q117" s="63" t="str">
        <f t="shared" si="27"/>
        <v xml:space="preserve"> </v>
      </c>
      <c r="R117" s="63" t="str">
        <f t="shared" si="27"/>
        <v xml:space="preserve"> </v>
      </c>
      <c r="S117" s="63" t="str">
        <f t="shared" si="27"/>
        <v xml:space="preserve"> </v>
      </c>
      <c r="T117" s="63" t="str">
        <f t="shared" si="27"/>
        <v xml:space="preserve"> </v>
      </c>
      <c r="U117" s="63" t="str">
        <f t="shared" si="27"/>
        <v xml:space="preserve"> </v>
      </c>
      <c r="V117" s="63">
        <f t="shared" si="27"/>
        <v>93.221827626375472</v>
      </c>
    </row>
    <row r="118" spans="3:22" x14ac:dyDescent="0.2">
      <c r="C118" s="87" t="s">
        <v>149</v>
      </c>
      <c r="D118" s="60">
        <f t="shared" ref="D118:V118" si="28">+IFERROR(IF(D79&gt;0,+((D79/D39)*100)," "),"")</f>
        <v>79.999999999999986</v>
      </c>
      <c r="E118" s="60">
        <f t="shared" si="28"/>
        <v>100</v>
      </c>
      <c r="F118" s="60">
        <f t="shared" si="28"/>
        <v>98.641349769000001</v>
      </c>
      <c r="G118" s="60">
        <f t="shared" si="28"/>
        <v>99.473739393488856</v>
      </c>
      <c r="H118" s="60">
        <f t="shared" si="28"/>
        <v>97.058032803600653</v>
      </c>
      <c r="I118" s="60">
        <f t="shared" si="28"/>
        <v>99.981812940671162</v>
      </c>
      <c r="J118" s="60">
        <f t="shared" si="28"/>
        <v>99.464426288442013</v>
      </c>
      <c r="K118" s="60">
        <f t="shared" si="28"/>
        <v>91.084754840454536</v>
      </c>
      <c r="L118" s="60">
        <f t="shared" si="28"/>
        <v>98.469066410502293</v>
      </c>
      <c r="M118" s="60">
        <f t="shared" si="28"/>
        <v>25.87342301683373</v>
      </c>
      <c r="N118" s="60">
        <f t="shared" si="28"/>
        <v>80.285326924661234</v>
      </c>
      <c r="O118" s="60">
        <f t="shared" si="28"/>
        <v>67.478907873635961</v>
      </c>
      <c r="P118" s="60">
        <f t="shared" si="28"/>
        <v>58.193427573713826</v>
      </c>
      <c r="Q118" s="60">
        <f t="shared" si="28"/>
        <v>41.944244527785429</v>
      </c>
      <c r="R118" s="60">
        <f t="shared" si="28"/>
        <v>96.778663246236533</v>
      </c>
      <c r="S118" s="60">
        <f t="shared" si="28"/>
        <v>93.874739638358037</v>
      </c>
      <c r="T118" s="60">
        <f t="shared" si="28"/>
        <v>99.051699134811187</v>
      </c>
      <c r="U118" s="60">
        <f t="shared" si="28"/>
        <v>97.466871137302846</v>
      </c>
      <c r="V118" s="60">
        <f t="shared" si="28"/>
        <v>98.001147886607825</v>
      </c>
    </row>
    <row r="119" spans="3:22" x14ac:dyDescent="0.2">
      <c r="C119" s="88" t="s">
        <v>150</v>
      </c>
      <c r="D119" s="62">
        <f t="shared" ref="D119:V119" si="29">+IFERROR(IF(D80&gt;0,+((D80/D40)*100)," "),"")</f>
        <v>67.344893471422395</v>
      </c>
      <c r="E119" s="62">
        <f t="shared" si="29"/>
        <v>84.396956705970297</v>
      </c>
      <c r="F119" s="62">
        <f t="shared" si="29"/>
        <v>79.623067597767374</v>
      </c>
      <c r="G119" s="62">
        <f t="shared" si="29"/>
        <v>98.750286549253516</v>
      </c>
      <c r="H119" s="62">
        <f t="shared" si="29"/>
        <v>98.286636981608183</v>
      </c>
      <c r="I119" s="62">
        <f t="shared" si="29"/>
        <v>98.643313927448233</v>
      </c>
      <c r="J119" s="62">
        <f t="shared" si="29"/>
        <v>80.693789633245331</v>
      </c>
      <c r="K119" s="62">
        <f t="shared" si="29"/>
        <v>97.944987855234587</v>
      </c>
      <c r="L119" s="62">
        <f t="shared" si="29"/>
        <v>98.109303627564685</v>
      </c>
      <c r="M119" s="62">
        <f t="shared" si="29"/>
        <v>98.15328924219493</v>
      </c>
      <c r="N119" s="62">
        <f t="shared" si="29"/>
        <v>97.757578694567997</v>
      </c>
      <c r="O119" s="62">
        <f t="shared" si="29"/>
        <v>96.852141619373526</v>
      </c>
      <c r="P119" s="62">
        <f t="shared" si="29"/>
        <v>96.052742630147876</v>
      </c>
      <c r="Q119" s="62">
        <f t="shared" si="29"/>
        <v>99.30036571731128</v>
      </c>
      <c r="R119" s="62">
        <f t="shared" si="29"/>
        <v>98.393859644393572</v>
      </c>
      <c r="S119" s="62">
        <f t="shared" si="29"/>
        <v>97.74050509638559</v>
      </c>
      <c r="T119" s="62">
        <f t="shared" si="29"/>
        <v>99.974165307029992</v>
      </c>
      <c r="U119" s="62">
        <f t="shared" si="29"/>
        <v>98.848092892740695</v>
      </c>
      <c r="V119" s="62">
        <f t="shared" si="29"/>
        <v>99.706045513503256</v>
      </c>
    </row>
    <row r="120" spans="3:22" x14ac:dyDescent="0.2">
      <c r="C120" s="87" t="s">
        <v>151</v>
      </c>
      <c r="D120" s="60">
        <f t="shared" ref="D120:V120" si="30">+IFERROR(IF(D81&gt;0,+((D81/D41)*100)," "),"")</f>
        <v>99.245526239721372</v>
      </c>
      <c r="E120" s="60">
        <f t="shared" si="30"/>
        <v>99.706010878492066</v>
      </c>
      <c r="F120" s="60">
        <f t="shared" si="30"/>
        <v>89.566230840070062</v>
      </c>
      <c r="G120" s="60">
        <f t="shared" si="30"/>
        <v>92.727829064672122</v>
      </c>
      <c r="H120" s="60">
        <f t="shared" si="30"/>
        <v>99.955813145120004</v>
      </c>
      <c r="I120" s="60">
        <f t="shared" si="30"/>
        <v>98.769048834584339</v>
      </c>
      <c r="J120" s="60">
        <f t="shared" si="30"/>
        <v>99.441510493363722</v>
      </c>
      <c r="K120" s="60">
        <f t="shared" si="30"/>
        <v>99.470401449788895</v>
      </c>
      <c r="L120" s="60">
        <f t="shared" si="30"/>
        <v>99.099702042159464</v>
      </c>
      <c r="M120" s="60">
        <f t="shared" si="30"/>
        <v>97.021688286558359</v>
      </c>
      <c r="N120" s="60">
        <f t="shared" si="30"/>
        <v>99.466619411220506</v>
      </c>
      <c r="O120" s="60">
        <f t="shared" si="30"/>
        <v>98.702553903290806</v>
      </c>
      <c r="P120" s="60">
        <f t="shared" si="30"/>
        <v>99.880675592097518</v>
      </c>
      <c r="Q120" s="60">
        <f t="shared" si="30"/>
        <v>98.23533223106304</v>
      </c>
      <c r="R120" s="60">
        <f t="shared" si="30"/>
        <v>99.514945346193556</v>
      </c>
      <c r="S120" s="60">
        <f t="shared" si="30"/>
        <v>99.755266498961049</v>
      </c>
      <c r="T120" s="60">
        <f t="shared" si="30"/>
        <v>99.464652996386164</v>
      </c>
      <c r="U120" s="60">
        <f t="shared" si="30"/>
        <v>99.916072261317723</v>
      </c>
      <c r="V120" s="60">
        <f t="shared" si="30"/>
        <v>99.411453341819822</v>
      </c>
    </row>
    <row r="121" spans="3:22" x14ac:dyDescent="0.2">
      <c r="C121" s="91" t="s">
        <v>202</v>
      </c>
      <c r="D121" s="64">
        <f t="shared" ref="D121:V121" si="31">+IFERROR(IF(D82&gt;0,+((D82/D42)*100)," "),"")</f>
        <v>81.492177272452778</v>
      </c>
      <c r="E121" s="64">
        <f t="shared" si="31"/>
        <v>92.690470932268084</v>
      </c>
      <c r="F121" s="64">
        <f t="shared" si="31"/>
        <v>84.398883113041663</v>
      </c>
      <c r="G121" s="64">
        <f t="shared" si="31"/>
        <v>98.629699765105059</v>
      </c>
      <c r="H121" s="64">
        <f t="shared" si="31"/>
        <v>95.592236171062453</v>
      </c>
      <c r="I121" s="64">
        <f t="shared" si="31"/>
        <v>93.379688818657513</v>
      </c>
      <c r="J121" s="64">
        <f t="shared" si="31"/>
        <v>91.978695521283498</v>
      </c>
      <c r="K121" s="64">
        <f t="shared" si="31"/>
        <v>86.524129931615974</v>
      </c>
      <c r="L121" s="64">
        <f t="shared" si="31"/>
        <v>97.745332109147313</v>
      </c>
      <c r="M121" s="64">
        <f t="shared" si="31"/>
        <v>93.361637334800676</v>
      </c>
      <c r="N121" s="64">
        <f t="shared" si="31"/>
        <v>94.823412184142143</v>
      </c>
      <c r="O121" s="64">
        <f t="shared" si="31"/>
        <v>97.229893461518984</v>
      </c>
      <c r="P121" s="64">
        <f t="shared" si="31"/>
        <v>94.782790537151271</v>
      </c>
      <c r="Q121" s="64">
        <f t="shared" si="31"/>
        <v>95.103684073174676</v>
      </c>
      <c r="R121" s="64">
        <f t="shared" si="31"/>
        <v>96.022540629275426</v>
      </c>
      <c r="S121" s="64">
        <f t="shared" si="31"/>
        <v>96.893303457872065</v>
      </c>
      <c r="T121" s="64">
        <f t="shared" si="31"/>
        <v>96.752945416540143</v>
      </c>
      <c r="U121" s="64">
        <f t="shared" si="31"/>
        <v>97.973565643993695</v>
      </c>
      <c r="V121" s="64">
        <f t="shared" si="31"/>
        <v>97.287318961018528</v>
      </c>
    </row>
    <row r="122" spans="3:22" x14ac:dyDescent="0.2">
      <c r="C122" s="1" t="s">
        <v>52</v>
      </c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</row>
    <row r="123" spans="3:22" x14ac:dyDescent="0.2"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</row>
    <row r="127" spans="3:22" ht="18" customHeight="1" x14ac:dyDescent="0.2">
      <c r="D127" s="160" t="s">
        <v>213</v>
      </c>
      <c r="E127" s="158"/>
      <c r="F127" s="158"/>
      <c r="G127" s="158"/>
      <c r="H127" s="158"/>
      <c r="I127" s="158"/>
      <c r="J127" s="158"/>
      <c r="K127" s="158"/>
      <c r="L127" s="158"/>
      <c r="M127" s="158"/>
      <c r="N127" s="158"/>
      <c r="O127" s="158"/>
      <c r="P127" s="158"/>
      <c r="Q127" s="158"/>
      <c r="R127" s="158"/>
      <c r="S127" s="158"/>
      <c r="T127" s="158"/>
      <c r="U127" s="158"/>
      <c r="V127" s="158"/>
    </row>
    <row r="128" spans="3:22" x14ac:dyDescent="0.2">
      <c r="C128" s="150"/>
      <c r="D128" s="150"/>
      <c r="E128" s="150"/>
      <c r="F128" s="150"/>
      <c r="G128" s="150"/>
      <c r="H128" s="150"/>
      <c r="I128" s="150"/>
      <c r="J128" s="150"/>
      <c r="K128" s="150"/>
      <c r="L128" s="150"/>
      <c r="M128" s="150"/>
      <c r="N128" s="150"/>
      <c r="O128" s="150"/>
      <c r="P128" s="150"/>
      <c r="Q128" s="150"/>
      <c r="R128" s="150"/>
      <c r="S128" s="150"/>
      <c r="T128" s="150"/>
      <c r="U128" s="150"/>
      <c r="V128" s="150"/>
    </row>
    <row r="129" spans="3:22" x14ac:dyDescent="0.2">
      <c r="C129" s="177" t="s">
        <v>120</v>
      </c>
      <c r="D129" s="153">
        <v>2000</v>
      </c>
      <c r="E129" s="153">
        <v>2001</v>
      </c>
      <c r="F129" s="153">
        <v>2002</v>
      </c>
      <c r="G129" s="153">
        <v>2003</v>
      </c>
      <c r="H129" s="153">
        <v>2004</v>
      </c>
      <c r="I129" s="153">
        <v>2005</v>
      </c>
      <c r="J129" s="153">
        <v>2006</v>
      </c>
      <c r="K129" s="153">
        <v>2007</v>
      </c>
      <c r="L129" s="153">
        <v>2008</v>
      </c>
      <c r="M129" s="153">
        <v>2009</v>
      </c>
      <c r="N129" s="153">
        <v>2010</v>
      </c>
      <c r="O129" s="153">
        <v>2011</v>
      </c>
      <c r="P129" s="153">
        <v>2012</v>
      </c>
      <c r="Q129" s="153">
        <v>2013</v>
      </c>
      <c r="R129" s="153">
        <v>2014</v>
      </c>
      <c r="S129" s="153">
        <v>2015</v>
      </c>
      <c r="T129" s="153">
        <v>2016</v>
      </c>
      <c r="U129" s="153">
        <v>2017</v>
      </c>
      <c r="V129" s="153">
        <v>2018</v>
      </c>
    </row>
    <row r="130" spans="3:22" ht="12" customHeight="1" thickBot="1" x14ac:dyDescent="0.25">
      <c r="C130" s="156"/>
      <c r="D130" s="154"/>
      <c r="E130" s="154"/>
      <c r="F130" s="154"/>
      <c r="G130" s="154"/>
      <c r="H130" s="154"/>
      <c r="I130" s="154"/>
      <c r="J130" s="154"/>
      <c r="K130" s="154"/>
      <c r="L130" s="154"/>
      <c r="M130" s="154"/>
      <c r="N130" s="154"/>
      <c r="O130" s="154"/>
      <c r="P130" s="154"/>
      <c r="Q130" s="154"/>
      <c r="R130" s="154"/>
      <c r="S130" s="154"/>
      <c r="T130" s="154"/>
      <c r="U130" s="154"/>
      <c r="V130" s="154"/>
    </row>
    <row r="131" spans="3:22" x14ac:dyDescent="0.2">
      <c r="C131" s="87" t="s">
        <v>123</v>
      </c>
      <c r="D131" s="56">
        <f>184.67945691558*Deflactores!$A$5</f>
        <v>670.48968815879675</v>
      </c>
      <c r="E131" s="56">
        <f>251.22436433154*Deflactores!$B$5</f>
        <v>847.28219141567729</v>
      </c>
      <c r="F131" s="56">
        <f>230.73979158523*Deflactores!$C$5</f>
        <v>727.34115230494899</v>
      </c>
      <c r="G131" s="56">
        <f>129.39295663393*Deflactores!$D$5</f>
        <v>383.01159361632853</v>
      </c>
      <c r="H131" s="56">
        <f>220.40300738359*Deflactores!$E$5</f>
        <v>618.41321346414441</v>
      </c>
      <c r="I131" s="56">
        <f>284.069803589789*Deflactores!$F$5</f>
        <v>760.1450742259301</v>
      </c>
      <c r="J131" s="56">
        <f>462.580384506129*Deflactores!$G$5</f>
        <v>1184.7698443364322</v>
      </c>
      <c r="K131" s="56">
        <f>862.04481320096*Deflactores!$H$5</f>
        <v>2088.9324322247653</v>
      </c>
      <c r="L131" s="56">
        <f>1048.00320780541*Deflactores!$I$5</f>
        <v>2358.5485287727015</v>
      </c>
      <c r="M131" s="56">
        <f>1051.70189328562*Deflactores!$J$5</f>
        <v>2320.4220865733823</v>
      </c>
      <c r="N131" s="56">
        <f>931.5722528668*Deflactores!$K$5</f>
        <v>1992.1971013467494</v>
      </c>
      <c r="O131" s="56">
        <f>1052.96177117086*Deflactores!$L$5</f>
        <v>2170.8902298630392</v>
      </c>
      <c r="P131" s="56">
        <f>1500.73953405479*Deflactores!$M$5</f>
        <v>3020.3760205814692</v>
      </c>
      <c r="Q131" s="56">
        <f>1889.98064265102*Deflactores!$N$5</f>
        <v>3731.3708735616401</v>
      </c>
      <c r="R131" s="56">
        <f>2714.40790689171*Deflactores!$O$5</f>
        <v>5169.8145950034841</v>
      </c>
      <c r="S131" s="56">
        <f>2802.57555008745*Deflactores!$P$5</f>
        <v>4999.285540142293</v>
      </c>
      <c r="T131" s="56">
        <f>1560.91919835822*Deflactores!$Q$5</f>
        <v>2632.9987928895189</v>
      </c>
      <c r="U131" s="56">
        <f>1996.57773876564*Deflactores!$R$5</f>
        <v>3235.5450703150318</v>
      </c>
      <c r="V131" s="56">
        <f>877.959083228069*Deflactores!$S$5</f>
        <v>1378.9228936488498</v>
      </c>
    </row>
    <row r="132" spans="3:22" x14ac:dyDescent="0.2">
      <c r="C132" s="88" t="s">
        <v>124</v>
      </c>
      <c r="D132" s="57">
        <f>21.37412865531*Deflactores!$A$5</f>
        <v>77.600037904138944</v>
      </c>
      <c r="E132" s="57">
        <f>33.58266301322*Deflactores!$B$5</f>
        <v>113.26127697496972</v>
      </c>
      <c r="F132" s="57">
        <f>33.74139865185*Deflactores!$C$5</f>
        <v>106.36010203186891</v>
      </c>
      <c r="G132" s="57">
        <f>53.18036131022*Deflactores!$D$5</f>
        <v>157.41733912260207</v>
      </c>
      <c r="H132" s="57">
        <f>46.0294290108499*Deflactores!$E$5</f>
        <v>129.15072006698384</v>
      </c>
      <c r="I132" s="57">
        <f>67.62138069866*Deflactores!$F$5</f>
        <v>180.94869219070512</v>
      </c>
      <c r="J132" s="57">
        <f>118.87005602673*Deflactores!$G$5</f>
        <v>304.45229087137369</v>
      </c>
      <c r="K132" s="57">
        <f>354.11123667931*Deflactores!$H$5</f>
        <v>858.09279933825007</v>
      </c>
      <c r="L132" s="57">
        <f>373.67583675123*Deflactores!$I$5</f>
        <v>840.96364251889281</v>
      </c>
      <c r="M132" s="57">
        <f>340.760282099399*Deflactores!$J$5</f>
        <v>751.83632344729688</v>
      </c>
      <c r="N132" s="57">
        <f>410.3836519125*Deflactores!$K$5</f>
        <v>877.61858434943611</v>
      </c>
      <c r="O132" s="57">
        <f>219.09251307469*Deflactores!$L$5</f>
        <v>451.70281494750185</v>
      </c>
      <c r="P132" s="57">
        <f>106.054193829091*Deflactores!$M$5</f>
        <v>213.44379664472214</v>
      </c>
      <c r="Q132" s="57">
        <f>136.13782281665*Deflactores!$N$5</f>
        <v>268.77561356163602</v>
      </c>
      <c r="R132" s="57">
        <f>146.305244668261*Deflactores!$O$5</f>
        <v>278.65045164772522</v>
      </c>
      <c r="S132" s="57">
        <f>196.632446251506*Deflactores!$P$5</f>
        <v>350.7565550685286</v>
      </c>
      <c r="T132" s="57">
        <f>186.063070737816*Deflactores!$Q$5</f>
        <v>313.85599021990964</v>
      </c>
      <c r="U132" s="57">
        <f>202.3894201023*Deflactores!$R$5</f>
        <v>327.98126403070165</v>
      </c>
      <c r="V132" s="57">
        <f>159.783188754449*Deflactores!$S$5</f>
        <v>250.95554132616675</v>
      </c>
    </row>
    <row r="133" spans="3:22" x14ac:dyDescent="0.2">
      <c r="C133" s="87" t="s">
        <v>125</v>
      </c>
      <c r="D133" s="56">
        <f>20.545483391*Deflactores!$A$5</f>
        <v>74.591592275476273</v>
      </c>
      <c r="E133" s="56">
        <f>33.18002699995*Deflactores!$B$5</f>
        <v>111.90334210836552</v>
      </c>
      <c r="F133" s="56">
        <f>17.17255298646*Deflactores!$C$5</f>
        <v>54.131558286408428</v>
      </c>
      <c r="G133" s="56">
        <f>9.92716810509*Deflactores!$D$5</f>
        <v>29.38506526892882</v>
      </c>
      <c r="H133" s="56">
        <f>34.54573320167*Deflactores!$E$5</f>
        <v>96.929430021517675</v>
      </c>
      <c r="I133" s="56">
        <f>27.05380612204*Deflactores!$F$5</f>
        <v>72.393535683323265</v>
      </c>
      <c r="J133" s="56">
        <f>38.0651045518*Deflactores!$G$5</f>
        <v>97.493083375411842</v>
      </c>
      <c r="K133" s="56">
        <f>68.71513163497*Deflactores!$H$5</f>
        <v>166.51253491553746</v>
      </c>
      <c r="L133" s="56">
        <f>123.780734702*Deflactores!$I$5</f>
        <v>278.57058790225881</v>
      </c>
      <c r="M133" s="56">
        <f>130.95984248537*Deflactores!$J$5</f>
        <v>288.94320044234797</v>
      </c>
      <c r="N133" s="56">
        <f>310.11040079419*Deflactores!$K$5</f>
        <v>663.18102504497824</v>
      </c>
      <c r="O133" s="56">
        <f>351.51111180104*Deflactores!$L$5</f>
        <v>724.7101074226448</v>
      </c>
      <c r="P133" s="56">
        <f>374.33902296769*Deflactores!$M$5</f>
        <v>753.39163318011742</v>
      </c>
      <c r="Q133" s="56">
        <f>398.39529388994*Deflactores!$N$5</f>
        <v>786.54805358207113</v>
      </c>
      <c r="R133" s="56">
        <f>336.17126917952*Deflactores!$O$5</f>
        <v>640.26601507186888</v>
      </c>
      <c r="S133" s="56">
        <f>328.274931341819*Deflactores!$P$5</f>
        <v>585.58282840837262</v>
      </c>
      <c r="T133" s="56">
        <f>281.088120646199*Deflactores!$Q$5</f>
        <v>474.14669710992729</v>
      </c>
      <c r="U133" s="56">
        <f>356.684413090219*Deflactores!$R$5</f>
        <v>578.02332061748677</v>
      </c>
      <c r="V133" s="56">
        <f>247.07504864002*Deflactores!$S$5</f>
        <v>388.05617201026564</v>
      </c>
    </row>
    <row r="134" spans="3:22" x14ac:dyDescent="0.2">
      <c r="C134" s="88" t="s">
        <v>126</v>
      </c>
      <c r="D134" s="57">
        <f>52.47501717977*Deflactores!$A$5</f>
        <v>190.51365264234371</v>
      </c>
      <c r="E134" s="57">
        <f>67.6145702039*Deflactores!$B$5</f>
        <v>228.03768004916094</v>
      </c>
      <c r="F134" s="57">
        <f>45.2477557202099*Deflactores!$C$5</f>
        <v>142.63059942391391</v>
      </c>
      <c r="G134" s="57">
        <f>25.71650102841*Deflactores!$D$5</f>
        <v>76.122520864821382</v>
      </c>
      <c r="H134" s="57">
        <f>13.2360909442499*Deflactores!$E$5</f>
        <v>37.138211641057133</v>
      </c>
      <c r="I134" s="57">
        <f>15.2200634325399*Deflactores!$F$5</f>
        <v>40.727511694126704</v>
      </c>
      <c r="J134" s="57">
        <f>26.62199281256*Deflactores!$G$5</f>
        <v>68.184763852744865</v>
      </c>
      <c r="K134" s="57">
        <f>76.00194425202*Deflactores!$H$5</f>
        <v>184.17015429935927</v>
      </c>
      <c r="L134" s="57">
        <f>59.728931699*Deflactores!$I$5</f>
        <v>134.42094731641183</v>
      </c>
      <c r="M134" s="57">
        <f>149.23988166931*Deflactores!$J$5</f>
        <v>329.27535819222624</v>
      </c>
      <c r="N134" s="57">
        <f>185.25690115858*Deflactores!$K$5</f>
        <v>396.17781697215838</v>
      </c>
      <c r="O134" s="57">
        <f>176.51099676584*Deflactores!$L$5</f>
        <v>363.91254538733909</v>
      </c>
      <c r="P134" s="57">
        <f>260.73603094218*Deflactores!$M$5</f>
        <v>524.75518748518357</v>
      </c>
      <c r="Q134" s="57">
        <f>303.41323646085*Deflactores!$N$5</f>
        <v>599.02587763812062</v>
      </c>
      <c r="R134" s="57">
        <f>216.720995418859*Deflactores!$O$5</f>
        <v>412.76307894456727</v>
      </c>
      <c r="S134" s="57">
        <f>218.52685574213*Deflactores!$P$5</f>
        <v>389.8122032821924</v>
      </c>
      <c r="T134" s="57">
        <f>205.616803038199*Deflactores!$Q$5</f>
        <v>346.83973056825397</v>
      </c>
      <c r="U134" s="57">
        <f>238.901588567529*Deflactores!$R$5</f>
        <v>387.15089433882093</v>
      </c>
      <c r="V134" s="57">
        <f>62.00884598359*Deflactores!$S$5</f>
        <v>97.391118753658233</v>
      </c>
    </row>
    <row r="135" spans="3:22" x14ac:dyDescent="0.2">
      <c r="C135" s="87" t="s">
        <v>127</v>
      </c>
      <c r="D135" s="56">
        <f>0*Deflactores!$A$5</f>
        <v>0</v>
      </c>
      <c r="E135" s="56">
        <f>0*Deflactores!$B$5</f>
        <v>0</v>
      </c>
      <c r="F135" s="56">
        <f>0*Deflactores!$C$5</f>
        <v>0</v>
      </c>
      <c r="G135" s="56">
        <f>7.4222326*Deflactores!$D$5</f>
        <v>21.970292744447679</v>
      </c>
      <c r="H135" s="56">
        <f>0*Deflactores!$E$5</f>
        <v>0</v>
      </c>
      <c r="I135" s="56">
        <f>4.468227078*Deflactores!$F$5</f>
        <v>11.956571099578532</v>
      </c>
      <c r="J135" s="56">
        <f>37.905725492*Deflactores!$G$5</f>
        <v>97.084878639122977</v>
      </c>
      <c r="K135" s="56">
        <f>12.99541459514*Deflactores!$H$5</f>
        <v>31.490872170779603</v>
      </c>
      <c r="L135" s="56">
        <f>13.60924860814*Deflactores!$I$5</f>
        <v>30.627838773171394</v>
      </c>
      <c r="M135" s="56">
        <f>10.39842512527*Deflactores!$J$5</f>
        <v>22.942561461856421</v>
      </c>
      <c r="N135" s="56">
        <f>26.66466349089*Deflactores!$K$5</f>
        <v>57.023236953938181</v>
      </c>
      <c r="O135" s="56">
        <f>13.969757142*Deflactores!$L$5</f>
        <v>28.801434319315096</v>
      </c>
      <c r="P135" s="56">
        <f>5.50236868371*Deflactores!$M$5</f>
        <v>11.07402187491741</v>
      </c>
      <c r="Q135" s="56">
        <f>36.250531477*Deflactores!$N$5</f>
        <v>71.569080789460457</v>
      </c>
      <c r="R135" s="56">
        <f>50.0090147194*Deflactores!$O$5</f>
        <v>95.246308972829127</v>
      </c>
      <c r="S135" s="56">
        <f>52.21069267632*Deflactores!$P$5</f>
        <v>93.134388805110021</v>
      </c>
      <c r="T135" s="56">
        <f>62.44311337586*Deflactores!$Q$5</f>
        <v>105.33065537013864</v>
      </c>
      <c r="U135" s="56">
        <f>64.75029318367*Deflactores!$R$5</f>
        <v>104.93079625409368</v>
      </c>
      <c r="V135" s="56">
        <f>47.1439929030099*Deflactores!$S$5</f>
        <v>74.044374451892338</v>
      </c>
    </row>
    <row r="136" spans="3:22" x14ac:dyDescent="0.2">
      <c r="C136" s="88" t="s">
        <v>128</v>
      </c>
      <c r="D136" s="57">
        <f>10.7002177127399*Deflactores!$A$5</f>
        <v>38.847773094360669</v>
      </c>
      <c r="E136" s="57">
        <f>16.21797608455*Deflactores!$B$5</f>
        <v>54.696933371917495</v>
      </c>
      <c r="F136" s="57">
        <f>9.35359502551*Deflactores!$C$5</f>
        <v>29.484531199878958</v>
      </c>
      <c r="G136" s="57">
        <f>8.57728974945*Deflactores!$D$5</f>
        <v>25.38933726617066</v>
      </c>
      <c r="H136" s="57">
        <f>23.7032799705299*Deflactores!$E$5</f>
        <v>66.507357182763528</v>
      </c>
      <c r="I136" s="57">
        <f>27.3304373868199*Deflactores!$F$5</f>
        <v>73.133775901192323</v>
      </c>
      <c r="J136" s="57">
        <f>41.35425781829*Deflactores!$G$5</f>
        <v>105.91732645631662</v>
      </c>
      <c r="K136" s="57">
        <f>46.0481399475099*Deflactores!$H$5</f>
        <v>111.58521170471224</v>
      </c>
      <c r="L136" s="57">
        <f>63.76696157882*Deflactores!$I$5</f>
        <v>143.5086002560754</v>
      </c>
      <c r="M136" s="57">
        <f>71.43695210838*Deflactores!$J$5</f>
        <v>157.61489308715349</v>
      </c>
      <c r="N136" s="57">
        <f>83.33697348174*Deflactores!$K$5</f>
        <v>178.21878710364734</v>
      </c>
      <c r="O136" s="57">
        <f>92.95075846535*Deflactores!$L$5</f>
        <v>191.63648570679641</v>
      </c>
      <c r="P136" s="57">
        <f>170.16675716227*Deflactores!$M$5</f>
        <v>342.47621334020641</v>
      </c>
      <c r="Q136" s="57">
        <f>177.014539922909*Deflactores!$N$5</f>
        <v>349.47812880177617</v>
      </c>
      <c r="R136" s="57">
        <f>177.183341762499*Deflactores!$O$5</f>
        <v>337.46034408077685</v>
      </c>
      <c r="S136" s="57">
        <f>201.65425819191*Deflactores!$P$5</f>
        <v>359.71455508326227</v>
      </c>
      <c r="T136" s="57">
        <f>151.09620904219*Deflactores!$Q$5</f>
        <v>254.87298537727901</v>
      </c>
      <c r="U136" s="57">
        <f>154.38958106477*Deflactores!$R$5</f>
        <v>250.19534086909664</v>
      </c>
      <c r="V136" s="57">
        <f>104.17822494029*Deflactores!$S$5</f>
        <v>163.62236251566665</v>
      </c>
    </row>
    <row r="137" spans="3:22" x14ac:dyDescent="0.2">
      <c r="C137" s="87" t="s">
        <v>129</v>
      </c>
      <c r="D137" s="56">
        <f>367.62471420271*Deflactores!$A$5</f>
        <v>1334.6832620258124</v>
      </c>
      <c r="E137" s="56">
        <f>478.42842365187*Deflactores!$B$5</f>
        <v>1613.5532248470417</v>
      </c>
      <c r="F137" s="56">
        <f>586.924552173229*Deflactores!$C$5</f>
        <v>1850.1116654430953</v>
      </c>
      <c r="G137" s="56">
        <f>484.422939741729*Deflactores!$D$5</f>
        <v>1433.9235068235025</v>
      </c>
      <c r="H137" s="56">
        <f>479.591862101679*Deflactores!$E$5</f>
        <v>1345.6528933717004</v>
      </c>
      <c r="I137" s="56">
        <f>432.15973769685*Deflactores!$F$5</f>
        <v>1156.4203295729626</v>
      </c>
      <c r="J137" s="56">
        <f>770.780578778649*Deflactores!$G$5</f>
        <v>1974.1381539818094</v>
      </c>
      <c r="K137" s="56">
        <f>1037.54297204679*Deflactores!$H$5</f>
        <v>2514.2047500843305</v>
      </c>
      <c r="L137" s="56">
        <f>3157.3379508106*Deflactores!$I$5</f>
        <v>7105.6412072597814</v>
      </c>
      <c r="M137" s="56">
        <f>2671.49444722709*Deflactores!$J$5</f>
        <v>5894.250793956091</v>
      </c>
      <c r="N137" s="56">
        <f>1622.33791363501*Deflactores!$K$5</f>
        <v>3469.4215923697407</v>
      </c>
      <c r="O137" s="56">
        <f>1192.10282727465*Deflactores!$L$5</f>
        <v>2457.7572059856975</v>
      </c>
      <c r="P137" s="56">
        <f>1702.93143862937*Deflactores!$M$5</f>
        <v>3427.3057817257918</v>
      </c>
      <c r="Q137" s="56">
        <f>2581.07992805472*Deflactores!$N$5</f>
        <v>5095.8016439622807</v>
      </c>
      <c r="R137" s="56">
        <f>1913.1500643216*Deflactores!$O$5</f>
        <v>3643.7526945931659</v>
      </c>
      <c r="S137" s="56">
        <f>1216.86416876483*Deflactores!$P$5</f>
        <v>2170.6645671098718</v>
      </c>
      <c r="T137" s="56">
        <f>867.424687795991*Deflactores!$Q$5</f>
        <v>1463.1943525915085</v>
      </c>
      <c r="U137" s="56">
        <f>810.614612412895*Deflactores!$R$5</f>
        <v>1313.6378625253903</v>
      </c>
      <c r="V137" s="56">
        <f>519.006862392118*Deflactores!$S$5</f>
        <v>815.1523894279693</v>
      </c>
    </row>
    <row r="138" spans="3:22" x14ac:dyDescent="0.2">
      <c r="C138" s="88" t="s">
        <v>130</v>
      </c>
      <c r="D138" s="57">
        <f>20.777910023*Deflactores!$A$5</f>
        <v>75.435430905999837</v>
      </c>
      <c r="E138" s="57">
        <f>35.37455426187*Deflactores!$B$5</f>
        <v>119.30463008673692</v>
      </c>
      <c r="F138" s="57">
        <f>10.96235268833*Deflactores!$C$5</f>
        <v>34.555679284983739</v>
      </c>
      <c r="G138" s="57">
        <f>9.89428243546*Deflactores!$D$5</f>
        <v>29.287721541265483</v>
      </c>
      <c r="H138" s="57">
        <f>57.64286058155*Deflactores!$E$5</f>
        <v>161.73602651193266</v>
      </c>
      <c r="I138" s="57">
        <f>45.7637279675*Deflactores!$F$5</f>
        <v>122.45959251249681</v>
      </c>
      <c r="J138" s="57">
        <f>68.56015490047*Deflactores!$G$5</f>
        <v>175.59759723887575</v>
      </c>
      <c r="K138" s="57">
        <f>55.71820258425*Deflactores!$H$5</f>
        <v>135.0179928713014</v>
      </c>
      <c r="L138" s="57">
        <f>121.537643698309*Deflactores!$I$5</f>
        <v>273.52247454987963</v>
      </c>
      <c r="M138" s="57">
        <f>102.06483399845*Deflactores!$J$5</f>
        <v>225.19070906353338</v>
      </c>
      <c r="N138" s="57">
        <f>111.83176094635*Deflactores!$K$5</f>
        <v>239.15580279490854</v>
      </c>
      <c r="O138" s="57">
        <f>134.81585283081*Deflactores!$L$5</f>
        <v>277.94970886323688</v>
      </c>
      <c r="P138" s="57">
        <f>264.16768379326*Deflactores!$M$5</f>
        <v>531.66170373744592</v>
      </c>
      <c r="Q138" s="57">
        <f>321.37163963124*Deflactores!$N$5</f>
        <v>634.48098284580044</v>
      </c>
      <c r="R138" s="57">
        <f>290.49069110278*Deflactores!$O$5</f>
        <v>553.26357205299496</v>
      </c>
      <c r="S138" s="57">
        <f>350.12694987756*Deflactores!$P$5</f>
        <v>624.56285886116177</v>
      </c>
      <c r="T138" s="57">
        <f>227.25612097164*Deflactores!$Q$5</f>
        <v>383.34149059377643</v>
      </c>
      <c r="U138" s="57">
        <f>416.07362905724*Deflactores!$R$5</f>
        <v>674.2662473120256</v>
      </c>
      <c r="V138" s="57">
        <f>366.45051589856*Deflactores!$S$5</f>
        <v>575.54732949974129</v>
      </c>
    </row>
    <row r="139" spans="3:22" x14ac:dyDescent="0.2">
      <c r="C139" s="87" t="s">
        <v>131</v>
      </c>
      <c r="D139" s="56">
        <f>86.35499660579*Deflactores!$A$5</f>
        <v>313.51692122225154</v>
      </c>
      <c r="E139" s="56">
        <f>48.34773094472*Deflactores!$B$5</f>
        <v>163.05811553674639</v>
      </c>
      <c r="F139" s="56">
        <f>73.49965372703*Deflactores!$C$5</f>
        <v>231.68662183733525</v>
      </c>
      <c r="G139" s="56">
        <f>89.46247996286*Deflactores!$D$5</f>
        <v>264.81477748734511</v>
      </c>
      <c r="H139" s="56">
        <f>132.24746799054*Deflactores!$E$5</f>
        <v>371.0638190620968</v>
      </c>
      <c r="I139" s="56">
        <f>245.776260190299*Deflactores!$F$5</f>
        <v>657.67501925376018</v>
      </c>
      <c r="J139" s="56">
        <f>268.05839330821*Deflactores!$G$5</f>
        <v>686.5563511775631</v>
      </c>
      <c r="K139" s="56">
        <f>575.782773028959*Deflactores!$H$5</f>
        <v>1395.2538082450164</v>
      </c>
      <c r="L139" s="56">
        <f>734.569457056539*Deflactores!$I$5</f>
        <v>1653.1606958055713</v>
      </c>
      <c r="M139" s="56">
        <f>821.58213335127*Deflactores!$J$5</f>
        <v>1812.697438631141</v>
      </c>
      <c r="N139" s="56">
        <f>870.45607203817*Deflactores!$K$5</f>
        <v>1861.4981910716817</v>
      </c>
      <c r="O139" s="56">
        <f>821.62902903368*Deflactores!$L$5</f>
        <v>1693.9517469069092</v>
      </c>
      <c r="P139" s="56">
        <f>934.378423592749*Deflactores!$M$5</f>
        <v>1880.5223163163632</v>
      </c>
      <c r="Q139" s="56">
        <f>1442.17352733773*Deflactores!$N$5</f>
        <v>2847.2695291637961</v>
      </c>
      <c r="R139" s="56">
        <f>1823.6576369933*Deflactores!$O$5</f>
        <v>3473.3069573222597</v>
      </c>
      <c r="S139" s="56">
        <f>2396.58243904718*Deflactores!$P$5</f>
        <v>4275.0676009121889</v>
      </c>
      <c r="T139" s="56">
        <f>2531.92850159937*Deflactores!$Q$5</f>
        <v>4270.9223484505956</v>
      </c>
      <c r="U139" s="56">
        <f>3205.4284345738*Deflactores!$R$5</f>
        <v>5194.5426257956897</v>
      </c>
      <c r="V139" s="56">
        <f>3207.51566118486*Deflactores!$S$5</f>
        <v>5037.7254036519626</v>
      </c>
    </row>
    <row r="140" spans="3:22" x14ac:dyDescent="0.2">
      <c r="C140" s="88" t="s">
        <v>132</v>
      </c>
      <c r="D140" s="57">
        <f>0*Deflactores!$A$5</f>
        <v>0</v>
      </c>
      <c r="E140" s="57">
        <f>0*Deflactores!$B$5</f>
        <v>0</v>
      </c>
      <c r="F140" s="57">
        <f>0*Deflactores!$C$5</f>
        <v>0</v>
      </c>
      <c r="G140" s="57">
        <f>0*Deflactores!$D$5</f>
        <v>0</v>
      </c>
      <c r="H140" s="57">
        <f>1.05439496959*Deflactores!$E$5</f>
        <v>2.958452287675676</v>
      </c>
      <c r="I140" s="57">
        <f>0.6801182*Deflactores!$F$5</f>
        <v>1.8199347241002892</v>
      </c>
      <c r="J140" s="57">
        <f>0*Deflactores!$G$5</f>
        <v>0</v>
      </c>
      <c r="K140" s="57">
        <f>3.00562964263999*Deflactores!$H$5</f>
        <v>7.2833304529182854</v>
      </c>
      <c r="L140" s="57">
        <f>2.758*Deflactores!$I$5</f>
        <v>6.206924553195563</v>
      </c>
      <c r="M140" s="57">
        <f>0.55841199934*Deflactores!$J$5</f>
        <v>1.232052109964433</v>
      </c>
      <c r="N140" s="57">
        <f>2.04147545971*Deflactores!$K$5</f>
        <v>4.3657606597760097</v>
      </c>
      <c r="O140" s="57">
        <f>3.29327210056*Deflactores!$L$5</f>
        <v>6.7897357939561305</v>
      </c>
      <c r="P140" s="57">
        <f>9.22299242554*Deflactores!$M$5</f>
        <v>18.562118560867148</v>
      </c>
      <c r="Q140" s="57">
        <f>6.77195395508*Deflactores!$N$5</f>
        <v>13.369804523311121</v>
      </c>
      <c r="R140" s="57">
        <f>8.18454140836*Deflactores!$O$5</f>
        <v>15.588136742057442</v>
      </c>
      <c r="S140" s="57">
        <f>8.38615291393*Deflactores!$P$5</f>
        <v>14.959372994859747</v>
      </c>
      <c r="T140" s="57">
        <f>14.75203270557*Deflactores!$Q$5</f>
        <v>24.884109534488875</v>
      </c>
      <c r="U140" s="57">
        <f>17.52813157709*Deflactores!$R$5</f>
        <v>28.405134753805758</v>
      </c>
      <c r="V140" s="57">
        <f>15.9303262798*Deflactores!$S$5</f>
        <v>25.020176942352794</v>
      </c>
    </row>
    <row r="141" spans="3:22" x14ac:dyDescent="0.2">
      <c r="C141" s="87" t="s">
        <v>133</v>
      </c>
      <c r="D141" s="56">
        <f>18.9942303141999*Deflactores!$A$5</f>
        <v>68.959676256822817</v>
      </c>
      <c r="E141" s="56">
        <f>24.84059606474*Deflactores!$B$5</f>
        <v>83.777681061335699</v>
      </c>
      <c r="F141" s="56">
        <f>9.08884023026*Deflactores!$C$5</f>
        <v>28.649967484048151</v>
      </c>
      <c r="G141" s="56">
        <f>18.127861628*Deflactores!$D$5</f>
        <v>53.659653134287375</v>
      </c>
      <c r="H141" s="56">
        <f>27.4849532404*Deflactores!$E$5</f>
        <v>77.118086804168627</v>
      </c>
      <c r="I141" s="56">
        <f>31.44458854022*Deflactores!$F$5</f>
        <v>84.142871885199369</v>
      </c>
      <c r="J141" s="56">
        <f>24.91284371669*Deflactores!$G$5</f>
        <v>63.807258069780083</v>
      </c>
      <c r="K141" s="56">
        <f>63.54693293979*Deflactores!$H$5</f>
        <v>153.98880331224032</v>
      </c>
      <c r="L141" s="56">
        <f>62.2405618561199*Deflactores!$I$5</f>
        <v>140.07341246897673</v>
      </c>
      <c r="M141" s="56">
        <f>61.16919722886*Deflactores!$J$5</f>
        <v>134.96063587408855</v>
      </c>
      <c r="N141" s="56">
        <f>44.74750414356*Deflactores!$K$5</f>
        <v>95.693970889500434</v>
      </c>
      <c r="O141" s="56">
        <f>74.1280923941799*Deflactores!$L$5</f>
        <v>152.82981390479875</v>
      </c>
      <c r="P141" s="56">
        <f>82.2443504821699*Deflactores!$M$5</f>
        <v>165.52430211089174</v>
      </c>
      <c r="Q141" s="56">
        <f>104.79522355333*Deflactores!$N$5</f>
        <v>206.89621683468164</v>
      </c>
      <c r="R141" s="56">
        <f>102.717955829888*Deflactores!$O$5</f>
        <v>195.63485129483288</v>
      </c>
      <c r="S141" s="56">
        <f>94.74230301589*Deflactores!$P$5</f>
        <v>169.00305345643193</v>
      </c>
      <c r="T141" s="56">
        <f>119.26817912314*Deflactores!$Q$5</f>
        <v>201.18464299219298</v>
      </c>
      <c r="U141" s="56">
        <f>140.2388892108*Deflactores!$R$5</f>
        <v>227.2635008607202</v>
      </c>
      <c r="V141" s="56">
        <f>72.7597986213*Deflactores!$S$5</f>
        <v>114.27656934455071</v>
      </c>
    </row>
    <row r="142" spans="3:22" x14ac:dyDescent="0.2">
      <c r="C142" s="88" t="s">
        <v>134</v>
      </c>
      <c r="D142" s="57">
        <f>794.06290513312*Deflactores!$A$5</f>
        <v>2882.8923288665919</v>
      </c>
      <c r="E142" s="57">
        <f>1549.01134655751*Deflactores!$B$5</f>
        <v>5224.2135500319573</v>
      </c>
      <c r="F142" s="57">
        <f>799.276473046079*Deflactores!$C$5</f>
        <v>2519.4903181700865</v>
      </c>
      <c r="G142" s="57">
        <f>1091.60765851729*Deflactores!$D$5</f>
        <v>3231.2298889293679</v>
      </c>
      <c r="H142" s="57">
        <f>878.35700501242*Deflactores!$E$5</f>
        <v>2464.5198107170431</v>
      </c>
      <c r="I142" s="57">
        <f>1159.20720119732*Deflactores!$F$5</f>
        <v>3101.9335137423368</v>
      </c>
      <c r="J142" s="57">
        <f>288.017010802069*Deflactores!$G$5</f>
        <v>737.67474904611015</v>
      </c>
      <c r="K142" s="57">
        <f>754.137479986299*Deflactores!$H$5</f>
        <v>1827.448197791535</v>
      </c>
      <c r="L142" s="57">
        <f>822.77831632528*Deflactores!$I$5</f>
        <v>1851.6761905135193</v>
      </c>
      <c r="M142" s="57">
        <f>931.225196314899*Deflactores!$J$5</f>
        <v>2054.6083703929289</v>
      </c>
      <c r="N142" s="57">
        <f>781.2887324115*Deflactores!$K$5</f>
        <v>1670.8109792183971</v>
      </c>
      <c r="O142" s="57">
        <f>1250.14489851794*Deflactores!$L$5</f>
        <v>2577.4224861819207</v>
      </c>
      <c r="P142" s="57">
        <f>2007.88559711569*Deflactores!$M$5</f>
        <v>4041.0540083618034</v>
      </c>
      <c r="Q142" s="57">
        <f>1797.26716078647*Deflactores!$N$5</f>
        <v>3548.327524858018</v>
      </c>
      <c r="R142" s="57">
        <f>994.38366584675*Deflactores!$O$5</f>
        <v>1893.8860204744774</v>
      </c>
      <c r="S142" s="57">
        <f>1088.80745514937*Deflactores!$P$5</f>
        <v>1942.2346585295534</v>
      </c>
      <c r="T142" s="57">
        <f>508.86420545209*Deflactores!$Q$5</f>
        <v>858.36527612017596</v>
      </c>
      <c r="U142" s="57">
        <f>785.91634922207*Deflactores!$R$5</f>
        <v>1273.6132032492521</v>
      </c>
      <c r="V142" s="57">
        <f>713.90217923927*Deflactores!$S$5</f>
        <v>1121.2550534352299</v>
      </c>
    </row>
    <row r="143" spans="3:22" x14ac:dyDescent="0.2">
      <c r="C143" s="87" t="s">
        <v>135</v>
      </c>
      <c r="D143" s="56"/>
      <c r="E143" s="56"/>
      <c r="F143" s="56"/>
      <c r="G143" s="56"/>
      <c r="H143" s="56"/>
      <c r="I143" s="56"/>
      <c r="J143" s="56"/>
      <c r="K143" s="56"/>
      <c r="L143" s="56"/>
      <c r="M143" s="56"/>
      <c r="N143" s="56"/>
      <c r="O143" s="56"/>
      <c r="P143" s="56"/>
      <c r="Q143" s="56"/>
      <c r="R143" s="56">
        <f>0*Deflactores!$O$5</f>
        <v>0</v>
      </c>
      <c r="S143" s="56"/>
      <c r="T143" s="56"/>
      <c r="U143" s="56"/>
      <c r="V143" s="56"/>
    </row>
    <row r="144" spans="3:22" x14ac:dyDescent="0.2">
      <c r="C144" s="88" t="s">
        <v>136</v>
      </c>
      <c r="D144" s="57">
        <f>33.4246182484199*Deflactores!$A$5</f>
        <v>121.35005289978872</v>
      </c>
      <c r="E144" s="57">
        <f>112.01748541679*Deflactores!$B$5</f>
        <v>377.79146450763238</v>
      </c>
      <c r="F144" s="57">
        <f>54.90162316789*Deflactores!$C$5</f>
        <v>173.06165349289202</v>
      </c>
      <c r="G144" s="57">
        <f>78.90098910788*Deflactores!$D$5</f>
        <v>233.5520754936461</v>
      </c>
      <c r="H144" s="57">
        <f>117.83424383787*Deflactores!$E$5</f>
        <v>330.62277258799452</v>
      </c>
      <c r="I144" s="57">
        <f>265.88418715495*Deflactores!$F$5</f>
        <v>711.48201120404303</v>
      </c>
      <c r="J144" s="57">
        <f>832.65815331671*Deflactores!$G$5</f>
        <v>2132.6201969064014</v>
      </c>
      <c r="K144" s="57">
        <f>1360.65866521294*Deflactores!$H$5</f>
        <v>3297.1882336334716</v>
      </c>
      <c r="L144" s="57">
        <f>1612.19915051017*Deflactores!$I$5</f>
        <v>3628.280816512909</v>
      </c>
      <c r="M144" s="57">
        <f>1688.25794350155*Deflactores!$J$5</f>
        <v>3724.8872945311437</v>
      </c>
      <c r="N144" s="57">
        <f>2375.78228457641*Deflactores!$K$5</f>
        <v>5080.6865127195124</v>
      </c>
      <c r="O144" s="57">
        <f>2562.84038129972*Deflactores!$L$5</f>
        <v>5283.8054493426025</v>
      </c>
      <c r="P144" s="57">
        <f>3849.30127032875*Deflactores!$M$5</f>
        <v>7747.0720195409212</v>
      </c>
      <c r="Q144" s="57">
        <f>4393.35592133724*Deflactores!$N$5</f>
        <v>8673.760964595398</v>
      </c>
      <c r="R144" s="57">
        <f>6817.73920719107*Deflactores!$O$5</f>
        <v>12984.948787091056</v>
      </c>
      <c r="S144" s="57">
        <f>8085.79663895351*Deflactores!$P$5</f>
        <v>14423.591976455404</v>
      </c>
      <c r="T144" s="57">
        <f>6291.45613261085*Deflactores!$Q$5</f>
        <v>10612.590594122532</v>
      </c>
      <c r="U144" s="57">
        <f>7412.36833899714*Deflactores!$R$5</f>
        <v>12012.080157434113</v>
      </c>
      <c r="V144" s="57">
        <f>6792.62740217713*Deflactores!$S$5</f>
        <v>10668.503364017708</v>
      </c>
    </row>
    <row r="145" spans="3:22" x14ac:dyDescent="0.2">
      <c r="C145" s="87" t="s">
        <v>137</v>
      </c>
      <c r="D145" s="56">
        <f>15.20326097287*Deflactores!$A$5</f>
        <v>55.196337908639649</v>
      </c>
      <c r="E145" s="56">
        <f>15.47183287826*Deflactores!$B$5</f>
        <v>52.180482180499595</v>
      </c>
      <c r="F145" s="56">
        <f>15.045303542*Deflactores!$C$5</f>
        <v>47.426013258635933</v>
      </c>
      <c r="G145" s="56">
        <f>8.57688425155*Deflactores!$D$5</f>
        <v>25.38813696593078</v>
      </c>
      <c r="H145" s="56">
        <f>31.774897087*Deflactores!$E$5</f>
        <v>89.154936896415435</v>
      </c>
      <c r="I145" s="56">
        <f>107.53678467688*Deflactores!$F$5</f>
        <v>287.75869922544319</v>
      </c>
      <c r="J145" s="56">
        <f>38.405280164*Deflactores!$G$5</f>
        <v>98.364347745048988</v>
      </c>
      <c r="K145" s="56">
        <f>67.50755666793*Deflactores!$H$5</f>
        <v>163.58630361715998</v>
      </c>
      <c r="L145" s="56">
        <f>80.9714420946799*Deflactores!$I$5</f>
        <v>182.22756781911582</v>
      </c>
      <c r="M145" s="56">
        <f>68.37216846038*Deflactores!$J$5</f>
        <v>150.85290880929807</v>
      </c>
      <c r="N145" s="56">
        <f>98.01590672569*Deflactores!$K$5</f>
        <v>209.61015601729505</v>
      </c>
      <c r="O145" s="56">
        <f>125.34798816265*Deflactores!$L$5</f>
        <v>258.42982175193276</v>
      </c>
      <c r="P145" s="56">
        <f>148.753216566299*Deflactores!$M$5</f>
        <v>299.37949797810057</v>
      </c>
      <c r="Q145" s="56">
        <f>190.44771387034*Deflactores!$N$5</f>
        <v>375.99911683508395</v>
      </c>
      <c r="R145" s="56">
        <f>392.338398918499*Deflactores!$O$5</f>
        <v>747.24096395364438</v>
      </c>
      <c r="S145" s="56">
        <f>195.66514468188*Deflactores!$P$5</f>
        <v>349.0310648315795</v>
      </c>
      <c r="T145" s="56">
        <f>150.59614564046*Deflactores!$Q$5</f>
        <v>254.02946552403603</v>
      </c>
      <c r="U145" s="56">
        <f>166.46193413387*Deflactores!$R$5</f>
        <v>269.75913831180367</v>
      </c>
      <c r="V145" s="56">
        <f>385.765787908379*Deflactores!$S$5</f>
        <v>605.88390358411175</v>
      </c>
    </row>
    <row r="146" spans="3:22" x14ac:dyDescent="0.2">
      <c r="C146" s="88" t="s">
        <v>138</v>
      </c>
      <c r="D146" s="57">
        <f>3.840644976*Deflactores!$A$5</f>
        <v>13.943688677100754</v>
      </c>
      <c r="E146" s="57">
        <f>17.09997932237*Deflactores!$B$5</f>
        <v>57.67158767411582</v>
      </c>
      <c r="F146" s="57">
        <f>0.0569237327999999*Deflactores!$C$5</f>
        <v>0.17943577535458435</v>
      </c>
      <c r="G146" s="57">
        <f>0*Deflactores!$D$5</f>
        <v>0</v>
      </c>
      <c r="H146" s="57">
        <f>0*Deflactores!$E$5</f>
        <v>0</v>
      </c>
      <c r="I146" s="57">
        <f>0*Deflactores!$F$5</f>
        <v>0</v>
      </c>
      <c r="J146" s="57">
        <f>0*Deflactores!$G$5</f>
        <v>0</v>
      </c>
      <c r="K146" s="57">
        <f>0*Deflactores!$H$5</f>
        <v>0</v>
      </c>
      <c r="L146" s="57">
        <f>33.74286260452*Deflactores!$I$5</f>
        <v>75.938869613886709</v>
      </c>
      <c r="M146" s="57">
        <f>1.031*Deflactores!$J$5</f>
        <v>2.2747464719143986</v>
      </c>
      <c r="N146" s="57">
        <f>7.00459289*Deflactores!$K$5</f>
        <v>14.979546254870394</v>
      </c>
      <c r="O146" s="57">
        <f>0*Deflactores!$L$5</f>
        <v>0</v>
      </c>
      <c r="P146" s="57">
        <f>51.56805910132*Deflactores!$M$5</f>
        <v>103.78545084151058</v>
      </c>
      <c r="Q146" s="57">
        <f>30.68837414953*Deflactores!$N$5</f>
        <v>60.587766284155606</v>
      </c>
      <c r="R146" s="57">
        <f>16.94319640491*Deflactores!$O$5</f>
        <v>32.269720345907018</v>
      </c>
      <c r="S146" s="57">
        <f>15.94781464683*Deflactores!$P$5</f>
        <v>28.448003536703553</v>
      </c>
      <c r="T146" s="57">
        <f>10.34211277051*Deflactores!$Q$5</f>
        <v>17.445342762983199</v>
      </c>
      <c r="U146" s="57">
        <f>7.8715181802*Deflactores!$R$5</f>
        <v>12.756153366503497</v>
      </c>
      <c r="V146" s="57">
        <f>6.81710210028*Deflactores!$S$5</f>
        <v>10.706943334824896</v>
      </c>
    </row>
    <row r="147" spans="3:22" x14ac:dyDescent="0.2">
      <c r="C147" s="87" t="s">
        <v>139</v>
      </c>
      <c r="D147" s="56">
        <f>49.37433274589*Deflactores!$A$5</f>
        <v>179.25643446619665</v>
      </c>
      <c r="E147" s="56">
        <f>69.43043797207*Deflactores!$B$5</f>
        <v>234.16189664745929</v>
      </c>
      <c r="F147" s="56">
        <f>31.99676152454*Deflactores!$C$5</f>
        <v>100.86063282539295</v>
      </c>
      <c r="G147" s="56">
        <f>32.8171071202199*Deflactores!$D$5</f>
        <v>97.140778161159957</v>
      </c>
      <c r="H147" s="56">
        <f>63.53752694582*Deflactores!$E$5</f>
        <v>178.27545404471061</v>
      </c>
      <c r="I147" s="56">
        <f>55.77688332361*Deflactores!$F$5</f>
        <v>149.25388963672521</v>
      </c>
      <c r="J147" s="56">
        <f>126.60637566381*Deflactores!$G$5</f>
        <v>324.26670263452257</v>
      </c>
      <c r="K147" s="56">
        <f>255.516440337329*Deflactores!$H$5</f>
        <v>619.17497908875112</v>
      </c>
      <c r="L147" s="56">
        <f>388.017782609409*Deflactores!$I$5</f>
        <v>873.240428555054</v>
      </c>
      <c r="M147" s="56">
        <f>370.76505785083*Deflactores!$J$5</f>
        <v>818.03734942319431</v>
      </c>
      <c r="N147" s="56">
        <f>159.3029048068*Deflactores!$K$5</f>
        <v>340.67436445812854</v>
      </c>
      <c r="O147" s="56">
        <f>3727.64215112957*Deflactores!$L$5</f>
        <v>7685.2760925161074</v>
      </c>
      <c r="P147" s="56">
        <f>113.90326157708*Deflactores!$M$5</f>
        <v>229.24076572028983</v>
      </c>
      <c r="Q147" s="56">
        <f>266.28839904059*Deflactores!$N$5</f>
        <v>525.73066290969757</v>
      </c>
      <c r="R147" s="56">
        <f>278.23840221125*Deflactores!$O$5</f>
        <v>529.92807344469463</v>
      </c>
      <c r="S147" s="56">
        <f>225.681547217509*Deflactores!$P$5</f>
        <v>402.57487283303664</v>
      </c>
      <c r="T147" s="56">
        <f>174.21574677872*Deflactores!$Q$5</f>
        <v>293.87161837280775</v>
      </c>
      <c r="U147" s="56">
        <f>198.08385212129*Deflactores!$R$5</f>
        <v>321.00389521335939</v>
      </c>
      <c r="V147" s="56">
        <f>147.90354626882*Deflactores!$S$5</f>
        <v>232.29737000049693</v>
      </c>
    </row>
    <row r="148" spans="3:22" x14ac:dyDescent="0.2">
      <c r="C148" s="88" t="s">
        <v>140</v>
      </c>
      <c r="D148" s="57">
        <f>219.26970435415*Deflactores!$A$5</f>
        <v>796.07162675537847</v>
      </c>
      <c r="E148" s="57">
        <f>355.5610603325*Deflactores!$B$5</f>
        <v>1199.1693368682579</v>
      </c>
      <c r="F148" s="57">
        <f>225.97373119664*Deflactores!$C$5</f>
        <v>712.31751103711179</v>
      </c>
      <c r="G148" s="57">
        <f>319.69119284475*Deflactores!$D$5</f>
        <v>946.30678842115969</v>
      </c>
      <c r="H148" s="57">
        <f>532.1055598802*Deflactores!$E$5</f>
        <v>1492.9973646636925</v>
      </c>
      <c r="I148" s="57">
        <f>511.99050342498*Deflactores!$F$5</f>
        <v>1370.0402306433045</v>
      </c>
      <c r="J148" s="57">
        <f>469.6264606191*Deflactores!$G$5</f>
        <v>1202.8163910106064</v>
      </c>
      <c r="K148" s="57">
        <f>2266.07496961886*Deflactores!$H$5</f>
        <v>5491.2197433360934</v>
      </c>
      <c r="L148" s="57">
        <f>1400.77522577299*Deflactores!$I$5</f>
        <v>3152.4677818558484</v>
      </c>
      <c r="M148" s="57">
        <f>6069.52557341323*Deflactores!$J$5</f>
        <v>13391.495523099866</v>
      </c>
      <c r="N148" s="57">
        <f>1011.90016551759*Deflactores!$K$5</f>
        <v>2163.9809154821201</v>
      </c>
      <c r="O148" s="57">
        <f>1552.1978920945*Deflactores!$L$5</f>
        <v>3200.1648407567632</v>
      </c>
      <c r="P148" s="57">
        <f>1973.12433836978*Deflactores!$M$5</f>
        <v>3971.0937854324452</v>
      </c>
      <c r="Q148" s="57">
        <f>2477.99407646187*Deflactores!$N$5</f>
        <v>4892.2802239913772</v>
      </c>
      <c r="R148" s="57">
        <f>2165.36156876772*Deflactores!$O$5</f>
        <v>4124.1103863766493</v>
      </c>
      <c r="S148" s="57">
        <f>2373.52752994622*Deflactores!$P$5</f>
        <v>4233.9418322619467</v>
      </c>
      <c r="T148" s="57">
        <f>2225.7302264335*Deflactores!$Q$5</f>
        <v>3754.419194575255</v>
      </c>
      <c r="U148" s="57">
        <f>2754.20140815025*Deflactores!$R$5</f>
        <v>4463.308698565671</v>
      </c>
      <c r="V148" s="57">
        <f>3054.59635679019*Deflactores!$S$5</f>
        <v>4797.5502818964405</v>
      </c>
    </row>
    <row r="149" spans="3:22" x14ac:dyDescent="0.2">
      <c r="C149" s="87" t="s">
        <v>141</v>
      </c>
      <c r="D149" s="56">
        <f>5.64863593475*Deflactores!$A$5</f>
        <v>20.507706756709606</v>
      </c>
      <c r="E149" s="56">
        <f>2.66726163305*Deflactores!$B$5</f>
        <v>8.9956373759479344</v>
      </c>
      <c r="F149" s="56">
        <f>1.55640111348999*Deflactores!$C$5</f>
        <v>4.9061090484532546</v>
      </c>
      <c r="G149" s="56">
        <f>1.83048793791*Deflactores!$D$5</f>
        <v>5.4183637226705974</v>
      </c>
      <c r="H149" s="56">
        <f>4.84555397526*Deflactores!$E$5</f>
        <v>13.595797264414292</v>
      </c>
      <c r="I149" s="56">
        <f>5.14883565759999*Deflactores!$F$5</f>
        <v>13.777818035088561</v>
      </c>
      <c r="J149" s="56">
        <f>15.54192819144*Deflactores!$G$5</f>
        <v>39.806287643864422</v>
      </c>
      <c r="K149" s="56">
        <f>25.6344722105499*Deflactores!$H$5</f>
        <v>62.118209591383376</v>
      </c>
      <c r="L149" s="56">
        <f>28.6790135137199*Deflactores!$I$5</f>
        <v>64.542593596713346</v>
      </c>
      <c r="M149" s="56">
        <f>47.70055232631*Deflactores!$J$5</f>
        <v>105.2440961325333</v>
      </c>
      <c r="N149" s="56">
        <f>48.97367070652*Deflactores!$K$5</f>
        <v>104.73176345001082</v>
      </c>
      <c r="O149" s="56">
        <f>38.6171255385799*Deflactores!$L$5</f>
        <v>79.616889076492626</v>
      </c>
      <c r="P149" s="56">
        <f>67.50864458001*Deflactores!$M$5</f>
        <v>135.86734183013479</v>
      </c>
      <c r="Q149" s="56">
        <f>84.5498948715399*Deflactores!$N$5</f>
        <v>166.92605626046964</v>
      </c>
      <c r="R149" s="56">
        <f>69.27103385795*Deflactores!$O$5</f>
        <v>131.93241919925538</v>
      </c>
      <c r="S149" s="56">
        <f>75.2911576258199*Deflactores!$P$5</f>
        <v>134.30574444552994</v>
      </c>
      <c r="T149" s="56">
        <f>73.4445265917763*Deflactores!$Q$5</f>
        <v>123.88812314172714</v>
      </c>
      <c r="U149" s="56">
        <f>184.88003834659*Deflactores!$R$5</f>
        <v>299.60651421556247</v>
      </c>
      <c r="V149" s="56">
        <f>187.80872071984*Deflactores!$S$5</f>
        <v>294.97245324383346</v>
      </c>
    </row>
    <row r="150" spans="3:22" x14ac:dyDescent="0.2">
      <c r="C150" s="88" t="s">
        <v>142</v>
      </c>
      <c r="D150" s="57">
        <f>72.1432941978*Deflactores!$A$5</f>
        <v>261.9204953128197</v>
      </c>
      <c r="E150" s="57">
        <f>249.53662304213*Deflactores!$B$5</f>
        <v>841.59009565880694</v>
      </c>
      <c r="F150" s="57">
        <f>74.18251846645*Deflactores!$C$5</f>
        <v>233.83915748377018</v>
      </c>
      <c r="G150" s="57">
        <f>68.86353317682*Deflactores!$D$5</f>
        <v>203.84055106434153</v>
      </c>
      <c r="H150" s="57">
        <f>175.65929373618*Deflactores!$E$5</f>
        <v>492.86999122100514</v>
      </c>
      <c r="I150" s="57">
        <f>46.2545895840999*Deflactores!$F$5</f>
        <v>123.77309375504282</v>
      </c>
      <c r="J150" s="57">
        <f>73.10848266336*Deflactores!$G$5</f>
        <v>187.24686243930893</v>
      </c>
      <c r="K150" s="57">
        <f>226.86724210535*Deflactores!$H$5</f>
        <v>549.75139643091313</v>
      </c>
      <c r="L150" s="57">
        <f>203.90240541028*Deflactores!$I$5</f>
        <v>458.88573118082041</v>
      </c>
      <c r="M150" s="57">
        <f>377.02139358179*Deflactores!$J$5</f>
        <v>831.84101346889111</v>
      </c>
      <c r="N150" s="57">
        <f>342.31544991336*Deflactores!$K$5</f>
        <v>732.05255412551833</v>
      </c>
      <c r="O150" s="57">
        <f>308.722264257149*Deflactores!$L$5</f>
        <v>636.49238326268642</v>
      </c>
      <c r="P150" s="57">
        <f>452.647862914306*Deflactores!$M$5</f>
        <v>910.99535921461529</v>
      </c>
      <c r="Q150" s="57">
        <f>269.4488480675*Deflactores!$N$5</f>
        <v>531.97030747549957</v>
      </c>
      <c r="R150" s="57">
        <f>249.14252009585*Deflactores!$O$5</f>
        <v>474.5125569953106</v>
      </c>
      <c r="S150" s="57">
        <f>218.742360832093*Deflactores!$P$5</f>
        <v>390.19662520439374</v>
      </c>
      <c r="T150" s="57">
        <f>303.24993715803*Deflactores!$Q$5</f>
        <v>511.52982122376022</v>
      </c>
      <c r="U150" s="57">
        <f>342.05446853245*Deflactores!$R$5</f>
        <v>554.31482979652014</v>
      </c>
      <c r="V150" s="57">
        <f>176.63934129665*Deflactores!$S$5</f>
        <v>277.42982137327039</v>
      </c>
    </row>
    <row r="151" spans="3:22" x14ac:dyDescent="0.2">
      <c r="C151" s="87" t="s">
        <v>143</v>
      </c>
      <c r="D151" s="56">
        <f>718.34812013482*Deflactores!$A$5</f>
        <v>2608.0053250255178</v>
      </c>
      <c r="E151" s="56">
        <f>463.112746190829*Deflactores!$B$5</f>
        <v>1561.8993942293982</v>
      </c>
      <c r="F151" s="56">
        <f>548.64166500979*Deflactores!$C$5</f>
        <v>1729.435820710303</v>
      </c>
      <c r="G151" s="56">
        <f>452.383238663089*Deflactores!$D$5</f>
        <v>1339.0839012656929</v>
      </c>
      <c r="H151" s="56">
        <f>536.4495049919*Deflactores!$E$5</f>
        <v>1505.185733087191</v>
      </c>
      <c r="I151" s="56">
        <f>490.039366558809*Deflactores!$F$5</f>
        <v>1311.3009758840251</v>
      </c>
      <c r="J151" s="56">
        <f>41.04272188957*Deflactores!$G$5</f>
        <v>105.11941459896696</v>
      </c>
      <c r="K151" s="56">
        <f>131.67513412123*Deflactores!$H$5</f>
        <v>319.07907103114957</v>
      </c>
      <c r="L151" s="56">
        <f>81.63637765991*Deflactores!$I$5</f>
        <v>183.72401629124042</v>
      </c>
      <c r="M151" s="56">
        <f>46.1006452501199*Deflactores!$J$5</f>
        <v>101.71414174169497</v>
      </c>
      <c r="N151" s="56">
        <f>46.53746680118*Deflactores!$K$5</f>
        <v>99.521863365962332</v>
      </c>
      <c r="O151" s="56">
        <f>58.33011774961*Deflactores!$L$5</f>
        <v>120.2591453900386</v>
      </c>
      <c r="P151" s="56">
        <f>372.63120915797*Deflactores!$M$5</f>
        <v>749.95450117856387</v>
      </c>
      <c r="Q151" s="56">
        <f>120.82196444523*Deflactores!$N$5</f>
        <v>238.53765951013298</v>
      </c>
      <c r="R151" s="56">
        <f>113.03641629242*Deflactores!$O$5</f>
        <v>215.28721355097204</v>
      </c>
      <c r="S151" s="56">
        <f>130.74931893272*Deflactores!$P$5</f>
        <v>233.23302720720724</v>
      </c>
      <c r="T151" s="56">
        <f>76.61924449638*Deflactores!$Q$5</f>
        <v>129.24331924629064</v>
      </c>
      <c r="U151" s="56">
        <f>45.97055275536*Deflactores!$R$5</f>
        <v>74.497372408458645</v>
      </c>
      <c r="V151" s="56">
        <f>23.08989232168*Deflactores!$S$5</f>
        <v>36.264994283316078</v>
      </c>
    </row>
    <row r="152" spans="3:22" x14ac:dyDescent="0.2">
      <c r="C152" s="88" t="s">
        <v>144</v>
      </c>
      <c r="D152" s="57">
        <f>14.73981976564*Deflactores!$A$5</f>
        <v>53.513787203188855</v>
      </c>
      <c r="E152" s="57">
        <f>36.9019071491*Deflactores!$B$5</f>
        <v>124.45579806680384</v>
      </c>
      <c r="F152" s="57">
        <f>15.62194082882*Deflactores!$C$5</f>
        <v>49.243697264399358</v>
      </c>
      <c r="G152" s="57">
        <f>15.42717776738*Deflactores!$D$5</f>
        <v>45.665452706234689</v>
      </c>
      <c r="H152" s="57">
        <f>24.92414537975*Deflactores!$E$5</f>
        <v>69.932897105678549</v>
      </c>
      <c r="I152" s="57">
        <f>25.71910550014*Deflactores!$F$5</f>
        <v>68.82199766526395</v>
      </c>
      <c r="J152" s="57">
        <f>40.19750277736*Deflactores!$G$5</f>
        <v>102.95462303074613</v>
      </c>
      <c r="K152" s="57">
        <f>62.7475421650899*Deflactores!$H$5</f>
        <v>152.05169599517205</v>
      </c>
      <c r="L152" s="57">
        <f>66.64584190023*Deflactores!$I$5</f>
        <v>149.98756796915416</v>
      </c>
      <c r="M152" s="57">
        <f>66.84890307403*Deflactores!$J$5</f>
        <v>147.49205278273263</v>
      </c>
      <c r="N152" s="57">
        <f>57.07880841601*Deflactores!$K$5</f>
        <v>122.06486005220317</v>
      </c>
      <c r="O152" s="57">
        <f>39.60658874449*Deflactores!$L$5</f>
        <v>81.656864377904242</v>
      </c>
      <c r="P152" s="57">
        <f>44.1923291217699*Deflactores!$M$5</f>
        <v>88.941117458537519</v>
      </c>
      <c r="Q152" s="57">
        <f>181.58406608302*Deflactores!$N$5</f>
        <v>358.49970099941504</v>
      </c>
      <c r="R152" s="57">
        <f>192.71394876508*Deflactores!$O$5</f>
        <v>367.03967095620868</v>
      </c>
      <c r="S152" s="57">
        <f>147.0199113*Deflactores!$P$5</f>
        <v>262.2568075469573</v>
      </c>
      <c r="T152" s="57">
        <f>104.66538750656*Deflactores!$Q$5</f>
        <v>176.55227717869457</v>
      </c>
      <c r="U152" s="57">
        <f>173.59849377794*Deflactores!$R$5</f>
        <v>281.32425792976329</v>
      </c>
      <c r="V152" s="57">
        <f>151.81051551769*Deflactores!$S$5</f>
        <v>238.4336574938053</v>
      </c>
    </row>
    <row r="153" spans="3:22" x14ac:dyDescent="0.2">
      <c r="C153" s="87" t="s">
        <v>145</v>
      </c>
      <c r="D153" s="56">
        <f>5*Deflactores!$A$5</f>
        <v>18.15279564270347</v>
      </c>
      <c r="E153" s="56">
        <f>0*Deflactores!$B$5</f>
        <v>0</v>
      </c>
      <c r="F153" s="56">
        <f>0*Deflactores!$C$5</f>
        <v>0</v>
      </c>
      <c r="G153" s="56">
        <f>4.231592073*Deflactores!$D$5</f>
        <v>12.525788617685492</v>
      </c>
      <c r="H153" s="56">
        <f>9*Deflactores!$E$5</f>
        <v>25.252463599512993</v>
      </c>
      <c r="I153" s="56">
        <f>53.564999998*Deflactores!$F$5</f>
        <v>143.33509012520489</v>
      </c>
      <c r="J153" s="56">
        <f>77.870313147*Deflactores!$G$5</f>
        <v>199.44295494522433</v>
      </c>
      <c r="K153" s="56">
        <f>1.186812*Deflactores!$H$5</f>
        <v>2.8759178638844078</v>
      </c>
      <c r="L153" s="56">
        <f>91.638541191*Deflactores!$I$5</f>
        <v>206.23405052118957</v>
      </c>
      <c r="M153" s="56">
        <f>83.709612461*Deflactores!$J$5</f>
        <v>184.69267275555902</v>
      </c>
      <c r="N153" s="56">
        <f>50.805243269*Deflactores!$K$5</f>
        <v>108.64864004079591</v>
      </c>
      <c r="O153" s="56">
        <f>37.266349321*Deflactores!$L$5</f>
        <v>76.831995100508252</v>
      </c>
      <c r="P153" s="56">
        <f>37.101586*Deflactores!$M$5</f>
        <v>74.670346277324057</v>
      </c>
      <c r="Q153" s="56">
        <f>41.964350659*Deflactores!$N$5</f>
        <v>82.849819857034774</v>
      </c>
      <c r="R153" s="56">
        <f>44.960474493*Deflactores!$O$5</f>
        <v>85.630946123480427</v>
      </c>
      <c r="S153" s="56">
        <f>49.777656028*Deflactores!$P$5</f>
        <v>88.794293518757129</v>
      </c>
      <c r="T153" s="56">
        <f>35.162183767*Deflactores!$Q$5</f>
        <v>59.312479154108992</v>
      </c>
      <c r="U153" s="56">
        <f>48.930642*Deflactores!$R$5</f>
        <v>79.29433171398945</v>
      </c>
      <c r="V153" s="56">
        <f>35.5*Deflactores!$S$5</f>
        <v>55.756314456647502</v>
      </c>
    </row>
    <row r="154" spans="3:22" x14ac:dyDescent="0.2">
      <c r="C154" s="88" t="s">
        <v>146</v>
      </c>
      <c r="D154" s="57">
        <f>0*Deflactores!$A$5</f>
        <v>0</v>
      </c>
      <c r="E154" s="57">
        <f>0*Deflactores!$B$5</f>
        <v>0</v>
      </c>
      <c r="F154" s="57">
        <f>0*Deflactores!$C$5</f>
        <v>0</v>
      </c>
      <c r="G154" s="57">
        <f>0*Deflactores!$D$5</f>
        <v>0</v>
      </c>
      <c r="H154" s="57">
        <f>1.64328268986*Deflactores!$E$5</f>
        <v>4.610770701044383</v>
      </c>
      <c r="I154" s="57">
        <f>1.00402834921*Deflactores!$F$5</f>
        <v>2.6866889559908413</v>
      </c>
      <c r="J154" s="57">
        <f>1.96082205932999*Deflactores!$G$5</f>
        <v>5.0220954537103903</v>
      </c>
      <c r="K154" s="57">
        <f>1.05676401976*Deflactores!$H$5</f>
        <v>2.5607817601592155</v>
      </c>
      <c r="L154" s="57">
        <f>5.53754744257*Deflactores!$I$5</f>
        <v>12.462341981788626</v>
      </c>
      <c r="M154" s="57">
        <f>6.94162539128*Deflactores!$J$5</f>
        <v>15.315652636436068</v>
      </c>
      <c r="N154" s="57">
        <f>4.35472897388*Deflactores!$K$5</f>
        <v>9.3127273941626267</v>
      </c>
      <c r="O154" s="57">
        <f>3.60323027886*Deflactores!$L$5</f>
        <v>7.4287762599641125</v>
      </c>
      <c r="P154" s="57">
        <f>11.72551146692*Deflactores!$M$5</f>
        <v>23.598667763519611</v>
      </c>
      <c r="Q154" s="57">
        <f>15.23695538346*Deflactores!$N$5</f>
        <v>30.082176630048668</v>
      </c>
      <c r="R154" s="57">
        <f>43.101420369326*Deflactores!$O$5</f>
        <v>82.090223626662748</v>
      </c>
      <c r="S154" s="57">
        <f>31.8925689150469*Deflactores!$P$5</f>
        <v>56.890547914046586</v>
      </c>
      <c r="T154" s="57">
        <f>59.877091563858*Deflactores!$Q$5</f>
        <v>101.0022235457138</v>
      </c>
      <c r="U154" s="57">
        <f>49.2473584113499*Deflactores!$R$5</f>
        <v>79.8075850692355</v>
      </c>
      <c r="V154" s="57">
        <f>57.533753142195*Deflactores!$S$5</f>
        <v>90.362536114573402</v>
      </c>
    </row>
    <row r="155" spans="3:22" x14ac:dyDescent="0.2">
      <c r="C155" s="90" t="s">
        <v>147</v>
      </c>
      <c r="D155" s="58">
        <f>579.15620646708*Deflactores!$A$5</f>
        <v>2102.6608522400561</v>
      </c>
      <c r="E155" s="58">
        <f>924.23795678313*Deflactores!$B$5</f>
        <v>3117.0956029540057</v>
      </c>
      <c r="F155" s="58">
        <f>794.69548149134*Deflactores!$C$5</f>
        <v>2505.0500534319071</v>
      </c>
      <c r="G155" s="58">
        <f>841.60074766939*Deflactores!$D$5</f>
        <v>2491.1931216279236</v>
      </c>
      <c r="H155" s="58">
        <f>1164.31856926683*Deflactores!$E$5</f>
        <v>3266.879143183075</v>
      </c>
      <c r="I155" s="58">
        <f>1375.37473083747*Deflactores!$F$5</f>
        <v>3680.3782508705112</v>
      </c>
      <c r="J155" s="58">
        <f>1588.14908066955*Deflactores!$G$5</f>
        <v>4067.5981993849123</v>
      </c>
      <c r="K155" s="58">
        <f>1877.32902665088*Deflactores!$H$5</f>
        <v>4549.199101571262</v>
      </c>
      <c r="L155" s="58">
        <f>1360.27276699383*Deflactores!$I$5</f>
        <v>3061.3163294043761</v>
      </c>
      <c r="M155" s="58">
        <f>1866.98506144765*Deflactores!$J$5</f>
        <v>4119.2218056691836</v>
      </c>
      <c r="N155" s="58">
        <f>2134.52650593609*Deflactores!$K$5</f>
        <v>4564.7533025886596</v>
      </c>
      <c r="O155" s="58">
        <f>3340.12039697677*Deflactores!$L$5</f>
        <v>6886.3228797947777</v>
      </c>
      <c r="P155" s="58">
        <f>3534.47523583205*Deflactores!$M$5</f>
        <v>7113.4557365878054</v>
      </c>
      <c r="Q155" s="58">
        <f>4730.88851403224*Deflactores!$N$5</f>
        <v>9340.1483639357757</v>
      </c>
      <c r="R155" s="58">
        <f>6952.05482320144*Deflactores!$O$5</f>
        <v>13240.763998292103</v>
      </c>
      <c r="S155" s="58">
        <f>7336.6374039738*Deflactores!$P$5</f>
        <v>13087.228027022797</v>
      </c>
      <c r="T155" s="58">
        <f>7176.55670987544*Deflactores!$Q$5</f>
        <v>12105.601093304474</v>
      </c>
      <c r="U155" s="58">
        <f>3264.03734753853*Deflactores!$R$5</f>
        <v>5289.5210359710891</v>
      </c>
      <c r="V155" s="58">
        <f>3474.10733394583*Deflactores!$S$5</f>
        <v>5456.4343934543376</v>
      </c>
    </row>
    <row r="156" spans="3:22" ht="22.5" customHeight="1" x14ac:dyDescent="0.2">
      <c r="C156" s="89" t="s">
        <v>148</v>
      </c>
      <c r="D156" s="59">
        <f>0*Deflactores!$A$5</f>
        <v>0</v>
      </c>
      <c r="E156" s="59">
        <f>0*Deflactores!$B$5</f>
        <v>0</v>
      </c>
      <c r="F156" s="59">
        <f>0*Deflactores!$C$5</f>
        <v>0</v>
      </c>
      <c r="G156" s="59">
        <f>0*Deflactores!$D$5</f>
        <v>0</v>
      </c>
      <c r="H156" s="59">
        <f>0*Deflactores!$E$5</f>
        <v>0</v>
      </c>
      <c r="I156" s="59">
        <f>0*Deflactores!$F$5</f>
        <v>0</v>
      </c>
      <c r="J156" s="59">
        <f>0*Deflactores!$G$5</f>
        <v>0</v>
      </c>
      <c r="K156" s="59">
        <f>0*Deflactores!$H$5</f>
        <v>0</v>
      </c>
      <c r="L156" s="59">
        <f>0*Deflactores!$I$5</f>
        <v>0</v>
      </c>
      <c r="M156" s="59">
        <f>0*Deflactores!$J$5</f>
        <v>0</v>
      </c>
      <c r="N156" s="59">
        <f>0*Deflactores!$K$5</f>
        <v>0</v>
      </c>
      <c r="O156" s="59">
        <f>0*Deflactores!$L$5</f>
        <v>0</v>
      </c>
      <c r="P156" s="59">
        <f>0*Deflactores!$M$5</f>
        <v>0</v>
      </c>
      <c r="Q156" s="59">
        <f>0*Deflactores!$N$5</f>
        <v>0</v>
      </c>
      <c r="R156" s="59">
        <f>0*Deflactores!$O$5</f>
        <v>0</v>
      </c>
      <c r="S156" s="59">
        <f>0*Deflactores!$P$5</f>
        <v>0</v>
      </c>
      <c r="T156" s="59">
        <f>0*Deflactores!$Q$5</f>
        <v>0</v>
      </c>
      <c r="U156" s="59">
        <f>0*Deflactores!$R$5</f>
        <v>0</v>
      </c>
      <c r="V156" s="59">
        <f>12.311477938*Deflactores!$S$5</f>
        <v>19.336412263019891</v>
      </c>
    </row>
    <row r="157" spans="3:22" x14ac:dyDescent="0.2">
      <c r="C157" s="87" t="s">
        <v>149</v>
      </c>
      <c r="D157" s="56">
        <f>1.4*Deflactores!$A$5</f>
        <v>5.0827827799569709</v>
      </c>
      <c r="E157" s="56">
        <f>7*Deflactores!$B$5</f>
        <v>23.608280811819078</v>
      </c>
      <c r="F157" s="56">
        <f>0.39285276438*Deflactores!$C$5</f>
        <v>1.2383559002426712</v>
      </c>
      <c r="G157" s="56">
        <f>0.24037830266*Deflactores!$D$5</f>
        <v>0.71153545886633163</v>
      </c>
      <c r="H157" s="56">
        <f>0.605019502299999*Deflactores!$E$5</f>
        <v>1.697581439869577</v>
      </c>
      <c r="I157" s="56">
        <f>1.19005012462*Deflactores!$F$5</f>
        <v>3.1844663842488181</v>
      </c>
      <c r="J157" s="56">
        <f>1.1909191603*Deflactores!$G$5</f>
        <v>3.0502052301078728</v>
      </c>
      <c r="K157" s="56">
        <f>1.85255871349*Deflactores!$H$5</f>
        <v>4.4891749476923106</v>
      </c>
      <c r="L157" s="56">
        <f>2.07756559438999*Deflactores!$I$5</f>
        <v>4.6755956848054971</v>
      </c>
      <c r="M157" s="56">
        <f>3.25083365407*Deflactores!$J$5</f>
        <v>7.172475640520199</v>
      </c>
      <c r="N157" s="56">
        <f>12.10508124271*Deflactores!$K$5</f>
        <v>25.887103967599529</v>
      </c>
      <c r="O157" s="56">
        <f>21.07716692971*Deflactores!$L$5</f>
        <v>43.454773965839557</v>
      </c>
      <c r="P157" s="56">
        <f>10.22514384*Deflactores!$M$5</f>
        <v>20.57904024017321</v>
      </c>
      <c r="Q157" s="56">
        <f>7.46810089391*Deflactores!$N$5</f>
        <v>14.744200828040363</v>
      </c>
      <c r="R157" s="56">
        <f>8.77081637539999*Deflactores!$O$5</f>
        <v>16.704745956756966</v>
      </c>
      <c r="S157" s="56">
        <f>10.7874658484*Deflactores!$P$5</f>
        <v>19.24287894005289</v>
      </c>
      <c r="T157" s="56">
        <f>13.68266981318*Deflactores!$Q$5</f>
        <v>23.080280606133581</v>
      </c>
      <c r="U157" s="56">
        <f>15.94363078064*Deflactores!$R$5</f>
        <v>25.837379118088023</v>
      </c>
      <c r="V157" s="56">
        <f>14.59334839455*Deflactores!$S$5</f>
        <v>22.920318931322303</v>
      </c>
    </row>
    <row r="158" spans="3:22" x14ac:dyDescent="0.2">
      <c r="C158" s="88" t="s">
        <v>150</v>
      </c>
      <c r="D158" s="57">
        <f>389.28009322888*Deflactores!$A$5</f>
        <v>1413.3043960312827</v>
      </c>
      <c r="E158" s="57">
        <f>636.7866947577*Deflactores!$B$5</f>
        <v>2147.6341581528432</v>
      </c>
      <c r="F158" s="57">
        <f>384.152056493749*Deflactores!$C$5</f>
        <v>1210.9294088846905</v>
      </c>
      <c r="G158" s="57">
        <f>253.18281360593*Deflactores!$D$5</f>
        <v>749.43764667051971</v>
      </c>
      <c r="H158" s="57">
        <f>410.63244375913*Deflactores!$E$5</f>
        <v>1152.1645376451663</v>
      </c>
      <c r="I158" s="57">
        <f>786.94763288512*Deflactores!$F$5</f>
        <v>2105.80061397586</v>
      </c>
      <c r="J158" s="57">
        <f>1082.32454316045*Deflactores!$G$5</f>
        <v>2772.0705924241724</v>
      </c>
      <c r="K158" s="57">
        <f>1964.30486009593*Deflactores!$H$5</f>
        <v>4759.9615080272588</v>
      </c>
      <c r="L158" s="57">
        <f>1495.12262935347*Deflactores!$I$5</f>
        <v>3364.7981719261647</v>
      </c>
      <c r="M158" s="57">
        <f>2484.8932481677*Deflactores!$J$5</f>
        <v>5482.5433068413058</v>
      </c>
      <c r="N158" s="57">
        <f>2296.47527139386*Deflactores!$K$5</f>
        <v>4911.0859247967473</v>
      </c>
      <c r="O158" s="57">
        <f>3672.93118133923*Deflactores!$L$5</f>
        <v>7572.4785408518046</v>
      </c>
      <c r="P158" s="57">
        <f>5979.17489402802*Deflactores!$M$5</f>
        <v>12033.638125058986</v>
      </c>
      <c r="Q158" s="57">
        <f>6657.83678635304*Deflactores!$N$5</f>
        <v>13144.504078453749</v>
      </c>
      <c r="R158" s="57">
        <f>5407.37970216242*Deflactores!$O$5</f>
        <v>10298.802340646193</v>
      </c>
      <c r="S158" s="57">
        <f>4635.33148163768*Deflactores!$P$5</f>
        <v>8268.5891016192272</v>
      </c>
      <c r="T158" s="57">
        <f>3633.56916808376*Deflactores!$Q$5</f>
        <v>6129.1982592743489</v>
      </c>
      <c r="U158" s="57">
        <f>2976.41942565224*Deflactores!$R$5</f>
        <v>4823.4231068873096</v>
      </c>
      <c r="V158" s="57">
        <f>2168.15310206786*Deflactores!$S$5</f>
        <v>3405.3021450436995</v>
      </c>
    </row>
    <row r="159" spans="3:22" x14ac:dyDescent="0.2">
      <c r="C159" s="87" t="s">
        <v>151</v>
      </c>
      <c r="D159" s="56">
        <f>98.401040084*Deflactores!$A$5</f>
        <v>357.25079433486496</v>
      </c>
      <c r="E159" s="56">
        <f>21.5347804415*Deflactores!$B$5</f>
        <v>72.628449126257323</v>
      </c>
      <c r="F159" s="56">
        <f>61.6432470564*Deflactores!$C$5</f>
        <v>194.31269326278888</v>
      </c>
      <c r="G159" s="56">
        <f>37.7819633763*Deflactores!$D$5</f>
        <v>111.83707660109059</v>
      </c>
      <c r="H159" s="56">
        <f>11.2291030325*Deflactores!$E$5</f>
        <v>31.506946175931912</v>
      </c>
      <c r="I159" s="56">
        <f>41.03221104073*Deflactores!$F$5</f>
        <v>109.79848161633639</v>
      </c>
      <c r="J159" s="56">
        <f>125.64485526255*Deflactores!$G$5</f>
        <v>321.80403795118679</v>
      </c>
      <c r="K159" s="56">
        <f>325.9551277969*Deflactores!$H$5</f>
        <v>789.86408534446048</v>
      </c>
      <c r="L159" s="56">
        <f>389.407859120639*Deflactores!$I$5</f>
        <v>876.36881870312288</v>
      </c>
      <c r="M159" s="56">
        <f>650.05388572466*Deflactores!$J$5</f>
        <v>1434.2461523825566</v>
      </c>
      <c r="N159" s="56">
        <f>306.21313702589*Deflactores!$K$5</f>
        <v>654.84660164572176</v>
      </c>
      <c r="O159" s="56">
        <f>637.29823071676*Deflactores!$L$5</f>
        <v>1313.9171244874374</v>
      </c>
      <c r="P159" s="56">
        <f>1657.54176837605*Deflactores!$M$5</f>
        <v>3335.9549053716391</v>
      </c>
      <c r="Q159" s="56">
        <f>2016.43837959365*Deflactores!$N$5</f>
        <v>3981.035185309503</v>
      </c>
      <c r="R159" s="56">
        <f>2151.24944030729*Deflactores!$O$5</f>
        <v>4097.2326693260684</v>
      </c>
      <c r="S159" s="56">
        <f>2217.50120484273*Deflactores!$P$5</f>
        <v>3955.6192189974877</v>
      </c>
      <c r="T159" s="56">
        <f>1425.55479938684*Deflactores!$Q$5</f>
        <v>2404.662630795583</v>
      </c>
      <c r="U159" s="56">
        <f>1825.77093120336*Deflactores!$R$5</f>
        <v>2958.7448669199689</v>
      </c>
      <c r="V159" s="56">
        <f>347.66261301993*Deflactores!$S$5</f>
        <v>546.03904158757655</v>
      </c>
    </row>
    <row r="160" spans="3:22" x14ac:dyDescent="0.2">
      <c r="C160" s="79" t="s">
        <v>202</v>
      </c>
      <c r="D160" s="44">
        <f t="shared" ref="D160:V160" si="32">+SUM(D131:D159)</f>
        <v>13733.7474393868</v>
      </c>
      <c r="E160" s="44">
        <f t="shared" si="32"/>
        <v>18377.970809737755</v>
      </c>
      <c r="F160" s="44">
        <f t="shared" si="32"/>
        <v>12687.242737842511</v>
      </c>
      <c r="G160" s="44">
        <f t="shared" si="32"/>
        <v>11968.31291357599</v>
      </c>
      <c r="H160" s="44">
        <f t="shared" si="32"/>
        <v>14025.934410746788</v>
      </c>
      <c r="I160" s="44">
        <f t="shared" si="32"/>
        <v>16345.148730462803</v>
      </c>
      <c r="J160" s="44">
        <f t="shared" si="32"/>
        <v>17057.859208444323</v>
      </c>
      <c r="K160" s="44">
        <f t="shared" si="32"/>
        <v>30237.101089649557</v>
      </c>
      <c r="L160" s="44">
        <f t="shared" si="32"/>
        <v>31112.071732306627</v>
      </c>
      <c r="M160" s="44">
        <f t="shared" si="32"/>
        <v>44511.005615618844</v>
      </c>
      <c r="N160" s="44">
        <f t="shared" si="32"/>
        <v>30648.199685134216</v>
      </c>
      <c r="O160" s="44">
        <f t="shared" si="32"/>
        <v>44344.489892218007</v>
      </c>
      <c r="P160" s="44">
        <f t="shared" si="32"/>
        <v>51768.37376441434</v>
      </c>
      <c r="Q160" s="44">
        <f t="shared" si="32"/>
        <v>60570.569613997985</v>
      </c>
      <c r="R160" s="44">
        <f t="shared" si="32"/>
        <v>64138.127742086006</v>
      </c>
      <c r="S160" s="44">
        <f t="shared" si="32"/>
        <v>61908.722204988961</v>
      </c>
      <c r="T160" s="44">
        <f t="shared" si="32"/>
        <v>48026.363794646204</v>
      </c>
      <c r="U160" s="44">
        <f t="shared" si="32"/>
        <v>45140.834583843549</v>
      </c>
      <c r="V160" s="44">
        <f t="shared" si="32"/>
        <v>36800.163336087295</v>
      </c>
    </row>
    <row r="161" spans="2:22" x14ac:dyDescent="0.2">
      <c r="C161" s="1" t="s">
        <v>52</v>
      </c>
      <c r="D161" s="12"/>
      <c r="E161" s="12"/>
      <c r="F161" s="12"/>
      <c r="G161" s="12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</row>
    <row r="162" spans="2:22" x14ac:dyDescent="0.2">
      <c r="B162" s="9"/>
    </row>
    <row r="163" spans="2:22" x14ac:dyDescent="0.2"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</row>
    <row r="164" spans="2:22" x14ac:dyDescent="0.2">
      <c r="D164" s="11"/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</row>
    <row r="165" spans="2:22" ht="15.75" customHeight="1" x14ac:dyDescent="0.2">
      <c r="D165" s="160" t="s">
        <v>214</v>
      </c>
      <c r="E165" s="158"/>
      <c r="F165" s="158"/>
      <c r="G165" s="158"/>
      <c r="H165" s="158"/>
      <c r="I165" s="158"/>
      <c r="J165" s="158"/>
      <c r="K165" s="158"/>
      <c r="L165" s="158"/>
      <c r="M165" s="158"/>
      <c r="N165" s="158"/>
      <c r="O165" s="158"/>
      <c r="P165" s="158"/>
      <c r="Q165" s="158"/>
      <c r="R165" s="158"/>
      <c r="S165" s="158"/>
      <c r="T165" s="158"/>
      <c r="U165" s="158"/>
      <c r="V165" s="158"/>
    </row>
    <row r="166" spans="2:22" ht="11.25" hidden="1" customHeight="1" x14ac:dyDescent="0.2">
      <c r="H166" s="27"/>
      <c r="I166" s="27"/>
      <c r="J166" s="27"/>
      <c r="L166" s="175"/>
      <c r="M166" s="158"/>
      <c r="N166" s="158"/>
      <c r="O166" s="158"/>
      <c r="P166" s="158"/>
      <c r="Q166" s="158"/>
      <c r="R166" s="28"/>
      <c r="S166" s="28"/>
      <c r="T166" s="28"/>
      <c r="U166" s="28"/>
      <c r="V166" s="28"/>
    </row>
    <row r="167" spans="2:22" x14ac:dyDescent="0.2"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</row>
    <row r="168" spans="2:22" ht="12" thickBot="1" x14ac:dyDescent="0.25">
      <c r="C168" s="177" t="s">
        <v>120</v>
      </c>
      <c r="D168" s="153">
        <v>2000</v>
      </c>
      <c r="E168" s="153">
        <v>2001</v>
      </c>
      <c r="F168" s="153">
        <v>2002</v>
      </c>
      <c r="G168" s="153">
        <v>2003</v>
      </c>
      <c r="H168" s="153">
        <v>2004</v>
      </c>
      <c r="I168" s="153">
        <v>2005</v>
      </c>
      <c r="J168" s="153">
        <v>2006</v>
      </c>
      <c r="K168" s="153">
        <v>2007</v>
      </c>
      <c r="L168" s="153">
        <v>2008</v>
      </c>
      <c r="M168" s="153">
        <v>2009</v>
      </c>
      <c r="N168" s="153">
        <v>2010</v>
      </c>
      <c r="O168" s="153">
        <v>2011</v>
      </c>
      <c r="P168" s="153">
        <v>2012</v>
      </c>
      <c r="Q168" s="153">
        <v>2013</v>
      </c>
      <c r="R168" s="153">
        <v>2014</v>
      </c>
      <c r="S168" s="153">
        <v>2015</v>
      </c>
      <c r="T168" s="153">
        <v>2016</v>
      </c>
      <c r="U168" s="153">
        <v>2017</v>
      </c>
      <c r="V168" s="153">
        <v>2018</v>
      </c>
    </row>
    <row r="169" spans="2:22" ht="12" customHeight="1" thickBot="1" x14ac:dyDescent="0.25">
      <c r="C169" s="156"/>
      <c r="D169" s="154"/>
      <c r="E169" s="154"/>
      <c r="F169" s="154"/>
      <c r="G169" s="154"/>
      <c r="H169" s="154"/>
      <c r="I169" s="154"/>
      <c r="J169" s="154"/>
      <c r="K169" s="154"/>
      <c r="L169" s="154"/>
      <c r="M169" s="154"/>
      <c r="N169" s="154"/>
      <c r="O169" s="154"/>
      <c r="P169" s="154"/>
      <c r="Q169" s="154"/>
      <c r="R169" s="154"/>
      <c r="S169" s="154"/>
      <c r="T169" s="154"/>
      <c r="U169" s="154"/>
      <c r="V169" s="154"/>
    </row>
    <row r="170" spans="2:22" x14ac:dyDescent="0.2">
      <c r="C170" s="87" t="s">
        <v>123</v>
      </c>
      <c r="D170" s="60">
        <f t="shared" ref="D170:V170" si="33">+IFERROR(IF(D131&gt;0,+((D131/D13)*100)," "),"")</f>
        <v>80.438558213256968</v>
      </c>
      <c r="E170" s="60">
        <f t="shared" si="33"/>
        <v>54.693420051864841</v>
      </c>
      <c r="F170" s="60">
        <f t="shared" si="33"/>
        <v>47.310694276030191</v>
      </c>
      <c r="G170" s="60">
        <f t="shared" si="33"/>
        <v>56.077363616829331</v>
      </c>
      <c r="H170" s="60">
        <f t="shared" si="33"/>
        <v>67.150339754630991</v>
      </c>
      <c r="I170" s="60">
        <f t="shared" si="33"/>
        <v>80.144423283681391</v>
      </c>
      <c r="J170" s="60">
        <f t="shared" si="33"/>
        <v>81.229034877431133</v>
      </c>
      <c r="K170" s="60">
        <f t="shared" si="33"/>
        <v>93.086074140279266</v>
      </c>
      <c r="L170" s="60">
        <f t="shared" si="33"/>
        <v>96.619289675633112</v>
      </c>
      <c r="M170" s="60">
        <f t="shared" si="33"/>
        <v>85.395679239000387</v>
      </c>
      <c r="N170" s="60">
        <f t="shared" si="33"/>
        <v>77.410342190101659</v>
      </c>
      <c r="O170" s="60">
        <f t="shared" si="33"/>
        <v>75.040030051955881</v>
      </c>
      <c r="P170" s="60">
        <f t="shared" si="33"/>
        <v>84.693499682820644</v>
      </c>
      <c r="Q170" s="60">
        <f t="shared" si="33"/>
        <v>83.087417641908161</v>
      </c>
      <c r="R170" s="60">
        <f t="shared" si="33"/>
        <v>91.840362305083715</v>
      </c>
      <c r="S170" s="60">
        <f t="shared" si="33"/>
        <v>87.000609612843817</v>
      </c>
      <c r="T170" s="60">
        <f t="shared" si="33"/>
        <v>77.161570199287098</v>
      </c>
      <c r="U170" s="60">
        <f t="shared" si="33"/>
        <v>90.577749704169378</v>
      </c>
      <c r="V170" s="60">
        <f t="shared" si="33"/>
        <v>52.008810771314003</v>
      </c>
    </row>
    <row r="171" spans="2:22" x14ac:dyDescent="0.2">
      <c r="C171" s="88" t="s">
        <v>124</v>
      </c>
      <c r="D171" s="62">
        <f t="shared" ref="D171:V171" si="34">+IFERROR(IF(D132&gt;0,+((D132/D14)*100)," "),"")</f>
        <v>44.549585221235503</v>
      </c>
      <c r="E171" s="62">
        <f t="shared" si="34"/>
        <v>54.578359636450337</v>
      </c>
      <c r="F171" s="62">
        <f t="shared" si="34"/>
        <v>51.275557866993019</v>
      </c>
      <c r="G171" s="62">
        <f t="shared" si="34"/>
        <v>57.987133582687441</v>
      </c>
      <c r="H171" s="62">
        <f t="shared" si="34"/>
        <v>21.153570443337021</v>
      </c>
      <c r="I171" s="62">
        <f t="shared" si="34"/>
        <v>36.440187932390245</v>
      </c>
      <c r="J171" s="62">
        <f t="shared" si="34"/>
        <v>39.178145278318041</v>
      </c>
      <c r="K171" s="62">
        <f t="shared" si="34"/>
        <v>94.808203678374667</v>
      </c>
      <c r="L171" s="62">
        <f t="shared" si="34"/>
        <v>93.51601712408015</v>
      </c>
      <c r="M171" s="62">
        <f t="shared" si="34"/>
        <v>78.735710400238219</v>
      </c>
      <c r="N171" s="62">
        <f t="shared" si="34"/>
        <v>83.588175108335946</v>
      </c>
      <c r="O171" s="62">
        <f t="shared" si="34"/>
        <v>84.270966338117205</v>
      </c>
      <c r="P171" s="62">
        <f t="shared" si="34"/>
        <v>75.292829967771269</v>
      </c>
      <c r="Q171" s="62">
        <f t="shared" si="34"/>
        <v>54.396163685225204</v>
      </c>
      <c r="R171" s="62">
        <f t="shared" si="34"/>
        <v>54.667150631641881</v>
      </c>
      <c r="S171" s="62">
        <f t="shared" si="34"/>
        <v>50.501006474218826</v>
      </c>
      <c r="T171" s="62">
        <f t="shared" si="34"/>
        <v>53.147364956524214</v>
      </c>
      <c r="U171" s="62">
        <f t="shared" si="34"/>
        <v>56.200388511535479</v>
      </c>
      <c r="V171" s="62">
        <f t="shared" si="34"/>
        <v>53.359201584842978</v>
      </c>
    </row>
    <row r="172" spans="2:22" x14ac:dyDescent="0.2">
      <c r="C172" s="87" t="s">
        <v>125</v>
      </c>
      <c r="D172" s="60">
        <f t="shared" ref="D172:V172" si="35">+IFERROR(IF(D133&gt;0,+((D133/D15)*100)," "),"")</f>
        <v>64.104460357979349</v>
      </c>
      <c r="E172" s="60">
        <f t="shared" si="35"/>
        <v>51.928768749157804</v>
      </c>
      <c r="F172" s="60">
        <f t="shared" si="35"/>
        <v>27.848722067416588</v>
      </c>
      <c r="G172" s="60">
        <f t="shared" si="35"/>
        <v>24.225124449428922</v>
      </c>
      <c r="H172" s="60">
        <f t="shared" si="35"/>
        <v>56.75939133023715</v>
      </c>
      <c r="I172" s="60">
        <f t="shared" si="35"/>
        <v>51.467405519330825</v>
      </c>
      <c r="J172" s="60">
        <f t="shared" si="35"/>
        <v>48.942487004883468</v>
      </c>
      <c r="K172" s="60">
        <f t="shared" si="35"/>
        <v>92.34105856870805</v>
      </c>
      <c r="L172" s="60">
        <f t="shared" si="35"/>
        <v>95.633057027187817</v>
      </c>
      <c r="M172" s="60">
        <f t="shared" si="35"/>
        <v>81.256569291989223</v>
      </c>
      <c r="N172" s="60">
        <f t="shared" si="35"/>
        <v>93.86654801209778</v>
      </c>
      <c r="O172" s="60">
        <f t="shared" si="35"/>
        <v>95.235448712212687</v>
      </c>
      <c r="P172" s="60">
        <f t="shared" si="35"/>
        <v>91.692770258591793</v>
      </c>
      <c r="Q172" s="60">
        <f t="shared" si="35"/>
        <v>96.575461161576214</v>
      </c>
      <c r="R172" s="60">
        <f t="shared" si="35"/>
        <v>94.96817664683158</v>
      </c>
      <c r="S172" s="60">
        <f t="shared" si="35"/>
        <v>98.468155598670251</v>
      </c>
      <c r="T172" s="60">
        <f t="shared" si="35"/>
        <v>98.750892667861862</v>
      </c>
      <c r="U172" s="60">
        <f t="shared" si="35"/>
        <v>99.939707188785704</v>
      </c>
      <c r="V172" s="60">
        <f t="shared" si="35"/>
        <v>79.425433055381617</v>
      </c>
    </row>
    <row r="173" spans="2:22" x14ac:dyDescent="0.2">
      <c r="C173" s="88" t="s">
        <v>126</v>
      </c>
      <c r="D173" s="62">
        <f t="shared" ref="D173:V173" si="36">+IFERROR(IF(D134&gt;0,+((D134/D16)*100)," "),"")</f>
        <v>55.043768387950905</v>
      </c>
      <c r="E173" s="62">
        <f t="shared" si="36"/>
        <v>48.959972188242482</v>
      </c>
      <c r="F173" s="62">
        <f t="shared" si="36"/>
        <v>35.091312662422958</v>
      </c>
      <c r="G173" s="62">
        <f t="shared" si="36"/>
        <v>50.28918450841158</v>
      </c>
      <c r="H173" s="62">
        <f t="shared" si="36"/>
        <v>34.17880858179096</v>
      </c>
      <c r="I173" s="62">
        <f t="shared" si="36"/>
        <v>35.567500788557417</v>
      </c>
      <c r="J173" s="62">
        <f t="shared" si="36"/>
        <v>49.96488983502686</v>
      </c>
      <c r="K173" s="62">
        <f t="shared" si="36"/>
        <v>89.672832590575354</v>
      </c>
      <c r="L173" s="62">
        <f t="shared" si="36"/>
        <v>95.929795067278107</v>
      </c>
      <c r="M173" s="62">
        <f t="shared" si="36"/>
        <v>88.876275181739345</v>
      </c>
      <c r="N173" s="62">
        <f t="shared" si="36"/>
        <v>91.398184667023386</v>
      </c>
      <c r="O173" s="62">
        <f t="shared" si="36"/>
        <v>92.717257371579691</v>
      </c>
      <c r="P173" s="62">
        <f t="shared" si="36"/>
        <v>97.301829360009961</v>
      </c>
      <c r="Q173" s="62">
        <f t="shared" si="36"/>
        <v>93.628747557674401</v>
      </c>
      <c r="R173" s="62">
        <f t="shared" si="36"/>
        <v>95.830711158356266</v>
      </c>
      <c r="S173" s="62">
        <f t="shared" si="36"/>
        <v>96.254158520217942</v>
      </c>
      <c r="T173" s="62">
        <f t="shared" si="36"/>
        <v>98.669484750385152</v>
      </c>
      <c r="U173" s="62">
        <f t="shared" si="36"/>
        <v>98.619612862797084</v>
      </c>
      <c r="V173" s="62">
        <f t="shared" si="36"/>
        <v>46.604033769936166</v>
      </c>
    </row>
    <row r="174" spans="2:22" x14ac:dyDescent="0.2">
      <c r="C174" s="87" t="s">
        <v>127</v>
      </c>
      <c r="D174" s="60" t="str">
        <f t="shared" ref="D174:V174" si="37">+IFERROR(IF(D135&gt;0,+((D135/D17)*100)," "),"")</f>
        <v xml:space="preserve"> </v>
      </c>
      <c r="E174" s="60" t="str">
        <f t="shared" si="37"/>
        <v xml:space="preserve"> </v>
      </c>
      <c r="F174" s="60" t="str">
        <f t="shared" si="37"/>
        <v xml:space="preserve"> </v>
      </c>
      <c r="G174" s="60">
        <f t="shared" si="37"/>
        <v>43.660191764705885</v>
      </c>
      <c r="H174" s="60" t="str">
        <f t="shared" si="37"/>
        <v xml:space="preserve"> </v>
      </c>
      <c r="I174" s="60">
        <f t="shared" si="37"/>
        <v>51.065452320000006</v>
      </c>
      <c r="J174" s="60">
        <f t="shared" si="37"/>
        <v>89.18994233411766</v>
      </c>
      <c r="K174" s="60">
        <f t="shared" si="37"/>
        <v>93.492191331942436</v>
      </c>
      <c r="L174" s="60">
        <f t="shared" si="37"/>
        <v>71.252610513821992</v>
      </c>
      <c r="M174" s="60">
        <f t="shared" si="37"/>
        <v>48.70456733147541</v>
      </c>
      <c r="N174" s="60">
        <f t="shared" si="37"/>
        <v>66.661658727224989</v>
      </c>
      <c r="O174" s="60">
        <f t="shared" si="37"/>
        <v>27.939514284000001</v>
      </c>
      <c r="P174" s="60">
        <f t="shared" si="37"/>
        <v>12.418999828489419</v>
      </c>
      <c r="Q174" s="60">
        <f t="shared" si="37"/>
        <v>58.007980926966198</v>
      </c>
      <c r="R174" s="60">
        <f t="shared" si="37"/>
        <v>83.064423898218493</v>
      </c>
      <c r="S174" s="60">
        <f t="shared" si="37"/>
        <v>94.475704184733573</v>
      </c>
      <c r="T174" s="60">
        <f t="shared" si="37"/>
        <v>94.677585228277508</v>
      </c>
      <c r="U174" s="60">
        <f t="shared" si="37"/>
        <v>93.474552255921111</v>
      </c>
      <c r="V174" s="60">
        <f t="shared" si="37"/>
        <v>65.555159428505732</v>
      </c>
    </row>
    <row r="175" spans="2:22" x14ac:dyDescent="0.2">
      <c r="C175" s="88" t="s">
        <v>128</v>
      </c>
      <c r="D175" s="62">
        <f t="shared" ref="D175:V175" si="38">+IFERROR(IF(D136&gt;0,+((D136/D18)*100)," "),"")</f>
        <v>43.593564012769889</v>
      </c>
      <c r="E175" s="62">
        <f t="shared" si="38"/>
        <v>65.167137538102622</v>
      </c>
      <c r="F175" s="62">
        <f t="shared" si="38"/>
        <v>54.933899251248022</v>
      </c>
      <c r="G175" s="62">
        <f t="shared" si="38"/>
        <v>70.491731586141952</v>
      </c>
      <c r="H175" s="62">
        <f t="shared" si="38"/>
        <v>65.698966909035789</v>
      </c>
      <c r="I175" s="62">
        <f t="shared" si="38"/>
        <v>81.781312062811992</v>
      </c>
      <c r="J175" s="62">
        <f t="shared" si="38"/>
        <v>85.602872361675949</v>
      </c>
      <c r="K175" s="62">
        <f t="shared" si="38"/>
        <v>79.429192662800915</v>
      </c>
      <c r="L175" s="62">
        <f t="shared" si="38"/>
        <v>88.32579252747388</v>
      </c>
      <c r="M175" s="62">
        <f t="shared" si="38"/>
        <v>83.694948646422276</v>
      </c>
      <c r="N175" s="62">
        <f t="shared" si="38"/>
        <v>86.691675252942971</v>
      </c>
      <c r="O175" s="62">
        <f t="shared" si="38"/>
        <v>83.546737672889563</v>
      </c>
      <c r="P175" s="62">
        <f t="shared" si="38"/>
        <v>91.940354480954781</v>
      </c>
      <c r="Q175" s="62">
        <f t="shared" si="38"/>
        <v>92.816751744973629</v>
      </c>
      <c r="R175" s="62">
        <f t="shared" si="38"/>
        <v>96.557874128955461</v>
      </c>
      <c r="S175" s="62">
        <f t="shared" si="38"/>
        <v>98.014879562883493</v>
      </c>
      <c r="T175" s="62">
        <f t="shared" si="38"/>
        <v>97.172465184993385</v>
      </c>
      <c r="U175" s="62">
        <f t="shared" si="38"/>
        <v>86.926832131811736</v>
      </c>
      <c r="V175" s="62">
        <f t="shared" si="38"/>
        <v>78.573036629005415</v>
      </c>
    </row>
    <row r="176" spans="2:22" x14ac:dyDescent="0.2">
      <c r="C176" s="87" t="s">
        <v>129</v>
      </c>
      <c r="D176" s="60">
        <f t="shared" ref="D176:V176" si="39">+IFERROR(IF(D137&gt;0,+((D137/D19)*100)," "),"")</f>
        <v>78.246981851758321</v>
      </c>
      <c r="E176" s="60">
        <f t="shared" si="39"/>
        <v>55.367476482110945</v>
      </c>
      <c r="F176" s="60">
        <f t="shared" si="39"/>
        <v>58.843875691196281</v>
      </c>
      <c r="G176" s="60">
        <f t="shared" si="39"/>
        <v>52.939529982733966</v>
      </c>
      <c r="H176" s="60">
        <f t="shared" si="39"/>
        <v>55.358261799050368</v>
      </c>
      <c r="I176" s="60">
        <f t="shared" si="39"/>
        <v>56.189640146193298</v>
      </c>
      <c r="J176" s="60">
        <f t="shared" si="39"/>
        <v>68.753196852697073</v>
      </c>
      <c r="K176" s="60">
        <f t="shared" si="39"/>
        <v>93.116299920217401</v>
      </c>
      <c r="L176" s="60">
        <f t="shared" si="39"/>
        <v>93.495893337057666</v>
      </c>
      <c r="M176" s="60">
        <f t="shared" si="39"/>
        <v>85.894843520598869</v>
      </c>
      <c r="N176" s="60">
        <f t="shared" si="39"/>
        <v>78.125062962037632</v>
      </c>
      <c r="O176" s="60">
        <f t="shared" si="39"/>
        <v>81.972085636569744</v>
      </c>
      <c r="P176" s="60">
        <f t="shared" si="39"/>
        <v>91.109329686587472</v>
      </c>
      <c r="Q176" s="60">
        <f t="shared" si="39"/>
        <v>90.115572251682281</v>
      </c>
      <c r="R176" s="60">
        <f t="shared" si="39"/>
        <v>82.110806214206761</v>
      </c>
      <c r="S176" s="60">
        <f t="shared" si="39"/>
        <v>88.478785651387909</v>
      </c>
      <c r="T176" s="60">
        <f t="shared" si="39"/>
        <v>88.821444655698599</v>
      </c>
      <c r="U176" s="60">
        <f t="shared" si="39"/>
        <v>87.737225577556401</v>
      </c>
      <c r="V176" s="60">
        <f t="shared" si="39"/>
        <v>66.948818235605273</v>
      </c>
    </row>
    <row r="177" spans="3:22" x14ac:dyDescent="0.2">
      <c r="C177" s="88" t="s">
        <v>130</v>
      </c>
      <c r="D177" s="62">
        <f t="shared" ref="D177:V177" si="40">+IFERROR(IF(D138&gt;0,+((D138/D20)*100)," "),"")</f>
        <v>82.945914155517286</v>
      </c>
      <c r="E177" s="62">
        <f t="shared" si="40"/>
        <v>59.754314631537163</v>
      </c>
      <c r="F177" s="62">
        <f t="shared" si="40"/>
        <v>65.283186566996193</v>
      </c>
      <c r="G177" s="62">
        <f t="shared" si="40"/>
        <v>48.876959855710602</v>
      </c>
      <c r="H177" s="62">
        <f t="shared" si="40"/>
        <v>85.026492877762053</v>
      </c>
      <c r="I177" s="62">
        <f t="shared" si="40"/>
        <v>87.586082234449762</v>
      </c>
      <c r="J177" s="62">
        <f t="shared" si="40"/>
        <v>92.862818928030123</v>
      </c>
      <c r="K177" s="62">
        <f t="shared" si="40"/>
        <v>90.527628303634785</v>
      </c>
      <c r="L177" s="62">
        <f t="shared" si="40"/>
        <v>93.21229231087905</v>
      </c>
      <c r="M177" s="62">
        <f t="shared" si="40"/>
        <v>84.687180714553492</v>
      </c>
      <c r="N177" s="62">
        <f t="shared" si="40"/>
        <v>87.106883832014134</v>
      </c>
      <c r="O177" s="62">
        <f t="shared" si="40"/>
        <v>84.2462180088298</v>
      </c>
      <c r="P177" s="62">
        <f t="shared" si="40"/>
        <v>84.805898209628154</v>
      </c>
      <c r="Q177" s="62">
        <f t="shared" si="40"/>
        <v>88.273391390315979</v>
      </c>
      <c r="R177" s="62">
        <f t="shared" si="40"/>
        <v>88.64432415815952</v>
      </c>
      <c r="S177" s="62">
        <f t="shared" si="40"/>
        <v>85.882842038393321</v>
      </c>
      <c r="T177" s="62">
        <f t="shared" si="40"/>
        <v>65.824877622423841</v>
      </c>
      <c r="U177" s="62">
        <f t="shared" si="40"/>
        <v>77.907867147495409</v>
      </c>
      <c r="V177" s="62">
        <f t="shared" si="40"/>
        <v>68.995934225392048</v>
      </c>
    </row>
    <row r="178" spans="3:22" x14ac:dyDescent="0.2">
      <c r="C178" s="87" t="s">
        <v>131</v>
      </c>
      <c r="D178" s="60">
        <f t="shared" ref="D178:V178" si="41">+IFERROR(IF(D139&gt;0,+((D139/D21)*100)," "),"")</f>
        <v>73.641535220755173</v>
      </c>
      <c r="E178" s="60">
        <f t="shared" si="41"/>
        <v>35.971568809527</v>
      </c>
      <c r="F178" s="60">
        <f t="shared" si="41"/>
        <v>53.810011022842552</v>
      </c>
      <c r="G178" s="60">
        <f t="shared" si="41"/>
        <v>73.809186412920468</v>
      </c>
      <c r="H178" s="60">
        <f t="shared" si="41"/>
        <v>49.447461476723049</v>
      </c>
      <c r="I178" s="60">
        <f t="shared" si="41"/>
        <v>51.728694349903449</v>
      </c>
      <c r="J178" s="60">
        <f t="shared" si="41"/>
        <v>52.661727409660323</v>
      </c>
      <c r="K178" s="60">
        <f t="shared" si="41"/>
        <v>91.898190802415314</v>
      </c>
      <c r="L178" s="60">
        <f t="shared" si="41"/>
        <v>88.109640102430291</v>
      </c>
      <c r="M178" s="60">
        <f t="shared" si="41"/>
        <v>85.574045081659051</v>
      </c>
      <c r="N178" s="60">
        <f t="shared" si="41"/>
        <v>84.320870470415059</v>
      </c>
      <c r="O178" s="60">
        <f t="shared" si="41"/>
        <v>87.250122235320816</v>
      </c>
      <c r="P178" s="60">
        <f t="shared" si="41"/>
        <v>77.342123343266778</v>
      </c>
      <c r="Q178" s="60">
        <f t="shared" si="41"/>
        <v>92.704204328704236</v>
      </c>
      <c r="R178" s="60">
        <f t="shared" si="41"/>
        <v>96.058433045922825</v>
      </c>
      <c r="S178" s="60">
        <f t="shared" si="41"/>
        <v>97.64573597559486</v>
      </c>
      <c r="T178" s="60">
        <f t="shared" si="41"/>
        <v>97.905208706535845</v>
      </c>
      <c r="U178" s="60">
        <f t="shared" si="41"/>
        <v>98.322374222679514</v>
      </c>
      <c r="V178" s="60">
        <f t="shared" si="41"/>
        <v>93.88655561100316</v>
      </c>
    </row>
    <row r="179" spans="3:22" x14ac:dyDescent="0.2">
      <c r="C179" s="88" t="s">
        <v>132</v>
      </c>
      <c r="D179" s="62" t="str">
        <f t="shared" ref="D179:V179" si="42">+IFERROR(IF(D140&gt;0,+((D140/D22)*100)," "),"")</f>
        <v xml:space="preserve"> </v>
      </c>
      <c r="E179" s="62" t="str">
        <f t="shared" si="42"/>
        <v xml:space="preserve"> </v>
      </c>
      <c r="F179" s="62" t="str">
        <f t="shared" si="42"/>
        <v xml:space="preserve"> </v>
      </c>
      <c r="G179" s="62" t="str">
        <f t="shared" si="42"/>
        <v xml:space="preserve"> </v>
      </c>
      <c r="H179" s="62">
        <f t="shared" si="42"/>
        <v>52.719748479499998</v>
      </c>
      <c r="I179" s="62">
        <f t="shared" si="42"/>
        <v>9.5599208460129752</v>
      </c>
      <c r="J179" s="62" t="str">
        <f t="shared" si="42"/>
        <v xml:space="preserve"> </v>
      </c>
      <c r="K179" s="62">
        <f t="shared" si="42"/>
        <v>96.204929199463564</v>
      </c>
      <c r="L179" s="62">
        <f t="shared" si="42"/>
        <v>100</v>
      </c>
      <c r="M179" s="62">
        <f t="shared" si="42"/>
        <v>99.999999881807696</v>
      </c>
      <c r="N179" s="62">
        <f t="shared" si="42"/>
        <v>59.465050527990911</v>
      </c>
      <c r="O179" s="62">
        <f t="shared" si="42"/>
        <v>82.331802514000003</v>
      </c>
      <c r="P179" s="62">
        <f t="shared" si="42"/>
        <v>93.995714264589139</v>
      </c>
      <c r="Q179" s="62">
        <f t="shared" si="42"/>
        <v>97.183690983037224</v>
      </c>
      <c r="R179" s="62">
        <f t="shared" si="42"/>
        <v>90.143183422492214</v>
      </c>
      <c r="S179" s="62">
        <f t="shared" si="42"/>
        <v>93.115772389997602</v>
      </c>
      <c r="T179" s="62">
        <f t="shared" si="42"/>
        <v>97.084015825936234</v>
      </c>
      <c r="U179" s="62">
        <f t="shared" si="42"/>
        <v>85.500739057001667</v>
      </c>
      <c r="V179" s="62">
        <f t="shared" si="42"/>
        <v>74.092202279606184</v>
      </c>
    </row>
    <row r="180" spans="3:22" x14ac:dyDescent="0.2">
      <c r="C180" s="87" t="s">
        <v>133</v>
      </c>
      <c r="D180" s="60">
        <f t="shared" ref="D180:V180" si="43">+IFERROR(IF(D141&gt;0,+((D141/D23)*100)," "),"")</f>
        <v>66.856704083298837</v>
      </c>
      <c r="E180" s="60">
        <f t="shared" si="43"/>
        <v>65.010719876315108</v>
      </c>
      <c r="F180" s="60">
        <f t="shared" si="43"/>
        <v>31.493231730364691</v>
      </c>
      <c r="G180" s="60">
        <f t="shared" si="43"/>
        <v>61.661162158306048</v>
      </c>
      <c r="H180" s="60">
        <f t="shared" si="43"/>
        <v>69.967833428159835</v>
      </c>
      <c r="I180" s="60">
        <f t="shared" si="43"/>
        <v>70.897109774486637</v>
      </c>
      <c r="J180" s="60">
        <f t="shared" si="43"/>
        <v>50.311222933874568</v>
      </c>
      <c r="K180" s="60">
        <f t="shared" si="43"/>
        <v>87.707316619772158</v>
      </c>
      <c r="L180" s="60">
        <f t="shared" si="43"/>
        <v>66.552498215502297</v>
      </c>
      <c r="M180" s="60">
        <f t="shared" si="43"/>
        <v>62.513708551280132</v>
      </c>
      <c r="N180" s="60">
        <f t="shared" si="43"/>
        <v>39.29454092218247</v>
      </c>
      <c r="O180" s="60">
        <f t="shared" si="43"/>
        <v>60.272622039694845</v>
      </c>
      <c r="P180" s="60">
        <f t="shared" si="43"/>
        <v>61.478232954723431</v>
      </c>
      <c r="Q180" s="60">
        <f t="shared" si="43"/>
        <v>70.263578518827842</v>
      </c>
      <c r="R180" s="60">
        <f t="shared" si="43"/>
        <v>68.577409987250249</v>
      </c>
      <c r="S180" s="60">
        <f t="shared" si="43"/>
        <v>60.359256272705849</v>
      </c>
      <c r="T180" s="60">
        <f t="shared" si="43"/>
        <v>68.547155994719176</v>
      </c>
      <c r="U180" s="60">
        <f t="shared" si="43"/>
        <v>86.097725791256437</v>
      </c>
      <c r="V180" s="60">
        <f t="shared" si="43"/>
        <v>62.346337336715493</v>
      </c>
    </row>
    <row r="181" spans="3:22" x14ac:dyDescent="0.2">
      <c r="C181" s="88" t="s">
        <v>134</v>
      </c>
      <c r="D181" s="62">
        <f t="shared" ref="D181:V181" si="44">+IFERROR(IF(D142&gt;0,+((D142/D24)*100)," "),"")</f>
        <v>91.005944660524889</v>
      </c>
      <c r="E181" s="62">
        <f t="shared" si="44"/>
        <v>86.792941011451745</v>
      </c>
      <c r="F181" s="62">
        <f t="shared" si="44"/>
        <v>70.592135932296657</v>
      </c>
      <c r="G181" s="62">
        <f t="shared" si="44"/>
        <v>84.249921918914723</v>
      </c>
      <c r="H181" s="62">
        <f t="shared" si="44"/>
        <v>58.764319538181198</v>
      </c>
      <c r="I181" s="62">
        <f t="shared" si="44"/>
        <v>60.176433433890097</v>
      </c>
      <c r="J181" s="62">
        <f t="shared" si="44"/>
        <v>33.718304136619828</v>
      </c>
      <c r="K181" s="62">
        <f t="shared" si="44"/>
        <v>80.428526860473184</v>
      </c>
      <c r="L181" s="62">
        <f t="shared" si="44"/>
        <v>84.898746959570317</v>
      </c>
      <c r="M181" s="62">
        <f t="shared" si="44"/>
        <v>92.530130821705953</v>
      </c>
      <c r="N181" s="62">
        <f t="shared" si="44"/>
        <v>95.592938330653794</v>
      </c>
      <c r="O181" s="62">
        <f t="shared" si="44"/>
        <v>88.126563975143739</v>
      </c>
      <c r="P181" s="62">
        <f t="shared" si="44"/>
        <v>81.463646354343041</v>
      </c>
      <c r="Q181" s="62">
        <f t="shared" si="44"/>
        <v>69.691266474648103</v>
      </c>
      <c r="R181" s="62">
        <f t="shared" si="44"/>
        <v>34.378214154943961</v>
      </c>
      <c r="S181" s="62">
        <f t="shared" si="44"/>
        <v>35.128596653804145</v>
      </c>
      <c r="T181" s="62">
        <f t="shared" si="44"/>
        <v>25.202612025614741</v>
      </c>
      <c r="U181" s="62">
        <f t="shared" si="44"/>
        <v>52.199216184351094</v>
      </c>
      <c r="V181" s="62">
        <f t="shared" si="44"/>
        <v>47.263264438861206</v>
      </c>
    </row>
    <row r="182" spans="3:22" x14ac:dyDescent="0.2">
      <c r="C182" s="87" t="s">
        <v>135</v>
      </c>
      <c r="D182" s="60" t="str">
        <f t="shared" ref="D182:V182" si="45">+IFERROR(IF(D143&gt;0,+((D143/D25)*100)," "),"")</f>
        <v xml:space="preserve"> </v>
      </c>
      <c r="E182" s="60" t="str">
        <f t="shared" si="45"/>
        <v xml:space="preserve"> </v>
      </c>
      <c r="F182" s="60" t="str">
        <f t="shared" si="45"/>
        <v xml:space="preserve"> </v>
      </c>
      <c r="G182" s="60" t="str">
        <f t="shared" si="45"/>
        <v xml:space="preserve"> </v>
      </c>
      <c r="H182" s="60" t="str">
        <f t="shared" si="45"/>
        <v xml:space="preserve"> </v>
      </c>
      <c r="I182" s="60" t="str">
        <f t="shared" si="45"/>
        <v xml:space="preserve"> </v>
      </c>
      <c r="J182" s="60" t="str">
        <f t="shared" si="45"/>
        <v xml:space="preserve"> </v>
      </c>
      <c r="K182" s="60" t="str">
        <f t="shared" si="45"/>
        <v xml:space="preserve"> </v>
      </c>
      <c r="L182" s="60" t="str">
        <f t="shared" si="45"/>
        <v xml:space="preserve"> </v>
      </c>
      <c r="M182" s="60" t="str">
        <f t="shared" si="45"/>
        <v xml:space="preserve"> </v>
      </c>
      <c r="N182" s="60" t="str">
        <f t="shared" si="45"/>
        <v xml:space="preserve"> </v>
      </c>
      <c r="O182" s="60" t="str">
        <f t="shared" si="45"/>
        <v xml:space="preserve"> </v>
      </c>
      <c r="P182" s="60" t="str">
        <f t="shared" si="45"/>
        <v xml:space="preserve"> </v>
      </c>
      <c r="Q182" s="60" t="str">
        <f t="shared" si="45"/>
        <v xml:space="preserve"> </v>
      </c>
      <c r="R182" s="60" t="str">
        <f t="shared" si="45"/>
        <v xml:space="preserve"> </v>
      </c>
      <c r="S182" s="60" t="str">
        <f t="shared" si="45"/>
        <v xml:space="preserve"> </v>
      </c>
      <c r="T182" s="60" t="str">
        <f t="shared" si="45"/>
        <v xml:space="preserve"> </v>
      </c>
      <c r="U182" s="60" t="str">
        <f t="shared" si="45"/>
        <v xml:space="preserve"> </v>
      </c>
      <c r="V182" s="60" t="str">
        <f t="shared" si="45"/>
        <v xml:space="preserve"> </v>
      </c>
    </row>
    <row r="183" spans="3:22" x14ac:dyDescent="0.2">
      <c r="C183" s="88" t="s">
        <v>136</v>
      </c>
      <c r="D183" s="62">
        <f t="shared" ref="D183:V183" si="46">+IFERROR(IF(D144&gt;0,+((D144/D26)*100)," "),"")</f>
        <v>48.882776481572009</v>
      </c>
      <c r="E183" s="62">
        <f t="shared" si="46"/>
        <v>77.770374514594891</v>
      </c>
      <c r="F183" s="62">
        <f t="shared" si="46"/>
        <v>51.019545918919427</v>
      </c>
      <c r="G183" s="62">
        <f t="shared" si="46"/>
        <v>91.664422502525895</v>
      </c>
      <c r="H183" s="62">
        <f t="shared" si="46"/>
        <v>54.719836834541489</v>
      </c>
      <c r="I183" s="62">
        <f t="shared" si="46"/>
        <v>60.911088487454592</v>
      </c>
      <c r="J183" s="62">
        <f t="shared" si="46"/>
        <v>75.672941029125013</v>
      </c>
      <c r="K183" s="62">
        <f t="shared" si="46"/>
        <v>91.166265613999684</v>
      </c>
      <c r="L183" s="62">
        <f t="shared" si="46"/>
        <v>77.519077044058022</v>
      </c>
      <c r="M183" s="62">
        <f t="shared" si="46"/>
        <v>84.037394136451624</v>
      </c>
      <c r="N183" s="62">
        <f t="shared" si="46"/>
        <v>81.235398400862351</v>
      </c>
      <c r="O183" s="62">
        <f t="shared" si="46"/>
        <v>88.476168296990338</v>
      </c>
      <c r="P183" s="62">
        <f t="shared" si="46"/>
        <v>86.892602320449768</v>
      </c>
      <c r="Q183" s="62">
        <f t="shared" si="46"/>
        <v>88.52293100904069</v>
      </c>
      <c r="R183" s="62">
        <f t="shared" si="46"/>
        <v>91.139734062204397</v>
      </c>
      <c r="S183" s="62">
        <f t="shared" si="46"/>
        <v>95.200761941168437</v>
      </c>
      <c r="T183" s="62">
        <f t="shared" si="46"/>
        <v>86.033408377647831</v>
      </c>
      <c r="U183" s="62">
        <f t="shared" si="46"/>
        <v>96.004131608008038</v>
      </c>
      <c r="V183" s="62">
        <f t="shared" si="46"/>
        <v>91.133773872899582</v>
      </c>
    </row>
    <row r="184" spans="3:22" x14ac:dyDescent="0.2">
      <c r="C184" s="87" t="s">
        <v>137</v>
      </c>
      <c r="D184" s="60">
        <f t="shared" ref="D184:V184" si="47">+IFERROR(IF(D145&gt;0,+((D145/D27)*100)," "),"")</f>
        <v>39.356098816645087</v>
      </c>
      <c r="E184" s="60">
        <f t="shared" si="47"/>
        <v>66.431227472133969</v>
      </c>
      <c r="F184" s="60">
        <f t="shared" si="47"/>
        <v>41.788342612500585</v>
      </c>
      <c r="G184" s="60">
        <f t="shared" si="47"/>
        <v>45.551459193531251</v>
      </c>
      <c r="H184" s="60">
        <f t="shared" si="47"/>
        <v>64.424404426638986</v>
      </c>
      <c r="I184" s="60">
        <f t="shared" si="47"/>
        <v>77.134544698926959</v>
      </c>
      <c r="J184" s="60">
        <f t="shared" si="47"/>
        <v>95.876576288788456</v>
      </c>
      <c r="K184" s="60">
        <f t="shared" si="47"/>
        <v>81.432609047349388</v>
      </c>
      <c r="L184" s="60">
        <f t="shared" si="47"/>
        <v>90.94072851770477</v>
      </c>
      <c r="M184" s="60">
        <f t="shared" si="47"/>
        <v>81.841895242926654</v>
      </c>
      <c r="N184" s="60">
        <f t="shared" si="47"/>
        <v>80.306557755956547</v>
      </c>
      <c r="O184" s="60">
        <f t="shared" si="47"/>
        <v>91.307889913498371</v>
      </c>
      <c r="P184" s="60">
        <f t="shared" si="47"/>
        <v>88.000106062816869</v>
      </c>
      <c r="Q184" s="60">
        <f t="shared" si="47"/>
        <v>86.506955945647178</v>
      </c>
      <c r="R184" s="60">
        <f t="shared" si="47"/>
        <v>97.589210626445308</v>
      </c>
      <c r="S184" s="60">
        <f t="shared" si="47"/>
        <v>91.51599421439235</v>
      </c>
      <c r="T184" s="60">
        <f t="shared" si="47"/>
        <v>92.339347185763515</v>
      </c>
      <c r="U184" s="60">
        <f t="shared" si="47"/>
        <v>90.308764680232372</v>
      </c>
      <c r="V184" s="60">
        <f t="shared" si="47"/>
        <v>93.072440309311929</v>
      </c>
    </row>
    <row r="185" spans="3:22" x14ac:dyDescent="0.2">
      <c r="C185" s="88" t="s">
        <v>138</v>
      </c>
      <c r="D185" s="62">
        <f t="shared" ref="D185:V185" si="48">+IFERROR(IF(D146&gt;0,+((D146/D28)*100)," "),"")</f>
        <v>54.866356799999991</v>
      </c>
      <c r="E185" s="62">
        <f t="shared" si="48"/>
        <v>94.999885124277782</v>
      </c>
      <c r="F185" s="62">
        <f t="shared" si="48"/>
        <v>0.94872887999999811</v>
      </c>
      <c r="G185" s="62" t="str">
        <f t="shared" si="48"/>
        <v xml:space="preserve"> </v>
      </c>
      <c r="H185" s="62" t="str">
        <f t="shared" si="48"/>
        <v xml:space="preserve"> </v>
      </c>
      <c r="I185" s="62" t="str">
        <f t="shared" si="48"/>
        <v xml:space="preserve"> </v>
      </c>
      <c r="J185" s="62" t="str">
        <f t="shared" si="48"/>
        <v xml:space="preserve"> </v>
      </c>
      <c r="K185" s="62" t="str">
        <f t="shared" si="48"/>
        <v xml:space="preserve"> </v>
      </c>
      <c r="L185" s="62">
        <f t="shared" si="48"/>
        <v>74.98413912115555</v>
      </c>
      <c r="M185" s="62">
        <f t="shared" si="48"/>
        <v>5.5729729729729733</v>
      </c>
      <c r="N185" s="62">
        <f t="shared" si="48"/>
        <v>45.190921870967742</v>
      </c>
      <c r="O185" s="62" t="str">
        <f t="shared" si="48"/>
        <v xml:space="preserve"> </v>
      </c>
      <c r="P185" s="62">
        <f t="shared" si="48"/>
        <v>78.790006266340711</v>
      </c>
      <c r="Q185" s="62">
        <f t="shared" si="48"/>
        <v>88.729238084960926</v>
      </c>
      <c r="R185" s="62">
        <f t="shared" si="48"/>
        <v>83.820776135423685</v>
      </c>
      <c r="S185" s="62">
        <f t="shared" si="48"/>
        <v>94.527974908600569</v>
      </c>
      <c r="T185" s="62">
        <f t="shared" si="48"/>
        <v>97.182040692632981</v>
      </c>
      <c r="U185" s="62">
        <f t="shared" si="48"/>
        <v>91.201744670202686</v>
      </c>
      <c r="V185" s="62">
        <f t="shared" si="48"/>
        <v>96.85860163507715</v>
      </c>
    </row>
    <row r="186" spans="3:22" x14ac:dyDescent="0.2">
      <c r="C186" s="87" t="s">
        <v>139</v>
      </c>
      <c r="D186" s="60">
        <f t="shared" ref="D186:V186" si="49">+IFERROR(IF(D147&gt;0,+((D147/D29)*100)," "),"")</f>
        <v>78.584505373828321</v>
      </c>
      <c r="E186" s="60">
        <f t="shared" si="49"/>
        <v>51.253792869005785</v>
      </c>
      <c r="F186" s="60">
        <f t="shared" si="49"/>
        <v>28.804843783930139</v>
      </c>
      <c r="G186" s="60">
        <f t="shared" si="49"/>
        <v>75.218223998985721</v>
      </c>
      <c r="H186" s="60">
        <f t="shared" si="49"/>
        <v>60.060822977860497</v>
      </c>
      <c r="I186" s="60">
        <f t="shared" si="49"/>
        <v>72.102089212862197</v>
      </c>
      <c r="J186" s="60">
        <f t="shared" si="49"/>
        <v>80.709877820462268</v>
      </c>
      <c r="K186" s="60">
        <f t="shared" si="49"/>
        <v>66.812689946842056</v>
      </c>
      <c r="L186" s="60">
        <f t="shared" si="49"/>
        <v>79.015860044284665</v>
      </c>
      <c r="M186" s="60">
        <f t="shared" si="49"/>
        <v>88.246710636814754</v>
      </c>
      <c r="N186" s="60">
        <f t="shared" si="49"/>
        <v>74.250030249916705</v>
      </c>
      <c r="O186" s="60">
        <f t="shared" si="49"/>
        <v>98.457742074058501</v>
      </c>
      <c r="P186" s="60">
        <f t="shared" si="49"/>
        <v>50.809330906269025</v>
      </c>
      <c r="Q186" s="60">
        <f t="shared" si="49"/>
        <v>65.99306060219098</v>
      </c>
      <c r="R186" s="60">
        <f t="shared" si="49"/>
        <v>75.952150094940635</v>
      </c>
      <c r="S186" s="60">
        <f t="shared" si="49"/>
        <v>61.134273167468386</v>
      </c>
      <c r="T186" s="60">
        <f t="shared" si="49"/>
        <v>41.583324398452717</v>
      </c>
      <c r="U186" s="60">
        <f t="shared" si="49"/>
        <v>35.000279124667365</v>
      </c>
      <c r="V186" s="60">
        <f t="shared" si="49"/>
        <v>31.611565647576029</v>
      </c>
    </row>
    <row r="187" spans="3:22" x14ac:dyDescent="0.2">
      <c r="C187" s="88" t="s">
        <v>140</v>
      </c>
      <c r="D187" s="62">
        <f t="shared" ref="D187:V187" si="50">+IFERROR(IF(D148&gt;0,+((D148/D30)*100)," "),"")</f>
        <v>86.513653839102716</v>
      </c>
      <c r="E187" s="62">
        <f t="shared" si="50"/>
        <v>72.338299205552772</v>
      </c>
      <c r="F187" s="62">
        <f t="shared" si="50"/>
        <v>75.987196206650538</v>
      </c>
      <c r="G187" s="62">
        <f t="shared" si="50"/>
        <v>95.345793630548371</v>
      </c>
      <c r="H187" s="62">
        <f t="shared" si="50"/>
        <v>84.457714424515828</v>
      </c>
      <c r="I187" s="62">
        <f t="shared" si="50"/>
        <v>80.063794423540841</v>
      </c>
      <c r="J187" s="62">
        <f t="shared" si="50"/>
        <v>65.727958493383412</v>
      </c>
      <c r="K187" s="62">
        <f t="shared" si="50"/>
        <v>59.562406105414077</v>
      </c>
      <c r="L187" s="62">
        <f t="shared" si="50"/>
        <v>95.19749905519383</v>
      </c>
      <c r="M187" s="62">
        <f t="shared" si="50"/>
        <v>88.450018028868968</v>
      </c>
      <c r="N187" s="62">
        <f t="shared" si="50"/>
        <v>92.535526523359337</v>
      </c>
      <c r="O187" s="62">
        <f t="shared" si="50"/>
        <v>92.702125014527653</v>
      </c>
      <c r="P187" s="62">
        <f t="shared" si="50"/>
        <v>96.541930854860595</v>
      </c>
      <c r="Q187" s="62">
        <f t="shared" si="50"/>
        <v>92.97021528562307</v>
      </c>
      <c r="R187" s="62">
        <f t="shared" si="50"/>
        <v>95.640208400799978</v>
      </c>
      <c r="S187" s="62">
        <f t="shared" si="50"/>
        <v>95.781055450142503</v>
      </c>
      <c r="T187" s="62">
        <f t="shared" si="50"/>
        <v>90.20699210341408</v>
      </c>
      <c r="U187" s="62">
        <f t="shared" si="50"/>
        <v>91.122812144800591</v>
      </c>
      <c r="V187" s="62">
        <f t="shared" si="50"/>
        <v>92.735606360377261</v>
      </c>
    </row>
    <row r="188" spans="3:22" x14ac:dyDescent="0.2">
      <c r="C188" s="87" t="s">
        <v>141</v>
      </c>
      <c r="D188" s="60">
        <f t="shared" ref="D188:V188" si="51">+IFERROR(IF(D149&gt;0,+((D149/D31)*100)," "),"")</f>
        <v>70.918216381042058</v>
      </c>
      <c r="E188" s="60">
        <f t="shared" si="51"/>
        <v>12.840658737964569</v>
      </c>
      <c r="F188" s="60">
        <f t="shared" si="51"/>
        <v>7.4114338737618581</v>
      </c>
      <c r="G188" s="60">
        <f t="shared" si="51"/>
        <v>9.8471646873872931</v>
      </c>
      <c r="H188" s="60">
        <f t="shared" si="51"/>
        <v>19.957529773328087</v>
      </c>
      <c r="I188" s="60">
        <f t="shared" si="51"/>
        <v>16.557019609322495</v>
      </c>
      <c r="J188" s="60">
        <f t="shared" si="51"/>
        <v>43.873939858961542</v>
      </c>
      <c r="K188" s="60">
        <f t="shared" si="51"/>
        <v>55.576452986252278</v>
      </c>
      <c r="L188" s="60">
        <f t="shared" si="51"/>
        <v>54.736967848382932</v>
      </c>
      <c r="M188" s="60">
        <f t="shared" si="51"/>
        <v>71.060041589268437</v>
      </c>
      <c r="N188" s="60">
        <f t="shared" si="51"/>
        <v>48.836891807365248</v>
      </c>
      <c r="O188" s="60">
        <f t="shared" si="51"/>
        <v>44.213528412305457</v>
      </c>
      <c r="P188" s="60">
        <f t="shared" si="51"/>
        <v>80.171291423227913</v>
      </c>
      <c r="Q188" s="60">
        <f t="shared" si="51"/>
        <v>75.853312583806485</v>
      </c>
      <c r="R188" s="60">
        <f t="shared" si="51"/>
        <v>88.199898972051841</v>
      </c>
      <c r="S188" s="60">
        <f t="shared" si="51"/>
        <v>46.382743162945708</v>
      </c>
      <c r="T188" s="60">
        <f t="shared" si="51"/>
        <v>78.31011994438704</v>
      </c>
      <c r="U188" s="60">
        <f t="shared" si="51"/>
        <v>80.151906933408469</v>
      </c>
      <c r="V188" s="60">
        <f t="shared" si="51"/>
        <v>83.459393215535883</v>
      </c>
    </row>
    <row r="189" spans="3:22" x14ac:dyDescent="0.2">
      <c r="C189" s="88" t="s">
        <v>142</v>
      </c>
      <c r="D189" s="62">
        <f t="shared" ref="D189:V189" si="52">+IFERROR(IF(D150&gt;0,+((D150/D32)*100)," "),"")</f>
        <v>15.490072107612333</v>
      </c>
      <c r="E189" s="62">
        <f t="shared" si="52"/>
        <v>23.718708063756232</v>
      </c>
      <c r="F189" s="62">
        <f t="shared" si="52"/>
        <v>8.7324754897849601</v>
      </c>
      <c r="G189" s="62">
        <f t="shared" si="52"/>
        <v>17.928257752699682</v>
      </c>
      <c r="H189" s="62">
        <f t="shared" si="52"/>
        <v>61.976226545103771</v>
      </c>
      <c r="I189" s="62">
        <f t="shared" si="52"/>
        <v>18.494109202245195</v>
      </c>
      <c r="J189" s="62">
        <f t="shared" si="52"/>
        <v>22.211987632708343</v>
      </c>
      <c r="K189" s="62">
        <f t="shared" si="52"/>
        <v>63.032464750625053</v>
      </c>
      <c r="L189" s="62">
        <f t="shared" si="52"/>
        <v>35.640002477393516</v>
      </c>
      <c r="M189" s="62">
        <f t="shared" si="52"/>
        <v>34.603353690202255</v>
      </c>
      <c r="N189" s="62">
        <f t="shared" si="52"/>
        <v>40.058580578080758</v>
      </c>
      <c r="O189" s="62">
        <f t="shared" si="52"/>
        <v>36.78291432943886</v>
      </c>
      <c r="P189" s="62">
        <f t="shared" si="52"/>
        <v>48.873966152630615</v>
      </c>
      <c r="Q189" s="62">
        <f t="shared" si="52"/>
        <v>54.043965062705681</v>
      </c>
      <c r="R189" s="62">
        <f t="shared" si="52"/>
        <v>84.446897922739026</v>
      </c>
      <c r="S189" s="62">
        <f t="shared" si="52"/>
        <v>94.201575418665399</v>
      </c>
      <c r="T189" s="62">
        <f t="shared" si="52"/>
        <v>80.252356807854113</v>
      </c>
      <c r="U189" s="62">
        <f t="shared" si="52"/>
        <v>98.301175831961132</v>
      </c>
      <c r="V189" s="62">
        <f t="shared" si="52"/>
        <v>58.487354706262018</v>
      </c>
    </row>
    <row r="190" spans="3:22" x14ac:dyDescent="0.2">
      <c r="C190" s="87" t="s">
        <v>143</v>
      </c>
      <c r="D190" s="60">
        <f t="shared" ref="D190:V190" si="53">+IFERROR(IF(D151&gt;0,+((D151/D33)*100)," "),"")</f>
        <v>96.94781147103474</v>
      </c>
      <c r="E190" s="60">
        <f t="shared" si="53"/>
        <v>60.014283834613188</v>
      </c>
      <c r="F190" s="60">
        <f t="shared" si="53"/>
        <v>49.185174382135841</v>
      </c>
      <c r="G190" s="60">
        <f t="shared" si="53"/>
        <v>59.563853457369589</v>
      </c>
      <c r="H190" s="60">
        <f t="shared" si="53"/>
        <v>77.131377955157504</v>
      </c>
      <c r="I190" s="60">
        <f t="shared" si="53"/>
        <v>83.852285791862656</v>
      </c>
      <c r="J190" s="60">
        <f t="shared" si="53"/>
        <v>85.44842247444106</v>
      </c>
      <c r="K190" s="60">
        <f t="shared" si="53"/>
        <v>95.877397004671963</v>
      </c>
      <c r="L190" s="60">
        <f t="shared" si="53"/>
        <v>69.70633981634343</v>
      </c>
      <c r="M190" s="60">
        <f t="shared" si="53"/>
        <v>78.819129209559605</v>
      </c>
      <c r="N190" s="60">
        <f t="shared" si="53"/>
        <v>59.579415115492985</v>
      </c>
      <c r="O190" s="60">
        <f t="shared" si="53"/>
        <v>68.205216850179781</v>
      </c>
      <c r="P190" s="60">
        <f t="shared" si="53"/>
        <v>95.182930758110984</v>
      </c>
      <c r="Q190" s="60">
        <f t="shared" si="53"/>
        <v>89.223314030077034</v>
      </c>
      <c r="R190" s="60">
        <f t="shared" si="53"/>
        <v>87.253828880884711</v>
      </c>
      <c r="S190" s="60">
        <f t="shared" si="53"/>
        <v>93.595644034524895</v>
      </c>
      <c r="T190" s="60">
        <f t="shared" si="53"/>
        <v>91.950379806362164</v>
      </c>
      <c r="U190" s="60">
        <f t="shared" si="53"/>
        <v>72.492779317595662</v>
      </c>
      <c r="V190" s="60">
        <f t="shared" si="53"/>
        <v>3.1723266494071249</v>
      </c>
    </row>
    <row r="191" spans="3:22" x14ac:dyDescent="0.2">
      <c r="C191" s="88" t="s">
        <v>144</v>
      </c>
      <c r="D191" s="62">
        <f t="shared" ref="D191:V191" si="54">+IFERROR(IF(D152&gt;0,+((D152/D34)*100)," "),"")</f>
        <v>62.280016848992211</v>
      </c>
      <c r="E191" s="62">
        <f t="shared" si="54"/>
        <v>77.934334000211194</v>
      </c>
      <c r="F191" s="62">
        <f t="shared" si="54"/>
        <v>37.437260128618156</v>
      </c>
      <c r="G191" s="62">
        <f t="shared" si="54"/>
        <v>41.0454624461089</v>
      </c>
      <c r="H191" s="62">
        <f t="shared" si="54"/>
        <v>36.880893472647259</v>
      </c>
      <c r="I191" s="62">
        <f t="shared" si="54"/>
        <v>36.717418211854678</v>
      </c>
      <c r="J191" s="62">
        <f t="shared" si="54"/>
        <v>48.352535717539844</v>
      </c>
      <c r="K191" s="62">
        <f t="shared" si="54"/>
        <v>67.510760496373493</v>
      </c>
      <c r="L191" s="62">
        <f t="shared" si="54"/>
        <v>64.0988672156208</v>
      </c>
      <c r="M191" s="62">
        <f t="shared" si="54"/>
        <v>76.295734050083695</v>
      </c>
      <c r="N191" s="62">
        <f t="shared" si="54"/>
        <v>37.551919218540391</v>
      </c>
      <c r="O191" s="62">
        <f t="shared" si="54"/>
        <v>17.187246214677028</v>
      </c>
      <c r="P191" s="62">
        <f t="shared" si="54"/>
        <v>21.978689645097433</v>
      </c>
      <c r="Q191" s="62">
        <f t="shared" si="54"/>
        <v>54.708816799519333</v>
      </c>
      <c r="R191" s="62">
        <f t="shared" si="54"/>
        <v>71.806678646760602</v>
      </c>
      <c r="S191" s="62">
        <f t="shared" si="54"/>
        <v>58.833159399031878</v>
      </c>
      <c r="T191" s="62">
        <f t="shared" si="54"/>
        <v>63.224141448955841</v>
      </c>
      <c r="U191" s="62">
        <f t="shared" si="54"/>
        <v>73.567404360881198</v>
      </c>
      <c r="V191" s="62">
        <f t="shared" si="54"/>
        <v>68.019877489688668</v>
      </c>
    </row>
    <row r="192" spans="3:22" x14ac:dyDescent="0.2">
      <c r="C192" s="87" t="s">
        <v>145</v>
      </c>
      <c r="D192" s="60">
        <f t="shared" ref="D192:V192" si="55">+IFERROR(IF(D153&gt;0,+((D153/D35)*100)," "),"")</f>
        <v>16.744298652558687</v>
      </c>
      <c r="E192" s="60" t="str">
        <f t="shared" si="55"/>
        <v xml:space="preserve"> </v>
      </c>
      <c r="F192" s="60" t="str">
        <f t="shared" si="55"/>
        <v xml:space="preserve"> </v>
      </c>
      <c r="G192" s="60">
        <f t="shared" si="55"/>
        <v>76.167329565111004</v>
      </c>
      <c r="H192" s="60">
        <f t="shared" si="55"/>
        <v>89.999999999999986</v>
      </c>
      <c r="I192" s="60">
        <f t="shared" si="55"/>
        <v>93.973684207017527</v>
      </c>
      <c r="J192" s="60">
        <f t="shared" si="55"/>
        <v>99.844574906302682</v>
      </c>
      <c r="K192" s="60">
        <f t="shared" si="55"/>
        <v>1.4361262431251522</v>
      </c>
      <c r="L192" s="60">
        <f t="shared" si="55"/>
        <v>91.974180441241174</v>
      </c>
      <c r="M192" s="60">
        <f t="shared" si="55"/>
        <v>79.505368570967264</v>
      </c>
      <c r="N192" s="60">
        <f t="shared" si="55"/>
        <v>72.084624388479</v>
      </c>
      <c r="O192" s="60">
        <f t="shared" si="55"/>
        <v>83.616637937226074</v>
      </c>
      <c r="P192" s="60">
        <f t="shared" si="55"/>
        <v>80.822280637686987</v>
      </c>
      <c r="Q192" s="60">
        <f t="shared" si="55"/>
        <v>90.265434694181963</v>
      </c>
      <c r="R192" s="60">
        <f t="shared" si="55"/>
        <v>93.410775560957376</v>
      </c>
      <c r="S192" s="60">
        <f t="shared" si="55"/>
        <v>99.044511228444293</v>
      </c>
      <c r="T192" s="60">
        <f t="shared" si="55"/>
        <v>99.892567519886356</v>
      </c>
      <c r="U192" s="60">
        <f t="shared" si="55"/>
        <v>97.270162851352964</v>
      </c>
      <c r="V192" s="60">
        <f t="shared" si="55"/>
        <v>71.000000000000014</v>
      </c>
    </row>
    <row r="193" spans="3:22" x14ac:dyDescent="0.2">
      <c r="C193" s="88" t="s">
        <v>146</v>
      </c>
      <c r="D193" s="62" t="str">
        <f t="shared" ref="D193:V193" si="56">+IFERROR(IF(D154&gt;0,+((D154/D36)*100)," "),"")</f>
        <v xml:space="preserve"> </v>
      </c>
      <c r="E193" s="62" t="str">
        <f t="shared" si="56"/>
        <v xml:space="preserve"> </v>
      </c>
      <c r="F193" s="62" t="str">
        <f t="shared" si="56"/>
        <v xml:space="preserve"> </v>
      </c>
      <c r="G193" s="62" t="str">
        <f t="shared" si="56"/>
        <v xml:space="preserve"> </v>
      </c>
      <c r="H193" s="62">
        <f t="shared" si="56"/>
        <v>82.164134492999992</v>
      </c>
      <c r="I193" s="62">
        <f t="shared" si="56"/>
        <v>97.007569971980672</v>
      </c>
      <c r="J193" s="62">
        <f t="shared" si="56"/>
        <v>99.734089129472281</v>
      </c>
      <c r="K193" s="62">
        <f t="shared" si="56"/>
        <v>35.142213956212146</v>
      </c>
      <c r="L193" s="62">
        <f t="shared" si="56"/>
        <v>73.277060243085884</v>
      </c>
      <c r="M193" s="62">
        <f t="shared" si="56"/>
        <v>68.707195653654296</v>
      </c>
      <c r="N193" s="62">
        <f t="shared" si="56"/>
        <v>74.746463677995209</v>
      </c>
      <c r="O193" s="62">
        <f t="shared" si="56"/>
        <v>92.795011044553178</v>
      </c>
      <c r="P193" s="62">
        <f t="shared" si="56"/>
        <v>78.585474022786187</v>
      </c>
      <c r="Q193" s="62">
        <f t="shared" si="56"/>
        <v>96.865577771519369</v>
      </c>
      <c r="R193" s="62">
        <f t="shared" si="56"/>
        <v>96.996849686529004</v>
      </c>
      <c r="S193" s="62">
        <f t="shared" si="56"/>
        <v>98.014278823792111</v>
      </c>
      <c r="T193" s="62">
        <f t="shared" si="56"/>
        <v>97.045529276917335</v>
      </c>
      <c r="U193" s="62">
        <f t="shared" si="56"/>
        <v>99.9736543949696</v>
      </c>
      <c r="V193" s="62">
        <f t="shared" si="56"/>
        <v>97.522711889104684</v>
      </c>
    </row>
    <row r="194" spans="3:22" x14ac:dyDescent="0.2">
      <c r="C194" s="90" t="s">
        <v>147</v>
      </c>
      <c r="D194" s="61">
        <f t="shared" ref="D194:V194" si="57">+IFERROR(IF(D155&gt;0,+((D155/D37)*100)," "),"")</f>
        <v>64.510258599221103</v>
      </c>
      <c r="E194" s="61">
        <f t="shared" si="57"/>
        <v>74.788609380960992</v>
      </c>
      <c r="F194" s="61">
        <f t="shared" si="57"/>
        <v>68.720129617556651</v>
      </c>
      <c r="G194" s="61">
        <f t="shared" si="57"/>
        <v>70.444354811741846</v>
      </c>
      <c r="H194" s="61">
        <f t="shared" si="57"/>
        <v>71.362531392904273</v>
      </c>
      <c r="I194" s="61">
        <f t="shared" si="57"/>
        <v>81.41462116611099</v>
      </c>
      <c r="J194" s="61">
        <f t="shared" si="57"/>
        <v>68.652375065772915</v>
      </c>
      <c r="K194" s="61">
        <f t="shared" si="57"/>
        <v>70.373539492689218</v>
      </c>
      <c r="L194" s="61">
        <f t="shared" si="57"/>
        <v>77.45435733084291</v>
      </c>
      <c r="M194" s="61">
        <f t="shared" si="57"/>
        <v>92.138696639797885</v>
      </c>
      <c r="N194" s="61">
        <f t="shared" si="57"/>
        <v>83.735262415650013</v>
      </c>
      <c r="O194" s="61">
        <f t="shared" si="57"/>
        <v>93.062951639084062</v>
      </c>
      <c r="P194" s="61">
        <f t="shared" si="57"/>
        <v>90.653609825426926</v>
      </c>
      <c r="Q194" s="61">
        <f t="shared" si="57"/>
        <v>95.219899640642396</v>
      </c>
      <c r="R194" s="61">
        <f t="shared" si="57"/>
        <v>94.516976152920208</v>
      </c>
      <c r="S194" s="61">
        <f t="shared" si="57"/>
        <v>96.346192756671883</v>
      </c>
      <c r="T194" s="61">
        <f t="shared" si="57"/>
        <v>96.211030845577241</v>
      </c>
      <c r="U194" s="61">
        <f t="shared" si="57"/>
        <v>91.776565894448197</v>
      </c>
      <c r="V194" s="61">
        <f t="shared" si="57"/>
        <v>93.572614012435366</v>
      </c>
    </row>
    <row r="195" spans="3:22" ht="22.5" customHeight="1" x14ac:dyDescent="0.2">
      <c r="C195" s="89" t="s">
        <v>148</v>
      </c>
      <c r="D195" s="63" t="str">
        <f t="shared" ref="D195:V195" si="58">+IFERROR(IF(D156&gt;0,+((D156/D38)*100)," "),"")</f>
        <v xml:space="preserve"> </v>
      </c>
      <c r="E195" s="63" t="str">
        <f t="shared" si="58"/>
        <v xml:space="preserve"> </v>
      </c>
      <c r="F195" s="63" t="str">
        <f t="shared" si="58"/>
        <v xml:space="preserve"> </v>
      </c>
      <c r="G195" s="63" t="str">
        <f t="shared" si="58"/>
        <v xml:space="preserve"> </v>
      </c>
      <c r="H195" s="63" t="str">
        <f t="shared" si="58"/>
        <v xml:space="preserve"> </v>
      </c>
      <c r="I195" s="63" t="str">
        <f t="shared" si="58"/>
        <v xml:space="preserve"> </v>
      </c>
      <c r="J195" s="63" t="str">
        <f t="shared" si="58"/>
        <v xml:space="preserve"> </v>
      </c>
      <c r="K195" s="63" t="str">
        <f t="shared" si="58"/>
        <v xml:space="preserve"> </v>
      </c>
      <c r="L195" s="63" t="str">
        <f t="shared" si="58"/>
        <v xml:space="preserve"> </v>
      </c>
      <c r="M195" s="63" t="str">
        <f t="shared" si="58"/>
        <v xml:space="preserve"> </v>
      </c>
      <c r="N195" s="63" t="str">
        <f t="shared" si="58"/>
        <v xml:space="preserve"> </v>
      </c>
      <c r="O195" s="63" t="str">
        <f t="shared" si="58"/>
        <v xml:space="preserve"> </v>
      </c>
      <c r="P195" s="63" t="str">
        <f t="shared" si="58"/>
        <v xml:space="preserve"> </v>
      </c>
      <c r="Q195" s="63" t="str">
        <f t="shared" si="58"/>
        <v xml:space="preserve"> </v>
      </c>
      <c r="R195" s="63" t="str">
        <f t="shared" si="58"/>
        <v xml:space="preserve"> </v>
      </c>
      <c r="S195" s="63" t="str">
        <f t="shared" si="58"/>
        <v xml:space="preserve"> </v>
      </c>
      <c r="T195" s="63" t="str">
        <f t="shared" si="58"/>
        <v xml:space="preserve"> </v>
      </c>
      <c r="U195" s="63" t="str">
        <f t="shared" si="58"/>
        <v xml:space="preserve"> </v>
      </c>
      <c r="V195" s="63">
        <f t="shared" si="58"/>
        <v>56.255603915121867</v>
      </c>
    </row>
    <row r="196" spans="3:22" x14ac:dyDescent="0.2">
      <c r="C196" s="87" t="s">
        <v>149</v>
      </c>
      <c r="D196" s="60">
        <f t="shared" ref="D196:V196" si="59">+IFERROR(IF(D157&gt;0,+((D157/D39)*100)," "),"")</f>
        <v>79.999999999999986</v>
      </c>
      <c r="E196" s="60">
        <f t="shared" si="59"/>
        <v>77.777777777777771</v>
      </c>
      <c r="F196" s="60">
        <f t="shared" si="59"/>
        <v>19.642638218999998</v>
      </c>
      <c r="G196" s="60">
        <f t="shared" si="59"/>
        <v>63.019711678876924</v>
      </c>
      <c r="H196" s="60">
        <f t="shared" si="59"/>
        <v>49.510597569558023</v>
      </c>
      <c r="I196" s="60">
        <f t="shared" si="59"/>
        <v>29.897187521355328</v>
      </c>
      <c r="J196" s="60">
        <f t="shared" si="59"/>
        <v>47.931181585919518</v>
      </c>
      <c r="K196" s="60">
        <f t="shared" si="59"/>
        <v>84.20721424954543</v>
      </c>
      <c r="L196" s="60">
        <f t="shared" si="59"/>
        <v>94.86600887625525</v>
      </c>
      <c r="M196" s="60">
        <f t="shared" si="59"/>
        <v>24.874387130384882</v>
      </c>
      <c r="N196" s="60">
        <f t="shared" si="59"/>
        <v>77.066578152534177</v>
      </c>
      <c r="O196" s="60">
        <f t="shared" si="59"/>
        <v>67.192998395535597</v>
      </c>
      <c r="P196" s="60">
        <f t="shared" si="59"/>
        <v>56.993165598350139</v>
      </c>
      <c r="Q196" s="60">
        <f t="shared" si="59"/>
        <v>41.130698319711414</v>
      </c>
      <c r="R196" s="60">
        <f t="shared" si="59"/>
        <v>94.30985349892461</v>
      </c>
      <c r="S196" s="60">
        <f t="shared" si="59"/>
        <v>92.445503885508629</v>
      </c>
      <c r="T196" s="60">
        <f t="shared" si="59"/>
        <v>98.798973306231503</v>
      </c>
      <c r="U196" s="60">
        <f t="shared" si="59"/>
        <v>97.466871137302846</v>
      </c>
      <c r="V196" s="60">
        <f t="shared" si="59"/>
        <v>93.331724191289339</v>
      </c>
    </row>
    <row r="197" spans="3:22" x14ac:dyDescent="0.2">
      <c r="C197" s="88" t="s">
        <v>150</v>
      </c>
      <c r="D197" s="62">
        <f t="shared" ref="D197:V197" si="60">+IFERROR(IF(D158&gt;0,+((D158/D40)*100)," "),"")</f>
        <v>65.00247974456768</v>
      </c>
      <c r="E197" s="62">
        <f t="shared" si="60"/>
        <v>68.379964540988439</v>
      </c>
      <c r="F197" s="62">
        <f t="shared" si="60"/>
        <v>53.867074234062059</v>
      </c>
      <c r="G197" s="62">
        <f t="shared" si="60"/>
        <v>73.941123446008092</v>
      </c>
      <c r="H197" s="62">
        <f t="shared" si="60"/>
        <v>67.778786194642819</v>
      </c>
      <c r="I197" s="62">
        <f t="shared" si="60"/>
        <v>74.550249199366732</v>
      </c>
      <c r="J197" s="62">
        <f t="shared" si="60"/>
        <v>55.648925052345923</v>
      </c>
      <c r="K197" s="62">
        <f t="shared" si="60"/>
        <v>87.072678191125505</v>
      </c>
      <c r="L197" s="62">
        <f t="shared" si="60"/>
        <v>86.699007852819079</v>
      </c>
      <c r="M197" s="62">
        <f t="shared" si="60"/>
        <v>90.755031755625808</v>
      </c>
      <c r="N197" s="62">
        <f t="shared" si="60"/>
        <v>80.63306266336464</v>
      </c>
      <c r="O197" s="62">
        <f t="shared" si="60"/>
        <v>84.841189040226297</v>
      </c>
      <c r="P197" s="62">
        <f t="shared" si="60"/>
        <v>87.878955482644699</v>
      </c>
      <c r="Q197" s="62">
        <f t="shared" si="60"/>
        <v>93.147307242947591</v>
      </c>
      <c r="R197" s="62">
        <f t="shared" si="60"/>
        <v>90.630060399693178</v>
      </c>
      <c r="S197" s="62">
        <f t="shared" si="60"/>
        <v>85.160557722588493</v>
      </c>
      <c r="T197" s="62">
        <f t="shared" si="60"/>
        <v>89.778745710829853</v>
      </c>
      <c r="U197" s="62">
        <f t="shared" si="60"/>
        <v>75.714178696773715</v>
      </c>
      <c r="V197" s="62">
        <f t="shared" si="60"/>
        <v>69.269156723318389</v>
      </c>
    </row>
    <row r="198" spans="3:22" x14ac:dyDescent="0.2">
      <c r="C198" s="87" t="s">
        <v>151</v>
      </c>
      <c r="D198" s="60">
        <f t="shared" ref="D198:V198" si="61">+IFERROR(IF(D159&gt;0,+((D159/D41)*100)," "),"")</f>
        <v>68.971099511067365</v>
      </c>
      <c r="E198" s="60">
        <f t="shared" si="61"/>
        <v>14.378759442270711</v>
      </c>
      <c r="F198" s="60">
        <f t="shared" si="61"/>
        <v>41.527382818916728</v>
      </c>
      <c r="G198" s="60">
        <f t="shared" si="61"/>
        <v>19.369437079955123</v>
      </c>
      <c r="H198" s="60">
        <f t="shared" si="61"/>
        <v>5.0349839268188425</v>
      </c>
      <c r="I198" s="60">
        <f t="shared" si="61"/>
        <v>23.244419227151962</v>
      </c>
      <c r="J198" s="60">
        <f t="shared" si="61"/>
        <v>63.649876019528875</v>
      </c>
      <c r="K198" s="60">
        <f t="shared" si="61"/>
        <v>88.215190202138032</v>
      </c>
      <c r="L198" s="60">
        <f t="shared" si="61"/>
        <v>89.870234090765734</v>
      </c>
      <c r="M198" s="60">
        <f t="shared" si="61"/>
        <v>91.014898005211222</v>
      </c>
      <c r="N198" s="60">
        <f t="shared" si="61"/>
        <v>49.137140943346623</v>
      </c>
      <c r="O198" s="60">
        <f t="shared" si="61"/>
        <v>78.000455818625468</v>
      </c>
      <c r="P198" s="60">
        <f t="shared" si="61"/>
        <v>96.599085997935788</v>
      </c>
      <c r="Q198" s="60">
        <f t="shared" si="61"/>
        <v>94.676899214478411</v>
      </c>
      <c r="R198" s="60">
        <f t="shared" si="61"/>
        <v>97.958847755075581</v>
      </c>
      <c r="S198" s="60">
        <f t="shared" si="61"/>
        <v>97.003641566519889</v>
      </c>
      <c r="T198" s="60">
        <f t="shared" si="61"/>
        <v>95.434045090296777</v>
      </c>
      <c r="U198" s="60">
        <f t="shared" si="61"/>
        <v>96.05398135886773</v>
      </c>
      <c r="V198" s="60">
        <f t="shared" si="61"/>
        <v>18.900875658137668</v>
      </c>
    </row>
    <row r="199" spans="3:22" x14ac:dyDescent="0.2">
      <c r="C199" s="91" t="s">
        <v>202</v>
      </c>
      <c r="D199" s="64">
        <f t="shared" ref="D199:V199" si="62">+IFERROR(IF(D160&gt;0,+((D160/D42)*100)," "),"")</f>
        <v>71.6109055736041</v>
      </c>
      <c r="E199" s="64">
        <f t="shared" si="62"/>
        <v>62.758984712978702</v>
      </c>
      <c r="F199" s="64">
        <f t="shared" si="62"/>
        <v>52.32987656380125</v>
      </c>
      <c r="G199" s="64">
        <f t="shared" si="62"/>
        <v>64.476823338793878</v>
      </c>
      <c r="H199" s="64">
        <f t="shared" si="62"/>
        <v>62.768339267332394</v>
      </c>
      <c r="I199" s="64">
        <f t="shared" si="62"/>
        <v>66.656840906540921</v>
      </c>
      <c r="J199" s="64">
        <f t="shared" si="62"/>
        <v>61.958871072715297</v>
      </c>
      <c r="K199" s="64">
        <f t="shared" si="62"/>
        <v>77.379049287392078</v>
      </c>
      <c r="L199" s="64">
        <f t="shared" si="62"/>
        <v>85.23583616765012</v>
      </c>
      <c r="M199" s="64">
        <f t="shared" si="62"/>
        <v>85.127082496127741</v>
      </c>
      <c r="N199" s="64">
        <f t="shared" si="62"/>
        <v>78.731125382053676</v>
      </c>
      <c r="O199" s="64">
        <f t="shared" si="62"/>
        <v>85.905677148064925</v>
      </c>
      <c r="P199" s="64">
        <f t="shared" si="62"/>
        <v>86.176705340446617</v>
      </c>
      <c r="Q199" s="64">
        <f t="shared" si="62"/>
        <v>88.353332948790424</v>
      </c>
      <c r="R199" s="64">
        <f t="shared" si="62"/>
        <v>87.290332690460943</v>
      </c>
      <c r="S199" s="64">
        <f t="shared" si="62"/>
        <v>87.356702643653321</v>
      </c>
      <c r="T199" s="64">
        <f t="shared" si="62"/>
        <v>85.223334972240181</v>
      </c>
      <c r="U199" s="64">
        <f t="shared" si="62"/>
        <v>87.865760677232942</v>
      </c>
      <c r="V199" s="64">
        <f t="shared" si="62"/>
        <v>75.702092991969252</v>
      </c>
    </row>
    <row r="200" spans="3:22" x14ac:dyDescent="0.2">
      <c r="C200" s="1" t="s">
        <v>52</v>
      </c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</row>
    <row r="204" spans="3:22" ht="18" customHeight="1" x14ac:dyDescent="0.2">
      <c r="D204" s="160" t="s">
        <v>215</v>
      </c>
      <c r="E204" s="158"/>
      <c r="F204" s="158"/>
      <c r="G204" s="158"/>
      <c r="H204" s="158"/>
      <c r="I204" s="158"/>
      <c r="J204" s="158"/>
      <c r="K204" s="158"/>
      <c r="L204" s="158"/>
      <c r="M204" s="158"/>
      <c r="N204" s="158"/>
      <c r="O204" s="158"/>
      <c r="P204" s="158"/>
      <c r="Q204" s="158"/>
      <c r="R204" s="158"/>
      <c r="S204" s="158"/>
      <c r="T204" s="158"/>
      <c r="U204" s="158"/>
      <c r="V204" s="158"/>
    </row>
    <row r="205" spans="3:22" x14ac:dyDescent="0.2">
      <c r="C205" s="150"/>
      <c r="D205" s="150"/>
      <c r="E205" s="150"/>
      <c r="F205" s="150"/>
      <c r="G205" s="150"/>
      <c r="H205" s="150"/>
      <c r="I205" s="150"/>
      <c r="J205" s="150"/>
      <c r="K205" s="150"/>
      <c r="L205" s="150"/>
      <c r="M205" s="150"/>
      <c r="N205" s="150"/>
      <c r="O205" s="150"/>
      <c r="P205" s="150"/>
      <c r="Q205" s="150"/>
      <c r="R205" s="150"/>
      <c r="S205" s="150"/>
      <c r="T205" s="150"/>
      <c r="U205" s="150"/>
      <c r="V205" s="150"/>
    </row>
    <row r="206" spans="3:22" x14ac:dyDescent="0.2">
      <c r="C206" s="177" t="s">
        <v>120</v>
      </c>
      <c r="D206" s="153">
        <v>2000</v>
      </c>
      <c r="E206" s="153">
        <v>2001</v>
      </c>
      <c r="F206" s="153">
        <v>2002</v>
      </c>
      <c r="G206" s="153">
        <v>2003</v>
      </c>
      <c r="H206" s="153">
        <v>2004</v>
      </c>
      <c r="I206" s="153">
        <v>2005</v>
      </c>
      <c r="J206" s="153">
        <v>2006</v>
      </c>
      <c r="K206" s="153">
        <v>2007</v>
      </c>
      <c r="L206" s="153">
        <v>2008</v>
      </c>
      <c r="M206" s="153">
        <v>2009</v>
      </c>
      <c r="N206" s="153">
        <v>2010</v>
      </c>
      <c r="O206" s="153">
        <v>2011</v>
      </c>
      <c r="P206" s="153">
        <v>2012</v>
      </c>
      <c r="Q206" s="153">
        <v>2013</v>
      </c>
      <c r="R206" s="153">
        <v>2014</v>
      </c>
      <c r="S206" s="153">
        <v>2015</v>
      </c>
      <c r="T206" s="153">
        <v>2016</v>
      </c>
      <c r="U206" s="153">
        <v>2017</v>
      </c>
      <c r="V206" s="153">
        <v>2018</v>
      </c>
    </row>
    <row r="207" spans="3:22" ht="12" customHeight="1" thickBot="1" x14ac:dyDescent="0.25">
      <c r="C207" s="156"/>
      <c r="D207" s="154"/>
      <c r="E207" s="154"/>
      <c r="F207" s="154"/>
      <c r="G207" s="154"/>
      <c r="H207" s="154"/>
      <c r="I207" s="154"/>
      <c r="J207" s="154"/>
      <c r="K207" s="154"/>
      <c r="L207" s="154"/>
      <c r="M207" s="154"/>
      <c r="N207" s="154"/>
      <c r="O207" s="154"/>
      <c r="P207" s="154"/>
      <c r="Q207" s="154"/>
      <c r="R207" s="154"/>
      <c r="S207" s="154"/>
      <c r="T207" s="154"/>
      <c r="U207" s="154"/>
      <c r="V207" s="154"/>
    </row>
    <row r="208" spans="3:22" x14ac:dyDescent="0.2">
      <c r="C208" s="87" t="s">
        <v>123</v>
      </c>
      <c r="D208" s="56">
        <f>85.17598133539*Deflactores!$A$5</f>
        <v>309.23643656961195</v>
      </c>
      <c r="E208" s="56">
        <f>231.93612659275*Deflactores!$B$5</f>
        <v>782.23045814389445</v>
      </c>
      <c r="F208" s="56">
        <f>208.82006227523*Deflactores!$C$5</f>
        <v>658.24547936091346</v>
      </c>
      <c r="G208" s="56">
        <f>94.70168345692*Deflactores!$D$5</f>
        <v>280.32316165092294</v>
      </c>
      <c r="H208" s="56">
        <f>176.1071641476*Deflactores!$E$5</f>
        <v>494.12663913896989</v>
      </c>
      <c r="I208" s="56">
        <f>228.27832256779*Deflactores!$F$5</f>
        <v>610.85212247001732</v>
      </c>
      <c r="J208" s="56">
        <f>441.025180527129*Deflactores!$G$5</f>
        <v>1129.5622382246743</v>
      </c>
      <c r="K208" s="56">
        <f>812.52779644304*Deflactores!$H$5</f>
        <v>1968.941335858731</v>
      </c>
      <c r="L208" s="56">
        <f>983.48876549538*Deflactores!$I$5</f>
        <v>2213.3577107850861</v>
      </c>
      <c r="M208" s="56">
        <f>883.38942666572*Deflactores!$J$5</f>
        <v>1949.06593756967</v>
      </c>
      <c r="N208" s="56">
        <f>865.37989191571*Deflactores!$K$5</f>
        <v>1850.6426172879437</v>
      </c>
      <c r="O208" s="56">
        <f>1044.18205873286*Deflactores!$L$5</f>
        <v>2152.7891055159826</v>
      </c>
      <c r="P208" s="56">
        <f>1030.98084034772*Deflactores!$M$5</f>
        <v>2074.943544301605</v>
      </c>
      <c r="Q208" s="56">
        <f>1348.89095007293*Deflactores!$N$5</f>
        <v>2663.102620804138</v>
      </c>
      <c r="R208" s="56">
        <f>1550.46152286875*Deflactores!$O$5</f>
        <v>2952.9823390092165</v>
      </c>
      <c r="S208" s="56">
        <f>1723.24179892657*Deflactores!$P$5</f>
        <v>3073.9502481114478</v>
      </c>
      <c r="T208" s="56">
        <f>805.168596798269*Deflactores!$Q$5</f>
        <v>1358.1791713960733</v>
      </c>
      <c r="U208" s="56">
        <f>1192.60538529232*Deflactores!$R$5</f>
        <v>1932.671290625196</v>
      </c>
      <c r="V208" s="56">
        <f>877.36275098968*Deflactores!$S$5</f>
        <v>1377.9862939923919</v>
      </c>
    </row>
    <row r="209" spans="3:22" x14ac:dyDescent="0.2">
      <c r="C209" s="88" t="s">
        <v>124</v>
      </c>
      <c r="D209" s="57">
        <f>9.29570017371*Deflactores!$A$5</f>
        <v>33.748589121840155</v>
      </c>
      <c r="E209" s="57">
        <f>29.42132663209*Deflactores!$B$5</f>
        <v>99.226705855233149</v>
      </c>
      <c r="F209" s="57">
        <f>26.9076005333*Deflactores!$C$5</f>
        <v>84.818509383209701</v>
      </c>
      <c r="G209" s="57">
        <f>36.42882186205*Deflactores!$D$5</f>
        <v>107.8316894359487</v>
      </c>
      <c r="H209" s="57">
        <f>33.2029284488499*Deflactores!$E$5</f>
        <v>93.161749116868506</v>
      </c>
      <c r="I209" s="57">
        <f>51.403110399*Deflactores!$F$5</f>
        <v>137.5500692995729</v>
      </c>
      <c r="J209" s="57">
        <f>84.44354048973*Deflactores!$G$5</f>
        <v>216.27843218654476</v>
      </c>
      <c r="K209" s="57">
        <f>291.64683329203*Deflactores!$H$5</f>
        <v>706.72721358552735</v>
      </c>
      <c r="L209" s="57">
        <f>115.584124060039*Deflactores!$I$5</f>
        <v>260.12398027115955</v>
      </c>
      <c r="M209" s="57">
        <f>98.78475401357*Deflactores!$J$5</f>
        <v>217.95370579175565</v>
      </c>
      <c r="N209" s="57">
        <f>236.56470782545*Deflactores!$K$5</f>
        <v>505.90120493658395</v>
      </c>
      <c r="O209" s="57">
        <f>212.31920758233*Deflactores!$L$5</f>
        <v>437.73829779234291</v>
      </c>
      <c r="P209" s="57">
        <f>94.587973996691*Deflactores!$M$5</f>
        <v>190.36697708834984</v>
      </c>
      <c r="Q209" s="57">
        <f>119.36918819974*Deflactores!$N$5</f>
        <v>235.66945713499121</v>
      </c>
      <c r="R209" s="57">
        <f>135.352189880691*Deflactores!$O$5</f>
        <v>257.78945195903282</v>
      </c>
      <c r="S209" s="57">
        <f>171.774005740596*Deflactores!$P$5</f>
        <v>306.4136140931098</v>
      </c>
      <c r="T209" s="57">
        <f>144.574528588456*Deflactores!$Q$5</f>
        <v>243.87204645593451</v>
      </c>
      <c r="U209" s="57">
        <f>163.24090228292*Deflactores!$R$5</f>
        <v>264.53930963981213</v>
      </c>
      <c r="V209" s="57">
        <f>158.12083363276*Deflactores!$S$5</f>
        <v>248.34464569508197</v>
      </c>
    </row>
    <row r="210" spans="3:22" x14ac:dyDescent="0.2">
      <c r="C210" s="87" t="s">
        <v>125</v>
      </c>
      <c r="D210" s="56">
        <f>20.545483391*Deflactores!$A$5</f>
        <v>74.591592275476273</v>
      </c>
      <c r="E210" s="56">
        <f>33.18002699995*Deflactores!$B$5</f>
        <v>111.90334210836552</v>
      </c>
      <c r="F210" s="56">
        <f>17.17255298646*Deflactores!$C$5</f>
        <v>54.131558286408428</v>
      </c>
      <c r="G210" s="56">
        <f>9.92716810509*Deflactores!$D$5</f>
        <v>29.38506526892882</v>
      </c>
      <c r="H210" s="56">
        <f>34.54573320167*Deflactores!$E$5</f>
        <v>96.929430021517675</v>
      </c>
      <c r="I210" s="56">
        <f>27.05380612204*Deflactores!$F$5</f>
        <v>72.393535683323265</v>
      </c>
      <c r="J210" s="56">
        <f>38.0651045518*Deflactores!$G$5</f>
        <v>97.493083375411842</v>
      </c>
      <c r="K210" s="56">
        <f>55.10427981698*Deflactores!$H$5</f>
        <v>133.53031710341469</v>
      </c>
      <c r="L210" s="56">
        <f>83.5915940049299*Deflactores!$I$5</f>
        <v>188.12426296952663</v>
      </c>
      <c r="M210" s="56">
        <f>67.77288090645*Deflactores!$J$5</f>
        <v>149.53067093445378</v>
      </c>
      <c r="N210" s="56">
        <f>211.80156890719*Deflactores!$K$5</f>
        <v>452.94443918772441</v>
      </c>
      <c r="O210" s="56">
        <f>225.14783206324*Deflactores!$L$5</f>
        <v>464.18706004628643</v>
      </c>
      <c r="P210" s="56">
        <f>302.43796730171*Deflactores!$M$5</f>
        <v>608.684160990549</v>
      </c>
      <c r="Q210" s="56">
        <f>356.01186820313*Deflactores!$N$5</f>
        <v>702.87085786873467</v>
      </c>
      <c r="R210" s="56">
        <f>280.1938069688*Deflactores!$O$5</f>
        <v>533.65230370097083</v>
      </c>
      <c r="S210" s="56">
        <f>158.76243391372*Deflactores!$P$5</f>
        <v>283.20333421801621</v>
      </c>
      <c r="T210" s="56">
        <f>223.529243989709*Deflactores!$Q$5</f>
        <v>377.05489830572378</v>
      </c>
      <c r="U210" s="56">
        <f>314.70929897612*Deflactores!$R$5</f>
        <v>510.00073832036662</v>
      </c>
      <c r="V210" s="56">
        <f>185.78409540762*Deflactores!$S$5</f>
        <v>291.79257590397356</v>
      </c>
    </row>
    <row r="211" spans="3:22" x14ac:dyDescent="0.2">
      <c r="C211" s="88" t="s">
        <v>126</v>
      </c>
      <c r="D211" s="57">
        <f>8.82702869934999*Deflactores!$A$5</f>
        <v>32.047049622315797</v>
      </c>
      <c r="E211" s="57">
        <f>43.2465215259*Deflactores!$B$5</f>
        <v>145.8537177596894</v>
      </c>
      <c r="F211" s="57">
        <f>19.28475462221*Deflactores!$C$5</f>
        <v>60.789669404097161</v>
      </c>
      <c r="G211" s="57">
        <f>17.85314952197*Deflactores!$D$5</f>
        <v>52.846487377406767</v>
      </c>
      <c r="H211" s="57">
        <f>13.04125802136*Deflactores!$E$5</f>
        <v>36.591543719583356</v>
      </c>
      <c r="I211" s="57">
        <f>15.06320327854*Deflactores!$F$5</f>
        <v>40.307768124417592</v>
      </c>
      <c r="J211" s="57">
        <f>26.02885263156*Deflactores!$G$5</f>
        <v>66.66560172773751</v>
      </c>
      <c r="K211" s="57">
        <f>66.06942034174*Deflactores!$H$5</f>
        <v>160.10136922890729</v>
      </c>
      <c r="L211" s="57">
        <f>45.8878227172*Deflactores!$I$5</f>
        <v>103.27130294273887</v>
      </c>
      <c r="M211" s="57">
        <f>106.86529643657*Deflactores!$J$5</f>
        <v>235.7822076034665</v>
      </c>
      <c r="N211" s="57">
        <f>129.19738162402*Deflactores!$K$5</f>
        <v>276.292738841122</v>
      </c>
      <c r="O211" s="57">
        <f>171.171783877*Deflactores!$L$5</f>
        <v>352.90469551767774</v>
      </c>
      <c r="P211" s="57">
        <f>248.8624937548*Deflactores!$M$5</f>
        <v>500.85860437635506</v>
      </c>
      <c r="Q211" s="57">
        <f>185.28793529968*Deflactores!$N$5</f>
        <v>365.81221489645742</v>
      </c>
      <c r="R211" s="57">
        <f>120.00725227439*Deflactores!$O$5</f>
        <v>228.56374782110362</v>
      </c>
      <c r="S211" s="57">
        <f>117.5430806656*Deflactores!$P$5</f>
        <v>209.67549777452996</v>
      </c>
      <c r="T211" s="57">
        <f>80.18175750539*Deflactores!$Q$5</f>
        <v>135.2526581423991</v>
      </c>
      <c r="U211" s="57">
        <f>103.449031383769*Deflactores!$R$5</f>
        <v>167.64386230688501</v>
      </c>
      <c r="V211" s="57">
        <f>62.00632806259*Deflactores!$S$5</f>
        <v>97.387164105910259</v>
      </c>
    </row>
    <row r="212" spans="3:22" x14ac:dyDescent="0.2">
      <c r="C212" s="87" t="s">
        <v>127</v>
      </c>
      <c r="D212" s="56">
        <f>0*Deflactores!$A$5</f>
        <v>0</v>
      </c>
      <c r="E212" s="56">
        <f>0*Deflactores!$B$5</f>
        <v>0</v>
      </c>
      <c r="F212" s="56">
        <f>0*Deflactores!$C$5</f>
        <v>0</v>
      </c>
      <c r="G212" s="56">
        <f>0*Deflactores!$D$5</f>
        <v>0</v>
      </c>
      <c r="H212" s="56">
        <f>0*Deflactores!$E$5</f>
        <v>0</v>
      </c>
      <c r="I212" s="56">
        <f>4.468227078*Deflactores!$F$5</f>
        <v>11.956571099578532</v>
      </c>
      <c r="J212" s="56">
        <f>31.797907981*Deflactores!$G$5</f>
        <v>81.44141807719565</v>
      </c>
      <c r="K212" s="56">
        <f>12.99541459514*Deflactores!$H$5</f>
        <v>31.490872170779603</v>
      </c>
      <c r="L212" s="56">
        <f>8.836132524*Deflactores!$I$5</f>
        <v>19.885862189450862</v>
      </c>
      <c r="M212" s="56">
        <f>9.923878953*Deflactores!$J$5</f>
        <v>21.895546688692825</v>
      </c>
      <c r="N212" s="56">
        <f>26.64836349315*Deflactores!$K$5</f>
        <v>56.988378886676458</v>
      </c>
      <c r="O212" s="56">
        <f>1.199999998*Deflactores!$L$5</f>
        <v>2.4740387949669946</v>
      </c>
      <c r="P212" s="56">
        <f>3.34611318076*Deflactores!$M$5</f>
        <v>6.7343598165983378</v>
      </c>
      <c r="Q212" s="56">
        <f>28.966133127*Deflactores!$N$5</f>
        <v>57.187562153118876</v>
      </c>
      <c r="R212" s="56">
        <f>43.05397549005*Deflactores!$O$5</f>
        <v>81.999860925936574</v>
      </c>
      <c r="S212" s="56">
        <f>43.87115787607*Deflactores!$P$5</f>
        <v>78.258174054323973</v>
      </c>
      <c r="T212" s="56">
        <f>58.97808824486*Deflactores!$Q$5</f>
        <v>99.485761542930362</v>
      </c>
      <c r="U212" s="56">
        <f>55.78819161467*Deflactores!$R$5</f>
        <v>90.407302884299938</v>
      </c>
      <c r="V212" s="56">
        <f>47.1439929030099*Deflactores!$S$5</f>
        <v>74.044374451892338</v>
      </c>
    </row>
    <row r="213" spans="3:22" x14ac:dyDescent="0.2">
      <c r="C213" s="88" t="s">
        <v>128</v>
      </c>
      <c r="D213" s="57">
        <f>4.00230913316*Deflactores!$A$5</f>
        <v>14.53061995863583</v>
      </c>
      <c r="E213" s="57">
        <f>13.31978643491*Deflactores!$B$5</f>
        <v>44.922465501259119</v>
      </c>
      <c r="F213" s="57">
        <f>6.94206668051*Deflactores!$C$5</f>
        <v>21.882878302396566</v>
      </c>
      <c r="G213" s="57">
        <f>6.1977747896*Deflactores!$D$5</f>
        <v>18.345817738407931</v>
      </c>
      <c r="H213" s="57">
        <f>20.14527360323*Deflactores!$E$5</f>
        <v>56.524198707532832</v>
      </c>
      <c r="I213" s="57">
        <f>25.50134206432*Deflactores!$F$5</f>
        <v>68.239282427694661</v>
      </c>
      <c r="J213" s="57">
        <f>36.76784992461*Deflactores!$G$5</f>
        <v>94.170529687015545</v>
      </c>
      <c r="K213" s="57">
        <f>37.23374662587*Deflactores!$H$5</f>
        <v>90.225913675194818</v>
      </c>
      <c r="L213" s="57">
        <f>53.27847909078*Deflactores!$I$5</f>
        <v>119.90409718110182</v>
      </c>
      <c r="M213" s="57">
        <f>65.48189343284*Deflactores!$J$5</f>
        <v>144.47595156219924</v>
      </c>
      <c r="N213" s="57">
        <f>80.80112123074*Deflactores!$K$5</f>
        <v>172.79578584063293</v>
      </c>
      <c r="O213" s="57">
        <f>86.72865335379*Deflactores!$L$5</f>
        <v>178.80837782511463</v>
      </c>
      <c r="P213" s="57">
        <f>133.11844140186*Deflactores!$M$5</f>
        <v>267.91307830814992</v>
      </c>
      <c r="Q213" s="57">
        <f>146.218453403599*Deflactores!$N$5</f>
        <v>288.67770700663306</v>
      </c>
      <c r="R213" s="57">
        <f>147.157542852489*Deflactores!$O$5</f>
        <v>280.27372410465028</v>
      </c>
      <c r="S213" s="57">
        <f>144.082696596529*Deflactores!$P$5</f>
        <v>257.01735022174881</v>
      </c>
      <c r="T213" s="57">
        <f>96.27892908392*Deflactores!$Q$5</f>
        <v>162.4057826473603</v>
      </c>
      <c r="U213" s="57">
        <f>115.018286045119*Deflactores!$R$5</f>
        <v>186.39236588876537</v>
      </c>
      <c r="V213" s="57">
        <f>102.970329599139*Deflactores!$S$5</f>
        <v>161.7252416009643</v>
      </c>
    </row>
    <row r="214" spans="3:22" x14ac:dyDescent="0.2">
      <c r="C214" s="87" t="s">
        <v>129</v>
      </c>
      <c r="D214" s="56">
        <f>244.6461160135*Deflactores!$A$5</f>
        <v>888.20218975483806</v>
      </c>
      <c r="E214" s="56">
        <f>449.080126806259*Deflactores!$B$5</f>
        <v>1514.5728200927833</v>
      </c>
      <c r="F214" s="56">
        <f>499.79202845867*Deflactores!$C$5</f>
        <v>1575.4513228711191</v>
      </c>
      <c r="G214" s="56">
        <f>450.310883844659*Deflactores!$D$5</f>
        <v>1332.949595796571</v>
      </c>
      <c r="H214" s="56">
        <f>374.99270866831*Deflactores!$E$5</f>
        <v>1052.1655250810311</v>
      </c>
      <c r="I214" s="56">
        <f>401.08193256991*Deflactores!$F$5</f>
        <v>1073.2589368924844</v>
      </c>
      <c r="J214" s="56">
        <f>701.92558791006*Deflactores!$G$5</f>
        <v>1797.7854171482747</v>
      </c>
      <c r="K214" s="56">
        <f>893.12280245156*Deflactores!$H$5</f>
        <v>2164.2415329579972</v>
      </c>
      <c r="L214" s="56">
        <f>2816.40542888519*Deflactores!$I$5</f>
        <v>6338.3669355695301</v>
      </c>
      <c r="M214" s="56">
        <f>2122.8875783146*Deflactores!$J$5</f>
        <v>4683.832229914683</v>
      </c>
      <c r="N214" s="56">
        <f>1265.90113373242*Deflactores!$K$5</f>
        <v>2707.1701217510245</v>
      </c>
      <c r="O214" s="56">
        <f>887.247306605568*Deflactores!$L$5</f>
        <v>1829.2368841088542</v>
      </c>
      <c r="P214" s="56">
        <f>1231.66916956715*Deflactores!$M$5</f>
        <v>2478.8472220751764</v>
      </c>
      <c r="Q214" s="56">
        <f>1957.3398087138*Deflactores!$N$5</f>
        <v>3864.3574368322088</v>
      </c>
      <c r="R214" s="56">
        <f>1402.1110770805*Deflactores!$O$5</f>
        <v>2670.4366324983621</v>
      </c>
      <c r="S214" s="56">
        <f>789.902979163621*Deflactores!$P$5</f>
        <v>1409.0433857259577</v>
      </c>
      <c r="T214" s="56">
        <f>551.002589893771*Deflactores!$Q$5</f>
        <v>929.44539063600632</v>
      </c>
      <c r="U214" s="56">
        <f>572.810591552245*Deflactores!$R$5</f>
        <v>928.26562659509432</v>
      </c>
      <c r="V214" s="56">
        <f>517.827005093498*Deflactores!$S$5</f>
        <v>813.29930507428389</v>
      </c>
    </row>
    <row r="215" spans="3:22" x14ac:dyDescent="0.2">
      <c r="C215" s="88" t="s">
        <v>130</v>
      </c>
      <c r="D215" s="57">
        <f>10.204497662*Deflactores!$A$5</f>
        <v>37.048032138946269</v>
      </c>
      <c r="E215" s="57">
        <f>34.11236281302*Deflactores!$B$5</f>
        <v>115.04774863491868</v>
      </c>
      <c r="F215" s="57">
        <f>4.56509332260999*Deflactores!$C$5</f>
        <v>14.390150111669431</v>
      </c>
      <c r="G215" s="57">
        <f>9.86552869346*Deflactores!$D$5</f>
        <v>29.202608588966157</v>
      </c>
      <c r="H215" s="57">
        <f>57.49341087405*Deflactores!$E$5</f>
        <v>161.31669614542136</v>
      </c>
      <c r="I215" s="57">
        <f>45.7553892235*Deflactores!$F$5</f>
        <v>122.43727878855738</v>
      </c>
      <c r="J215" s="57">
        <f>68.22095723447*Deflactores!$G$5</f>
        <v>174.72883760399597</v>
      </c>
      <c r="K215" s="57">
        <f>52.31563545877*Deflactores!$H$5</f>
        <v>126.77279179544965</v>
      </c>
      <c r="L215" s="57">
        <f>119.81433866492*Deflactores!$I$5</f>
        <v>269.64414810883989</v>
      </c>
      <c r="M215" s="57">
        <f>101.11486193845*Deflactores!$J$5</f>
        <v>223.09473855732364</v>
      </c>
      <c r="N215" s="57">
        <f>111.57337177835*Deflactores!$K$5</f>
        <v>238.60322928284344</v>
      </c>
      <c r="O215" s="57">
        <f>129.64465920981*Deflactores!$L$5</f>
        <v>267.28826414993461</v>
      </c>
      <c r="P215" s="57">
        <f>193.71980723772*Deflactores!$M$5</f>
        <v>389.87888785177597</v>
      </c>
      <c r="Q215" s="57">
        <f>256.20865386694*Deflactores!$N$5</f>
        <v>505.83031752778669</v>
      </c>
      <c r="R215" s="57">
        <f>226.49123761855*Deflactores!$O$5</f>
        <v>431.37131413001566</v>
      </c>
      <c r="S215" s="57">
        <f>325.0860494505*Deflactores!$P$5</f>
        <v>579.89444254915986</v>
      </c>
      <c r="T215" s="57">
        <f>167.41430137339*Deflactores!$Q$5</f>
        <v>282.39876471005971</v>
      </c>
      <c r="U215" s="57">
        <f>304.53929787559*Deflactores!$R$5</f>
        <v>493.51978880008318</v>
      </c>
      <c r="V215" s="57">
        <f>366.44756503056*Deflactores!$S$5</f>
        <v>575.5426948652588</v>
      </c>
    </row>
    <row r="216" spans="3:22" x14ac:dyDescent="0.2">
      <c r="C216" s="87" t="s">
        <v>131</v>
      </c>
      <c r="D216" s="56">
        <f>25.77763027999*Deflactores!$A$5</f>
        <v>93.587210925164698</v>
      </c>
      <c r="E216" s="56">
        <f>43.016165678*Deflactores!$B$5</f>
        <v>145.07681696770828</v>
      </c>
      <c r="F216" s="56">
        <f>27.08931768163*Deflactores!$C$5</f>
        <v>85.391320683557481</v>
      </c>
      <c r="G216" s="56">
        <f>88.58845763186*Deflactores!$D$5</f>
        <v>262.2276143637784</v>
      </c>
      <c r="H216" s="56">
        <f>130.01027692254*Deflactores!$E$5</f>
        <v>364.78664283878283</v>
      </c>
      <c r="I216" s="56">
        <f>242.80600887575*Deflactores!$F$5</f>
        <v>649.72689566781253</v>
      </c>
      <c r="J216" s="56">
        <f>265.78978819268*Deflactores!$G$5</f>
        <v>680.74595579632171</v>
      </c>
      <c r="K216" s="56">
        <f>521.53111320727*Deflactores!$H$5</f>
        <v>1263.7895850769196</v>
      </c>
      <c r="L216" s="56">
        <f>546.293519663619*Deflactores!$I$5</f>
        <v>1229.4425889962797</v>
      </c>
      <c r="M216" s="56">
        <f>665.10949108433*Deflactores!$J$5</f>
        <v>1467.4640817467127</v>
      </c>
      <c r="N216" s="56">
        <f>740.309051157519*Deflactores!$K$5</f>
        <v>1583.1746182629709</v>
      </c>
      <c r="O216" s="56">
        <f>687.1192400851*Deflactores!$L$5</f>
        <v>1416.63304964337</v>
      </c>
      <c r="P216" s="56">
        <f>807.936964437329*Deflactores!$M$5</f>
        <v>1626.0472774610071</v>
      </c>
      <c r="Q216" s="56">
        <f>1036.67519938735*Deflactores!$N$5</f>
        <v>2046.6980227436754</v>
      </c>
      <c r="R216" s="56">
        <f>1602.25301233616*Deflactores!$O$5</f>
        <v>3051.6235187176085</v>
      </c>
      <c r="S216" s="56">
        <f>2213.33604975656*Deflactores!$P$5</f>
        <v>3948.1893391521107</v>
      </c>
      <c r="T216" s="56">
        <f>2289.40894861273*Deflactores!$Q$5</f>
        <v>3861.8341067673859</v>
      </c>
      <c r="U216" s="56">
        <f>3050.69171137115*Deflactores!$R$5</f>
        <v>4943.7847252971287</v>
      </c>
      <c r="V216" s="56">
        <f>3207.39197363786*Deflactores!$S$5</f>
        <v>5037.5311399402744</v>
      </c>
    </row>
    <row r="217" spans="3:22" x14ac:dyDescent="0.2">
      <c r="C217" s="88" t="s">
        <v>132</v>
      </c>
      <c r="D217" s="57">
        <f>0*Deflactores!$A$5</f>
        <v>0</v>
      </c>
      <c r="E217" s="57">
        <f>0*Deflactores!$B$5</f>
        <v>0</v>
      </c>
      <c r="F217" s="57">
        <f>0*Deflactores!$C$5</f>
        <v>0</v>
      </c>
      <c r="G217" s="57">
        <f>0*Deflactores!$D$5</f>
        <v>0</v>
      </c>
      <c r="H217" s="57">
        <f>0.58*Deflactores!$E$5</f>
        <v>1.6273809875241707</v>
      </c>
      <c r="I217" s="57">
        <f>0.6801182*Deflactores!$F$5</f>
        <v>1.8199347241002892</v>
      </c>
      <c r="J217" s="57">
        <f>0*Deflactores!$G$5</f>
        <v>0</v>
      </c>
      <c r="K217" s="57">
        <f>1.27239166024*Deflactores!$H$5</f>
        <v>3.0832970222257239</v>
      </c>
      <c r="L217" s="57">
        <f>1.50062830176*Deflactores!$I$5</f>
        <v>3.3771887786128731</v>
      </c>
      <c r="M217" s="57">
        <f>0.55841199934*Deflactores!$J$5</f>
        <v>1.232052109964433</v>
      </c>
      <c r="N217" s="57">
        <f>1.44621028513999*Deflactores!$K$5</f>
        <v>3.0927670174024611</v>
      </c>
      <c r="O217" s="57">
        <f>2.96630026456*Deflactores!$L$5</f>
        <v>6.1156182868946134</v>
      </c>
      <c r="P217" s="57">
        <f>8.61586341154*Deflactores!$M$5</f>
        <v>17.340215709857212</v>
      </c>
      <c r="Q217" s="57">
        <f>6.61722459908*Deflactores!$N$5</f>
        <v>13.06432382195668</v>
      </c>
      <c r="R217" s="57">
        <f>8.0745218024*Deflactores!$O$5</f>
        <v>15.378595293557959</v>
      </c>
      <c r="S217" s="57">
        <f>7.92558658693*Deflactores!$P$5</f>
        <v>14.137806354568569</v>
      </c>
      <c r="T217" s="57">
        <f>11.94767269407*Deflactores!$Q$5</f>
        <v>20.153642683370943</v>
      </c>
      <c r="U217" s="57">
        <f>17.25193889509*Deflactores!$R$5</f>
        <v>27.957551945808174</v>
      </c>
      <c r="V217" s="57">
        <f>15.8286580128*Deflactores!$S$5</f>
        <v>24.860496720800278</v>
      </c>
    </row>
    <row r="218" spans="3:22" x14ac:dyDescent="0.2">
      <c r="C218" s="87" t="s">
        <v>133</v>
      </c>
      <c r="D218" s="56">
        <f>3.744977924*Deflactores!$A$5</f>
        <v>13.596363788161577</v>
      </c>
      <c r="E218" s="56">
        <f>23.12764849674*Deflactores!$B$5</f>
        <v>78.000574318297623</v>
      </c>
      <c r="F218" s="56">
        <f>6.87315140566*Deflactores!$C$5</f>
        <v>21.665642622861437</v>
      </c>
      <c r="G218" s="56">
        <f>8.3630042725*Deflactores!$D$5</f>
        <v>24.755038273779196</v>
      </c>
      <c r="H218" s="56">
        <f>26.2506366374899*Deflactores!$E$5</f>
        <v>73.654805128028428</v>
      </c>
      <c r="I218" s="56">
        <f>30.58735645222*Deflactores!$F$5</f>
        <v>81.848996433014449</v>
      </c>
      <c r="J218" s="56">
        <f>24.03153530397*Deflactores!$G$5</f>
        <v>61.55003388578136</v>
      </c>
      <c r="K218" s="56">
        <f>38.9731977815*Deflactores!$H$5</f>
        <v>94.441003050623024</v>
      </c>
      <c r="L218" s="56">
        <f>43.497448232*Deflactores!$I$5</f>
        <v>97.891725682579306</v>
      </c>
      <c r="M218" s="56">
        <f>47.87255974*Deflactores!$J$5</f>
        <v>105.62360462665012</v>
      </c>
      <c r="N218" s="56">
        <f>40.70301312603*Deflactores!$K$5</f>
        <v>87.044697302024531</v>
      </c>
      <c r="O218" s="56">
        <f>53.37841477363*Deflactores!$L$5</f>
        <v>110.05022431991702</v>
      </c>
      <c r="P218" s="56">
        <f>70.41540246006*Deflactores!$M$5</f>
        <v>141.71745878868404</v>
      </c>
      <c r="Q218" s="56">
        <f>84.91096676486*Deflactores!$N$5</f>
        <v>167.63891707797862</v>
      </c>
      <c r="R218" s="56">
        <f>90.1646576626184*Deflactores!$O$5</f>
        <v>171.72605559916445</v>
      </c>
      <c r="S218" s="56">
        <f>66.16032581798*Deflactores!$P$5</f>
        <v>118.01799961560698</v>
      </c>
      <c r="T218" s="56">
        <f>68.82541995169*Deflactores!$Q$5</f>
        <v>116.09649483683644</v>
      </c>
      <c r="U218" s="56">
        <f>79.0435148838*Deflactores!$R$5</f>
        <v>128.09361236330599</v>
      </c>
      <c r="V218" s="56">
        <f>72.7597986213*Deflactores!$S$5</f>
        <v>114.27656934455071</v>
      </c>
    </row>
    <row r="219" spans="3:22" x14ac:dyDescent="0.2">
      <c r="C219" s="88" t="s">
        <v>134</v>
      </c>
      <c r="D219" s="57">
        <f>592.8436799809*Deflactores!$A$5</f>
        <v>2152.3540341523144</v>
      </c>
      <c r="E219" s="57">
        <f>1514.31713775285*Deflactores!$B$5</f>
        <v>5107.2034608884851</v>
      </c>
      <c r="F219" s="57">
        <f>796.06963176685*Deflactores!$C$5</f>
        <v>2509.3816688761394</v>
      </c>
      <c r="G219" s="57">
        <f>1083.97933999087*Deflactores!$D$5</f>
        <v>3208.6495683970606</v>
      </c>
      <c r="H219" s="57">
        <f>877.03483475819*Deflactores!$E$5</f>
        <v>2460.8100266928982</v>
      </c>
      <c r="I219" s="57">
        <f>1127.85403245863*Deflactores!$F$5</f>
        <v>3018.0352729687215</v>
      </c>
      <c r="J219" s="57">
        <f>242.964850308169*Deflactores!$G$5</f>
        <v>622.2862826018079</v>
      </c>
      <c r="K219" s="57">
        <f>680.293917187689*Deflactores!$H$5</f>
        <v>1648.5082971287572</v>
      </c>
      <c r="L219" s="57">
        <f>728.50955074138*Deflactores!$I$5</f>
        <v>1639.5227765533505</v>
      </c>
      <c r="M219" s="57">
        <f>803.547264480089*Deflactores!$J$5</f>
        <v>1772.9062123109104</v>
      </c>
      <c r="N219" s="57">
        <f>572.44169023261*Deflactores!$K$5</f>
        <v>1224.1848900736859</v>
      </c>
      <c r="O219" s="57">
        <f>955.94283161844*Deflactores!$L$5</f>
        <v>1970.8663792802956</v>
      </c>
      <c r="P219" s="57">
        <f>714.99224019504*Deflactores!$M$5</f>
        <v>1438.9874912884668</v>
      </c>
      <c r="Q219" s="57">
        <f>1020.80587985304*Deflactores!$N$5</f>
        <v>2015.3673755628088</v>
      </c>
      <c r="R219" s="57">
        <f>615.74194771123*Deflactores!$O$5</f>
        <v>1172.7315190731886</v>
      </c>
      <c r="S219" s="57">
        <f>587.933010320839*Deflactores!$P$5</f>
        <v>1048.7656602076563</v>
      </c>
      <c r="T219" s="57">
        <f>498.674829446969*Deflactores!$Q$5</f>
        <v>841.17757367536046</v>
      </c>
      <c r="U219" s="57">
        <f>540.44411851995*Deflactores!$R$5</f>
        <v>875.81428436593069</v>
      </c>
      <c r="V219" s="57">
        <f>708.90494584852*Deflactores!$S$5</f>
        <v>1113.4063966366971</v>
      </c>
    </row>
    <row r="220" spans="3:22" x14ac:dyDescent="0.2">
      <c r="C220" s="87" t="s">
        <v>135</v>
      </c>
      <c r="D220" s="56"/>
      <c r="E220" s="56"/>
      <c r="F220" s="56"/>
      <c r="G220" s="56"/>
      <c r="H220" s="56"/>
      <c r="I220" s="56"/>
      <c r="J220" s="56"/>
      <c r="K220" s="56"/>
      <c r="L220" s="56"/>
      <c r="M220" s="56"/>
      <c r="N220" s="56"/>
      <c r="O220" s="56"/>
      <c r="P220" s="56"/>
      <c r="Q220" s="56"/>
      <c r="R220" s="56">
        <f>0*Deflactores!$O$5</f>
        <v>0</v>
      </c>
      <c r="S220" s="56"/>
      <c r="T220" s="56"/>
      <c r="U220" s="56"/>
      <c r="V220" s="56"/>
    </row>
    <row r="221" spans="3:22" x14ac:dyDescent="0.2">
      <c r="C221" s="88" t="s">
        <v>136</v>
      </c>
      <c r="D221" s="57">
        <f>33.24488528352*Deflactores!$A$5</f>
        <v>120.69752174337171</v>
      </c>
      <c r="E221" s="57">
        <f>107.10643787493*Deflactores!$B$5</f>
        <v>361.22840887214318</v>
      </c>
      <c r="F221" s="57">
        <f>44.90793575091*Deflactores!$C$5</f>
        <v>141.55941423149974</v>
      </c>
      <c r="G221" s="57">
        <f>36.98771295925*Deflactores!$D$5</f>
        <v>109.48604354737192</v>
      </c>
      <c r="H221" s="57">
        <f>109.72355920479*Deflactores!$E$5</f>
        <v>307.8655760919965</v>
      </c>
      <c r="I221" s="57">
        <f>257.73248803341*Deflactores!$F$5</f>
        <v>689.66880242399793</v>
      </c>
      <c r="J221" s="57">
        <f>816.880948499949*Deflactores!$G$5</f>
        <v>2092.2113142107487</v>
      </c>
      <c r="K221" s="57">
        <f>1193.56327865999*Deflactores!$H$5</f>
        <v>2892.2777615786731</v>
      </c>
      <c r="L221" s="57">
        <f>1601.15101811754*Deflactores!$I$5</f>
        <v>3603.4168120840577</v>
      </c>
      <c r="M221" s="57">
        <f>1536.20389325318*Deflactores!$J$5</f>
        <v>3389.4028965265129</v>
      </c>
      <c r="N221" s="57">
        <f>2347.73948457492*Deflactores!$K$5</f>
        <v>5020.7160866954528</v>
      </c>
      <c r="O221" s="57">
        <f>2280.13714374659*Deflactores!$L$5</f>
        <v>4700.9564673968425</v>
      </c>
      <c r="P221" s="57">
        <f>3166.63367220219*Deflactores!$M$5</f>
        <v>6373.1408365338302</v>
      </c>
      <c r="Q221" s="57">
        <f>4010.88070260739*Deflactores!$N$5</f>
        <v>7918.6437645452179</v>
      </c>
      <c r="R221" s="57">
        <f>6575.19230356333*Deflactores!$O$5</f>
        <v>12522.998127735855</v>
      </c>
      <c r="S221" s="57">
        <f>7824.12886819458*Deflactores!$P$5</f>
        <v>13956.824219691249</v>
      </c>
      <c r="T221" s="57">
        <f>5838.21405649818*Deflactores!$Q$5</f>
        <v>9848.0501614424775</v>
      </c>
      <c r="U221" s="57">
        <f>6614.38388050578*Deflactores!$R$5</f>
        <v>10718.910034012841</v>
      </c>
      <c r="V221" s="57">
        <f>6792.01465063813*Deflactores!$S$5</f>
        <v>10667.540976201024</v>
      </c>
    </row>
    <row r="222" spans="3:22" x14ac:dyDescent="0.2">
      <c r="C222" s="87" t="s">
        <v>137</v>
      </c>
      <c r="D222" s="56">
        <f>12.51854688887*Deflactores!$A$5</f>
        <v>45.449324683451685</v>
      </c>
      <c r="E222" s="56">
        <f>15.17908863866*Deflactores!$B$5</f>
        <v>51.193169578425412</v>
      </c>
      <c r="F222" s="56">
        <f>13.610224804*Deflactores!$C$5</f>
        <v>42.902338274905617</v>
      </c>
      <c r="G222" s="56">
        <f>8.28242896455*Deflactores!$D$5</f>
        <v>24.516530105275354</v>
      </c>
      <c r="H222" s="56">
        <f>31.64981887*Deflactores!$E$5</f>
        <v>88.80398877176161</v>
      </c>
      <c r="I222" s="56">
        <f>106.01119014057*Deflactores!$F$5</f>
        <v>283.67634637629396</v>
      </c>
      <c r="J222" s="56">
        <f>38.014173044*Deflactores!$G$5</f>
        <v>97.362636610721538</v>
      </c>
      <c r="K222" s="56">
        <f>53.03455770853*Deflactores!$H$5</f>
        <v>128.51490540807637</v>
      </c>
      <c r="L222" s="56">
        <f>73.65447563507*Deflactores!$I$5</f>
        <v>165.76061394926046</v>
      </c>
      <c r="M222" s="56">
        <f>64.16050132605*Deflactores!$J$5</f>
        <v>141.56049857196055</v>
      </c>
      <c r="N222" s="56">
        <f>93.05815089069*Deflactores!$K$5</f>
        <v>199.00783636546214</v>
      </c>
      <c r="O222" s="56">
        <f>116.683537001609*Deflactores!$L$5</f>
        <v>240.56633146423343</v>
      </c>
      <c r="P222" s="56">
        <f>137.917532579829*Deflactores!$M$5</f>
        <v>277.57168966981504</v>
      </c>
      <c r="Q222" s="56">
        <f>164.29446332762*Deflactores!$N$5</f>
        <v>324.36500211357946</v>
      </c>
      <c r="R222" s="56">
        <f>326.79412363594*Deflactores!$O$5</f>
        <v>622.40646501397634</v>
      </c>
      <c r="S222" s="56">
        <f>160.7990158964*Deflactores!$P$5</f>
        <v>286.83622641855249</v>
      </c>
      <c r="T222" s="56">
        <f>131.352035602*Deflactores!$Q$5</f>
        <v>221.56800399880598</v>
      </c>
      <c r="U222" s="56">
        <f>121.498361427389*Deflactores!$R$5</f>
        <v>196.89362289032636</v>
      </c>
      <c r="V222" s="56">
        <f>385.555699327379*Deflactores!$S$5</f>
        <v>605.55393837323879</v>
      </c>
    </row>
    <row r="223" spans="3:22" x14ac:dyDescent="0.2">
      <c r="C223" s="88" t="s">
        <v>138</v>
      </c>
      <c r="D223" s="57">
        <f>3.738*Deflactores!$A$5</f>
        <v>13.571030022485115</v>
      </c>
      <c r="E223" s="57">
        <f>17.09997932237*Deflactores!$B$5</f>
        <v>57.67158767411582</v>
      </c>
      <c r="F223" s="57">
        <f>0.0569237327999999*Deflactores!$C$5</f>
        <v>0.17943577535458435</v>
      </c>
      <c r="G223" s="57">
        <f>0*Deflactores!$D$5</f>
        <v>0</v>
      </c>
      <c r="H223" s="57">
        <f>0*Deflactores!$E$5</f>
        <v>0</v>
      </c>
      <c r="I223" s="57">
        <f>0*Deflactores!$F$5</f>
        <v>0</v>
      </c>
      <c r="J223" s="57">
        <f>0*Deflactores!$G$5</f>
        <v>0</v>
      </c>
      <c r="K223" s="57">
        <f>0*Deflactores!$H$5</f>
        <v>0</v>
      </c>
      <c r="L223" s="57">
        <f>31.9168157266099*Deflactores!$I$5</f>
        <v>71.829320954790887</v>
      </c>
      <c r="M223" s="57">
        <f>1.031*Deflactores!$J$5</f>
        <v>2.2747464719143986</v>
      </c>
      <c r="N223" s="57">
        <f>6.828781434*Deflactores!$K$5</f>
        <v>14.603567824910833</v>
      </c>
      <c r="O223" s="57">
        <f>0*Deflactores!$L$5</f>
        <v>0</v>
      </c>
      <c r="P223" s="57">
        <f>43.97807110646*Deflactores!$M$5</f>
        <v>88.509903542348525</v>
      </c>
      <c r="Q223" s="57">
        <f>27.26212360938*Deflactores!$N$5</f>
        <v>53.823352309466458</v>
      </c>
      <c r="R223" s="57">
        <f>12.17846894599*Deflactores!$O$5</f>
        <v>23.1949024101806</v>
      </c>
      <c r="S223" s="57">
        <f>12.17252577943*Deflactores!$P$5</f>
        <v>21.713574185079448</v>
      </c>
      <c r="T223" s="57">
        <f>8.00388973008*Deflactores!$Q$5</f>
        <v>13.501167786191241</v>
      </c>
      <c r="U223" s="57">
        <f>6.77227321476*Deflactores!$R$5</f>
        <v>10.974776884164838</v>
      </c>
      <c r="V223" s="57">
        <f>6.81710210028*Deflactores!$S$5</f>
        <v>10.706943334824896</v>
      </c>
    </row>
    <row r="224" spans="3:22" x14ac:dyDescent="0.2">
      <c r="C224" s="87" t="s">
        <v>139</v>
      </c>
      <c r="D224" s="56">
        <f>23.89119645812*Deflactores!$A$5</f>
        <v>86.738401392786656</v>
      </c>
      <c r="E224" s="56">
        <f>67.49547760803*Deflactores!$B$5</f>
        <v>227.63602698545986</v>
      </c>
      <c r="F224" s="56">
        <f>27.8589949408*Deflactores!$C$5</f>
        <v>87.817507951655273</v>
      </c>
      <c r="G224" s="56">
        <f>31.43848371822*Deflactores!$D$5</f>
        <v>93.059962945764497</v>
      </c>
      <c r="H224" s="56">
        <f>38.49519131349*Deflactores!$E$5</f>
        <v>108.01093526668832</v>
      </c>
      <c r="I224" s="56">
        <f>48.37323454161*Deflactores!$F$5</f>
        <v>129.44239583549387</v>
      </c>
      <c r="J224" s="56">
        <f>87.60938787441*Deflactores!$G$5</f>
        <v>224.38686185362792</v>
      </c>
      <c r="K224" s="56">
        <f>241.42612837933*Deflactores!$H$5</f>
        <v>585.03091931541439</v>
      </c>
      <c r="L224" s="56">
        <f>237.32280710842*Deflactores!$I$5</f>
        <v>534.09889719889281</v>
      </c>
      <c r="M224" s="56">
        <f>294.144115054189*Deflactores!$J$5</f>
        <v>648.9847603820557</v>
      </c>
      <c r="N224" s="56">
        <f>119.431716322559*Deflactores!$K$5</f>
        <v>255.40855079620937</v>
      </c>
      <c r="O224" s="56">
        <f>1700.09746528703*Deflactores!$L$5</f>
        <v>3505.0892427961203</v>
      </c>
      <c r="P224" s="56">
        <f>100.49045998807*Deflactores!$M$5</f>
        <v>202.24627175983167</v>
      </c>
      <c r="Q224" s="56">
        <f>144.59504494084*Deflactores!$N$5</f>
        <v>285.47262706182704</v>
      </c>
      <c r="R224" s="56">
        <f>122.96392936391*Deflactores!$O$5</f>
        <v>234.19498413282525</v>
      </c>
      <c r="S224" s="56">
        <f>179.7938523895*Deflactores!$P$5</f>
        <v>320.7195632707415</v>
      </c>
      <c r="T224" s="56">
        <f>138.19754743653*Deflactores!$Q$5</f>
        <v>233.11519005173321</v>
      </c>
      <c r="U224" s="56">
        <f>150.84373001022*Deflactores!$R$5</f>
        <v>244.44912789833927</v>
      </c>
      <c r="V224" s="56">
        <f>147.50327126382*Deflactores!$S$5</f>
        <v>231.66869791464015</v>
      </c>
    </row>
    <row r="225" spans="2:22" x14ac:dyDescent="0.2">
      <c r="C225" s="88" t="s">
        <v>140</v>
      </c>
      <c r="D225" s="57">
        <f>189.94669026396*Deflactores!$A$5</f>
        <v>689.61269027391177</v>
      </c>
      <c r="E225" s="57">
        <f>354.4745658765*Deflactores!$B$5</f>
        <v>1195.5050131228675</v>
      </c>
      <c r="F225" s="57">
        <f>199.94825103964*Deflactores!$C$5</f>
        <v>630.27963366609981</v>
      </c>
      <c r="G225" s="57">
        <f>285.19464139875*Deflactores!$D$5</f>
        <v>844.19474548376638</v>
      </c>
      <c r="H225" s="57">
        <f>523.061931669*Deflactores!$E$5</f>
        <v>1467.6224877513753</v>
      </c>
      <c r="I225" s="57">
        <f>496.30815724548*Deflactores!$F$5</f>
        <v>1328.0756921742068</v>
      </c>
      <c r="J225" s="57">
        <f>461.683144663299*Deflactores!$G$5</f>
        <v>1182.4718162649283</v>
      </c>
      <c r="K225" s="57">
        <f>2190.12838342285*Deflactores!$H$5</f>
        <v>5307.1837343117986</v>
      </c>
      <c r="L225" s="57">
        <f>1378.66138472129*Deflactores!$I$5</f>
        <v>3102.7002173202209</v>
      </c>
      <c r="M225" s="57">
        <f>6060.41510677628*Deflactores!$J$5</f>
        <v>13371.394648376398</v>
      </c>
      <c r="N225" s="57">
        <f>1011.26112385888*Deflactores!$K$5</f>
        <v>2162.6143044262367</v>
      </c>
      <c r="O225" s="57">
        <f>1528.16885819228*Deflactores!$L$5</f>
        <v>3150.624205607804</v>
      </c>
      <c r="P225" s="57">
        <f>1831.25750095824*Deflactores!$M$5</f>
        <v>3685.5737573994511</v>
      </c>
      <c r="Q225" s="57">
        <f>2269.48559619472*Deflactores!$N$5</f>
        <v>4480.6239072006738</v>
      </c>
      <c r="R225" s="57">
        <f>1950.67295895613*Deflactores!$O$5</f>
        <v>3715.2181540901897</v>
      </c>
      <c r="S225" s="57">
        <f>2270.41757195972*Deflactores!$P$5</f>
        <v>4050.012402780374</v>
      </c>
      <c r="T225" s="57">
        <f>2181.171244276*Deflactores!$Q$5</f>
        <v>3679.2559533540025</v>
      </c>
      <c r="U225" s="57">
        <f>2509.54624670779*Deflactores!$R$5</f>
        <v>4066.8338775944267</v>
      </c>
      <c r="V225" s="57">
        <f>3052.35025836841*Deflactores!$S$5</f>
        <v>4794.0225588005151</v>
      </c>
    </row>
    <row r="226" spans="2:22" x14ac:dyDescent="0.2">
      <c r="C226" s="87" t="s">
        <v>141</v>
      </c>
      <c r="D226" s="56">
        <f>0.50997717775*Deflactores!$A$5</f>
        <v>1.8515022980276825</v>
      </c>
      <c r="E226" s="56">
        <f>2.01979671507*Deflactores!$B$5</f>
        <v>6.8119897188803273</v>
      </c>
      <c r="F226" s="56">
        <f>1.23149935904999*Deflactores!$C$5</f>
        <v>3.8819492586018365</v>
      </c>
      <c r="G226" s="56">
        <f>1.65200836502*Deflactores!$D$5</f>
        <v>4.8900525423800074</v>
      </c>
      <c r="H226" s="56">
        <f>3.22899349088999*Deflactores!$E$5</f>
        <v>9.0600045101959843</v>
      </c>
      <c r="I226" s="56">
        <f>3.07963480564999*Deflactores!$F$5</f>
        <v>8.2408239043599512</v>
      </c>
      <c r="J226" s="56">
        <f>13.57879981068*Deflactores!$G$5</f>
        <v>34.778285195017304</v>
      </c>
      <c r="K226" s="56">
        <f>18.65052181389*Deflactores!$H$5</f>
        <v>45.194494878154309</v>
      </c>
      <c r="L226" s="56">
        <f>25.4897290661799*Deflactores!$I$5</f>
        <v>57.365056270911758</v>
      </c>
      <c r="M226" s="56">
        <f>43.52419929584*Deflactores!$J$5</f>
        <v>96.029601155296987</v>
      </c>
      <c r="N226" s="56">
        <f>45.45448734348*Deflactores!$K$5</f>
        <v>97.205877107453077</v>
      </c>
      <c r="O226" s="56">
        <f>33.7686809774399*Deflactores!$L$5</f>
        <v>69.620855776909991</v>
      </c>
      <c r="P226" s="56">
        <f>51.5896616035099*Deflactores!$M$5</f>
        <v>103.82892785941965</v>
      </c>
      <c r="Q226" s="56">
        <f>63.4253531940899*Deflactores!$N$5</f>
        <v>125.22007380024057</v>
      </c>
      <c r="R226" s="56">
        <f>42.4448101772*Deflactores!$O$5</f>
        <v>80.839655152461617</v>
      </c>
      <c r="S226" s="56">
        <f>37.2615806565999*Deflactores!$P$5</f>
        <v>66.46788928618642</v>
      </c>
      <c r="T226" s="56">
        <f>45.0541537793662*Deflactores!$Q$5</f>
        <v>75.998509493958949</v>
      </c>
      <c r="U226" s="56">
        <f>163.5910267423*Deflactores!$R$5</f>
        <v>265.1067022569631</v>
      </c>
      <c r="V226" s="56">
        <f>187.07936476754*Deflactores!$S$5</f>
        <v>293.82692648813583</v>
      </c>
    </row>
    <row r="227" spans="2:22" x14ac:dyDescent="0.2">
      <c r="C227" s="88" t="s">
        <v>142</v>
      </c>
      <c r="D227" s="57">
        <f>69.03060881731*Deflactores!$A$5</f>
        <v>250.61970699040651</v>
      </c>
      <c r="E227" s="57">
        <f>232.68500429713*Deflactores!$B$5</f>
        <v>784.75613173513921</v>
      </c>
      <c r="F227" s="57">
        <f>72.5329934791799*Deflactores!$C$5</f>
        <v>228.63950207646397</v>
      </c>
      <c r="G227" s="57">
        <f>68.71112946582*Deflactores!$D$5</f>
        <v>203.38942613651182</v>
      </c>
      <c r="H227" s="57">
        <f>156.24348952418*Deflactores!$E$5</f>
        <v>438.39255909669396</v>
      </c>
      <c r="I227" s="57">
        <f>46.1036618070999*Deflactores!$F$5</f>
        <v>123.36922468905757</v>
      </c>
      <c r="J227" s="57">
        <f>69.4911722902*Deflactores!$G$5</f>
        <v>177.98213701801615</v>
      </c>
      <c r="K227" s="57">
        <f>146.83347061191*Deflactores!$H$5</f>
        <v>355.81119937187873</v>
      </c>
      <c r="L227" s="57">
        <f>163.894795252379*Deflactores!$I$5</f>
        <v>368.84794372478274</v>
      </c>
      <c r="M227" s="57">
        <f>314.99199521697*Deflactores!$J$5</f>
        <v>694.9824731339279</v>
      </c>
      <c r="N227" s="57">
        <f>307.27383550356*Deflactores!$K$5</f>
        <v>657.11493931476923</v>
      </c>
      <c r="O227" s="57">
        <f>269.300489123239*Deflactores!$L$5</f>
        <v>555.21654892076128</v>
      </c>
      <c r="P227" s="57">
        <f>437.978348760996*Deflactores!$M$5</f>
        <v>881.47161590219298</v>
      </c>
      <c r="Q227" s="57">
        <f>259.20447634869*Deflactores!$N$5</f>
        <v>511.7449414654601</v>
      </c>
      <c r="R227" s="57">
        <f>223.63837592285*Deflactores!$O$5</f>
        <v>425.93780283110215</v>
      </c>
      <c r="S227" s="57">
        <f>148.488417348233*Deflactores!$P$5</f>
        <v>264.87635550252048</v>
      </c>
      <c r="T227" s="57">
        <f>198.10426050026*Deflactores!$Q$5</f>
        <v>334.16737990799572</v>
      </c>
      <c r="U227" s="57">
        <f>216.478404007859*Deflactores!$R$5</f>
        <v>350.81310350095544</v>
      </c>
      <c r="V227" s="57">
        <f>171.78009306865*Deflactores!$S$5</f>
        <v>269.79788412754431</v>
      </c>
    </row>
    <row r="228" spans="2:22" x14ac:dyDescent="0.2">
      <c r="C228" s="87" t="s">
        <v>143</v>
      </c>
      <c r="D228" s="56">
        <f>478.51529897662*Deflactores!$A$5</f>
        <v>1737.2780868459472</v>
      </c>
      <c r="E228" s="56">
        <f>385.81379488361*Deflactores!$B$5</f>
        <v>1301.2000586694046</v>
      </c>
      <c r="F228" s="56">
        <f>537.47258786779*Deflactores!$C$5</f>
        <v>1694.2285017522963</v>
      </c>
      <c r="G228" s="56">
        <f>451.080899457589*Deflactores!$D$5</f>
        <v>1335.228892248944</v>
      </c>
      <c r="H228" s="56">
        <f>443.31571099111*Deflactores!$E$5</f>
        <v>1243.8682060994697</v>
      </c>
      <c r="I228" s="56">
        <f>448.66862352781*Deflactores!$F$5</f>
        <v>1200.5966133130116</v>
      </c>
      <c r="J228" s="56">
        <f>40.8277992175699*Deflactores!$G$5</f>
        <v>104.56895048682829</v>
      </c>
      <c r="K228" s="56">
        <f>115.79532016356*Deflactores!$H$5</f>
        <v>280.59863719999174</v>
      </c>
      <c r="L228" s="56">
        <f>49.31787309361*Deflactores!$I$5</f>
        <v>110.99068796813296</v>
      </c>
      <c r="M228" s="56">
        <f>32.04724265598*Deflactores!$J$5</f>
        <v>70.707422081741157</v>
      </c>
      <c r="N228" s="56">
        <f>45.79105077182*Deflactores!$K$5</f>
        <v>97.925628779204658</v>
      </c>
      <c r="O228" s="56">
        <f>56.45846049696*Deflactores!$L$5</f>
        <v>116.40035150532607</v>
      </c>
      <c r="P228" s="56">
        <f>70.5048495064*Deflactores!$M$5</f>
        <v>141.89747917713029</v>
      </c>
      <c r="Q228" s="56">
        <f>97.2449330888499*Deflactores!$N$5</f>
        <v>191.98974991628299</v>
      </c>
      <c r="R228" s="56">
        <f>95.93667375844*Deflactores!$O$5</f>
        <v>182.71933814119174</v>
      </c>
      <c r="S228" s="56">
        <f>66.5919597266899*Deflactores!$P$5</f>
        <v>118.78795607882566</v>
      </c>
      <c r="T228" s="56">
        <f>51.2266688448*Deflactores!$Q$5</f>
        <v>86.410467225963075</v>
      </c>
      <c r="U228" s="56">
        <f>33.12447223452*Deflactores!$R$5</f>
        <v>53.679714425469058</v>
      </c>
      <c r="V228" s="56">
        <f>23.04919355997*Deflactores!$S$5</f>
        <v>36.201072791600609</v>
      </c>
    </row>
    <row r="229" spans="2:22" x14ac:dyDescent="0.2">
      <c r="C229" s="88" t="s">
        <v>144</v>
      </c>
      <c r="D229" s="57">
        <f>3.30990141816*Deflactores!$A$5</f>
        <v>12.016792808270576</v>
      </c>
      <c r="E229" s="57">
        <f>34.91933000916*Deflactores!$B$5</f>
        <v>117.76933551669003</v>
      </c>
      <c r="F229" s="57">
        <f>15.15585196482*Deflactores!$C$5</f>
        <v>47.774485521209222</v>
      </c>
      <c r="G229" s="57">
        <f>15.02365065738*Deflactores!$D$5</f>
        <v>44.470986133330335</v>
      </c>
      <c r="H229" s="57">
        <f>24.71888923175*Deflactores!$E$5</f>
        <v>69.356983393906731</v>
      </c>
      <c r="I229" s="57">
        <f>25.54293371844*Deflactores!$F$5</f>
        <v>68.350577928338154</v>
      </c>
      <c r="J229" s="57">
        <f>39.96841163936*Deflactores!$G$5</f>
        <v>102.3678703689425</v>
      </c>
      <c r="K229" s="57">
        <f>51.29681523284*Deflactores!$H$5</f>
        <v>124.30395655630576</v>
      </c>
      <c r="L229" s="57">
        <f>60.72293143023*Deflactores!$I$5</f>
        <v>136.65796012918966</v>
      </c>
      <c r="M229" s="57">
        <f>58.95885193803*Deflactores!$J$5</f>
        <v>130.08384135223778</v>
      </c>
      <c r="N229" s="57">
        <f>56.35410637401*Deflactores!$K$5</f>
        <v>120.51506152292163</v>
      </c>
      <c r="O229" s="57">
        <f>35.96286998739*Deflactores!$L$5</f>
        <v>74.144613062871898</v>
      </c>
      <c r="P229" s="57">
        <f>38.0838349023699*Deflactores!$M$5</f>
        <v>76.647212324788498</v>
      </c>
      <c r="Q229" s="57">
        <f>104.62414360902*Deflactores!$N$5</f>
        <v>206.55845532176292</v>
      </c>
      <c r="R229" s="57">
        <f>116.67564795315*Deflactores!$O$5</f>
        <v>222.21843155489577</v>
      </c>
      <c r="S229" s="57">
        <f>66.749551135*Deflactores!$P$5</f>
        <v>119.06907051614772</v>
      </c>
      <c r="T229" s="57">
        <f>58.830486963*Deflactores!$Q$5</f>
        <v>99.236783890932045</v>
      </c>
      <c r="U229" s="57">
        <f>89.7059556029899*Deflactores!$R$5</f>
        <v>145.37258269171886</v>
      </c>
      <c r="V229" s="57">
        <f>114.282096487289*Deflactores!$S$5</f>
        <v>179.4915072819779</v>
      </c>
    </row>
    <row r="230" spans="2:22" x14ac:dyDescent="0.2">
      <c r="C230" s="87" t="s">
        <v>145</v>
      </c>
      <c r="D230" s="56">
        <f>5*Deflactores!$A$5</f>
        <v>18.15279564270347</v>
      </c>
      <c r="E230" s="56">
        <f>0*Deflactores!$B$5</f>
        <v>0</v>
      </c>
      <c r="F230" s="56">
        <f>0*Deflactores!$C$5</f>
        <v>0</v>
      </c>
      <c r="G230" s="56">
        <f>4.231592073*Deflactores!$D$5</f>
        <v>12.525788617685492</v>
      </c>
      <c r="H230" s="56">
        <f>8.5*Deflactores!$E$5</f>
        <v>23.849548955095607</v>
      </c>
      <c r="I230" s="56">
        <f>53.168448274*Deflactores!$F$5</f>
        <v>142.27395361627242</v>
      </c>
      <c r="J230" s="56">
        <f>77.858463147*Deflactores!$G$5</f>
        <v>199.4126044956038</v>
      </c>
      <c r="K230" s="56">
        <f>1.044812*Deflactores!$H$5</f>
        <v>2.53181927314587</v>
      </c>
      <c r="L230" s="56">
        <f>64.179985083*Deflactores!$I$5</f>
        <v>144.43811647403831</v>
      </c>
      <c r="M230" s="56">
        <f>36.650694512*Deflactores!$J$5</f>
        <v>80.864246396105159</v>
      </c>
      <c r="N230" s="56">
        <f>44.932082771*Deflactores!$K$5</f>
        <v>96.088698196400046</v>
      </c>
      <c r="O230" s="56">
        <f>27.938228371*Deflactores!$L$5</f>
        <v>57.600217473084982</v>
      </c>
      <c r="P230" s="56">
        <f>30.112488*Deflactores!$M$5</f>
        <v>60.604145230658482</v>
      </c>
      <c r="Q230" s="56">
        <f>38.546132739*Deflactores!$N$5</f>
        <v>76.101264608191656</v>
      </c>
      <c r="R230" s="56">
        <f>35.786248664*Deflactores!$O$5</f>
        <v>68.15787346251345</v>
      </c>
      <c r="S230" s="56">
        <f>33.859673928*Deflactores!$P$5</f>
        <v>60.399505824883633</v>
      </c>
      <c r="T230" s="56">
        <f>21.84*Deflactores!$Q$5</f>
        <v>36.840275715226461</v>
      </c>
      <c r="U230" s="56">
        <f>36.261372*Deflactores!$R$5</f>
        <v>58.763203224931509</v>
      </c>
      <c r="V230" s="56">
        <f>35.5*Deflactores!$S$5</f>
        <v>55.756314456647502</v>
      </c>
    </row>
    <row r="231" spans="2:22" x14ac:dyDescent="0.2">
      <c r="C231" s="88" t="s">
        <v>146</v>
      </c>
      <c r="D231" s="57">
        <f>0*Deflactores!$A$5</f>
        <v>0</v>
      </c>
      <c r="E231" s="57">
        <f>0*Deflactores!$B$5</f>
        <v>0</v>
      </c>
      <c r="F231" s="57">
        <f>0*Deflactores!$C$5</f>
        <v>0</v>
      </c>
      <c r="G231" s="57">
        <f>0*Deflactores!$D$5</f>
        <v>0</v>
      </c>
      <c r="H231" s="57">
        <f>1.62340268986*Deflactores!$E$5</f>
        <v>4.5549908147823484</v>
      </c>
      <c r="I231" s="57">
        <f>1.00402834921*Deflactores!$F$5</f>
        <v>2.6866889559908413</v>
      </c>
      <c r="J231" s="57">
        <f>1.96082205932999*Deflactores!$G$5</f>
        <v>5.0220954537103903</v>
      </c>
      <c r="K231" s="57">
        <f>0.84736601081*Deflactores!$H$5</f>
        <v>2.0533623250666047</v>
      </c>
      <c r="L231" s="57">
        <f>4.50922967657*Deflactores!$I$5</f>
        <v>10.148095864938513</v>
      </c>
      <c r="M231" s="57">
        <f>6.64943371594*Deflactores!$J$5</f>
        <v>14.670975640701421</v>
      </c>
      <c r="N231" s="57">
        <f>3.97496821388*Deflactores!$K$5</f>
        <v>8.5005968450302074</v>
      </c>
      <c r="O231" s="57">
        <f>3.20910731386*Deflactores!$L$5</f>
        <v>6.6162133374453251</v>
      </c>
      <c r="P231" s="57">
        <f>7.40002793792*Deflactores!$M$5</f>
        <v>14.893235253780222</v>
      </c>
      <c r="Q231" s="57">
        <f>11.94781988074*Deflactores!$N$5</f>
        <v>23.588467574472322</v>
      </c>
      <c r="R231" s="57">
        <f>39.7231694753259*Deflactores!$O$5</f>
        <v>75.65606510058312</v>
      </c>
      <c r="S231" s="57">
        <f>27.061998484287*Deflactores!$P$5</f>
        <v>48.273688003032461</v>
      </c>
      <c r="T231" s="57">
        <f>53.773683418188*Deflactores!$Q$5</f>
        <v>90.706837149695389</v>
      </c>
      <c r="U231" s="57">
        <f>48.6802644574899*Deflactores!$R$5</f>
        <v>78.888583514128726</v>
      </c>
      <c r="V231" s="57">
        <f>57.533753142195*Deflactores!$S$5</f>
        <v>90.362536114573402</v>
      </c>
    </row>
    <row r="232" spans="2:22" x14ac:dyDescent="0.2">
      <c r="C232" s="90" t="s">
        <v>147</v>
      </c>
      <c r="D232" s="58">
        <f>489.58197559456*Deflactores!$A$5</f>
        <v>1777.456310663817</v>
      </c>
      <c r="E232" s="58">
        <f>921.69894482047*Deflactores!$B$5</f>
        <v>3108.5325018969993</v>
      </c>
      <c r="F232" s="58">
        <f>774.25242346665*Deflactores!$C$5</f>
        <v>2440.60916407268</v>
      </c>
      <c r="G232" s="58">
        <f>835.96432195239*Deflactores!$D$5</f>
        <v>2474.5089337684885</v>
      </c>
      <c r="H232" s="58">
        <f>1164.19175778483*Deflactores!$E$5</f>
        <v>3266.5233318127189</v>
      </c>
      <c r="I232" s="58">
        <f>1375.07276763686*Deflactores!$F$5</f>
        <v>3679.5702246859587</v>
      </c>
      <c r="J232" s="58">
        <f>1489.53926603968*Deflactores!$G$5</f>
        <v>3815.0368313670956</v>
      </c>
      <c r="K232" s="58">
        <f>1731.75551338667*Deflactores!$H$5</f>
        <v>4196.4410680284982</v>
      </c>
      <c r="L232" s="58">
        <f>1165.71968438876*Deflactores!$I$5</f>
        <v>2623.4714036171054</v>
      </c>
      <c r="M232" s="58">
        <f>1405.18071963139*Deflactores!$J$5</f>
        <v>3100.3199654545492</v>
      </c>
      <c r="N232" s="58">
        <f>2040.33261257751*Deflactores!$K$5</f>
        <v>4363.3166445773795</v>
      </c>
      <c r="O232" s="58">
        <f>2523.37737402437*Deflactores!$L$5</f>
        <v>5202.444606735934</v>
      </c>
      <c r="P232" s="58">
        <f>3297.61244630149*Deflactores!$M$5</f>
        <v>6636.7476380590833</v>
      </c>
      <c r="Q232" s="58">
        <f>4402.14297601206*Deflactores!$N$5</f>
        <v>8691.1091633748456</v>
      </c>
      <c r="R232" s="58">
        <f>6626.36259600607*Deflactores!$O$5</f>
        <v>12620.45618627946</v>
      </c>
      <c r="S232" s="58">
        <f>7078.9036062747*Deflactores!$P$5</f>
        <v>12627.477763375893</v>
      </c>
      <c r="T232" s="58">
        <f>7099.38734047325*Deflactores!$Q$5</f>
        <v>11975.429809167714</v>
      </c>
      <c r="U232" s="58">
        <f>3142.1313713618*Deflactores!$R$5</f>
        <v>5091.9668548329109</v>
      </c>
      <c r="V232" s="58">
        <f>3454.66944035939*Deflactores!$S$5</f>
        <v>5425.9052298717916</v>
      </c>
    </row>
    <row r="233" spans="2:22" ht="22.5" customHeight="1" x14ac:dyDescent="0.2">
      <c r="C233" s="89" t="s">
        <v>148</v>
      </c>
      <c r="D233" s="59">
        <f>0*Deflactores!$A$5</f>
        <v>0</v>
      </c>
      <c r="E233" s="59">
        <f>0*Deflactores!$B$5</f>
        <v>0</v>
      </c>
      <c r="F233" s="59">
        <f>0*Deflactores!$C$5</f>
        <v>0</v>
      </c>
      <c r="G233" s="59">
        <f>0*Deflactores!$D$5</f>
        <v>0</v>
      </c>
      <c r="H233" s="59">
        <f>0*Deflactores!$E$5</f>
        <v>0</v>
      </c>
      <c r="I233" s="59">
        <f>0*Deflactores!$F$5</f>
        <v>0</v>
      </c>
      <c r="J233" s="59">
        <f>0*Deflactores!$G$5</f>
        <v>0</v>
      </c>
      <c r="K233" s="59">
        <f>0*Deflactores!$H$5</f>
        <v>0</v>
      </c>
      <c r="L233" s="59">
        <f>0*Deflactores!$I$5</f>
        <v>0</v>
      </c>
      <c r="M233" s="59">
        <f>0*Deflactores!$J$5</f>
        <v>0</v>
      </c>
      <c r="N233" s="59">
        <f>0*Deflactores!$K$5</f>
        <v>0</v>
      </c>
      <c r="O233" s="59">
        <f>0*Deflactores!$L$5</f>
        <v>0</v>
      </c>
      <c r="P233" s="59">
        <f>0*Deflactores!$M$5</f>
        <v>0</v>
      </c>
      <c r="Q233" s="59">
        <f>0*Deflactores!$N$5</f>
        <v>0</v>
      </c>
      <c r="R233" s="59">
        <f>0*Deflactores!$O$5</f>
        <v>0</v>
      </c>
      <c r="S233" s="59">
        <f>0*Deflactores!$P$5</f>
        <v>0</v>
      </c>
      <c r="T233" s="59">
        <f>0*Deflactores!$Q$5</f>
        <v>0</v>
      </c>
      <c r="U233" s="59">
        <f>0*Deflactores!$R$5</f>
        <v>0</v>
      </c>
      <c r="V233" s="59">
        <f>12.311477938*Deflactores!$S$5</f>
        <v>19.336412263019891</v>
      </c>
    </row>
    <row r="234" spans="2:22" x14ac:dyDescent="0.2">
      <c r="C234" s="87" t="s">
        <v>149</v>
      </c>
      <c r="D234" s="56">
        <f>0.9*Deflactores!$A$5</f>
        <v>3.2675032156866246</v>
      </c>
      <c r="E234" s="56">
        <f>7*Deflactores!$B$5</f>
        <v>23.608280811819078</v>
      </c>
      <c r="F234" s="56">
        <f>0.38702772838*Deflactores!$C$5</f>
        <v>1.2199941414521731</v>
      </c>
      <c r="G234" s="56">
        <f>0.24037830266*Deflactores!$D$5</f>
        <v>0.71153545886633163</v>
      </c>
      <c r="H234" s="56">
        <f>0.605019502299999*Deflactores!$E$5</f>
        <v>1.697581439869577</v>
      </c>
      <c r="I234" s="56">
        <f>1.19005012462*Deflactores!$F$5</f>
        <v>3.1844663842488181</v>
      </c>
      <c r="J234" s="56">
        <f>0.807912724299999*Deflactores!$G$5</f>
        <v>2.0692417246102455</v>
      </c>
      <c r="K234" s="56">
        <f>1.19006984709*Deflactores!$H$5</f>
        <v>2.8838123750992715</v>
      </c>
      <c r="L234" s="56">
        <f>1.92006559438999*Deflactores!$I$5</f>
        <v>4.3211393334174257</v>
      </c>
      <c r="M234" s="56">
        <f>3.05148939007*Deflactores!$J$5</f>
        <v>6.7326524967468018</v>
      </c>
      <c r="N234" s="56">
        <f>6.25642824614*Deflactores!$K$5</f>
        <v>13.379572199995735</v>
      </c>
      <c r="O234" s="56">
        <f>19.44710051079*Deflactores!$L$5</f>
        <v>40.094067661254215</v>
      </c>
      <c r="P234" s="56">
        <f>9.783529715*Deflactores!$M$5</f>
        <v>19.690251290970139</v>
      </c>
      <c r="Q234" s="56">
        <f>5.51859364191*Deflactores!$N$5</f>
        <v>10.895307133707863</v>
      </c>
      <c r="R234" s="56">
        <f>7.60710882539999*Deflactores!$O$5</f>
        <v>14.488368579933418</v>
      </c>
      <c r="S234" s="56">
        <f>8.1561896*Deflactores!$P$5</f>
        <v>14.54916022822886</v>
      </c>
      <c r="T234" s="56">
        <f>13.23162612418*Deflactores!$Q$5</f>
        <v>22.319448469578045</v>
      </c>
      <c r="U234" s="56">
        <f>15.3048944705*Deflactores!$R$5</f>
        <v>24.802277864889451</v>
      </c>
      <c r="V234" s="56">
        <f>14.28308803855*Deflactores!$S$5</f>
        <v>22.433023889841529</v>
      </c>
    </row>
    <row r="235" spans="2:22" x14ac:dyDescent="0.2">
      <c r="C235" s="88" t="s">
        <v>150</v>
      </c>
      <c r="D235" s="57">
        <f>239.15476422431*Deflactores!$A$5</f>
        <v>868.26551238856598</v>
      </c>
      <c r="E235" s="57">
        <f>594.4040249575*Deflactores!$B$5</f>
        <v>2004.6938766960254</v>
      </c>
      <c r="F235" s="57">
        <f>256.27602103435*Deflactores!$C$5</f>
        <v>807.83680684915385</v>
      </c>
      <c r="G235" s="57">
        <f>238.58582148553*Deflactores!$D$5</f>
        <v>706.22959764311736</v>
      </c>
      <c r="H235" s="57">
        <f>409.78370103496*Deflactores!$E$5</f>
        <v>1149.7831104510049</v>
      </c>
      <c r="I235" s="57">
        <f>767.08849781248*Deflactores!$F$5</f>
        <v>2052.6593666025424</v>
      </c>
      <c r="J235" s="57">
        <f>1051.26897507379*Deflactores!$G$5</f>
        <v>2692.5304696688718</v>
      </c>
      <c r="K235" s="57">
        <f>1609.2470181785*Deflactores!$H$5</f>
        <v>3899.5748669395525</v>
      </c>
      <c r="L235" s="57">
        <f>1270.22957897993*Deflactores!$I$5</f>
        <v>2858.6726475582996</v>
      </c>
      <c r="M235" s="57">
        <f>1947.25148996654*Deflactores!$J$5</f>
        <v>4296.3176107967438</v>
      </c>
      <c r="N235" s="57">
        <f>1934.3605943792*Deflactores!$K$5</f>
        <v>4136.6920893388015</v>
      </c>
      <c r="O235" s="57">
        <f>3164.36580043212*Deflactores!$L$5</f>
        <v>6523.9698039864925</v>
      </c>
      <c r="P235" s="57">
        <f>4944.76015204961*Deflactores!$M$5</f>
        <v>9951.7835386298029</v>
      </c>
      <c r="Q235" s="57">
        <f>4996.5949702616*Deflactores!$N$5</f>
        <v>9864.7301026676796</v>
      </c>
      <c r="R235" s="57">
        <f>4721.09369190794*Deflactores!$O$5</f>
        <v>8991.7138138436276</v>
      </c>
      <c r="S235" s="57">
        <f>3977.45884045568*Deflactores!$P$5</f>
        <v>7095.0638483165058</v>
      </c>
      <c r="T235" s="57">
        <f>2735.05237667384*Deflactores!$Q$5</f>
        <v>4613.5569437843269</v>
      </c>
      <c r="U235" s="57">
        <f>2315.20575671139*Deflactores!$R$5</f>
        <v>3751.8962710281003</v>
      </c>
      <c r="V235" s="57">
        <f>2102.86130212911*Deflactores!$S$5</f>
        <v>3302.7548174711515</v>
      </c>
    </row>
    <row r="236" spans="2:22" x14ac:dyDescent="0.2">
      <c r="C236" s="87" t="s">
        <v>151</v>
      </c>
      <c r="D236" s="56">
        <f>61.406353339*Deflactores!$A$5</f>
        <v>222.93939666530176</v>
      </c>
      <c r="E236" s="56">
        <f>21.2143876185*Deflactores!$B$5</f>
        <v>71.54788859261798</v>
      </c>
      <c r="F236" s="56">
        <f>55.4416432174*Deflactores!$C$5</f>
        <v>174.76391213835541</v>
      </c>
      <c r="G236" s="56">
        <f>35.2659554043*Deflactores!$D$5</f>
        <v>104.38952885215531</v>
      </c>
      <c r="H236" s="56">
        <f>9.5346043585*Deflactores!$E$5</f>
        <v>26.752472166531021</v>
      </c>
      <c r="I236" s="56">
        <f>22.65820576873*Deflactores!$F$5</f>
        <v>60.631307123263596</v>
      </c>
      <c r="J236" s="56">
        <f>105.59388483823*Deflactores!$G$5</f>
        <v>270.44910396759661</v>
      </c>
      <c r="K236" s="56">
        <f>276.6781556009*Deflactores!$H$5</f>
        <v>670.45467204512443</v>
      </c>
      <c r="L236" s="56">
        <f>203.12475467744*Deflactores!$I$5</f>
        <v>457.13561536230151</v>
      </c>
      <c r="M236" s="56">
        <f>240.12921720191*Deflactores!$J$5</f>
        <v>529.80901031388078</v>
      </c>
      <c r="N236" s="56">
        <f>175.59608600289*Deflactores!$K$5</f>
        <v>375.51785432236454</v>
      </c>
      <c r="O236" s="56">
        <f>468.302105733759*Deflactores!$L$5</f>
        <v>965.49798273420936</v>
      </c>
      <c r="P236" s="56">
        <f>732.85055749066*Deflactores!$M$5</f>
        <v>1474.9289935302918</v>
      </c>
      <c r="Q236" s="56">
        <f>551.64323463517*Deflactores!$N$5</f>
        <v>1089.1040108367283</v>
      </c>
      <c r="R236" s="56">
        <f>713.7241593518*Deflactores!$O$5</f>
        <v>1359.3467534688891</v>
      </c>
      <c r="S236" s="56">
        <f>542.36887843788*Deflactores!$P$5</f>
        <v>967.487528146415</v>
      </c>
      <c r="T236" s="56">
        <f>330.25736957812*Deflactores!$Q$5</f>
        <v>557.08665532249938</v>
      </c>
      <c r="U236" s="56">
        <f>357.64562416536*Deflactores!$R$5</f>
        <v>579.58100690002914</v>
      </c>
      <c r="V236" s="56">
        <f>347.59598352293*Deflactores!$S$5</f>
        <v>545.93439327245483</v>
      </c>
    </row>
    <row r="237" spans="2:22" x14ac:dyDescent="0.2">
      <c r="C237" s="79" t="s">
        <v>202</v>
      </c>
      <c r="D237" s="44">
        <f t="shared" ref="D237:V237" si="63">+SUM(D208:D236)</f>
        <v>9496.8586939420384</v>
      </c>
      <c r="E237" s="44">
        <f t="shared" si="63"/>
        <v>17456.192380141223</v>
      </c>
      <c r="F237" s="44">
        <f t="shared" si="63"/>
        <v>11387.8408456121</v>
      </c>
      <c r="G237" s="44">
        <f t="shared" si="63"/>
        <v>11304.118670375428</v>
      </c>
      <c r="H237" s="44">
        <f t="shared" si="63"/>
        <v>13097.836414200247</v>
      </c>
      <c r="I237" s="44">
        <f t="shared" si="63"/>
        <v>15660.853148592329</v>
      </c>
      <c r="J237" s="44">
        <f t="shared" si="63"/>
        <v>16023.358049001079</v>
      </c>
      <c r="K237" s="44">
        <f t="shared" si="63"/>
        <v>26884.708738261303</v>
      </c>
      <c r="L237" s="44">
        <f t="shared" si="63"/>
        <v>26732.767107838594</v>
      </c>
      <c r="M237" s="44">
        <f t="shared" si="63"/>
        <v>37546.992288567249</v>
      </c>
      <c r="N237" s="44">
        <f t="shared" si="63"/>
        <v>26777.442796983221</v>
      </c>
      <c r="O237" s="44">
        <f t="shared" si="63"/>
        <v>34397.933503740933</v>
      </c>
      <c r="P237" s="44">
        <f t="shared" si="63"/>
        <v>39731.854774219973</v>
      </c>
      <c r="Q237" s="44">
        <f t="shared" si="63"/>
        <v>46780.247003360622</v>
      </c>
      <c r="R237" s="44">
        <f t="shared" si="63"/>
        <v>53008.075984630494</v>
      </c>
      <c r="S237" s="44">
        <f t="shared" si="63"/>
        <v>51345.125603702872</v>
      </c>
      <c r="T237" s="44">
        <f t="shared" si="63"/>
        <v>40314.599878560541</v>
      </c>
      <c r="U237" s="44">
        <f t="shared" si="63"/>
        <v>36188.02219855287</v>
      </c>
      <c r="V237" s="44">
        <f t="shared" si="63"/>
        <v>36481.490130985061</v>
      </c>
    </row>
    <row r="238" spans="2:22" x14ac:dyDescent="0.2">
      <c r="C238" s="1" t="s">
        <v>52</v>
      </c>
      <c r="D238" s="12"/>
      <c r="E238" s="12"/>
      <c r="F238" s="12"/>
      <c r="G238" s="12"/>
      <c r="H238" s="13"/>
      <c r="I238" s="13"/>
      <c r="J238" s="13"/>
      <c r="K238" s="13"/>
      <c r="L238" s="13"/>
      <c r="M238" s="13"/>
      <c r="N238" s="13"/>
      <c r="O238" s="13"/>
      <c r="P238" s="13"/>
      <c r="Q238" s="13"/>
      <c r="R238" s="13"/>
      <c r="S238" s="13"/>
      <c r="T238" s="13"/>
      <c r="U238" s="13"/>
    </row>
    <row r="239" spans="2:22" x14ac:dyDescent="0.2">
      <c r="B239" s="9"/>
    </row>
    <row r="242" spans="3:22" ht="15.75" customHeight="1" x14ac:dyDescent="0.2">
      <c r="D242" s="160" t="s">
        <v>216</v>
      </c>
      <c r="E242" s="158"/>
      <c r="F242" s="158"/>
      <c r="G242" s="158"/>
      <c r="H242" s="158"/>
      <c r="I242" s="158"/>
      <c r="J242" s="158"/>
      <c r="K242" s="158"/>
      <c r="L242" s="158"/>
      <c r="M242" s="158"/>
      <c r="N242" s="158"/>
      <c r="O242" s="158"/>
      <c r="P242" s="158"/>
      <c r="Q242" s="158"/>
      <c r="R242" s="158"/>
      <c r="S242" s="158"/>
      <c r="T242" s="158"/>
      <c r="U242" s="158"/>
      <c r="V242" s="158"/>
    </row>
    <row r="243" spans="3:22" ht="11.25" hidden="1" customHeight="1" x14ac:dyDescent="0.2">
      <c r="H243" s="27"/>
      <c r="I243" s="27"/>
      <c r="J243" s="27"/>
      <c r="L243" s="175"/>
      <c r="M243" s="158"/>
      <c r="N243" s="158"/>
      <c r="O243" s="158"/>
      <c r="P243" s="158"/>
      <c r="Q243" s="158"/>
      <c r="R243" s="28"/>
      <c r="S243" s="28"/>
      <c r="T243" s="28"/>
      <c r="U243" s="28"/>
      <c r="V243" s="28"/>
    </row>
    <row r="244" spans="3:22" x14ac:dyDescent="0.2"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</row>
    <row r="245" spans="3:22" ht="13.5" customHeight="1" thickBot="1" x14ac:dyDescent="0.25">
      <c r="C245" s="177" t="s">
        <v>120</v>
      </c>
      <c r="D245" s="153">
        <v>2000</v>
      </c>
      <c r="E245" s="153">
        <v>2001</v>
      </c>
      <c r="F245" s="153">
        <v>2002</v>
      </c>
      <c r="G245" s="153">
        <v>2003</v>
      </c>
      <c r="H245" s="153">
        <v>2004</v>
      </c>
      <c r="I245" s="153">
        <v>2005</v>
      </c>
      <c r="J245" s="153">
        <v>2006</v>
      </c>
      <c r="K245" s="153">
        <v>2007</v>
      </c>
      <c r="L245" s="153">
        <v>2008</v>
      </c>
      <c r="M245" s="153">
        <v>2009</v>
      </c>
      <c r="N245" s="153">
        <v>2010</v>
      </c>
      <c r="O245" s="153">
        <v>2011</v>
      </c>
      <c r="P245" s="153">
        <v>2012</v>
      </c>
      <c r="Q245" s="153">
        <v>2013</v>
      </c>
      <c r="R245" s="153">
        <v>2014</v>
      </c>
      <c r="S245" s="153">
        <v>2015</v>
      </c>
      <c r="T245" s="153">
        <v>2016</v>
      </c>
      <c r="U245" s="153">
        <v>2017</v>
      </c>
      <c r="V245" s="153">
        <v>2018</v>
      </c>
    </row>
    <row r="246" spans="3:22" ht="12" customHeight="1" thickBot="1" x14ac:dyDescent="0.25">
      <c r="C246" s="156"/>
      <c r="D246" s="154"/>
      <c r="E246" s="154"/>
      <c r="F246" s="154"/>
      <c r="G246" s="154"/>
      <c r="H246" s="154"/>
      <c r="I246" s="154"/>
      <c r="J246" s="154"/>
      <c r="K246" s="154"/>
      <c r="L246" s="154"/>
      <c r="M246" s="154"/>
      <c r="N246" s="154"/>
      <c r="O246" s="154"/>
      <c r="P246" s="154"/>
      <c r="Q246" s="154"/>
      <c r="R246" s="154"/>
      <c r="S246" s="154"/>
      <c r="T246" s="154"/>
      <c r="U246" s="154"/>
      <c r="V246" s="154"/>
    </row>
    <row r="247" spans="3:22" x14ac:dyDescent="0.2">
      <c r="C247" s="87" t="s">
        <v>123</v>
      </c>
      <c r="D247" s="60">
        <f t="shared" ref="D247:V247" si="64">+IFERROR(IF(D208&gt;0,+((D208/D13)*100)," "),"")</f>
        <v>37.099053936193677</v>
      </c>
      <c r="E247" s="60">
        <f t="shared" si="64"/>
        <v>50.494226667437879</v>
      </c>
      <c r="F247" s="60">
        <f t="shared" si="64"/>
        <v>42.816291273955493</v>
      </c>
      <c r="G247" s="60">
        <f t="shared" si="64"/>
        <v>41.042579723748254</v>
      </c>
      <c r="H247" s="60">
        <f t="shared" si="64"/>
        <v>53.654693945053609</v>
      </c>
      <c r="I247" s="60">
        <f t="shared" si="64"/>
        <v>64.404010138229808</v>
      </c>
      <c r="J247" s="60">
        <f t="shared" si="64"/>
        <v>77.443944816447058</v>
      </c>
      <c r="K247" s="60">
        <f t="shared" si="64"/>
        <v>87.739084491309967</v>
      </c>
      <c r="L247" s="60">
        <f t="shared" si="64"/>
        <v>90.671464761177234</v>
      </c>
      <c r="M247" s="60">
        <f t="shared" si="64"/>
        <v>71.729109364817901</v>
      </c>
      <c r="N247" s="60">
        <f t="shared" si="64"/>
        <v>71.909992329072409</v>
      </c>
      <c r="O247" s="60">
        <f t="shared" si="64"/>
        <v>74.414337929759995</v>
      </c>
      <c r="P247" s="60">
        <f t="shared" si="64"/>
        <v>58.182898160258588</v>
      </c>
      <c r="Q247" s="60">
        <f t="shared" si="64"/>
        <v>59.300007202663387</v>
      </c>
      <c r="R247" s="60">
        <f t="shared" si="64"/>
        <v>52.458935018140082</v>
      </c>
      <c r="S247" s="60">
        <f t="shared" si="64"/>
        <v>53.494753071783244</v>
      </c>
      <c r="T247" s="60">
        <f t="shared" si="64"/>
        <v>39.802235291524148</v>
      </c>
      <c r="U247" s="60">
        <f t="shared" si="64"/>
        <v>54.104335627640751</v>
      </c>
      <c r="V247" s="60">
        <f t="shared" si="64"/>
        <v>51.973485058378529</v>
      </c>
    </row>
    <row r="248" spans="3:22" x14ac:dyDescent="0.2">
      <c r="C248" s="88" t="s">
        <v>124</v>
      </c>
      <c r="D248" s="62">
        <f t="shared" ref="D248:V248" si="65">+IFERROR(IF(D209&gt;0,+((D209/D14)*100)," "),"")</f>
        <v>19.374805577249443</v>
      </c>
      <c r="E248" s="62">
        <f t="shared" si="65"/>
        <v>47.815378586134251</v>
      </c>
      <c r="F248" s="62">
        <f t="shared" si="65"/>
        <v>40.890487156243275</v>
      </c>
      <c r="G248" s="62">
        <f t="shared" si="65"/>
        <v>39.721485667466958</v>
      </c>
      <c r="H248" s="62">
        <f t="shared" si="65"/>
        <v>15.258944135550042</v>
      </c>
      <c r="I248" s="62">
        <f t="shared" si="65"/>
        <v>27.700395701711567</v>
      </c>
      <c r="J248" s="62">
        <f t="shared" si="65"/>
        <v>27.831578512743665</v>
      </c>
      <c r="K248" s="62">
        <f t="shared" si="65"/>
        <v>78.084255761543659</v>
      </c>
      <c r="L248" s="62">
        <f t="shared" si="65"/>
        <v>28.926052641895456</v>
      </c>
      <c r="M248" s="62">
        <f t="shared" si="65"/>
        <v>22.825100789482345</v>
      </c>
      <c r="N248" s="62">
        <f t="shared" si="65"/>
        <v>48.18421038463336</v>
      </c>
      <c r="O248" s="62">
        <f t="shared" si="65"/>
        <v>81.665706162248625</v>
      </c>
      <c r="P248" s="62">
        <f t="shared" si="65"/>
        <v>67.152424491630953</v>
      </c>
      <c r="Q248" s="62">
        <f t="shared" si="65"/>
        <v>47.69597284533166</v>
      </c>
      <c r="R248" s="62">
        <f t="shared" si="65"/>
        <v>50.574527039737184</v>
      </c>
      <c r="S248" s="62">
        <f t="shared" si="65"/>
        <v>44.116626433629094</v>
      </c>
      <c r="T248" s="62">
        <f t="shared" si="65"/>
        <v>41.296508779731994</v>
      </c>
      <c r="U248" s="62">
        <f t="shared" si="65"/>
        <v>45.329455090273498</v>
      </c>
      <c r="V248" s="62">
        <f t="shared" si="65"/>
        <v>52.804062194177078</v>
      </c>
    </row>
    <row r="249" spans="3:22" x14ac:dyDescent="0.2">
      <c r="C249" s="87" t="s">
        <v>125</v>
      </c>
      <c r="D249" s="60">
        <f t="shared" ref="D249:V249" si="66">+IFERROR(IF(D210&gt;0,+((D210/D15)*100)," "),"")</f>
        <v>64.104460357979349</v>
      </c>
      <c r="E249" s="60">
        <f t="shared" si="66"/>
        <v>51.928768749157804</v>
      </c>
      <c r="F249" s="60">
        <f t="shared" si="66"/>
        <v>27.848722067416588</v>
      </c>
      <c r="G249" s="60">
        <f t="shared" si="66"/>
        <v>24.225124449428922</v>
      </c>
      <c r="H249" s="60">
        <f t="shared" si="66"/>
        <v>56.75939133023715</v>
      </c>
      <c r="I249" s="60">
        <f t="shared" si="66"/>
        <v>51.467405519330825</v>
      </c>
      <c r="J249" s="60">
        <f t="shared" si="66"/>
        <v>48.942487004883468</v>
      </c>
      <c r="K249" s="60">
        <f t="shared" si="66"/>
        <v>74.050466162196514</v>
      </c>
      <c r="L249" s="60">
        <f t="shared" si="66"/>
        <v>64.582906990435134</v>
      </c>
      <c r="M249" s="60">
        <f t="shared" si="66"/>
        <v>42.050995854762832</v>
      </c>
      <c r="N249" s="60">
        <f t="shared" si="66"/>
        <v>64.109691535495443</v>
      </c>
      <c r="O249" s="60">
        <f t="shared" si="66"/>
        <v>60.9996500630144</v>
      </c>
      <c r="P249" s="60">
        <f t="shared" si="66"/>
        <v>74.080908886874838</v>
      </c>
      <c r="Q249" s="60">
        <f t="shared" si="66"/>
        <v>86.30124621956476</v>
      </c>
      <c r="R249" s="60">
        <f t="shared" si="66"/>
        <v>79.154578023594865</v>
      </c>
      <c r="S249" s="60">
        <f t="shared" si="66"/>
        <v>47.621802803948334</v>
      </c>
      <c r="T249" s="60">
        <f t="shared" si="66"/>
        <v>78.529510000672971</v>
      </c>
      <c r="U249" s="60">
        <f t="shared" si="66"/>
        <v>88.178664485980946</v>
      </c>
      <c r="V249" s="60">
        <f t="shared" si="66"/>
        <v>59.722672579745272</v>
      </c>
    </row>
    <row r="250" spans="3:22" x14ac:dyDescent="0.2">
      <c r="C250" s="88" t="s">
        <v>126</v>
      </c>
      <c r="D250" s="62">
        <f t="shared" ref="D250:V250" si="67">+IFERROR(IF(D211&gt;0,+((D211/D16)*100)," "),"")</f>
        <v>9.2591284270818424</v>
      </c>
      <c r="E250" s="62">
        <f t="shared" si="67"/>
        <v>31.314973751384805</v>
      </c>
      <c r="F250" s="62">
        <f t="shared" si="67"/>
        <v>14.956042422316587</v>
      </c>
      <c r="G250" s="62">
        <f t="shared" si="67"/>
        <v>34.912227342854798</v>
      </c>
      <c r="H250" s="62">
        <f t="shared" si="67"/>
        <v>33.675702551095569</v>
      </c>
      <c r="I250" s="62">
        <f t="shared" si="67"/>
        <v>35.200937030409293</v>
      </c>
      <c r="J250" s="62">
        <f t="shared" si="67"/>
        <v>48.851667995885997</v>
      </c>
      <c r="K250" s="62">
        <f t="shared" si="67"/>
        <v>77.953690895266007</v>
      </c>
      <c r="L250" s="62">
        <f t="shared" si="67"/>
        <v>73.699785081176742</v>
      </c>
      <c r="M250" s="62">
        <f t="shared" si="67"/>
        <v>63.64109504267914</v>
      </c>
      <c r="N250" s="62">
        <f t="shared" si="67"/>
        <v>63.740708552930357</v>
      </c>
      <c r="O250" s="62">
        <f t="shared" si="67"/>
        <v>89.912688904760884</v>
      </c>
      <c r="P250" s="62">
        <f t="shared" si="67"/>
        <v>92.870846480001404</v>
      </c>
      <c r="Q250" s="62">
        <f t="shared" si="67"/>
        <v>57.177061627286406</v>
      </c>
      <c r="R250" s="62">
        <f t="shared" si="67"/>
        <v>53.065372403758815</v>
      </c>
      <c r="S250" s="62">
        <f t="shared" si="67"/>
        <v>51.77400407340501</v>
      </c>
      <c r="T250" s="62">
        <f t="shared" si="67"/>
        <v>38.476878263530722</v>
      </c>
      <c r="U250" s="62">
        <f t="shared" si="67"/>
        <v>42.704209240596455</v>
      </c>
      <c r="V250" s="62">
        <f t="shared" si="67"/>
        <v>46.60214137420693</v>
      </c>
    </row>
    <row r="251" spans="3:22" x14ac:dyDescent="0.2">
      <c r="C251" s="87" t="s">
        <v>127</v>
      </c>
      <c r="D251" s="60" t="str">
        <f t="shared" ref="D251:V251" si="68">+IFERROR(IF(D212&gt;0,+((D212/D17)*100)," "),"")</f>
        <v xml:space="preserve"> </v>
      </c>
      <c r="E251" s="60" t="str">
        <f t="shared" si="68"/>
        <v xml:space="preserve"> </v>
      </c>
      <c r="F251" s="60" t="str">
        <f t="shared" si="68"/>
        <v xml:space="preserve"> </v>
      </c>
      <c r="G251" s="60" t="str">
        <f t="shared" si="68"/>
        <v xml:space="preserve"> </v>
      </c>
      <c r="H251" s="60" t="str">
        <f t="shared" si="68"/>
        <v xml:space="preserve"> </v>
      </c>
      <c r="I251" s="60">
        <f t="shared" si="68"/>
        <v>51.065452320000006</v>
      </c>
      <c r="J251" s="60">
        <f t="shared" si="68"/>
        <v>74.818607014117646</v>
      </c>
      <c r="K251" s="60">
        <f t="shared" si="68"/>
        <v>93.492191331942436</v>
      </c>
      <c r="L251" s="60">
        <f t="shared" si="68"/>
        <v>46.262473947643976</v>
      </c>
      <c r="M251" s="60">
        <f t="shared" si="68"/>
        <v>46.481868632318488</v>
      </c>
      <c r="N251" s="60">
        <f t="shared" si="68"/>
        <v>66.620908732874994</v>
      </c>
      <c r="O251" s="60">
        <f t="shared" si="68"/>
        <v>2.3999999959999996</v>
      </c>
      <c r="P251" s="60">
        <f t="shared" si="68"/>
        <v>7.5522709230646647</v>
      </c>
      <c r="Q251" s="60">
        <f t="shared" si="68"/>
        <v>46.351510708886131</v>
      </c>
      <c r="R251" s="60">
        <f t="shared" si="68"/>
        <v>71.512180167422628</v>
      </c>
      <c r="S251" s="60">
        <f t="shared" si="68"/>
        <v>79.385243161525338</v>
      </c>
      <c r="T251" s="60">
        <f t="shared" si="68"/>
        <v>89.423839948414468</v>
      </c>
      <c r="U251" s="60">
        <f t="shared" si="68"/>
        <v>80.536720004597228</v>
      </c>
      <c r="V251" s="60">
        <f t="shared" si="68"/>
        <v>65.555159428505732</v>
      </c>
    </row>
    <row r="252" spans="3:22" x14ac:dyDescent="0.2">
      <c r="C252" s="88" t="s">
        <v>128</v>
      </c>
      <c r="D252" s="62">
        <f t="shared" ref="D252:V252" si="69">+IFERROR(IF(D213&gt;0,+((D213/D18)*100)," "),"")</f>
        <v>16.305735460650542</v>
      </c>
      <c r="E252" s="62">
        <f t="shared" si="69"/>
        <v>53.521620087283431</v>
      </c>
      <c r="F252" s="62">
        <f t="shared" si="69"/>
        <v>40.770932521935741</v>
      </c>
      <c r="G252" s="62">
        <f t="shared" si="69"/>
        <v>50.935888801920846</v>
      </c>
      <c r="H252" s="62">
        <f t="shared" si="69"/>
        <v>55.837152726441488</v>
      </c>
      <c r="I252" s="62">
        <f t="shared" si="69"/>
        <v>76.308080396416074</v>
      </c>
      <c r="J252" s="62">
        <f t="shared" si="69"/>
        <v>76.109056966743864</v>
      </c>
      <c r="K252" s="62">
        <f t="shared" si="69"/>
        <v>64.225100898219196</v>
      </c>
      <c r="L252" s="62">
        <f t="shared" si="69"/>
        <v>73.797837843266919</v>
      </c>
      <c r="M252" s="62">
        <f t="shared" si="69"/>
        <v>76.718050621999353</v>
      </c>
      <c r="N252" s="62">
        <f t="shared" si="69"/>
        <v>84.053743124518533</v>
      </c>
      <c r="O252" s="62">
        <f t="shared" si="69"/>
        <v>77.954135825294813</v>
      </c>
      <c r="P252" s="62">
        <f t="shared" si="69"/>
        <v>71.923311547673322</v>
      </c>
      <c r="Q252" s="62">
        <f t="shared" si="69"/>
        <v>76.668966831799963</v>
      </c>
      <c r="R252" s="62">
        <f t="shared" si="69"/>
        <v>80.195007942244359</v>
      </c>
      <c r="S252" s="62">
        <f t="shared" si="69"/>
        <v>70.031985838674586</v>
      </c>
      <c r="T252" s="62">
        <f t="shared" si="69"/>
        <v>61.918567936031529</v>
      </c>
      <c r="U252" s="62">
        <f t="shared" si="69"/>
        <v>64.759390978192357</v>
      </c>
      <c r="V252" s="62">
        <f t="shared" si="69"/>
        <v>77.662020867903152</v>
      </c>
    </row>
    <row r="253" spans="3:22" x14ac:dyDescent="0.2">
      <c r="C253" s="87" t="s">
        <v>129</v>
      </c>
      <c r="D253" s="60">
        <f t="shared" ref="D253:V253" si="70">+IFERROR(IF(D214&gt;0,+((D214/D19)*100)," "),"")</f>
        <v>52.071635720486562</v>
      </c>
      <c r="E253" s="60">
        <f t="shared" si="70"/>
        <v>51.971062190948814</v>
      </c>
      <c r="F253" s="60">
        <f t="shared" si="70"/>
        <v>50.108144028353117</v>
      </c>
      <c r="G253" s="60">
        <f t="shared" si="70"/>
        <v>49.211638386810698</v>
      </c>
      <c r="H253" s="60">
        <f t="shared" si="70"/>
        <v>43.28460547313081</v>
      </c>
      <c r="I253" s="60">
        <f t="shared" si="70"/>
        <v>52.148887308081314</v>
      </c>
      <c r="J253" s="60">
        <f t="shared" si="70"/>
        <v>62.611370148941667</v>
      </c>
      <c r="K253" s="60">
        <f t="shared" si="70"/>
        <v>80.155032590702262</v>
      </c>
      <c r="L253" s="60">
        <f t="shared" si="70"/>
        <v>83.400112903769369</v>
      </c>
      <c r="M253" s="60">
        <f t="shared" si="70"/>
        <v>68.255839550938589</v>
      </c>
      <c r="N253" s="60">
        <f t="shared" si="70"/>
        <v>60.960546471461022</v>
      </c>
      <c r="O253" s="60">
        <f t="shared" si="70"/>
        <v>61.009428493815022</v>
      </c>
      <c r="P253" s="60">
        <f t="shared" si="70"/>
        <v>65.896107082982766</v>
      </c>
      <c r="Q253" s="60">
        <f t="shared" si="70"/>
        <v>68.33837070910846</v>
      </c>
      <c r="R253" s="60">
        <f t="shared" si="70"/>
        <v>60.177438815691673</v>
      </c>
      <c r="S253" s="60">
        <f t="shared" si="70"/>
        <v>57.434229861293218</v>
      </c>
      <c r="T253" s="60">
        <f t="shared" si="70"/>
        <v>56.420859046274387</v>
      </c>
      <c r="U253" s="60">
        <f t="shared" si="70"/>
        <v>61.998403821807749</v>
      </c>
      <c r="V253" s="60">
        <f t="shared" si="70"/>
        <v>66.796623616317959</v>
      </c>
    </row>
    <row r="254" spans="3:22" x14ac:dyDescent="0.2">
      <c r="C254" s="88" t="s">
        <v>130</v>
      </c>
      <c r="D254" s="62">
        <f t="shared" ref="D254:V254" si="71">+IFERROR(IF(D215&gt;0,+((D215/D20)*100)," "),"")</f>
        <v>40.736598923351146</v>
      </c>
      <c r="E254" s="62">
        <f t="shared" si="71"/>
        <v>57.622234481452693</v>
      </c>
      <c r="F254" s="62">
        <f t="shared" si="71"/>
        <v>27.186120310921808</v>
      </c>
      <c r="G254" s="62">
        <f t="shared" si="71"/>
        <v>48.734918681668653</v>
      </c>
      <c r="H254" s="62">
        <f t="shared" si="71"/>
        <v>84.806046071997514</v>
      </c>
      <c r="I254" s="62">
        <f t="shared" si="71"/>
        <v>87.570122915789469</v>
      </c>
      <c r="J254" s="62">
        <f t="shared" si="71"/>
        <v>92.403385143431834</v>
      </c>
      <c r="K254" s="62">
        <f t="shared" si="71"/>
        <v>84.999339203715195</v>
      </c>
      <c r="L254" s="62">
        <f t="shared" si="71"/>
        <v>91.89061774466974</v>
      </c>
      <c r="M254" s="62">
        <f t="shared" si="71"/>
        <v>83.898951778422386</v>
      </c>
      <c r="N254" s="62">
        <f t="shared" si="71"/>
        <v>86.905621909193982</v>
      </c>
      <c r="O254" s="62">
        <f t="shared" si="71"/>
        <v>81.014747109725903</v>
      </c>
      <c r="P254" s="62">
        <f t="shared" si="71"/>
        <v>62.189977282187279</v>
      </c>
      <c r="Q254" s="62">
        <f t="shared" si="71"/>
        <v>70.374619261157363</v>
      </c>
      <c r="R254" s="62">
        <f t="shared" si="71"/>
        <v>69.114650835189337</v>
      </c>
      <c r="S254" s="62">
        <f t="shared" si="71"/>
        <v>79.740545089733999</v>
      </c>
      <c r="T254" s="62">
        <f t="shared" si="71"/>
        <v>48.491657135704621</v>
      </c>
      <c r="U254" s="62">
        <f t="shared" si="71"/>
        <v>57.023578287916365</v>
      </c>
      <c r="V254" s="62">
        <f t="shared" si="71"/>
        <v>68.995378630883096</v>
      </c>
    </row>
    <row r="255" spans="3:22" x14ac:dyDescent="0.2">
      <c r="C255" s="87" t="s">
        <v>131</v>
      </c>
      <c r="D255" s="60">
        <f t="shared" ref="D255:V255" si="72">+IFERROR(IF(D216&gt;0,+((D216/D21)*100)," "),"")</f>
        <v>21.982564330784879</v>
      </c>
      <c r="E255" s="60">
        <f t="shared" si="72"/>
        <v>32.004789746542926</v>
      </c>
      <c r="F255" s="60">
        <f t="shared" si="72"/>
        <v>19.832426537184126</v>
      </c>
      <c r="G255" s="60">
        <f t="shared" si="72"/>
        <v>73.08809219348214</v>
      </c>
      <c r="H255" s="60">
        <f t="shared" si="72"/>
        <v>48.610973483176643</v>
      </c>
      <c r="I255" s="60">
        <f t="shared" si="72"/>
        <v>51.103543563274435</v>
      </c>
      <c r="J255" s="60">
        <f t="shared" si="72"/>
        <v>52.216045919445477</v>
      </c>
      <c r="K255" s="60">
        <f t="shared" si="72"/>
        <v>83.239318708319928</v>
      </c>
      <c r="L255" s="60">
        <f t="shared" si="72"/>
        <v>65.526445383021965</v>
      </c>
      <c r="M255" s="60">
        <f t="shared" si="72"/>
        <v>69.276226032480054</v>
      </c>
      <c r="N255" s="60">
        <f t="shared" si="72"/>
        <v>71.713559840607019</v>
      </c>
      <c r="O255" s="60">
        <f t="shared" si="72"/>
        <v>72.966309087416889</v>
      </c>
      <c r="P255" s="60">
        <f t="shared" si="72"/>
        <v>66.876073739831767</v>
      </c>
      <c r="Q255" s="60">
        <f t="shared" si="72"/>
        <v>66.638409099017721</v>
      </c>
      <c r="R255" s="60">
        <f t="shared" si="72"/>
        <v>84.396276245071675</v>
      </c>
      <c r="S255" s="60">
        <f t="shared" si="72"/>
        <v>90.179592413987692</v>
      </c>
      <c r="T255" s="60">
        <f t="shared" si="72"/>
        <v>88.527405409336026</v>
      </c>
      <c r="U255" s="60">
        <f t="shared" si="72"/>
        <v>93.576025235248423</v>
      </c>
      <c r="V255" s="60">
        <f t="shared" si="72"/>
        <v>93.882935177313513</v>
      </c>
    </row>
    <row r="256" spans="3:22" x14ac:dyDescent="0.2">
      <c r="C256" s="88" t="s">
        <v>132</v>
      </c>
      <c r="D256" s="62" t="str">
        <f t="shared" ref="D256:V256" si="73">+IFERROR(IF(D217&gt;0,+((D217/D22)*100)," "),"")</f>
        <v xml:space="preserve"> </v>
      </c>
      <c r="E256" s="62" t="str">
        <f t="shared" si="73"/>
        <v xml:space="preserve"> </v>
      </c>
      <c r="F256" s="62" t="str">
        <f t="shared" si="73"/>
        <v xml:space="preserve"> </v>
      </c>
      <c r="G256" s="62" t="str">
        <f t="shared" si="73"/>
        <v xml:space="preserve"> </v>
      </c>
      <c r="H256" s="62">
        <f t="shared" si="73"/>
        <v>28.999999999999996</v>
      </c>
      <c r="I256" s="62">
        <f t="shared" si="73"/>
        <v>9.5599208460129752</v>
      </c>
      <c r="J256" s="62" t="str">
        <f t="shared" si="73"/>
        <v xml:space="preserve"> </v>
      </c>
      <c r="K256" s="62">
        <f t="shared" si="73"/>
        <v>40.727023666115478</v>
      </c>
      <c r="L256" s="62">
        <f t="shared" si="73"/>
        <v>54.410018192893396</v>
      </c>
      <c r="M256" s="62">
        <f t="shared" si="73"/>
        <v>99.999999881807696</v>
      </c>
      <c r="N256" s="62">
        <f t="shared" si="73"/>
        <v>42.125888543458743</v>
      </c>
      <c r="O256" s="62">
        <f t="shared" si="73"/>
        <v>74.157506613999999</v>
      </c>
      <c r="P256" s="62">
        <f t="shared" si="73"/>
        <v>87.808186107929657</v>
      </c>
      <c r="Q256" s="62">
        <f t="shared" si="73"/>
        <v>94.963184166355731</v>
      </c>
      <c r="R256" s="62">
        <f t="shared" si="73"/>
        <v>88.931445705582092</v>
      </c>
      <c r="S256" s="62">
        <f t="shared" si="73"/>
        <v>88.001867394991791</v>
      </c>
      <c r="T256" s="62">
        <f t="shared" si="73"/>
        <v>78.62835366927014</v>
      </c>
      <c r="U256" s="62">
        <f t="shared" si="73"/>
        <v>84.153494581498009</v>
      </c>
      <c r="V256" s="62">
        <f t="shared" si="73"/>
        <v>73.619341543945495</v>
      </c>
    </row>
    <row r="257" spans="3:22" x14ac:dyDescent="0.2">
      <c r="C257" s="87" t="s">
        <v>133</v>
      </c>
      <c r="D257" s="60">
        <f t="shared" ref="D257:V257" si="74">+IFERROR(IF(D218&gt;0,+((D218/D23)*100)," "),"")</f>
        <v>13.181733438083853</v>
      </c>
      <c r="E257" s="60">
        <f t="shared" si="74"/>
        <v>60.527737494739611</v>
      </c>
      <c r="F257" s="60">
        <f t="shared" si="74"/>
        <v>23.815772359565401</v>
      </c>
      <c r="G257" s="60">
        <f t="shared" si="74"/>
        <v>28.446408802058006</v>
      </c>
      <c r="H257" s="60">
        <f t="shared" si="74"/>
        <v>66.82566113793807</v>
      </c>
      <c r="I257" s="60">
        <f t="shared" si="74"/>
        <v>68.964335956587504</v>
      </c>
      <c r="J257" s="60">
        <f t="shared" si="74"/>
        <v>48.531429967239035</v>
      </c>
      <c r="K257" s="60">
        <f t="shared" si="74"/>
        <v>53.790709313158523</v>
      </c>
      <c r="L257" s="60">
        <f t="shared" si="74"/>
        <v>46.510888711626265</v>
      </c>
      <c r="M257" s="60">
        <f t="shared" si="74"/>
        <v>48.92480828207006</v>
      </c>
      <c r="N257" s="60">
        <f t="shared" si="74"/>
        <v>35.742914505480869</v>
      </c>
      <c r="O257" s="60">
        <f t="shared" si="74"/>
        <v>43.401319456881964</v>
      </c>
      <c r="P257" s="60">
        <f t="shared" si="74"/>
        <v>52.636010749196437</v>
      </c>
      <c r="Q257" s="60">
        <f t="shared" si="74"/>
        <v>56.931491513600953</v>
      </c>
      <c r="R257" s="60">
        <f t="shared" si="74"/>
        <v>60.19647339097741</v>
      </c>
      <c r="S257" s="60">
        <f t="shared" si="74"/>
        <v>42.149999884037101</v>
      </c>
      <c r="T257" s="60">
        <f t="shared" si="74"/>
        <v>39.556123288841448</v>
      </c>
      <c r="U257" s="60">
        <f t="shared" si="74"/>
        <v>48.52767237633261</v>
      </c>
      <c r="V257" s="60">
        <f t="shared" si="74"/>
        <v>62.346337336715493</v>
      </c>
    </row>
    <row r="258" spans="3:22" x14ac:dyDescent="0.2">
      <c r="C258" s="88" t="s">
        <v>134</v>
      </c>
      <c r="D258" s="62">
        <f t="shared" ref="D258:V258" si="75">+IFERROR(IF(D219&gt;0,+((D219/D24)*100)," "),"")</f>
        <v>67.944615954121318</v>
      </c>
      <c r="E258" s="62">
        <f t="shared" si="75"/>
        <v>84.848983386535735</v>
      </c>
      <c r="F258" s="62">
        <f t="shared" si="75"/>
        <v>70.308907558722865</v>
      </c>
      <c r="G258" s="62">
        <f t="shared" si="75"/>
        <v>83.661170790971511</v>
      </c>
      <c r="H258" s="62">
        <f t="shared" si="75"/>
        <v>58.67586298252094</v>
      </c>
      <c r="I258" s="62">
        <f t="shared" si="75"/>
        <v>58.548836685356655</v>
      </c>
      <c r="J258" s="62">
        <f t="shared" si="75"/>
        <v>28.444023824791049</v>
      </c>
      <c r="K258" s="62">
        <f t="shared" si="75"/>
        <v>72.553133935924535</v>
      </c>
      <c r="L258" s="62">
        <f t="shared" si="75"/>
        <v>75.171582404185372</v>
      </c>
      <c r="M258" s="62">
        <f t="shared" si="75"/>
        <v>79.843558569933634</v>
      </c>
      <c r="N258" s="62">
        <f t="shared" si="75"/>
        <v>70.039898084028295</v>
      </c>
      <c r="O258" s="62">
        <f t="shared" si="75"/>
        <v>67.387354223558106</v>
      </c>
      <c r="P258" s="62">
        <f t="shared" si="75"/>
        <v>29.008562581960813</v>
      </c>
      <c r="Q258" s="62">
        <f t="shared" si="75"/>
        <v>39.583015894306428</v>
      </c>
      <c r="R258" s="62">
        <f t="shared" si="75"/>
        <v>21.287667194908757</v>
      </c>
      <c r="S258" s="62">
        <f t="shared" si="75"/>
        <v>18.968699636782215</v>
      </c>
      <c r="T258" s="62">
        <f t="shared" si="75"/>
        <v>24.697960907519246</v>
      </c>
      <c r="U258" s="62">
        <f t="shared" si="75"/>
        <v>35.895371569898025</v>
      </c>
      <c r="V258" s="62">
        <f t="shared" si="75"/>
        <v>46.932427007518164</v>
      </c>
    </row>
    <row r="259" spans="3:22" x14ac:dyDescent="0.2">
      <c r="C259" s="87" t="s">
        <v>135</v>
      </c>
      <c r="D259" s="60"/>
      <c r="E259" s="60"/>
      <c r="F259" s="60"/>
      <c r="G259" s="60"/>
      <c r="H259" s="60"/>
      <c r="I259" s="60"/>
      <c r="J259" s="60"/>
      <c r="K259" s="60"/>
      <c r="L259" s="60"/>
      <c r="M259" s="60"/>
      <c r="N259" s="60"/>
      <c r="O259" s="60"/>
      <c r="P259" s="60"/>
      <c r="Q259" s="60"/>
      <c r="R259" s="60"/>
      <c r="S259" s="60"/>
      <c r="T259" s="60"/>
      <c r="U259" s="60"/>
      <c r="V259" s="60"/>
    </row>
    <row r="260" spans="3:22" x14ac:dyDescent="0.2">
      <c r="C260" s="88" t="s">
        <v>136</v>
      </c>
      <c r="D260" s="62">
        <f t="shared" ref="D260:V260" si="76">+IFERROR(IF(D221&gt;0,+((D221/D26)*100)," "),"")</f>
        <v>48.619920933476486</v>
      </c>
      <c r="E260" s="62">
        <f t="shared" si="76"/>
        <v>74.36078176067484</v>
      </c>
      <c r="F260" s="62">
        <f t="shared" si="76"/>
        <v>41.73250913112286</v>
      </c>
      <c r="G260" s="62">
        <f t="shared" si="76"/>
        <v>42.9710373270876</v>
      </c>
      <c r="H260" s="62">
        <f t="shared" si="76"/>
        <v>50.953399122689135</v>
      </c>
      <c r="I260" s="62">
        <f t="shared" si="76"/>
        <v>59.043625544929682</v>
      </c>
      <c r="J260" s="62">
        <f t="shared" si="76"/>
        <v>74.23909031266048</v>
      </c>
      <c r="K260" s="62">
        <f t="shared" si="76"/>
        <v>79.970612521255674</v>
      </c>
      <c r="L260" s="62">
        <f t="shared" si="76"/>
        <v>76.987851713821229</v>
      </c>
      <c r="M260" s="62">
        <f t="shared" si="76"/>
        <v>76.468511549550684</v>
      </c>
      <c r="N260" s="62">
        <f t="shared" si="76"/>
        <v>80.276527697437217</v>
      </c>
      <c r="O260" s="62">
        <f t="shared" si="76"/>
        <v>78.716489385122273</v>
      </c>
      <c r="P260" s="62">
        <f t="shared" si="76"/>
        <v>71.48233433796949</v>
      </c>
      <c r="Q260" s="62">
        <f t="shared" si="76"/>
        <v>80.816333135680892</v>
      </c>
      <c r="R260" s="62">
        <f t="shared" si="76"/>
        <v>87.89736006952846</v>
      </c>
      <c r="S260" s="62">
        <f t="shared" si="76"/>
        <v>92.119931162950735</v>
      </c>
      <c r="T260" s="62">
        <f t="shared" si="76"/>
        <v>79.835485383952516</v>
      </c>
      <c r="U260" s="62">
        <f t="shared" si="76"/>
        <v>85.668729821362007</v>
      </c>
      <c r="V260" s="62">
        <f t="shared" si="76"/>
        <v>91.12555284782502</v>
      </c>
    </row>
    <row r="261" spans="3:22" x14ac:dyDescent="0.2">
      <c r="C261" s="87" t="s">
        <v>137</v>
      </c>
      <c r="D261" s="60">
        <f t="shared" ref="D261:V261" si="77">+IFERROR(IF(D222&gt;0,+((D222/D27)*100)," "),"")</f>
        <v>32.406282394175506</v>
      </c>
      <c r="E261" s="60">
        <f t="shared" si="77"/>
        <v>65.174274962043796</v>
      </c>
      <c r="F261" s="60">
        <f t="shared" si="77"/>
        <v>37.802410270753548</v>
      </c>
      <c r="G261" s="60">
        <f t="shared" si="77"/>
        <v>43.987619972117479</v>
      </c>
      <c r="H261" s="60">
        <f t="shared" si="77"/>
        <v>64.170805190269846</v>
      </c>
      <c r="I261" s="60">
        <f t="shared" si="77"/>
        <v>76.040258308395309</v>
      </c>
      <c r="J261" s="60">
        <f t="shared" si="77"/>
        <v>94.900199825249018</v>
      </c>
      <c r="K261" s="60">
        <f t="shared" si="77"/>
        <v>63.974206993177482</v>
      </c>
      <c r="L261" s="60">
        <f t="shared" si="77"/>
        <v>82.722889694994038</v>
      </c>
      <c r="M261" s="60">
        <f t="shared" si="77"/>
        <v>76.800504452379286</v>
      </c>
      <c r="N261" s="60">
        <f t="shared" si="77"/>
        <v>76.244560896430428</v>
      </c>
      <c r="O261" s="60">
        <f t="shared" si="77"/>
        <v>84.996398485756828</v>
      </c>
      <c r="P261" s="60">
        <f t="shared" si="77"/>
        <v>81.589882727259379</v>
      </c>
      <c r="Q261" s="60">
        <f t="shared" si="77"/>
        <v>74.627379937321564</v>
      </c>
      <c r="R261" s="60">
        <f t="shared" si="77"/>
        <v>81.285901790146326</v>
      </c>
      <c r="S261" s="60">
        <f t="shared" si="77"/>
        <v>75.20849884827598</v>
      </c>
      <c r="T261" s="60">
        <f t="shared" si="77"/>
        <v>80.539652375745888</v>
      </c>
      <c r="U261" s="60">
        <f t="shared" si="77"/>
        <v>65.9151714671045</v>
      </c>
      <c r="V261" s="60">
        <f t="shared" si="77"/>
        <v>93.021752929747208</v>
      </c>
    </row>
    <row r="262" spans="3:22" x14ac:dyDescent="0.2">
      <c r="C262" s="88" t="s">
        <v>138</v>
      </c>
      <c r="D262" s="62">
        <f t="shared" ref="D262:V262" si="78">+IFERROR(IF(D223&gt;0,+((D223/D28)*100)," "),"")</f>
        <v>53.400000000000006</v>
      </c>
      <c r="E262" s="62">
        <f t="shared" si="78"/>
        <v>94.999885124277782</v>
      </c>
      <c r="F262" s="62">
        <f t="shared" si="78"/>
        <v>0.94872887999999811</v>
      </c>
      <c r="G262" s="62" t="str">
        <f t="shared" si="78"/>
        <v xml:space="preserve"> </v>
      </c>
      <c r="H262" s="62" t="str">
        <f t="shared" si="78"/>
        <v xml:space="preserve"> </v>
      </c>
      <c r="I262" s="62" t="str">
        <f t="shared" si="78"/>
        <v xml:space="preserve"> </v>
      </c>
      <c r="J262" s="62" t="str">
        <f t="shared" si="78"/>
        <v xml:space="preserve"> </v>
      </c>
      <c r="K262" s="62" t="str">
        <f t="shared" si="78"/>
        <v xml:space="preserve"> </v>
      </c>
      <c r="L262" s="62">
        <f t="shared" si="78"/>
        <v>70.926257170244227</v>
      </c>
      <c r="M262" s="62">
        <f t="shared" si="78"/>
        <v>5.5729729729729733</v>
      </c>
      <c r="N262" s="62">
        <f t="shared" si="78"/>
        <v>44.056654412903228</v>
      </c>
      <c r="O262" s="62" t="str">
        <f t="shared" si="78"/>
        <v xml:space="preserve"> </v>
      </c>
      <c r="P262" s="62">
        <f t="shared" si="78"/>
        <v>67.193385953338421</v>
      </c>
      <c r="Q262" s="62">
        <f t="shared" si="78"/>
        <v>78.822926384171438</v>
      </c>
      <c r="R262" s="62">
        <f t="shared" si="78"/>
        <v>60.248886620839428</v>
      </c>
      <c r="S262" s="62">
        <f t="shared" si="78"/>
        <v>72.150588462035458</v>
      </c>
      <c r="T262" s="62">
        <f t="shared" si="78"/>
        <v>75.210390246946062</v>
      </c>
      <c r="U262" s="62">
        <f t="shared" si="78"/>
        <v>78.465566416782522</v>
      </c>
      <c r="V262" s="62">
        <f t="shared" si="78"/>
        <v>96.85860163507715</v>
      </c>
    </row>
    <row r="263" spans="3:22" x14ac:dyDescent="0.2">
      <c r="C263" s="87" t="s">
        <v>139</v>
      </c>
      <c r="D263" s="60">
        <f t="shared" ref="D263:V263" si="79">+IFERROR(IF(D224&gt;0,+((D224/D29)*100)," "),"")</f>
        <v>38.025381854028268</v>
      </c>
      <c r="E263" s="60">
        <f t="shared" si="79"/>
        <v>49.825398340540659</v>
      </c>
      <c r="F263" s="60">
        <f t="shared" si="79"/>
        <v>25.079850553987615</v>
      </c>
      <c r="G263" s="60">
        <f t="shared" si="79"/>
        <v>72.05835974032351</v>
      </c>
      <c r="H263" s="60">
        <f t="shared" si="79"/>
        <v>36.388776556411138</v>
      </c>
      <c r="I263" s="60">
        <f t="shared" si="79"/>
        <v>62.531483736695328</v>
      </c>
      <c r="J263" s="60">
        <f t="shared" si="79"/>
        <v>55.849817627236</v>
      </c>
      <c r="K263" s="60">
        <f t="shared" si="79"/>
        <v>63.128341327781655</v>
      </c>
      <c r="L263" s="60">
        <f t="shared" si="79"/>
        <v>48.328366771458775</v>
      </c>
      <c r="M263" s="60">
        <f t="shared" si="79"/>
        <v>70.009970079630207</v>
      </c>
      <c r="N263" s="60">
        <f t="shared" si="79"/>
        <v>55.666333018247293</v>
      </c>
      <c r="O263" s="60">
        <f t="shared" si="79"/>
        <v>44.904459964663801</v>
      </c>
      <c r="P263" s="60">
        <f t="shared" si="79"/>
        <v>44.82622326843407</v>
      </c>
      <c r="Q263" s="60">
        <f t="shared" si="79"/>
        <v>35.834342006400618</v>
      </c>
      <c r="R263" s="60">
        <f t="shared" si="79"/>
        <v>33.566088451803765</v>
      </c>
      <c r="S263" s="60">
        <f t="shared" si="79"/>
        <v>48.703877748665242</v>
      </c>
      <c r="T263" s="60">
        <f t="shared" si="79"/>
        <v>32.986188403640504</v>
      </c>
      <c r="U263" s="60">
        <f t="shared" si="79"/>
        <v>26.653220835643353</v>
      </c>
      <c r="V263" s="60">
        <f t="shared" si="79"/>
        <v>31.526014489967924</v>
      </c>
    </row>
    <row r="264" spans="3:22" x14ac:dyDescent="0.2">
      <c r="C264" s="88" t="s">
        <v>140</v>
      </c>
      <c r="D264" s="62">
        <f t="shared" ref="D264:V264" si="80">+IFERROR(IF(D225&gt;0,+((D225/D30)*100)," "),"")</f>
        <v>74.944152717230949</v>
      </c>
      <c r="E264" s="62">
        <f t="shared" si="80"/>
        <v>72.11725373738534</v>
      </c>
      <c r="F264" s="62">
        <f t="shared" si="80"/>
        <v>67.235722057023111</v>
      </c>
      <c r="G264" s="62">
        <f t="shared" si="80"/>
        <v>85.057424264260632</v>
      </c>
      <c r="H264" s="62">
        <f t="shared" si="80"/>
        <v>83.022277123325097</v>
      </c>
      <c r="I264" s="62">
        <f t="shared" si="80"/>
        <v>77.611428349961386</v>
      </c>
      <c r="J264" s="62">
        <f t="shared" si="80"/>
        <v>64.616228245572316</v>
      </c>
      <c r="K264" s="62">
        <f t="shared" si="80"/>
        <v>57.566196152092289</v>
      </c>
      <c r="L264" s="62">
        <f t="shared" si="80"/>
        <v>93.694629555582125</v>
      </c>
      <c r="M264" s="62">
        <f t="shared" si="80"/>
        <v>88.317252966996691</v>
      </c>
      <c r="N264" s="62">
        <f t="shared" si="80"/>
        <v>92.477087896334453</v>
      </c>
      <c r="O264" s="62">
        <f t="shared" si="80"/>
        <v>91.267035767127553</v>
      </c>
      <c r="P264" s="62">
        <f t="shared" si="80"/>
        <v>89.600605292327344</v>
      </c>
      <c r="Q264" s="62">
        <f t="shared" si="80"/>
        <v>85.147323986789374</v>
      </c>
      <c r="R264" s="62">
        <f t="shared" si="80"/>
        <v>86.157790462005806</v>
      </c>
      <c r="S264" s="62">
        <f t="shared" si="80"/>
        <v>91.62016812999812</v>
      </c>
      <c r="T264" s="62">
        <f t="shared" si="80"/>
        <v>88.401053673014701</v>
      </c>
      <c r="U264" s="62">
        <f t="shared" si="80"/>
        <v>83.028390926945733</v>
      </c>
      <c r="V264" s="62">
        <f t="shared" si="80"/>
        <v>92.66741623809618</v>
      </c>
    </row>
    <row r="265" spans="3:22" x14ac:dyDescent="0.2">
      <c r="C265" s="87" t="s">
        <v>141</v>
      </c>
      <c r="D265" s="60">
        <f t="shared" ref="D265:V265" si="81">+IFERROR(IF(D226&gt;0,+((D226/D31)*100)," "),"")</f>
        <v>6.4027266509730065</v>
      </c>
      <c r="E265" s="60">
        <f t="shared" si="81"/>
        <v>9.7236506598786843</v>
      </c>
      <c r="F265" s="60">
        <f t="shared" si="81"/>
        <v>5.8642826621428101</v>
      </c>
      <c r="G265" s="60">
        <f t="shared" si="81"/>
        <v>8.8870284793393655</v>
      </c>
      <c r="H265" s="60">
        <f t="shared" si="81"/>
        <v>13.299353192915724</v>
      </c>
      <c r="I265" s="60">
        <f t="shared" si="81"/>
        <v>9.9031270868852239</v>
      </c>
      <c r="J265" s="60">
        <f t="shared" si="81"/>
        <v>38.332145079577437</v>
      </c>
      <c r="K265" s="60">
        <f t="shared" si="81"/>
        <v>40.434998631730934</v>
      </c>
      <c r="L265" s="60">
        <f t="shared" si="81"/>
        <v>48.649877015191258</v>
      </c>
      <c r="M265" s="60">
        <f t="shared" si="81"/>
        <v>64.838482182440018</v>
      </c>
      <c r="N265" s="60">
        <f t="shared" si="81"/>
        <v>45.327537195557824</v>
      </c>
      <c r="O265" s="60">
        <f t="shared" si="81"/>
        <v>38.662446130293269</v>
      </c>
      <c r="P265" s="60">
        <f t="shared" si="81"/>
        <v>61.266372930044255</v>
      </c>
      <c r="Q265" s="60">
        <f t="shared" si="81"/>
        <v>56.901586322244555</v>
      </c>
      <c r="R265" s="60">
        <f t="shared" si="81"/>
        <v>54.043194695113016</v>
      </c>
      <c r="S265" s="60">
        <f t="shared" si="81"/>
        <v>22.954811427255407</v>
      </c>
      <c r="T265" s="60">
        <f t="shared" si="81"/>
        <v>48.038926114476233</v>
      </c>
      <c r="U265" s="60">
        <f t="shared" si="81"/>
        <v>70.922382253126614</v>
      </c>
      <c r="V265" s="60">
        <f t="shared" si="81"/>
        <v>83.1352783129702</v>
      </c>
    </row>
    <row r="266" spans="3:22" x14ac:dyDescent="0.2">
      <c r="C266" s="88" t="s">
        <v>142</v>
      </c>
      <c r="D266" s="62">
        <f t="shared" ref="D266:V266" si="82">+IFERROR(IF(D227&gt;0,+((D227/D32)*100)," "),"")</f>
        <v>14.821739429873707</v>
      </c>
      <c r="E266" s="62">
        <f t="shared" si="82"/>
        <v>22.116944681124838</v>
      </c>
      <c r="F266" s="62">
        <f t="shared" si="82"/>
        <v>8.5382998697210688</v>
      </c>
      <c r="G266" s="62">
        <f t="shared" si="82"/>
        <v>17.888580250148948</v>
      </c>
      <c r="H266" s="62">
        <f t="shared" si="82"/>
        <v>55.125929844005015</v>
      </c>
      <c r="I266" s="62">
        <f t="shared" si="82"/>
        <v>18.433763303284938</v>
      </c>
      <c r="J266" s="62">
        <f t="shared" si="82"/>
        <v>21.112968061446395</v>
      </c>
      <c r="K266" s="62">
        <f t="shared" si="82"/>
        <v>40.795998023634006</v>
      </c>
      <c r="L266" s="62">
        <f t="shared" si="82"/>
        <v>28.647091715634065</v>
      </c>
      <c r="M266" s="62">
        <f t="shared" si="82"/>
        <v>28.910241184259856</v>
      </c>
      <c r="N266" s="62">
        <f t="shared" si="82"/>
        <v>35.957926240754503</v>
      </c>
      <c r="O266" s="62">
        <f t="shared" si="82"/>
        <v>32.085981372711117</v>
      </c>
      <c r="P266" s="62">
        <f t="shared" si="82"/>
        <v>47.290047621372381</v>
      </c>
      <c r="Q266" s="62">
        <f t="shared" si="82"/>
        <v>51.989228250017419</v>
      </c>
      <c r="R266" s="62">
        <f t="shared" si="82"/>
        <v>75.802264085224806</v>
      </c>
      <c r="S266" s="62">
        <f t="shared" si="82"/>
        <v>63.946657576604139</v>
      </c>
      <c r="T266" s="62">
        <f t="shared" si="82"/>
        <v>52.426503193430129</v>
      </c>
      <c r="U266" s="62">
        <f t="shared" si="82"/>
        <v>62.212552718574031</v>
      </c>
      <c r="V266" s="62">
        <f t="shared" si="82"/>
        <v>56.878400706374102</v>
      </c>
    </row>
    <row r="267" spans="3:22" x14ac:dyDescent="0.2">
      <c r="C267" s="87" t="s">
        <v>143</v>
      </c>
      <c r="D267" s="60">
        <f t="shared" ref="D267:V267" si="83">+IFERROR(IF(D228&gt;0,+((D228/D33)*100)," "),"")</f>
        <v>64.58012444228919</v>
      </c>
      <c r="E267" s="60">
        <f t="shared" si="83"/>
        <v>49.997195680537999</v>
      </c>
      <c r="F267" s="60">
        <f t="shared" si="83"/>
        <v>48.18387783112199</v>
      </c>
      <c r="G267" s="60">
        <f t="shared" si="83"/>
        <v>59.392378621525886</v>
      </c>
      <c r="H267" s="60">
        <f t="shared" si="83"/>
        <v>63.74048505913148</v>
      </c>
      <c r="I267" s="60">
        <f t="shared" si="83"/>
        <v>76.77319867194916</v>
      </c>
      <c r="J267" s="60">
        <f t="shared" si="83"/>
        <v>85.00096669103047</v>
      </c>
      <c r="K267" s="60">
        <f t="shared" si="83"/>
        <v>84.314733808307835</v>
      </c>
      <c r="L267" s="60">
        <f t="shared" si="83"/>
        <v>42.110741797044469</v>
      </c>
      <c r="M267" s="60">
        <f t="shared" si="83"/>
        <v>54.791765842045962</v>
      </c>
      <c r="N267" s="60">
        <f t="shared" si="83"/>
        <v>58.623818828911901</v>
      </c>
      <c r="O267" s="60">
        <f t="shared" si="83"/>
        <v>66.016694115934854</v>
      </c>
      <c r="P267" s="60">
        <f t="shared" si="83"/>
        <v>18.0093831212988</v>
      </c>
      <c r="Q267" s="60">
        <f t="shared" si="83"/>
        <v>71.812399696194717</v>
      </c>
      <c r="R267" s="60">
        <f t="shared" si="83"/>
        <v>74.054383446350627</v>
      </c>
      <c r="S267" s="60">
        <f t="shared" si="83"/>
        <v>47.669214715740651</v>
      </c>
      <c r="T267" s="60">
        <f t="shared" si="83"/>
        <v>61.476874216850895</v>
      </c>
      <c r="U267" s="60">
        <f t="shared" si="83"/>
        <v>52.235287848021407</v>
      </c>
      <c r="V267" s="60">
        <f t="shared" si="83"/>
        <v>3.1667350353548898</v>
      </c>
    </row>
    <row r="268" spans="3:22" x14ac:dyDescent="0.2">
      <c r="C268" s="88" t="s">
        <v>144</v>
      </c>
      <c r="D268" s="62">
        <f t="shared" ref="D268:V268" si="84">+IFERROR(IF(D229&gt;0,+((D229/D34)*100)," "),"")</f>
        <v>13.985294214522401</v>
      </c>
      <c r="E268" s="62">
        <f t="shared" si="84"/>
        <v>73.747265066863775</v>
      </c>
      <c r="F268" s="62">
        <f t="shared" si="84"/>
        <v>36.320299679476697</v>
      </c>
      <c r="G268" s="62">
        <f t="shared" si="84"/>
        <v>39.971840485615687</v>
      </c>
      <c r="H268" s="62">
        <f t="shared" si="84"/>
        <v>36.577170716514388</v>
      </c>
      <c r="I268" s="62">
        <f t="shared" si="84"/>
        <v>36.465909737511694</v>
      </c>
      <c r="J268" s="62">
        <f t="shared" si="84"/>
        <v>48.076967916871496</v>
      </c>
      <c r="K268" s="62">
        <f t="shared" si="84"/>
        <v>55.190799319271214</v>
      </c>
      <c r="L268" s="62">
        <f t="shared" si="84"/>
        <v>58.402309997319236</v>
      </c>
      <c r="M268" s="62">
        <f t="shared" si="84"/>
        <v>67.290691103497522</v>
      </c>
      <c r="N268" s="62">
        <f t="shared" si="84"/>
        <v>37.075140650558552</v>
      </c>
      <c r="O268" s="62">
        <f t="shared" si="84"/>
        <v>15.606057493292205</v>
      </c>
      <c r="P268" s="62">
        <f t="shared" si="84"/>
        <v>18.940680530956236</v>
      </c>
      <c r="Q268" s="62">
        <f t="shared" si="84"/>
        <v>31.521835747942418</v>
      </c>
      <c r="R268" s="62">
        <f t="shared" si="84"/>
        <v>43.474231170922558</v>
      </c>
      <c r="S268" s="62">
        <f t="shared" si="84"/>
        <v>26.711259359461227</v>
      </c>
      <c r="T268" s="62">
        <f t="shared" si="84"/>
        <v>35.53712567133563</v>
      </c>
      <c r="U268" s="62">
        <f t="shared" si="84"/>
        <v>38.015504430966644</v>
      </c>
      <c r="V268" s="62">
        <f t="shared" si="84"/>
        <v>51.204978626295237</v>
      </c>
    </row>
    <row r="269" spans="3:22" x14ac:dyDescent="0.2">
      <c r="C269" s="87" t="s">
        <v>145</v>
      </c>
      <c r="D269" s="60">
        <f t="shared" ref="D269:V269" si="85">+IFERROR(IF(D230&gt;0,+((D230/D35)*100)," "),"")</f>
        <v>16.744298652558687</v>
      </c>
      <c r="E269" s="60" t="str">
        <f t="shared" si="85"/>
        <v xml:space="preserve"> </v>
      </c>
      <c r="F269" s="60" t="str">
        <f t="shared" si="85"/>
        <v xml:space="preserve"> </v>
      </c>
      <c r="G269" s="60">
        <f t="shared" si="85"/>
        <v>76.167329565111004</v>
      </c>
      <c r="H269" s="60">
        <f t="shared" si="85"/>
        <v>85</v>
      </c>
      <c r="I269" s="60">
        <f t="shared" si="85"/>
        <v>93.277979428070168</v>
      </c>
      <c r="J269" s="60">
        <f t="shared" si="85"/>
        <v>99.829380949005923</v>
      </c>
      <c r="K269" s="60">
        <f t="shared" si="85"/>
        <v>1.2642962257982533</v>
      </c>
      <c r="L269" s="60">
        <f t="shared" si="85"/>
        <v>64.415053448272744</v>
      </c>
      <c r="M269" s="60">
        <f t="shared" si="85"/>
        <v>34.809944639465087</v>
      </c>
      <c r="N269" s="60">
        <f t="shared" si="85"/>
        <v>63.751536281214513</v>
      </c>
      <c r="O269" s="60">
        <f t="shared" si="85"/>
        <v>62.686599811080136</v>
      </c>
      <c r="P269" s="60">
        <f t="shared" si="85"/>
        <v>65.597194573703192</v>
      </c>
      <c r="Q269" s="60">
        <f t="shared" si="85"/>
        <v>82.912838464694772</v>
      </c>
      <c r="R269" s="60">
        <f t="shared" si="85"/>
        <v>74.350221607246738</v>
      </c>
      <c r="S269" s="60">
        <f t="shared" si="85"/>
        <v>67.371891771417381</v>
      </c>
      <c r="T269" s="60">
        <f t="shared" si="85"/>
        <v>62.04545454545454</v>
      </c>
      <c r="U269" s="60">
        <f t="shared" si="85"/>
        <v>72.084677729212927</v>
      </c>
      <c r="V269" s="60">
        <f t="shared" si="85"/>
        <v>71.000000000000014</v>
      </c>
    </row>
    <row r="270" spans="3:22" x14ac:dyDescent="0.2">
      <c r="C270" s="88" t="s">
        <v>146</v>
      </c>
      <c r="D270" s="62" t="str">
        <f t="shared" ref="D270:V270" si="86">+IFERROR(IF(D231&gt;0,+((D231/D36)*100)," "),"")</f>
        <v xml:space="preserve"> </v>
      </c>
      <c r="E270" s="62" t="str">
        <f t="shared" si="86"/>
        <v xml:space="preserve"> </v>
      </c>
      <c r="F270" s="62" t="str">
        <f t="shared" si="86"/>
        <v xml:space="preserve"> </v>
      </c>
      <c r="G270" s="62" t="str">
        <f t="shared" si="86"/>
        <v xml:space="preserve"> </v>
      </c>
      <c r="H270" s="62">
        <f t="shared" si="86"/>
        <v>81.170134493000006</v>
      </c>
      <c r="I270" s="62">
        <f t="shared" si="86"/>
        <v>97.007569971980672</v>
      </c>
      <c r="J270" s="62">
        <f t="shared" si="86"/>
        <v>99.734089129472281</v>
      </c>
      <c r="K270" s="62">
        <f t="shared" si="86"/>
        <v>28.178776996845428</v>
      </c>
      <c r="L270" s="62">
        <f t="shared" si="86"/>
        <v>59.669573594945078</v>
      </c>
      <c r="M270" s="62">
        <f t="shared" si="86"/>
        <v>65.815125068691117</v>
      </c>
      <c r="N270" s="62">
        <f t="shared" si="86"/>
        <v>68.228084687264001</v>
      </c>
      <c r="O270" s="62">
        <f t="shared" si="86"/>
        <v>82.645050575843413</v>
      </c>
      <c r="P270" s="62">
        <f t="shared" si="86"/>
        <v>49.595679039155705</v>
      </c>
      <c r="Q270" s="62">
        <f t="shared" si="86"/>
        <v>75.955625433820714</v>
      </c>
      <c r="R270" s="62">
        <f t="shared" si="86"/>
        <v>89.394323102465208</v>
      </c>
      <c r="S270" s="62">
        <f t="shared" si="86"/>
        <v>83.168661390475663</v>
      </c>
      <c r="T270" s="62">
        <f t="shared" si="86"/>
        <v>87.153457728019433</v>
      </c>
      <c r="U270" s="62">
        <f t="shared" si="86"/>
        <v>98.822436202125161</v>
      </c>
      <c r="V270" s="62">
        <f t="shared" si="86"/>
        <v>97.522711889104684</v>
      </c>
    </row>
    <row r="271" spans="3:22" x14ac:dyDescent="0.2">
      <c r="C271" s="90" t="s">
        <v>147</v>
      </c>
      <c r="D271" s="61">
        <f t="shared" ref="D271:V271" si="87">+IFERROR(IF(D232&gt;0,+((D232/D37)*100)," "),"")</f>
        <v>54.532886807486612</v>
      </c>
      <c r="E271" s="61">
        <f t="shared" si="87"/>
        <v>74.583154527591972</v>
      </c>
      <c r="F271" s="61">
        <f t="shared" si="87"/>
        <v>66.952346070329767</v>
      </c>
      <c r="G271" s="61">
        <f t="shared" si="87"/>
        <v>69.97257009175685</v>
      </c>
      <c r="H271" s="61">
        <f t="shared" si="87"/>
        <v>71.354758959650965</v>
      </c>
      <c r="I271" s="61">
        <f t="shared" si="87"/>
        <v>81.396746605067676</v>
      </c>
      <c r="J271" s="61">
        <f t="shared" si="87"/>
        <v>64.389678281487349</v>
      </c>
      <c r="K271" s="61">
        <f t="shared" si="87"/>
        <v>64.916572046197203</v>
      </c>
      <c r="L271" s="61">
        <f t="shared" si="87"/>
        <v>66.376443881754184</v>
      </c>
      <c r="M271" s="61">
        <f t="shared" si="87"/>
        <v>69.347914305119303</v>
      </c>
      <c r="N271" s="61">
        <f t="shared" si="87"/>
        <v>80.040133610082222</v>
      </c>
      <c r="O271" s="61">
        <f t="shared" si="87"/>
        <v>70.306731080275526</v>
      </c>
      <c r="P271" s="61">
        <f t="shared" si="87"/>
        <v>84.578459917293316</v>
      </c>
      <c r="Q271" s="61">
        <f t="shared" si="87"/>
        <v>88.603147408003082</v>
      </c>
      <c r="R271" s="61">
        <f t="shared" si="87"/>
        <v>90.089012730036771</v>
      </c>
      <c r="S271" s="61">
        <f t="shared" si="87"/>
        <v>92.961580871726213</v>
      </c>
      <c r="T271" s="61">
        <f t="shared" si="87"/>
        <v>95.176475573454724</v>
      </c>
      <c r="U271" s="61">
        <f t="shared" si="87"/>
        <v>88.348874767093946</v>
      </c>
      <c r="V271" s="61">
        <f t="shared" si="87"/>
        <v>93.049068151889699</v>
      </c>
    </row>
    <row r="272" spans="3:22" ht="22.5" customHeight="1" x14ac:dyDescent="0.2">
      <c r="C272" s="89" t="s">
        <v>148</v>
      </c>
      <c r="D272" s="63" t="str">
        <f t="shared" ref="D272:V272" si="88">+IFERROR(IF(D233&gt;0,+((D233/D38)*100)," "),"")</f>
        <v xml:space="preserve"> </v>
      </c>
      <c r="E272" s="63" t="str">
        <f t="shared" si="88"/>
        <v xml:space="preserve"> </v>
      </c>
      <c r="F272" s="63" t="str">
        <f t="shared" si="88"/>
        <v xml:space="preserve"> </v>
      </c>
      <c r="G272" s="63" t="str">
        <f t="shared" si="88"/>
        <v xml:space="preserve"> </v>
      </c>
      <c r="H272" s="63" t="str">
        <f t="shared" si="88"/>
        <v xml:space="preserve"> </v>
      </c>
      <c r="I272" s="63" t="str">
        <f t="shared" si="88"/>
        <v xml:space="preserve"> </v>
      </c>
      <c r="J272" s="63" t="str">
        <f t="shared" si="88"/>
        <v xml:space="preserve"> </v>
      </c>
      <c r="K272" s="63" t="str">
        <f t="shared" si="88"/>
        <v xml:space="preserve"> </v>
      </c>
      <c r="L272" s="63" t="str">
        <f t="shared" si="88"/>
        <v xml:space="preserve"> </v>
      </c>
      <c r="M272" s="63" t="str">
        <f t="shared" si="88"/>
        <v xml:space="preserve"> </v>
      </c>
      <c r="N272" s="63" t="str">
        <f t="shared" si="88"/>
        <v xml:space="preserve"> </v>
      </c>
      <c r="O272" s="63" t="str">
        <f t="shared" si="88"/>
        <v xml:space="preserve"> </v>
      </c>
      <c r="P272" s="63" t="str">
        <f t="shared" si="88"/>
        <v xml:space="preserve"> </v>
      </c>
      <c r="Q272" s="63" t="str">
        <f t="shared" si="88"/>
        <v xml:space="preserve"> </v>
      </c>
      <c r="R272" s="63" t="str">
        <f t="shared" si="88"/>
        <v xml:space="preserve"> </v>
      </c>
      <c r="S272" s="63" t="str">
        <f t="shared" si="88"/>
        <v xml:space="preserve"> </v>
      </c>
      <c r="T272" s="63" t="str">
        <f t="shared" si="88"/>
        <v xml:space="preserve"> </v>
      </c>
      <c r="U272" s="63" t="str">
        <f t="shared" si="88"/>
        <v xml:space="preserve"> </v>
      </c>
      <c r="V272" s="63">
        <f t="shared" si="88"/>
        <v>56.255603915121867</v>
      </c>
    </row>
    <row r="273" spans="3:22" x14ac:dyDescent="0.2">
      <c r="C273" s="87" t="s">
        <v>149</v>
      </c>
      <c r="D273" s="60">
        <f t="shared" ref="D273:V273" si="89">+IFERROR(IF(D234&gt;0,+((D234/D39)*100)," "),"")</f>
        <v>51.428571428571423</v>
      </c>
      <c r="E273" s="60">
        <f t="shared" si="89"/>
        <v>77.777777777777771</v>
      </c>
      <c r="F273" s="60">
        <f t="shared" si="89"/>
        <v>19.351386419000001</v>
      </c>
      <c r="G273" s="60">
        <f t="shared" si="89"/>
        <v>63.019711678876924</v>
      </c>
      <c r="H273" s="60">
        <f t="shared" si="89"/>
        <v>49.510597569558023</v>
      </c>
      <c r="I273" s="60">
        <f t="shared" si="89"/>
        <v>29.897187521355328</v>
      </c>
      <c r="J273" s="60">
        <f t="shared" si="89"/>
        <v>32.516238536495898</v>
      </c>
      <c r="K273" s="60">
        <f t="shared" si="89"/>
        <v>54.094083958636354</v>
      </c>
      <c r="L273" s="60">
        <f t="shared" si="89"/>
        <v>87.674228054337448</v>
      </c>
      <c r="M273" s="60">
        <f t="shared" si="89"/>
        <v>23.349065652077435</v>
      </c>
      <c r="N273" s="60">
        <f t="shared" si="89"/>
        <v>39.831332538742025</v>
      </c>
      <c r="O273" s="60">
        <f t="shared" si="89"/>
        <v>61.996424746127445</v>
      </c>
      <c r="P273" s="60">
        <f t="shared" si="89"/>
        <v>54.531685608383029</v>
      </c>
      <c r="Q273" s="60">
        <f t="shared" si="89"/>
        <v>30.393752502671145</v>
      </c>
      <c r="R273" s="60">
        <f t="shared" si="89"/>
        <v>81.79686909032246</v>
      </c>
      <c r="S273" s="60">
        <f t="shared" si="89"/>
        <v>69.896217327962972</v>
      </c>
      <c r="T273" s="60">
        <f t="shared" si="89"/>
        <v>95.542105019712608</v>
      </c>
      <c r="U273" s="60">
        <f t="shared" si="89"/>
        <v>93.562137611566214</v>
      </c>
      <c r="V273" s="60">
        <f t="shared" si="89"/>
        <v>91.347454838513684</v>
      </c>
    </row>
    <row r="274" spans="3:22" x14ac:dyDescent="0.2">
      <c r="C274" s="88" t="s">
        <v>150</v>
      </c>
      <c r="D274" s="62">
        <f t="shared" ref="D274:V274" si="90">+IFERROR(IF(D235&gt;0,+((D235/D40)*100)," "),"")</f>
        <v>39.934363425481898</v>
      </c>
      <c r="E274" s="62">
        <f t="shared" si="90"/>
        <v>63.828793038900379</v>
      </c>
      <c r="F274" s="62">
        <f t="shared" si="90"/>
        <v>35.935872829804879</v>
      </c>
      <c r="G274" s="62">
        <f t="shared" si="90"/>
        <v>69.678124781356146</v>
      </c>
      <c r="H274" s="62">
        <f t="shared" si="90"/>
        <v>67.638693144251704</v>
      </c>
      <c r="I274" s="62">
        <f t="shared" si="90"/>
        <v>72.668925199291465</v>
      </c>
      <c r="J274" s="62">
        <f t="shared" si="90"/>
        <v>54.052168338443728</v>
      </c>
      <c r="K274" s="62">
        <f t="shared" si="90"/>
        <v>71.333859926937095</v>
      </c>
      <c r="L274" s="62">
        <f t="shared" si="90"/>
        <v>73.657934192652874</v>
      </c>
      <c r="M274" s="62">
        <f t="shared" si="90"/>
        <v>71.118898543595037</v>
      </c>
      <c r="N274" s="62">
        <f t="shared" si="90"/>
        <v>67.918614653948453</v>
      </c>
      <c r="O274" s="62">
        <f t="shared" si="90"/>
        <v>73.093816304230089</v>
      </c>
      <c r="P274" s="62">
        <f t="shared" si="90"/>
        <v>72.675639193685498</v>
      </c>
      <c r="Q274" s="62">
        <f t="shared" si="90"/>
        <v>69.905493600792553</v>
      </c>
      <c r="R274" s="62">
        <f t="shared" si="90"/>
        <v>79.127605239025485</v>
      </c>
      <c r="S274" s="62">
        <f t="shared" si="90"/>
        <v>73.07408639784569</v>
      </c>
      <c r="T274" s="62">
        <f t="shared" si="90"/>
        <v>67.578064561984746</v>
      </c>
      <c r="U274" s="62">
        <f t="shared" si="90"/>
        <v>58.894220643998196</v>
      </c>
      <c r="V274" s="62">
        <f t="shared" si="90"/>
        <v>67.183184142142593</v>
      </c>
    </row>
    <row r="275" spans="3:22" x14ac:dyDescent="0.2">
      <c r="C275" s="87" t="s">
        <v>151</v>
      </c>
      <c r="D275" s="60">
        <f t="shared" ref="D275:V275" si="91">+IFERROR(IF(D236&gt;0,+((D236/D41)*100)," "),"")</f>
        <v>43.040842892925738</v>
      </c>
      <c r="E275" s="60">
        <f t="shared" si="91"/>
        <v>14.16483335458843</v>
      </c>
      <c r="F275" s="60">
        <f t="shared" si="91"/>
        <v>37.349530596469947</v>
      </c>
      <c r="G275" s="60">
        <f t="shared" si="91"/>
        <v>18.079571394020729</v>
      </c>
      <c r="H275" s="60">
        <f t="shared" si="91"/>
        <v>4.2751927339771143</v>
      </c>
      <c r="I275" s="60">
        <f t="shared" si="91"/>
        <v>12.835692263832318</v>
      </c>
      <c r="J275" s="60">
        <f t="shared" si="91"/>
        <v>53.492342876509625</v>
      </c>
      <c r="K275" s="60">
        <f t="shared" si="91"/>
        <v>74.879067821623821</v>
      </c>
      <c r="L275" s="60">
        <f t="shared" si="91"/>
        <v>46.878533200932424</v>
      </c>
      <c r="M275" s="60">
        <f t="shared" si="91"/>
        <v>33.620806969470536</v>
      </c>
      <c r="N275" s="60">
        <f t="shared" si="91"/>
        <v>28.177398627722848</v>
      </c>
      <c r="O275" s="60">
        <f t="shared" si="91"/>
        <v>57.31661559294318</v>
      </c>
      <c r="P275" s="60">
        <f t="shared" si="91"/>
        <v>42.709448037640371</v>
      </c>
      <c r="Q275" s="60">
        <f t="shared" si="91"/>
        <v>25.901049819547545</v>
      </c>
      <c r="R275" s="60">
        <f t="shared" si="91"/>
        <v>32.499995098232468</v>
      </c>
      <c r="S275" s="60">
        <f t="shared" si="91"/>
        <v>23.725694563739747</v>
      </c>
      <c r="T275" s="60">
        <f t="shared" si="91"/>
        <v>22.109144252663988</v>
      </c>
      <c r="U275" s="60">
        <f t="shared" si="91"/>
        <v>18.815770110885683</v>
      </c>
      <c r="V275" s="60">
        <f t="shared" si="91"/>
        <v>18.897253307643833</v>
      </c>
    </row>
    <row r="276" spans="3:22" x14ac:dyDescent="0.2">
      <c r="C276" s="91" t="s">
        <v>202</v>
      </c>
      <c r="D276" s="64">
        <f t="shared" ref="D276:V276" si="92">+IFERROR(IF(D237&gt;0,+((D237/D42)*100)," "),"")</f>
        <v>49.518796976516221</v>
      </c>
      <c r="E276" s="64">
        <f t="shared" si="92"/>
        <v>59.611200935830141</v>
      </c>
      <c r="F276" s="64">
        <f t="shared" si="92"/>
        <v>46.970355820624363</v>
      </c>
      <c r="G276" s="64">
        <f t="shared" si="92"/>
        <v>60.898613511667051</v>
      </c>
      <c r="H276" s="64">
        <f t="shared" si="92"/>
        <v>58.614949680972352</v>
      </c>
      <c r="I276" s="64">
        <f t="shared" si="92"/>
        <v>63.866228077868449</v>
      </c>
      <c r="J276" s="64">
        <f t="shared" si="92"/>
        <v>58.20127621985192</v>
      </c>
      <c r="K276" s="64">
        <f t="shared" si="92"/>
        <v>68.800021416312703</v>
      </c>
      <c r="L276" s="64">
        <f t="shared" si="92"/>
        <v>73.238123681284762</v>
      </c>
      <c r="M276" s="64">
        <f t="shared" si="92"/>
        <v>71.80844076254192</v>
      </c>
      <c r="N276" s="64">
        <f t="shared" si="92"/>
        <v>68.78766870220565</v>
      </c>
      <c r="O276" s="64">
        <f t="shared" si="92"/>
        <v>66.636864632228907</v>
      </c>
      <c r="P276" s="64">
        <f t="shared" si="92"/>
        <v>66.140001945763402</v>
      </c>
      <c r="Q276" s="64">
        <f t="shared" si="92"/>
        <v>68.237607228302963</v>
      </c>
      <c r="R276" s="64">
        <f t="shared" si="92"/>
        <v>72.142620167932236</v>
      </c>
      <c r="S276" s="64">
        <f t="shared" si="92"/>
        <v>72.450871376606258</v>
      </c>
      <c r="T276" s="64">
        <f t="shared" si="92"/>
        <v>71.538721199321813</v>
      </c>
      <c r="U276" s="64">
        <f t="shared" si="92"/>
        <v>70.439284678588734</v>
      </c>
      <c r="V276" s="64">
        <f t="shared" si="92"/>
        <v>75.04654621120153</v>
      </c>
    </row>
    <row r="277" spans="3:22" x14ac:dyDescent="0.2">
      <c r="C277" s="1" t="s">
        <v>52</v>
      </c>
      <c r="D277" s="11"/>
      <c r="E277" s="11"/>
      <c r="F277" s="11"/>
      <c r="G277" s="11"/>
      <c r="H277" s="11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</row>
  </sheetData>
  <mergeCells count="173">
    <mergeCell ref="C51:C52"/>
    <mergeCell ref="G206:G207"/>
    <mergeCell ref="G129:G130"/>
    <mergeCell ref="O51:O52"/>
    <mergeCell ref="C245:C246"/>
    <mergeCell ref="L6:L7"/>
    <mergeCell ref="S206:S207"/>
    <mergeCell ref="D168:D169"/>
    <mergeCell ref="N6:N7"/>
    <mergeCell ref="P206:P207"/>
    <mergeCell ref="S129:S130"/>
    <mergeCell ref="Q11:Q12"/>
    <mergeCell ref="N168:N169"/>
    <mergeCell ref="P168:P169"/>
    <mergeCell ref="N90:N91"/>
    <mergeCell ref="J129:J130"/>
    <mergeCell ref="J51:J52"/>
    <mergeCell ref="N206:N207"/>
    <mergeCell ref="I6:I7"/>
    <mergeCell ref="K6:K7"/>
    <mergeCell ref="Q168:Q169"/>
    <mergeCell ref="N129:N130"/>
    <mergeCell ref="P129:P130"/>
    <mergeCell ref="G90:G91"/>
    <mergeCell ref="G11:G12"/>
    <mergeCell ref="D11:D12"/>
    <mergeCell ref="Q6:Q7"/>
    <mergeCell ref="S6:S7"/>
    <mergeCell ref="O6:O7"/>
    <mergeCell ref="C206:C207"/>
    <mergeCell ref="C90:C91"/>
    <mergeCell ref="S168:S169"/>
    <mergeCell ref="P51:P52"/>
    <mergeCell ref="V206:V207"/>
    <mergeCell ref="P90:P91"/>
    <mergeCell ref="C168:C169"/>
    <mergeCell ref="I129:I130"/>
    <mergeCell ref="E206:E207"/>
    <mergeCell ref="M168:M169"/>
    <mergeCell ref="O168:O169"/>
    <mergeCell ref="L129:L130"/>
    <mergeCell ref="D206:D207"/>
    <mergeCell ref="M90:M91"/>
    <mergeCell ref="V129:V130"/>
    <mergeCell ref="I206:I207"/>
    <mergeCell ref="O206:O207"/>
    <mergeCell ref="L206:L207"/>
    <mergeCell ref="R206:R207"/>
    <mergeCell ref="G51:G52"/>
    <mergeCell ref="Q90:Q91"/>
    <mergeCell ref="I51:I52"/>
    <mergeCell ref="M206:M207"/>
    <mergeCell ref="C129:C130"/>
    <mergeCell ref="U6:U7"/>
    <mergeCell ref="P11:P12"/>
    <mergeCell ref="V245:V246"/>
    <mergeCell ref="V11:V12"/>
    <mergeCell ref="U206:U207"/>
    <mergeCell ref="J245:J246"/>
    <mergeCell ref="K129:K130"/>
    <mergeCell ref="D9:V9"/>
    <mergeCell ref="D165:V165"/>
    <mergeCell ref="P6:P7"/>
    <mergeCell ref="M129:M130"/>
    <mergeCell ref="R6:R7"/>
    <mergeCell ref="T206:T207"/>
    <mergeCell ref="H11:H12"/>
    <mergeCell ref="D6:D7"/>
    <mergeCell ref="F206:F207"/>
    <mergeCell ref="F6:F7"/>
    <mergeCell ref="T90:T91"/>
    <mergeCell ref="J90:J91"/>
    <mergeCell ref="O129:O130"/>
    <mergeCell ref="L90:L91"/>
    <mergeCell ref="L245:L246"/>
    <mergeCell ref="N245:N246"/>
    <mergeCell ref="F245:F246"/>
    <mergeCell ref="A7:C7"/>
    <mergeCell ref="I11:I12"/>
    <mergeCell ref="F168:F169"/>
    <mergeCell ref="D87:V87"/>
    <mergeCell ref="D90:D91"/>
    <mergeCell ref="S11:S12"/>
    <mergeCell ref="U11:U12"/>
    <mergeCell ref="L166:Q166"/>
    <mergeCell ref="E51:E52"/>
    <mergeCell ref="M11:M12"/>
    <mergeCell ref="F129:F130"/>
    <mergeCell ref="H129:H130"/>
    <mergeCell ref="K11:K12"/>
    <mergeCell ref="F51:F52"/>
    <mergeCell ref="H51:H52"/>
    <mergeCell ref="R51:R52"/>
    <mergeCell ref="G6:G7"/>
    <mergeCell ref="Q129:Q130"/>
    <mergeCell ref="L11:L12"/>
    <mergeCell ref="N11:N12"/>
    <mergeCell ref="I90:I91"/>
    <mergeCell ref="D48:V48"/>
    <mergeCell ref="O90:O91"/>
    <mergeCell ref="R11:R12"/>
    <mergeCell ref="E245:E246"/>
    <mergeCell ref="K90:K91"/>
    <mergeCell ref="J168:J169"/>
    <mergeCell ref="H90:H91"/>
    <mergeCell ref="L168:L169"/>
    <mergeCell ref="S245:S246"/>
    <mergeCell ref="U245:U246"/>
    <mergeCell ref="T11:T12"/>
    <mergeCell ref="D242:V242"/>
    <mergeCell ref="O11:O12"/>
    <mergeCell ref="V168:V169"/>
    <mergeCell ref="U129:U130"/>
    <mergeCell ref="F11:F12"/>
    <mergeCell ref="S51:S52"/>
    <mergeCell ref="I245:I246"/>
    <mergeCell ref="U51:U52"/>
    <mergeCell ref="P245:P246"/>
    <mergeCell ref="M245:M246"/>
    <mergeCell ref="O245:O246"/>
    <mergeCell ref="R245:R246"/>
    <mergeCell ref="T245:T246"/>
    <mergeCell ref="L243:Q243"/>
    <mergeCell ref="K245:K246"/>
    <mergeCell ref="J206:J207"/>
    <mergeCell ref="D4:V4"/>
    <mergeCell ref="K51:K52"/>
    <mergeCell ref="U90:U91"/>
    <mergeCell ref="S90:S91"/>
    <mergeCell ref="H6:H7"/>
    <mergeCell ref="M51:M52"/>
    <mergeCell ref="Q245:Q246"/>
    <mergeCell ref="J6:J7"/>
    <mergeCell ref="Q206:Q207"/>
    <mergeCell ref="L88:Q88"/>
    <mergeCell ref="R168:R169"/>
    <mergeCell ref="D127:V127"/>
    <mergeCell ref="H168:H169"/>
    <mergeCell ref="T168:T169"/>
    <mergeCell ref="R90:R91"/>
    <mergeCell ref="V6:V7"/>
    <mergeCell ref="Q51:Q52"/>
    <mergeCell ref="G245:G246"/>
    <mergeCell ref="E90:E91"/>
    <mergeCell ref="M6:M7"/>
    <mergeCell ref="E6:E7"/>
    <mergeCell ref="R129:R130"/>
    <mergeCell ref="T6:T7"/>
    <mergeCell ref="J11:J12"/>
    <mergeCell ref="D2:V2"/>
    <mergeCell ref="K206:K207"/>
    <mergeCell ref="H245:H246"/>
    <mergeCell ref="D204:V204"/>
    <mergeCell ref="D51:D52"/>
    <mergeCell ref="A5:C6"/>
    <mergeCell ref="H206:H207"/>
    <mergeCell ref="N51:N52"/>
    <mergeCell ref="I168:I169"/>
    <mergeCell ref="K168:K169"/>
    <mergeCell ref="E129:E130"/>
    <mergeCell ref="U168:U169"/>
    <mergeCell ref="C11:C12"/>
    <mergeCell ref="E11:E12"/>
    <mergeCell ref="T129:T130"/>
    <mergeCell ref="V90:V91"/>
    <mergeCell ref="T51:T52"/>
    <mergeCell ref="L51:L52"/>
    <mergeCell ref="V51:V52"/>
    <mergeCell ref="D245:D246"/>
    <mergeCell ref="F90:F91"/>
    <mergeCell ref="E168:E169"/>
    <mergeCell ref="D129:D130"/>
    <mergeCell ref="G168:G169"/>
  </mergeCells>
  <pageMargins left="0.7" right="0.7" top="0.75" bottom="0.75" header="0.3" footer="0.3"/>
  <pageSetup orientation="portrait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Hoja25"/>
  <dimension ref="A1:K300"/>
  <sheetViews>
    <sheetView showGridLines="0" zoomScaleNormal="100" workbookViewId="0">
      <pane xSplit="3" ySplit="9" topLeftCell="D19" activePane="bottomRight" state="frozen"/>
      <selection activeCell="C204" sqref="C204:V204"/>
      <selection pane="topRight" activeCell="C204" sqref="C204:V204"/>
      <selection pane="bottomLeft" activeCell="C204" sqref="C204:V204"/>
      <selection pane="bottomRight" activeCell="K225" sqref="K225:K255"/>
    </sheetView>
  </sheetViews>
  <sheetFormatPr baseColWidth="10" defaultColWidth="11.42578125" defaultRowHeight="11.25" x14ac:dyDescent="0.2"/>
  <cols>
    <col min="1" max="2" width="2.7109375" style="3" customWidth="1"/>
    <col min="3" max="3" width="45.7109375" style="3" customWidth="1"/>
    <col min="4" max="4" width="10.7109375" style="3" customWidth="1"/>
    <col min="5" max="33" width="10.7109375" style="9" customWidth="1"/>
    <col min="34" max="34" width="11.42578125" style="9" customWidth="1"/>
    <col min="35" max="16384" width="11.42578125" style="9"/>
  </cols>
  <sheetData>
    <row r="1" spans="1:11" ht="16.5" customHeight="1" x14ac:dyDescent="0.2"/>
    <row r="2" spans="1:11" ht="16.5" customHeight="1" x14ac:dyDescent="0.2">
      <c r="D2" s="179"/>
      <c r="E2" s="178"/>
      <c r="F2" s="178"/>
      <c r="G2" s="178"/>
      <c r="H2" s="178"/>
      <c r="I2" s="178"/>
      <c r="J2" s="178"/>
      <c r="K2" s="178"/>
    </row>
    <row r="3" spans="1:11" ht="16.5" customHeight="1" x14ac:dyDescent="0.2">
      <c r="D3" s="158"/>
      <c r="E3" s="178"/>
      <c r="F3" s="178"/>
      <c r="G3" s="178"/>
      <c r="H3" s="178"/>
      <c r="I3" s="178"/>
      <c r="J3" s="178"/>
      <c r="K3" s="178"/>
    </row>
    <row r="4" spans="1:11" ht="16.5" customHeight="1" x14ac:dyDescent="0.2">
      <c r="D4" s="158"/>
      <c r="E4" s="178"/>
      <c r="F4" s="178"/>
      <c r="G4" s="178"/>
      <c r="H4" s="178"/>
      <c r="I4" s="178"/>
      <c r="J4" s="178"/>
      <c r="K4" s="178"/>
    </row>
    <row r="5" spans="1:11" ht="16.5" customHeight="1" x14ac:dyDescent="0.2">
      <c r="D5" s="139"/>
      <c r="E5" s="139"/>
      <c r="F5" s="139"/>
      <c r="G5" s="139"/>
      <c r="H5" s="139"/>
      <c r="I5" s="139"/>
      <c r="J5" s="139"/>
      <c r="K5" s="139"/>
    </row>
    <row r="6" spans="1:11" ht="16.5" customHeight="1" x14ac:dyDescent="0.2">
      <c r="D6" s="161"/>
      <c r="E6" s="178"/>
      <c r="F6" s="178"/>
      <c r="G6" s="178"/>
      <c r="H6" s="178"/>
      <c r="I6" s="178"/>
      <c r="J6" s="178"/>
      <c r="K6" s="178"/>
    </row>
    <row r="7" spans="1:11" ht="19.5" customHeight="1" x14ac:dyDescent="0.2">
      <c r="A7" s="165" t="s">
        <v>23</v>
      </c>
      <c r="B7" s="158"/>
      <c r="C7" s="158"/>
      <c r="D7" s="147"/>
      <c r="E7" s="147"/>
      <c r="F7" s="147"/>
      <c r="G7" s="147"/>
      <c r="H7" s="147"/>
      <c r="I7" s="147"/>
      <c r="J7" s="147"/>
      <c r="K7" s="147"/>
    </row>
    <row r="8" spans="1:11" s="102" customFormat="1" ht="19.5" customHeight="1" x14ac:dyDescent="0.25">
      <c r="A8" s="176"/>
      <c r="B8" s="176"/>
      <c r="C8" s="176"/>
      <c r="D8" s="151">
        <v>2019</v>
      </c>
      <c r="E8" s="151">
        <v>2020</v>
      </c>
      <c r="F8" s="151">
        <v>2021</v>
      </c>
      <c r="G8" s="151">
        <v>2022</v>
      </c>
      <c r="H8" s="151">
        <v>2023</v>
      </c>
      <c r="I8" s="151">
        <v>2024</v>
      </c>
      <c r="J8" s="151">
        <v>2025</v>
      </c>
      <c r="K8" s="151" t="s">
        <v>36</v>
      </c>
    </row>
    <row r="9" spans="1:11" s="102" customFormat="1" ht="16.5" customHeight="1" x14ac:dyDescent="0.25">
      <c r="A9" s="162" t="s">
        <v>227</v>
      </c>
      <c r="B9" s="176"/>
      <c r="C9" s="176"/>
      <c r="D9" s="176"/>
      <c r="E9" s="176"/>
      <c r="F9" s="176"/>
      <c r="G9" s="176"/>
      <c r="H9" s="176"/>
      <c r="I9" s="176"/>
      <c r="J9" s="176"/>
      <c r="K9" s="176"/>
    </row>
    <row r="10" spans="1:11" ht="16.5" customHeight="1" x14ac:dyDescent="0.2"/>
    <row r="11" spans="1:11" ht="16.5" customHeight="1" x14ac:dyDescent="0.2">
      <c r="D11" s="160" t="s">
        <v>210</v>
      </c>
      <c r="E11" s="178"/>
      <c r="F11" s="178"/>
      <c r="G11" s="178"/>
      <c r="H11" s="178"/>
      <c r="I11" s="178"/>
      <c r="J11" s="178"/>
      <c r="K11" s="178"/>
    </row>
    <row r="12" spans="1:11" x14ac:dyDescent="0.2">
      <c r="C12" s="150"/>
      <c r="D12" s="150"/>
      <c r="E12" s="150"/>
      <c r="F12" s="150"/>
      <c r="G12" s="150"/>
      <c r="H12" s="150"/>
      <c r="I12" s="150"/>
      <c r="J12" s="150"/>
    </row>
    <row r="13" spans="1:11" ht="9.9499999999999993" customHeight="1" x14ac:dyDescent="0.2">
      <c r="C13" s="177" t="s">
        <v>120</v>
      </c>
      <c r="D13" s="153">
        <v>2019</v>
      </c>
      <c r="E13" s="153">
        <v>2020</v>
      </c>
      <c r="F13" s="153">
        <v>2021</v>
      </c>
      <c r="G13" s="153">
        <v>2022</v>
      </c>
      <c r="H13" s="153">
        <v>2023</v>
      </c>
      <c r="I13" s="153">
        <v>2024</v>
      </c>
      <c r="J13" s="153">
        <v>2025</v>
      </c>
      <c r="K13" s="153" t="s">
        <v>36</v>
      </c>
    </row>
    <row r="14" spans="1:11" ht="9.9499999999999993" customHeight="1" thickBot="1" x14ac:dyDescent="0.25">
      <c r="C14" s="156"/>
      <c r="D14" s="154"/>
      <c r="E14" s="154"/>
      <c r="F14" s="154"/>
      <c r="G14" s="154"/>
      <c r="H14" s="154"/>
      <c r="I14" s="154"/>
      <c r="J14" s="154"/>
      <c r="K14" s="154"/>
    </row>
    <row r="15" spans="1:11" x14ac:dyDescent="0.2">
      <c r="C15" s="87" t="s">
        <v>123</v>
      </c>
      <c r="D15" s="42">
        <f>1466.674192823*Deflactores!$T$5</f>
        <v>2219.2284051260244</v>
      </c>
      <c r="E15" s="42">
        <f>1041.206232414*Deflactores!$U$5</f>
        <v>1550.4888943494605</v>
      </c>
      <c r="F15" s="42">
        <f>1680.586588003*Deflactores!$V$5</f>
        <v>2369.444993337007</v>
      </c>
      <c r="G15" s="42">
        <f>1758.986807812*Deflactores!$W$5</f>
        <v>2192.3451276594706</v>
      </c>
      <c r="H15" s="42">
        <f>4376.210043642*Deflactores!$X$5</f>
        <v>4991.186677806978</v>
      </c>
      <c r="I15" s="42">
        <f>6710.197926328*Deflactores!$Y$5</f>
        <v>7274.8701431036179</v>
      </c>
      <c r="J15" s="42">
        <f>4095.977895684*Deflactores!$Z$5</f>
        <v>4225.1759911577828</v>
      </c>
      <c r="K15" s="42">
        <f>3140.53295549*Deflactores!$AA$5</f>
        <v>3140.5329554899999</v>
      </c>
    </row>
    <row r="16" spans="1:11" x14ac:dyDescent="0.2">
      <c r="C16" s="88" t="s">
        <v>124</v>
      </c>
      <c r="D16" s="50">
        <f>203.928186782*Deflactores!$T$5</f>
        <v>308.56425164295212</v>
      </c>
      <c r="E16" s="50">
        <f>258.852998999*Deflactores!$U$5</f>
        <v>385.46513430532269</v>
      </c>
      <c r="F16" s="50">
        <f>609.433485249*Deflactores!$V$5</f>
        <v>859.23518056338787</v>
      </c>
      <c r="G16" s="50">
        <f>753.48938061*Deflactores!$W$5</f>
        <v>939.12516284206345</v>
      </c>
      <c r="H16" s="50">
        <f>1324.016221117*Deflactores!$X$5</f>
        <v>1510.0765406908599</v>
      </c>
      <c r="I16" s="50">
        <f>1253.139971971*Deflactores!$Y$5</f>
        <v>1358.5933928196791</v>
      </c>
      <c r="J16" s="50">
        <f>807.783551153*Deflactores!$Z$5</f>
        <v>833.26320436938749</v>
      </c>
      <c r="K16" s="50">
        <f>920.309079644*Deflactores!$AA$5</f>
        <v>920.30907964400001</v>
      </c>
    </row>
    <row r="17" spans="3:11" x14ac:dyDescent="0.2">
      <c r="C17" s="87" t="s">
        <v>125</v>
      </c>
      <c r="D17" s="42">
        <f>327.50009532*Deflactores!$T$5</f>
        <v>495.54121683747064</v>
      </c>
      <c r="E17" s="42">
        <f>245.873068343*Deflactores!$U$5</f>
        <v>366.13636186329217</v>
      </c>
      <c r="F17" s="42">
        <f>386.465162527*Deflactores!$V$5</f>
        <v>544.87400469908914</v>
      </c>
      <c r="G17" s="42">
        <f>302.901433272*Deflactores!$W$5</f>
        <v>377.52669800916129</v>
      </c>
      <c r="H17" s="42">
        <f>457.611289945*Deflactores!$X$5</f>
        <v>521.91813263303163</v>
      </c>
      <c r="I17" s="42">
        <f>347.851577998*Deflactores!$Y$5</f>
        <v>377.12375801617048</v>
      </c>
      <c r="J17" s="42">
        <f>254.424632408*Deflactores!$Z$5</f>
        <v>262.44986564555433</v>
      </c>
      <c r="K17" s="42">
        <f>348.567095647*Deflactores!$AA$5</f>
        <v>348.56709564699997</v>
      </c>
    </row>
    <row r="18" spans="3:11" x14ac:dyDescent="0.2">
      <c r="C18" s="88" t="s">
        <v>126</v>
      </c>
      <c r="D18" s="50">
        <f>199.642718299*Deflactores!$T$5</f>
        <v>302.07989851716303</v>
      </c>
      <c r="E18" s="50">
        <f>213.766834282*Deflactores!$U$5</f>
        <v>318.32608393636229</v>
      </c>
      <c r="F18" s="50">
        <f>322.983198554*Deflactores!$V$5</f>
        <v>455.37131392624298</v>
      </c>
      <c r="G18" s="50">
        <f>313.100437191*Deflactores!$W$5</f>
        <v>390.23841162150649</v>
      </c>
      <c r="H18" s="50">
        <f>465.736688699*Deflactores!$X$5</f>
        <v>531.18537109014255</v>
      </c>
      <c r="I18" s="50">
        <f>188.19075652*Deflactores!$Y$5</f>
        <v>204.02726280901504</v>
      </c>
      <c r="J18" s="50">
        <f>227.83641067*Deflactores!$Z$5</f>
        <v>235.02298029703923</v>
      </c>
      <c r="K18" s="50">
        <f>208.787069182*Deflactores!$AA$5</f>
        <v>208.78706918200001</v>
      </c>
    </row>
    <row r="19" spans="3:11" x14ac:dyDescent="0.2">
      <c r="C19" s="87" t="s">
        <v>127</v>
      </c>
      <c r="D19" s="42">
        <f>90*Deflactores!$T$5</f>
        <v>136.17922606036191</v>
      </c>
      <c r="E19" s="42">
        <f>83.141129558*Deflactores!$U$5</f>
        <v>123.80774723608479</v>
      </c>
      <c r="F19" s="42">
        <f>115.71346817*Deflactores!$V$5</f>
        <v>163.14345227690117</v>
      </c>
      <c r="G19" s="42">
        <f>209.033450966*Deflactores!$W$5</f>
        <v>260.53263487132142</v>
      </c>
      <c r="H19" s="42">
        <f>276.516725483*Deflactores!$X$5</f>
        <v>315.37485236265394</v>
      </c>
      <c r="I19" s="42">
        <f>263*Deflactores!$Y$5</f>
        <v>285.13180514829548</v>
      </c>
      <c r="J19" s="42">
        <f>200*Deflactores!$Z$5</f>
        <v>206.30853479995199</v>
      </c>
      <c r="K19" s="42">
        <f>200*Deflactores!$AA$5</f>
        <v>200</v>
      </c>
    </row>
    <row r="20" spans="3:11" x14ac:dyDescent="0.2">
      <c r="C20" s="88" t="s">
        <v>128</v>
      </c>
      <c r="D20" s="50">
        <f>139.471230582*Deflactores!$T$5</f>
        <v>211.03426931492268</v>
      </c>
      <c r="E20" s="50">
        <f>134.204512594*Deflactores!$U$5</f>
        <v>199.84763812462694</v>
      </c>
      <c r="F20" s="50">
        <f>361.082271087*Deflactores!$V$5</f>
        <v>509.08687806826686</v>
      </c>
      <c r="G20" s="50">
        <f>358.382491445*Deflactores!$W$5</f>
        <v>446.67652165921356</v>
      </c>
      <c r="H20" s="50">
        <f>492.687188011*Deflactores!$X$5</f>
        <v>561.92314916405633</v>
      </c>
      <c r="I20" s="50">
        <f>970.553083497*Deflactores!$Y$5</f>
        <v>1052.2264360826766</v>
      </c>
      <c r="J20" s="50">
        <f>718.534204271*Deflactores!$Z$5</f>
        <v>741.19869443399716</v>
      </c>
      <c r="K20" s="50">
        <f>719.777640058*Deflactores!$AA$5</f>
        <v>719.77764005799997</v>
      </c>
    </row>
    <row r="21" spans="3:11" x14ac:dyDescent="0.2">
      <c r="C21" s="87" t="s">
        <v>129</v>
      </c>
      <c r="D21" s="42">
        <f>1056.435357489*Deflactores!$T$5</f>
        <v>1598.4949929517086</v>
      </c>
      <c r="E21" s="42">
        <f>1336.703475162*Deflactores!$U$5</f>
        <v>1990.5219818670223</v>
      </c>
      <c r="F21" s="42">
        <f>2030.060887*Deflactores!$V$5</f>
        <v>2862.1658885110933</v>
      </c>
      <c r="G21" s="42">
        <f>2023.015793576*Deflactores!$W$5</f>
        <v>2521.4224453117836</v>
      </c>
      <c r="H21" s="42">
        <f>1918.920645*Deflactores!$X$5</f>
        <v>2188.5812297807261</v>
      </c>
      <c r="I21" s="42">
        <f>3012.759349434*Deflactores!$Y$5</f>
        <v>3266.2871170400026</v>
      </c>
      <c r="J21" s="42">
        <f>2201.70201282334*Deflactores!$Z$5</f>
        <v>2271.1495816584415</v>
      </c>
      <c r="K21" s="42">
        <f>3548.763580895*Deflactores!$AA$5</f>
        <v>3548.7635808949999</v>
      </c>
    </row>
    <row r="22" spans="3:11" x14ac:dyDescent="0.2">
      <c r="C22" s="88" t="s">
        <v>130</v>
      </c>
      <c r="D22" s="50">
        <f>462*Deflactores!$T$5</f>
        <v>699.0533604431912</v>
      </c>
      <c r="E22" s="50">
        <f>422.38737623*Deflactores!$U$5</f>
        <v>628.98868213614469</v>
      </c>
      <c r="F22" s="50">
        <f>727.839792982*Deflactores!$V$5</f>
        <v>1026.175244848238</v>
      </c>
      <c r="G22" s="50">
        <f>845.29875289*Deflactores!$W$5</f>
        <v>1053.5534400170932</v>
      </c>
      <c r="H22" s="50">
        <f>891.709127023*Deflactores!$X$5</f>
        <v>1017.0185322211148</v>
      </c>
      <c r="I22" s="50">
        <f>994.03887389*Deflactores!$Y$5</f>
        <v>1077.6885874518423</v>
      </c>
      <c r="J22" s="50">
        <f>400*Deflactores!$Z$5</f>
        <v>412.61706959990397</v>
      </c>
      <c r="K22" s="50">
        <f>441.892487504*Deflactores!$AA$5</f>
        <v>441.89248750399997</v>
      </c>
    </row>
    <row r="23" spans="3:11" x14ac:dyDescent="0.2">
      <c r="C23" s="87" t="s">
        <v>131</v>
      </c>
      <c r="D23" s="42">
        <f>4052.997032233*Deflactores!$T$5</f>
        <v>6132.59998971593</v>
      </c>
      <c r="E23" s="42">
        <f>3984.903081277*Deflactores!$U$5</f>
        <v>5934.0289946730227</v>
      </c>
      <c r="F23" s="42">
        <f>4849.786376583*Deflactores!$V$5</f>
        <v>6837.6733045355577</v>
      </c>
      <c r="G23" s="42">
        <f>5522.531404122*Deflactores!$W$5</f>
        <v>6883.1072310505388</v>
      </c>
      <c r="H23" s="42">
        <f>7386.914456427*Deflactores!$X$5</f>
        <v>8424.9770137482828</v>
      </c>
      <c r="I23" s="42">
        <f>8061.939062033*Deflactores!$Y$5</f>
        <v>8740.3621207339365</v>
      </c>
      <c r="J23" s="42">
        <f>6754.99444239*Deflactores!$Z$5</f>
        <v>6968.0650299564977</v>
      </c>
      <c r="K23" s="42">
        <f>6778.173590684*Deflactores!$AA$5</f>
        <v>6778.1735906840004</v>
      </c>
    </row>
    <row r="24" spans="3:11" x14ac:dyDescent="0.2">
      <c r="C24" s="88" t="s">
        <v>132</v>
      </c>
      <c r="D24" s="50">
        <f>18.19119714*Deflactores!$T$5</f>
        <v>27.52514608485188</v>
      </c>
      <c r="E24" s="50">
        <f>21.188013383*Deflactores!$U$5</f>
        <v>31.551654629941609</v>
      </c>
      <c r="F24" s="50">
        <f>20.397418487*Deflactores!$V$5</f>
        <v>28.758149955517542</v>
      </c>
      <c r="G24" s="50">
        <f>18.802547553*Deflactores!$W$5</f>
        <v>23.434896346198641</v>
      </c>
      <c r="H24" s="50">
        <f>19.802547553*Deflactores!$X$5</f>
        <v>22.585344521287407</v>
      </c>
      <c r="I24" s="50">
        <f>18.299953403*Deflactores!$Y$5</f>
        <v>19.839919193639098</v>
      </c>
      <c r="J24" s="50">
        <f>17.000356199*Deflactores!$Z$5</f>
        <v>17.536592892464853</v>
      </c>
      <c r="K24" s="50">
        <f>10*Deflactores!$AA$5</f>
        <v>10</v>
      </c>
    </row>
    <row r="25" spans="3:11" x14ac:dyDescent="0.2">
      <c r="C25" s="87" t="s">
        <v>133</v>
      </c>
      <c r="D25" s="42">
        <f>113.314550998*Deflactores!$T$5</f>
        <v>171.45653173650058</v>
      </c>
      <c r="E25" s="42">
        <f>122.936083129*Deflactores!$U$5</f>
        <v>183.06750927182946</v>
      </c>
      <c r="F25" s="42">
        <f>124.973290241*Deflactores!$V$5</f>
        <v>176.19879807220113</v>
      </c>
      <c r="G25" s="42">
        <f>170.827948948*Deflactores!$W$5</f>
        <v>212.91451412877026</v>
      </c>
      <c r="H25" s="42">
        <f>202.904041101*Deflactores!$X$5</f>
        <v>231.41758204404829</v>
      </c>
      <c r="I25" s="42">
        <f>229.26492575*Deflactores!$Y$5</f>
        <v>248.55787884519935</v>
      </c>
      <c r="J25" s="42">
        <f>317.921120658*Deflactores!$Z$5</f>
        <v>327.94920292455367</v>
      </c>
      <c r="K25" s="42">
        <f>390.663726128*Deflactores!$AA$5</f>
        <v>390.66372612800001</v>
      </c>
    </row>
    <row r="26" spans="3:11" x14ac:dyDescent="0.2">
      <c r="C26" s="88" t="s">
        <v>134</v>
      </c>
      <c r="D26" s="50">
        <f>1789.626144378*Deflactores!$T$5</f>
        <v>2707.8878142087283</v>
      </c>
      <c r="E26" s="50">
        <f>1883.055276047*Deflactores!$U$5</f>
        <v>2804.1095049804981</v>
      </c>
      <c r="F26" s="50">
        <f>2199.840409842*Deflactores!$V$5</f>
        <v>3101.5366196836812</v>
      </c>
      <c r="G26" s="50">
        <f>2532.153492221*Deflactores!$W$5</f>
        <v>3155.9954551688425</v>
      </c>
      <c r="H26" s="50">
        <f>4750.120582741*Deflactores!$X$5</f>
        <v>5417.6418257160594</v>
      </c>
      <c r="I26" s="50">
        <f>3240.749095713*Deflactores!$Y$5</f>
        <v>3513.4625083397482</v>
      </c>
      <c r="J26" s="50">
        <f>2716.631356722*Deflactores!$Z$5</f>
        <v>2802.3211739846074</v>
      </c>
      <c r="K26" s="50">
        <f>4827.646665639*Deflactores!$AA$5</f>
        <v>4827.6466656390003</v>
      </c>
    </row>
    <row r="27" spans="3:11" x14ac:dyDescent="0.2">
      <c r="C27" s="87" t="s">
        <v>135</v>
      </c>
      <c r="D27" s="42">
        <f>0*Deflactores!$T$5</f>
        <v>0</v>
      </c>
      <c r="E27" s="42">
        <f>0*Deflactores!$U$5</f>
        <v>0</v>
      </c>
      <c r="F27" s="42">
        <f>0*Deflactores!$V$5</f>
        <v>0</v>
      </c>
      <c r="G27" s="42">
        <f>0*Deflactores!$W$5</f>
        <v>0</v>
      </c>
      <c r="H27" s="42">
        <f>0*Deflactores!$X$5</f>
        <v>0</v>
      </c>
      <c r="I27" s="42">
        <f>6500.113342468*Deflactores!$Y$5</f>
        <v>7047.1066578190921</v>
      </c>
      <c r="J27" s="42">
        <f>6742.595023627*Deflactores!$Z$5</f>
        <v>6955.27450036967</v>
      </c>
      <c r="K27" s="42">
        <f>6063.317992889*Deflactores!$AA$5</f>
        <v>6063.3179928890004</v>
      </c>
    </row>
    <row r="28" spans="3:11" x14ac:dyDescent="0.2">
      <c r="C28" s="88" t="s">
        <v>136</v>
      </c>
      <c r="D28" s="50">
        <f>8001.684931111*Deflactores!$T$5</f>
        <v>12107.369567750626</v>
      </c>
      <c r="E28" s="50">
        <f>8633.77710867*Deflactores!$U$5</f>
        <v>12856.79542298275</v>
      </c>
      <c r="F28" s="50">
        <f>12190.763841607*Deflactores!$V$5</f>
        <v>17187.656117006904</v>
      </c>
      <c r="G28" s="50">
        <f>19275.123051394*Deflactores!$W$5</f>
        <v>24023.899394290896</v>
      </c>
      <c r="H28" s="50">
        <f>16782.000923871*Deflactores!$X$5</f>
        <v>19140.328869694804</v>
      </c>
      <c r="I28" s="50">
        <f>11152.307544973*Deflactores!$Y$5</f>
        <v>12090.789284665805</v>
      </c>
      <c r="J28" s="50">
        <f>8876.386753354*Deflactores!$Z$5</f>
        <v>9156.3717270108318</v>
      </c>
      <c r="K28" s="50">
        <f>10751.247531812*Deflactores!$AA$5</f>
        <v>10751.247531812</v>
      </c>
    </row>
    <row r="29" spans="3:11" x14ac:dyDescent="0.2">
      <c r="C29" s="87" t="s">
        <v>137</v>
      </c>
      <c r="D29" s="42">
        <f>184.979086051*Deflactores!$T$5</f>
        <v>279.89231973086964</v>
      </c>
      <c r="E29" s="42">
        <f>179.40547086*Deflactores!$U$5</f>
        <v>267.15763073089494</v>
      </c>
      <c r="F29" s="42">
        <f>320.568678185*Deflactores!$V$5</f>
        <v>451.96710182525538</v>
      </c>
      <c r="G29" s="42">
        <f>397.302015718*Deflactores!$W$5</f>
        <v>495.18457699640601</v>
      </c>
      <c r="H29" s="42">
        <f>751.841612575*Deflactores!$X$5</f>
        <v>857.49582471646067</v>
      </c>
      <c r="I29" s="42">
        <f>988.154749737*Deflactores!$Y$5</f>
        <v>1071.3093063056006</v>
      </c>
      <c r="J29" s="42">
        <f>703.613494832*Deflactores!$Z$5</f>
        <v>725.80734592131762</v>
      </c>
      <c r="K29" s="42">
        <f>469.615108053*Deflactores!$AA$5</f>
        <v>469.61510805299997</v>
      </c>
    </row>
    <row r="30" spans="3:11" x14ac:dyDescent="0.2">
      <c r="C30" s="88" t="s">
        <v>138</v>
      </c>
      <c r="D30" s="50">
        <f>7.240789965*Deflactores!$T$5</f>
        <v>10.956057483325946</v>
      </c>
      <c r="E30" s="50">
        <f>7.094353307*Deflactores!$U$5</f>
        <v>10.564397016326357</v>
      </c>
      <c r="F30" s="50">
        <f>7.846050941*Deflactores!$V$5</f>
        <v>11.062081687627019</v>
      </c>
      <c r="G30" s="50">
        <f>8*Deflactores!$W$5</f>
        <v>9.9709451733138312</v>
      </c>
      <c r="H30" s="50">
        <f>29*Deflactores!$X$5</f>
        <v>33.075289397202276</v>
      </c>
      <c r="I30" s="50">
        <f>40.538191002*Deflactores!$Y$5</f>
        <v>43.94953451652718</v>
      </c>
      <c r="J30" s="50">
        <f>35.198878846*Deflactores!$Z$5</f>
        <v>36.309145606596424</v>
      </c>
      <c r="K30" s="50">
        <f>23.154858491*Deflactores!$AA$5</f>
        <v>23.154858490999999</v>
      </c>
    </row>
    <row r="31" spans="3:11" x14ac:dyDescent="0.2">
      <c r="C31" s="87" t="s">
        <v>160</v>
      </c>
      <c r="D31" s="42">
        <f>99.126838442*Deflactores!$T$5</f>
        <v>149.98906823157878</v>
      </c>
      <c r="E31" s="42">
        <f>215.442899543*Deflactores!$U$5</f>
        <v>320.82195890568556</v>
      </c>
      <c r="F31" s="42">
        <f>356.557706831*Deflactores!$V$5</f>
        <v>502.7077327151257</v>
      </c>
      <c r="G31" s="42">
        <f>667.239572578*Deflactores!$W$5</f>
        <v>831.62614945507403</v>
      </c>
      <c r="H31" s="42">
        <f>496.367897221*Deflactores!$X$5</f>
        <v>566.12109820914941</v>
      </c>
      <c r="I31" s="42">
        <f>561.259970633*Deflactores!$Y$5</f>
        <v>608.49075507249654</v>
      </c>
      <c r="J31" s="42">
        <f>467.11101387*Deflactores!$Z$5</f>
        <v>481.84494430219877</v>
      </c>
      <c r="K31" s="42">
        <f>423.042954339*Deflactores!$AA$5</f>
        <v>423.042954339</v>
      </c>
    </row>
    <row r="32" spans="3:11" x14ac:dyDescent="0.2">
      <c r="C32" s="88" t="s">
        <v>161</v>
      </c>
      <c r="D32" s="50">
        <f>319.180407099*Deflactores!$T$5</f>
        <v>482.95267569303405</v>
      </c>
      <c r="E32" s="50">
        <f>389.223976564*Deflactores!$U$5</f>
        <v>579.60414977333767</v>
      </c>
      <c r="F32" s="50">
        <f>447.051614849*Deflactores!$V$5</f>
        <v>630.29433777993233</v>
      </c>
      <c r="G32" s="50">
        <f>516.724841571*Deflactores!$W$5</f>
        <v>644.02938312421452</v>
      </c>
      <c r="H32" s="50">
        <f>387.286214312*Deflactores!$X$5</f>
        <v>441.71046958332084</v>
      </c>
      <c r="I32" s="50">
        <f>589.111543675*Deflactores!$Y$5</f>
        <v>638.68607559601389</v>
      </c>
      <c r="J32" s="50">
        <f>527.897224174*Deflactores!$Z$5</f>
        <v>544.54851422149875</v>
      </c>
      <c r="K32" s="50">
        <f>521.739381047*Deflactores!$AA$5</f>
        <v>521.73938104700005</v>
      </c>
    </row>
    <row r="33" spans="1:11" x14ac:dyDescent="0.2">
      <c r="C33" s="87" t="s">
        <v>140</v>
      </c>
      <c r="D33" s="42">
        <f>3015.746627716*Deflactores!$T$5</f>
        <v>4563.1337972945703</v>
      </c>
      <c r="E33" s="42">
        <f>2987.407243519*Deflactores!$U$5</f>
        <v>4448.6304535810832</v>
      </c>
      <c r="F33" s="42">
        <f>4390.634058904*Deflactores!$V$5</f>
        <v>6190.3182869066504</v>
      </c>
      <c r="G33" s="42">
        <f>4290.222945237*Deflactores!$W$5</f>
        <v>5347.1972210313897</v>
      </c>
      <c r="H33" s="42">
        <f>6744.203689364*Deflactores!$X$5</f>
        <v>7691.9478889446063</v>
      </c>
      <c r="I33" s="42">
        <f>6957.878078506*Deflactores!$Y$5</f>
        <v>7543.3929145481716</v>
      </c>
      <c r="J33" s="42">
        <f>6553.371386211*Deflactores!$Z$5</f>
        <v>6760.0822434456086</v>
      </c>
      <c r="K33" s="42">
        <f>9629.741911809*Deflactores!$AA$5</f>
        <v>9629.7419118090002</v>
      </c>
    </row>
    <row r="34" spans="1:11" x14ac:dyDescent="0.2">
      <c r="C34" s="88" t="s">
        <v>141</v>
      </c>
      <c r="D34" s="50">
        <f>160.351239781*Deflactores!$T$5</f>
        <v>242.62786367995665</v>
      </c>
      <c r="E34" s="50">
        <f>223.229508317*Deflactores!$U$5</f>
        <v>332.41721261516454</v>
      </c>
      <c r="F34" s="50">
        <f>353.941613602*Deflactores!$V$5</f>
        <v>499.01932472246011</v>
      </c>
      <c r="G34" s="50">
        <f>444.371286924*Deflactores!$W$5</f>
        <v>553.85021731426423</v>
      </c>
      <c r="H34" s="50">
        <f>581.61888279*Deflactores!$X$5</f>
        <v>663.3521678329904</v>
      </c>
      <c r="I34" s="50">
        <f>515.167917902*Deflactores!$Y$5</f>
        <v>558.51999386268494</v>
      </c>
      <c r="J34" s="50">
        <f>382.814399842*Deflactores!$Z$5</f>
        <v>394.88938965862997</v>
      </c>
      <c r="K34" s="50">
        <f>888.987193087*Deflactores!$AA$5</f>
        <v>888.98719308700004</v>
      </c>
    </row>
    <row r="35" spans="1:11" x14ac:dyDescent="0.2">
      <c r="C35" s="87" t="s">
        <v>142</v>
      </c>
      <c r="D35" s="42">
        <f>279.312903117*Deflactores!$T$5</f>
        <v>422.62905527939904</v>
      </c>
      <c r="E35" s="42">
        <f>191.749630738*Deflactores!$U$5</f>
        <v>285.53965938677317</v>
      </c>
      <c r="F35" s="42">
        <f>561.620910213*Deflactores!$V$5</f>
        <v>791.82463037434991</v>
      </c>
      <c r="G35" s="42">
        <f>1108.078265449*Deflactores!$W$5</f>
        <v>1381.0734540665835</v>
      </c>
      <c r="H35" s="42">
        <f>1377.770357741*Deflactores!$X$5</f>
        <v>1571.3845967300167</v>
      </c>
      <c r="I35" s="42">
        <f>949.427258332*Deflactores!$Y$5</f>
        <v>1029.3228442022821</v>
      </c>
      <c r="J35" s="42">
        <f>607.27635273*Deflactores!$Z$5</f>
        <v>626.43147275192564</v>
      </c>
      <c r="K35" s="42">
        <f>993.947536256*Deflactores!$AA$5</f>
        <v>993.94753625600003</v>
      </c>
    </row>
    <row r="36" spans="1:11" x14ac:dyDescent="0.2">
      <c r="C36" s="88" t="s">
        <v>143</v>
      </c>
      <c r="D36" s="50">
        <f>262.161517598*Deflactores!$T$5</f>
        <v>396.67725077006213</v>
      </c>
      <c r="E36" s="50">
        <f>691.703288843*Deflactores!$U$5</f>
        <v>1030.0344294420572</v>
      </c>
      <c r="F36" s="50">
        <f>2352.552110093*Deflactores!$V$5</f>
        <v>3316.8435703440941</v>
      </c>
      <c r="G36" s="50">
        <f>1235.851900956*Deflactores!$W$5</f>
        <v>1540.326443345994</v>
      </c>
      <c r="H36" s="50">
        <f>2232.806995745*Deflactores!$X$5</f>
        <v>2546.5771569780577</v>
      </c>
      <c r="I36" s="50">
        <f>767.991502413*Deflactores!$Y$5</f>
        <v>832.61902441661675</v>
      </c>
      <c r="J36" s="50">
        <f>483.416375768*Deflactores!$Z$5</f>
        <v>498.66462091499551</v>
      </c>
      <c r="K36" s="50">
        <f>270.871381679*Deflactores!$AA$5</f>
        <v>270.87138167900002</v>
      </c>
    </row>
    <row r="37" spans="1:11" x14ac:dyDescent="0.2">
      <c r="C37" s="87" t="s">
        <v>144</v>
      </c>
      <c r="D37" s="42">
        <f>342.568474523*Deflactores!$T$5</f>
        <v>518.3412192580106</v>
      </c>
      <c r="E37" s="42">
        <f>276.349705141*Deflactores!$U$5</f>
        <v>411.51996159729021</v>
      </c>
      <c r="F37" s="42">
        <f>480.260662865*Deflactores!$V$5</f>
        <v>677.11549719933555</v>
      </c>
      <c r="G37" s="42">
        <f>580.82202774*Deflactores!$W$5</f>
        <v>723.91807425606305</v>
      </c>
      <c r="H37" s="42">
        <f>726.90985*Deflactores!$X$5</f>
        <v>829.06047084230681</v>
      </c>
      <c r="I37" s="42">
        <f>1137.039817889*Deflactores!$Y$5</f>
        <v>1232.7232539930787</v>
      </c>
      <c r="J37" s="42">
        <f>1249.41526791*Deflactores!$Z$5</f>
        <v>1288.8251663960079</v>
      </c>
      <c r="K37" s="42">
        <f>1449.610576324*Deflactores!$AA$5</f>
        <v>1449.610576324</v>
      </c>
    </row>
    <row r="38" spans="1:11" x14ac:dyDescent="0.2">
      <c r="C38" s="88" t="s">
        <v>145</v>
      </c>
      <c r="D38" s="50">
        <f>58.97835*Deflactores!$T$5</f>
        <v>89.240289525746064</v>
      </c>
      <c r="E38" s="50">
        <f>117.767830496*Deflactores!$U$5</f>
        <v>175.37132184882466</v>
      </c>
      <c r="F38" s="50">
        <f>65.592240351*Deflactores!$V$5</f>
        <v>92.477951812118775</v>
      </c>
      <c r="G38" s="50">
        <f>152.679874662*Deflactores!$W$5</f>
        <v>190.29533241540372</v>
      </c>
      <c r="H38" s="50">
        <f>243.770270902*Deflactores!$X$5</f>
        <v>278.02662953510509</v>
      </c>
      <c r="I38" s="50">
        <f>186.90178941*Deflactores!$Y$5</f>
        <v>202.62982737612117</v>
      </c>
      <c r="J38" s="50">
        <f>176.267154181*Deflactores!$Z$5</f>
        <v>181.8270915621967</v>
      </c>
      <c r="K38" s="50">
        <f>225.900008151*Deflactores!$AA$5</f>
        <v>225.90000815100001</v>
      </c>
    </row>
    <row r="39" spans="1:11" x14ac:dyDescent="0.2">
      <c r="C39" s="87" t="s">
        <v>146</v>
      </c>
      <c r="D39" s="42">
        <f>40.346122132*Deflactores!$T$5</f>
        <v>61.047818738584432</v>
      </c>
      <c r="E39" s="42">
        <f>42.892189563*Deflactores!$U$5</f>
        <v>63.871941505360063</v>
      </c>
      <c r="F39" s="42">
        <f>70.796015878*Deflactores!$V$5</f>
        <v>99.814711463135211</v>
      </c>
      <c r="G39" s="42">
        <f>74.870463919*Deflactores!$W$5</f>
        <v>93.316161354615048</v>
      </c>
      <c r="H39" s="42">
        <f>87.870463919*Deflactores!$X$5</f>
        <v>100.21865598577055</v>
      </c>
      <c r="I39" s="42">
        <f>37.625364298*Deflactores!$Y$5</f>
        <v>40.791589511980867</v>
      </c>
      <c r="J39" s="42">
        <f>19.027537134*Deflactores!$Z$5</f>
        <v>19.62771653483609</v>
      </c>
      <c r="K39" s="42">
        <f>10*Deflactores!$AA$5</f>
        <v>10</v>
      </c>
    </row>
    <row r="40" spans="1:11" x14ac:dyDescent="0.2">
      <c r="C40" s="88" t="s">
        <v>162</v>
      </c>
      <c r="D40" s="50">
        <f>533.462898135*Deflactores!$T$5</f>
        <v>807.18405111046661</v>
      </c>
      <c r="E40" s="50">
        <f>587.125494067*Deflactores!$U$5</f>
        <v>874.30475327616114</v>
      </c>
      <c r="F40" s="50">
        <f>748.562235219*Deflactores!$V$5</f>
        <v>1055.3916430741217</v>
      </c>
      <c r="G40" s="50">
        <f>1025.306904989*Deflactores!$W$5</f>
        <v>1277.9098669331765</v>
      </c>
      <c r="H40" s="50">
        <f>1945.190785537*Deflactores!$X$5</f>
        <v>2218.543040151983</v>
      </c>
      <c r="I40" s="50">
        <f>1873.733030912*Deflactores!$Y$5</f>
        <v>2031.4101957031387</v>
      </c>
      <c r="J40" s="50">
        <f>1977.619120258*Deflactores!$Z$5</f>
        <v>2039.9985154639903</v>
      </c>
      <c r="K40" s="50">
        <f>2220.782465247*Deflactores!$AA$5</f>
        <v>2220.7824652469999</v>
      </c>
    </row>
    <row r="41" spans="1:11" x14ac:dyDescent="0.2">
      <c r="C41" s="87" t="s">
        <v>148</v>
      </c>
      <c r="D41" s="42">
        <f>150.61064771*Deflactores!$T$5</f>
        <v>227.88934935108466</v>
      </c>
      <c r="E41" s="42">
        <f>177.973974653*Deflactores!$U$5</f>
        <v>265.0259502797407</v>
      </c>
      <c r="F41" s="42">
        <f>214.222987376*Deflactores!$V$5</f>
        <v>302.03120060532927</v>
      </c>
      <c r="G41" s="42">
        <f>255.085613218*Deflactores!$W$5</f>
        <v>317.93058298722696</v>
      </c>
      <c r="H41" s="42">
        <f>249.063806801*Deflactores!$X$5</f>
        <v>284.06405132110177</v>
      </c>
      <c r="I41" s="42">
        <f>254.269322249*Deflactores!$Y$5</f>
        <v>275.66642907487079</v>
      </c>
      <c r="J41" s="42">
        <f>264.583564807*Deflactores!$Z$5</f>
        <v>272.92923793740158</v>
      </c>
      <c r="K41" s="42">
        <f>265.794300973*Deflactores!$AA$5</f>
        <v>265.79430097300002</v>
      </c>
    </row>
    <row r="42" spans="1:11" x14ac:dyDescent="0.2">
      <c r="C42" s="88" t="s">
        <v>149</v>
      </c>
      <c r="D42" s="50">
        <f>14.778*Deflactores!$T$5</f>
        <v>22.360628919111427</v>
      </c>
      <c r="E42" s="50">
        <f>0*Deflactores!$U$5</f>
        <v>0</v>
      </c>
      <c r="F42" s="50">
        <f>0*Deflactores!$V$5</f>
        <v>0</v>
      </c>
      <c r="G42" s="50">
        <f>0*Deflactores!$W$5</f>
        <v>0</v>
      </c>
      <c r="H42" s="50">
        <f>0*Deflactores!$X$5</f>
        <v>0</v>
      </c>
      <c r="I42" s="50">
        <f>806.350055307*Deflactores!$Y$5</f>
        <v>874.20550133502968</v>
      </c>
      <c r="J42" s="50">
        <f>503.674902708*Deflactores!$Z$5</f>
        <v>519.56215596597929</v>
      </c>
      <c r="K42" s="50">
        <f>200*Deflactores!$AA$5</f>
        <v>200</v>
      </c>
    </row>
    <row r="43" spans="1:11" x14ac:dyDescent="0.2">
      <c r="C43" s="87" t="s">
        <v>163</v>
      </c>
      <c r="D43" s="42">
        <f>3608.984847861*Deflactores!$T$5</f>
        <v>5460.7640382809332</v>
      </c>
      <c r="E43" s="42">
        <f>4286.925304835*Deflactores!$U$5</f>
        <v>6383.7786109308063</v>
      </c>
      <c r="F43" s="42">
        <f>2534.187077095*Deflactores!$V$5</f>
        <v>3572.9291932153465</v>
      </c>
      <c r="G43" s="42">
        <f>2667.539107948*Deflactores!$W$5</f>
        <v>3324.7357741274991</v>
      </c>
      <c r="H43" s="42">
        <f>2927.217261362*Deflactores!$X$5</f>
        <v>3338.5709671735881</v>
      </c>
      <c r="I43" s="42">
        <f>3503.082783503*Deflactores!$Y$5</f>
        <v>3797.8719302058016</v>
      </c>
      <c r="J43" s="42">
        <f>3699.600755797*Deflactores!$Z$5</f>
        <v>3816.2960563663705</v>
      </c>
      <c r="K43" s="42">
        <f>3865.835827663*Deflactores!$AA$5</f>
        <v>3865.8358276630001</v>
      </c>
    </row>
    <row r="44" spans="1:11" x14ac:dyDescent="0.2">
      <c r="C44" s="88" t="s">
        <v>150</v>
      </c>
      <c r="D44" s="50">
        <f>4513.114606101*Deflactores!$T$5</f>
        <v>6828.8050464505486</v>
      </c>
      <c r="E44" s="50">
        <f>4880.829689609*Deflactores!$U$5</f>
        <v>7268.1779971720844</v>
      </c>
      <c r="F44" s="50">
        <f>7619.875755481*Deflactores!$V$5</f>
        <v>10743.199182690531</v>
      </c>
      <c r="G44" s="50">
        <f>8618.152924772*Deflactores!$W$5</f>
        <v>10741.391288516981</v>
      </c>
      <c r="H44" s="50">
        <f>8819.917613877*Deflactores!$X$5</f>
        <v>10059.356122015985</v>
      </c>
      <c r="I44" s="50">
        <f>9607.832654119*Deflactores!$Y$5</f>
        <v>10416.344746128096</v>
      </c>
      <c r="J44" s="50">
        <f>8351.582413401*Deflactores!$Z$5</f>
        <v>8615.0136548490354</v>
      </c>
      <c r="K44" s="50">
        <f>10011.880536984*Deflactores!$AA$5</f>
        <v>10011.880536983999</v>
      </c>
    </row>
    <row r="45" spans="1:11" x14ac:dyDescent="0.2">
      <c r="C45" s="87" t="s">
        <v>151</v>
      </c>
      <c r="D45" s="42">
        <f>1956.813877382*Deflactores!$T$5</f>
        <v>2960.8599929561856</v>
      </c>
      <c r="E45" s="42">
        <f>1995.97249401*Deflactores!$U$5</f>
        <v>2972.2576460327846</v>
      </c>
      <c r="F45" s="42">
        <f>3233.300557485*Deflactores!$V$5</f>
        <v>4558.6034498764602</v>
      </c>
      <c r="G45" s="42">
        <f>3165.347167423*Deflactores!$W$5</f>
        <v>3945.1878826098709</v>
      </c>
      <c r="H45" s="42">
        <f>5008.42949458*Deflactores!$X$5</f>
        <v>5712.2501709902426</v>
      </c>
      <c r="I45" s="42">
        <f>5366.906197157*Deflactores!$Y$5</f>
        <v>5818.5386009769927</v>
      </c>
      <c r="J45" s="42">
        <f>4001.528694152*Deflactores!$Z$5</f>
        <v>4127.7476092523211</v>
      </c>
      <c r="K45" s="42">
        <f>2578.250963359*Deflactores!$AA$5</f>
        <v>2578.2509633589998</v>
      </c>
    </row>
    <row r="46" spans="1:11" ht="21" customHeight="1" x14ac:dyDescent="0.2">
      <c r="C46" s="79" t="s">
        <v>202</v>
      </c>
      <c r="D46" s="44">
        <f t="shared" ref="D46:K46" si="0">+SUM(D15:D45)</f>
        <v>50642.365193143887</v>
      </c>
      <c r="E46" s="44">
        <f t="shared" si="0"/>
        <v>53062.213684450733</v>
      </c>
      <c r="F46" s="44">
        <f t="shared" si="0"/>
        <v>69616.919841775962</v>
      </c>
      <c r="G46" s="44">
        <f t="shared" si="0"/>
        <v>73898.715286684921</v>
      </c>
      <c r="H46" s="44">
        <f t="shared" si="0"/>
        <v>82065.969721881935</v>
      </c>
      <c r="I46" s="44">
        <f t="shared" si="0"/>
        <v>83572.539394894236</v>
      </c>
      <c r="J46" s="44">
        <f t="shared" si="0"/>
        <v>66365.109030251595</v>
      </c>
      <c r="K46" s="44">
        <f t="shared" si="0"/>
        <v>72398.834419033999</v>
      </c>
    </row>
    <row r="47" spans="1:11" s="31" customFormat="1" x14ac:dyDescent="0.2">
      <c r="A47" s="5"/>
      <c r="B47" s="5"/>
      <c r="C47" s="72" t="str">
        <f>+'C1 Aprop Resumen 2000-2026'!B20</f>
        <v>* Información con corte a 28 de febrero</v>
      </c>
      <c r="D47" s="121">
        <f>+D46-'C6 Ejec. Nac 19-26'!D32</f>
        <v>0</v>
      </c>
      <c r="E47" s="121">
        <f>+E46-'C6 Ejec. Nac 19-26'!E32</f>
        <v>0</v>
      </c>
      <c r="F47" s="121">
        <f>+F46-'C6 Ejec. Nac 19-26'!F32</f>
        <v>0</v>
      </c>
      <c r="G47" s="121">
        <f>+G46-'C6 Ejec. Nac 19-26'!G32</f>
        <v>0</v>
      </c>
      <c r="H47" s="121">
        <f>+H46-'C6 Ejec. Nac 19-26'!H32</f>
        <v>0</v>
      </c>
      <c r="I47" s="121">
        <f>+I46-'C6 Ejec. Nac 19-26'!I32</f>
        <v>0</v>
      </c>
      <c r="J47" s="121">
        <f>+J46-'C6 Ejec. Nac 19-26'!J32</f>
        <v>0</v>
      </c>
      <c r="K47" s="121">
        <f>+K46-'C6 Ejec. Nac 19-26'!K32</f>
        <v>0</v>
      </c>
    </row>
    <row r="48" spans="1:11" x14ac:dyDescent="0.2">
      <c r="C48" s="1" t="s">
        <v>52</v>
      </c>
      <c r="D48" s="10"/>
      <c r="E48" s="10"/>
      <c r="F48" s="10"/>
      <c r="G48" s="10"/>
      <c r="H48" s="10"/>
    </row>
    <row r="49" spans="3:11" x14ac:dyDescent="0.2">
      <c r="D49" s="10"/>
    </row>
    <row r="50" spans="3:11" x14ac:dyDescent="0.2">
      <c r="D50" s="10"/>
    </row>
    <row r="51" spans="3:11" x14ac:dyDescent="0.2">
      <c r="D51" s="10"/>
    </row>
    <row r="53" spans="3:11" ht="18" customHeight="1" x14ac:dyDescent="0.2">
      <c r="D53" s="160" t="s">
        <v>211</v>
      </c>
      <c r="E53" s="178"/>
      <c r="F53" s="178"/>
      <c r="G53" s="178"/>
      <c r="H53" s="178"/>
      <c r="I53" s="178"/>
      <c r="J53" s="178"/>
      <c r="K53" s="178"/>
    </row>
    <row r="54" spans="3:11" ht="11.25" hidden="1" customHeight="1" x14ac:dyDescent="0.2">
      <c r="D54" s="28"/>
    </row>
    <row r="55" spans="3:11" x14ac:dyDescent="0.2">
      <c r="C55" s="150"/>
      <c r="D55" s="150"/>
      <c r="E55" s="150"/>
      <c r="F55" s="150"/>
      <c r="G55" s="150"/>
      <c r="H55" s="150"/>
      <c r="I55" s="150"/>
      <c r="J55" s="150"/>
    </row>
    <row r="56" spans="3:11" ht="12" thickBot="1" x14ac:dyDescent="0.25">
      <c r="C56" s="177" t="s">
        <v>120</v>
      </c>
      <c r="D56" s="153">
        <v>2019</v>
      </c>
      <c r="E56" s="153">
        <v>2020</v>
      </c>
      <c r="F56" s="153">
        <v>2021</v>
      </c>
      <c r="G56" s="153">
        <v>2022</v>
      </c>
      <c r="H56" s="153">
        <v>2023</v>
      </c>
      <c r="I56" s="153">
        <v>2024</v>
      </c>
      <c r="J56" s="153">
        <v>2025</v>
      </c>
      <c r="K56" s="153" t="s">
        <v>36</v>
      </c>
    </row>
    <row r="57" spans="3:11" ht="12" customHeight="1" thickBot="1" x14ac:dyDescent="0.25">
      <c r="C57" s="156"/>
      <c r="D57" s="154"/>
      <c r="E57" s="154"/>
      <c r="F57" s="154"/>
      <c r="G57" s="154"/>
      <c r="H57" s="154"/>
      <c r="I57" s="154"/>
      <c r="J57" s="154"/>
      <c r="K57" s="154"/>
    </row>
    <row r="58" spans="3:11" x14ac:dyDescent="0.2">
      <c r="C58" s="87" t="s">
        <v>123</v>
      </c>
      <c r="D58" s="42">
        <f>1404.14782862822*Deflactores!$T$5</f>
        <v>2124.6196064103187</v>
      </c>
      <c r="E58" s="42">
        <f>990.40824020897*Deflactores!$U$5</f>
        <v>1474.844204260982</v>
      </c>
      <c r="F58" s="42">
        <f>1571.26912269242*Deflactores!$V$5</f>
        <v>2215.3192120690301</v>
      </c>
      <c r="G58" s="42">
        <f>1553.93507047853*Deflactores!$W$5</f>
        <v>1936.7751738288732</v>
      </c>
      <c r="H58" s="42">
        <f>4035.83661742135*Deflactores!$X$5</f>
        <v>4602.9815200357616</v>
      </c>
      <c r="I58" s="42">
        <f>6525.33252325709*Deflactores!$Y$5</f>
        <v>7074.4480667269036</v>
      </c>
      <c r="J58" s="42">
        <f>3901.20504799269*Deflactores!$Z$5</f>
        <v>4024.2594870277417</v>
      </c>
      <c r="K58" s="42">
        <f>1215.42163001457*Deflactores!$AA$5</f>
        <v>1215.4216300145699</v>
      </c>
    </row>
    <row r="59" spans="3:11" x14ac:dyDescent="0.2">
      <c r="C59" s="88" t="s">
        <v>124</v>
      </c>
      <c r="D59" s="50">
        <f>192.67659888848*Deflactores!$T$5</f>
        <v>291.53944573973325</v>
      </c>
      <c r="E59" s="50">
        <f>245.8151425416*Deflactores!$U$5</f>
        <v>366.05010295610265</v>
      </c>
      <c r="F59" s="50">
        <f>453.23893047894*Deflactores!$V$5</f>
        <v>639.01778240707165</v>
      </c>
      <c r="G59" s="50">
        <f>619.48206390437*Deflactores!$W$5</f>
        <v>772.10271188022102</v>
      </c>
      <c r="H59" s="50">
        <f>1095.3441357279*Deflactores!$X$5</f>
        <v>1249.2698027147831</v>
      </c>
      <c r="I59" s="50">
        <f>1249.44996289236*Deflactores!$Y$5</f>
        <v>1354.59286449418</v>
      </c>
      <c r="J59" s="50">
        <f>789.77001283758*Deflactores!$Z$5</f>
        <v>814.681470887302</v>
      </c>
      <c r="K59" s="50">
        <f>400.410757479339*Deflactores!$AA$5</f>
        <v>400.410757479339</v>
      </c>
    </row>
    <row r="60" spans="3:11" x14ac:dyDescent="0.2">
      <c r="C60" s="87" t="s">
        <v>125</v>
      </c>
      <c r="D60" s="42">
        <f>327.372708889349*Deflactores!$T$5</f>
        <v>495.34846810928565</v>
      </c>
      <c r="E60" s="42">
        <f>243.643233944079*Deflactores!$U$5</f>
        <v>362.81585400986745</v>
      </c>
      <c r="F60" s="42">
        <f>383.2487069391*Deflactores!$V$5</f>
        <v>540.339150831133</v>
      </c>
      <c r="G60" s="42">
        <f>302.683368367509*Deflactores!$W$5</f>
        <v>377.25490885829828</v>
      </c>
      <c r="H60" s="42">
        <f>451.84911058533*Deflactores!$X$5</f>
        <v>515.34621022338774</v>
      </c>
      <c r="I60" s="42">
        <f>341.72148436872*Deflactores!$Y$5</f>
        <v>370.47780873006906</v>
      </c>
      <c r="J60" s="42">
        <f>249.2123277102*Deflactores!$Z$5</f>
        <v>257.07315091988414</v>
      </c>
      <c r="K60" s="42">
        <f>166.758762666*Deflactores!$AA$5</f>
        <v>166.758762666</v>
      </c>
    </row>
    <row r="61" spans="3:11" x14ac:dyDescent="0.2">
      <c r="C61" s="88" t="s">
        <v>126</v>
      </c>
      <c r="D61" s="50">
        <f>197.24931763552*Deflactores!$T$5</f>
        <v>298.45843796155123</v>
      </c>
      <c r="E61" s="50">
        <f>210.471278617659*Deflactores!$U$5</f>
        <v>313.41858117735131</v>
      </c>
      <c r="F61" s="50">
        <f>318.98651550106*Deflactores!$V$5</f>
        <v>449.73642387217177</v>
      </c>
      <c r="G61" s="50">
        <f>303.9895879126*Deflactores!$W$5</f>
        <v>378.88293929184994</v>
      </c>
      <c r="H61" s="50">
        <f>460.02047952681*Deflactores!$X$5</f>
        <v>524.66587893065537</v>
      </c>
      <c r="I61" s="50">
        <f>184.601879886389*Deflactores!$Y$5</f>
        <v>200.13637736036088</v>
      </c>
      <c r="J61" s="50">
        <f>224.71977121763*Deflactores!$Z$5</f>
        <v>231.80803370244837</v>
      </c>
      <c r="K61" s="50">
        <f>173.10468814024*Deflactores!$AA$5</f>
        <v>173.10468814024</v>
      </c>
    </row>
    <row r="62" spans="3:11" x14ac:dyDescent="0.2">
      <c r="C62" s="87" t="s">
        <v>127</v>
      </c>
      <c r="D62" s="42">
        <f>85.0317916714599*Deflactores!$T$5</f>
        <v>128.66181755939263</v>
      </c>
      <c r="E62" s="42">
        <f>82.08811447538*Deflactores!$U$5</f>
        <v>122.23967345746414</v>
      </c>
      <c r="F62" s="42">
        <f>113.121567184129*Deflactores!$V$5</f>
        <v>159.48915272575758</v>
      </c>
      <c r="G62" s="42">
        <f>180.03564532904*Deflactores!$W$5</f>
        <v>224.390693602254</v>
      </c>
      <c r="H62" s="42">
        <f>264.313946154429*Deflactores!$X$5</f>
        <v>301.45725037152687</v>
      </c>
      <c r="I62" s="42">
        <f>260.20243270279*Deflactores!$Y$5</f>
        <v>282.0988187852638</v>
      </c>
      <c r="J62" s="42">
        <f>198.71816047376*Deflactores!$Z$5</f>
        <v>204.98626262741581</v>
      </c>
      <c r="K62" s="42">
        <f>175.75571133176*Deflactores!$AA$5</f>
        <v>175.75571133176001</v>
      </c>
    </row>
    <row r="63" spans="3:11" x14ac:dyDescent="0.2">
      <c r="C63" s="88" t="s">
        <v>128</v>
      </c>
      <c r="D63" s="50">
        <f>138.26560700624*Deflactores!$T$5</f>
        <v>209.21003725417688</v>
      </c>
      <c r="E63" s="50">
        <f>133.90501217199*Deflactores!$U$5</f>
        <v>199.40164379255035</v>
      </c>
      <c r="F63" s="50">
        <f>359.94595309854*Deflactores!$V$5</f>
        <v>507.48479282742562</v>
      </c>
      <c r="G63" s="50">
        <f>350.301110505762*Deflactores!$W$5</f>
        <v>436.6041458754878</v>
      </c>
      <c r="H63" s="50">
        <f>486.395040145094*Deflactores!$X$5</f>
        <v>554.74678324699323</v>
      </c>
      <c r="I63" s="50">
        <f>963.291395357899*Deflactores!$Y$5</f>
        <v>1044.3536670806773</v>
      </c>
      <c r="J63" s="50">
        <f>716.38134140273*Deflactores!$Z$5</f>
        <v>738.97792451410703</v>
      </c>
      <c r="K63" s="50">
        <f>348.70944305942*Deflactores!$AA$5</f>
        <v>348.70944305941998</v>
      </c>
    </row>
    <row r="64" spans="3:11" x14ac:dyDescent="0.2">
      <c r="C64" s="87" t="s">
        <v>129</v>
      </c>
      <c r="D64" s="42">
        <f>1053.89981363973*Deflactores!$T$5</f>
        <v>1594.6584551846454</v>
      </c>
      <c r="E64" s="42">
        <f>1328.11968968863*Deflactores!$U$5</f>
        <v>1977.739630365839</v>
      </c>
      <c r="F64" s="42">
        <f>2018.14714029689*Deflactores!$V$5</f>
        <v>2845.3687965438694</v>
      </c>
      <c r="G64" s="42">
        <f>1949.02550969444*Deflactores!$W$5</f>
        <v>2429.2033123191632</v>
      </c>
      <c r="H64" s="42">
        <f>1826.43670990824*Deflactores!$X$5</f>
        <v>2083.1007843410007</v>
      </c>
      <c r="I64" s="42">
        <f>2813.11417452458*Deflactores!$Y$5</f>
        <v>3049.8415310663518</v>
      </c>
      <c r="J64" s="42">
        <f>2168.0641981001*Deflactores!$Z$5</f>
        <v>2236.4507403113225</v>
      </c>
      <c r="K64" s="42">
        <f>1536.46673480539*Deflactores!$AA$5</f>
        <v>1536.4667348053899</v>
      </c>
    </row>
    <row r="65" spans="3:11" x14ac:dyDescent="0.2">
      <c r="C65" s="88" t="s">
        <v>130</v>
      </c>
      <c r="D65" s="50">
        <f>444.223760381949*Deflactores!$T$5</f>
        <v>672.15608762708302</v>
      </c>
      <c r="E65" s="50">
        <f>403.02721940475*Deflactores!$U$5</f>
        <v>600.15893907859595</v>
      </c>
      <c r="F65" s="50">
        <f>696.8199241366*Deflactores!$V$5</f>
        <v>982.44059085635899</v>
      </c>
      <c r="G65" s="50">
        <f>829.17265326404*Deflactores!$W$5</f>
        <v>1033.4543831133628</v>
      </c>
      <c r="H65" s="50">
        <f>650.19622214562*Deflactores!$X$5</f>
        <v>741.56649008393117</v>
      </c>
      <c r="I65" s="50">
        <f>929.65762236639*Deflactores!$Y$5</f>
        <v>1007.8895666737686</v>
      </c>
      <c r="J65" s="50">
        <f>396.25331116953*Deflactores!$Z$5</f>
        <v>408.75220018507588</v>
      </c>
      <c r="K65" s="50">
        <f>345.69896681433*Deflactores!$AA$5</f>
        <v>345.69896681432999</v>
      </c>
    </row>
    <row r="66" spans="3:11" x14ac:dyDescent="0.2">
      <c r="C66" s="87" t="s">
        <v>131</v>
      </c>
      <c r="D66" s="42">
        <f>4050.95447037366*Deflactores!$T$5</f>
        <v>6129.509384236093</v>
      </c>
      <c r="E66" s="42">
        <f>3981.92212260366*Deflactores!$U$5</f>
        <v>5929.5899669630053</v>
      </c>
      <c r="F66" s="42">
        <f>4846.41271580845*Deflactores!$V$5</f>
        <v>6832.9168083880004</v>
      </c>
      <c r="G66" s="42">
        <f>5517.98010916356*Deflactores!$W$5</f>
        <v>6877.4346419882659</v>
      </c>
      <c r="H66" s="42">
        <f>7369.36767830183*Deflactores!$X$5</f>
        <v>8404.964435662816</v>
      </c>
      <c r="I66" s="42">
        <f>8037.75249255034*Deflactores!$Y$5</f>
        <v>8714.1402187684016</v>
      </c>
      <c r="J66" s="42">
        <f>6733.87455862854*Deflactores!$Z$5</f>
        <v>6946.2789685866383</v>
      </c>
      <c r="K66" s="42">
        <f>1358.39795448575*Deflactores!$AA$5</f>
        <v>1358.39795448575</v>
      </c>
    </row>
    <row r="67" spans="3:11" x14ac:dyDescent="0.2">
      <c r="C67" s="88" t="s">
        <v>132</v>
      </c>
      <c r="D67" s="50">
        <f>17.26052396833*Deflactores!$T$5</f>
        <v>26.116942171150068</v>
      </c>
      <c r="E67" s="50">
        <f>19.7374142852399*Deflactores!$U$5</f>
        <v>29.391527537717202</v>
      </c>
      <c r="F67" s="50">
        <f>19.4154369081999*Deflactores!$V$5</f>
        <v>27.373662329561959</v>
      </c>
      <c r="G67" s="50">
        <f>17.39965048973*Deflactores!$W$5</f>
        <v>21.686370133490122</v>
      </c>
      <c r="H67" s="50">
        <f>19.19764458816*Deflactores!$X$5</f>
        <v>21.895436224069865</v>
      </c>
      <c r="I67" s="50">
        <f>17.1516034009*Deflactores!$Y$5</f>
        <v>18.594933988160687</v>
      </c>
      <c r="J67" s="50">
        <f>16.02565818293*Deflactores!$Z$5</f>
        <v>16.53115029462575</v>
      </c>
      <c r="K67" s="50">
        <f>2.707992348*Deflactores!$AA$5</f>
        <v>2.7079923479999999</v>
      </c>
    </row>
    <row r="68" spans="3:11" x14ac:dyDescent="0.2">
      <c r="C68" s="87" t="s">
        <v>133</v>
      </c>
      <c r="D68" s="42">
        <f>112.223584678999*Deflactores!$T$5</f>
        <v>169.80578785895082</v>
      </c>
      <c r="E68" s="42">
        <f>120.963758345869*Deflactores!$U$5</f>
        <v>180.13046608375248</v>
      </c>
      <c r="F68" s="42">
        <f>121.70798864205*Deflactores!$V$5</f>
        <v>171.59507662125162</v>
      </c>
      <c r="G68" s="42">
        <f>168.20035360599*Deflactores!$W$5</f>
        <v>209.63956299216568</v>
      </c>
      <c r="H68" s="42">
        <f>193.49738372993*Deflactores!$X$5</f>
        <v>220.68903325754945</v>
      </c>
      <c r="I68" s="42">
        <f>228.64600854682*Deflactores!$Y$5</f>
        <v>247.88687892360221</v>
      </c>
      <c r="J68" s="42">
        <f>316.223321697129*Deflactores!$Z$5</f>
        <v>326.19785084454276</v>
      </c>
      <c r="K68" s="42">
        <f>167.5837197549*Deflactores!$AA$5</f>
        <v>167.58371975489999</v>
      </c>
    </row>
    <row r="69" spans="3:11" x14ac:dyDescent="0.2">
      <c r="C69" s="88" t="s">
        <v>134</v>
      </c>
      <c r="D69" s="50">
        <f>1169.71891650553*Deflactores!$T$5</f>
        <v>1769.9046306432019</v>
      </c>
      <c r="E69" s="50">
        <f>987.04384689056*Deflactores!$U$5</f>
        <v>1469.8341934542618</v>
      </c>
      <c r="F69" s="50">
        <f>1616.70723046888*Deflactores!$V$5</f>
        <v>2279.3820207015647</v>
      </c>
      <c r="G69" s="50">
        <f>1976.41625472326*Deflactores!$W$5</f>
        <v>2463.3422644364859</v>
      </c>
      <c r="H69" s="50">
        <f>1640.47182457508*Deflactores!$X$5</f>
        <v>1871.0027705440421</v>
      </c>
      <c r="I69" s="50">
        <f>2963.56877232382*Deflactores!$Y$5</f>
        <v>3212.9570864403372</v>
      </c>
      <c r="J69" s="50">
        <f>2443.69903140145*Deflactores!$Z$5</f>
        <v>2520.7798333024753</v>
      </c>
      <c r="K69" s="50">
        <f>3753.67928728834*Deflactores!$AA$5</f>
        <v>3753.6792872883402</v>
      </c>
    </row>
    <row r="70" spans="3:11" x14ac:dyDescent="0.2">
      <c r="C70" s="87" t="s">
        <v>135</v>
      </c>
      <c r="D70" s="42">
        <f>0*Deflactores!$T$5</f>
        <v>0</v>
      </c>
      <c r="E70" s="42">
        <f>0*Deflactores!$U$5</f>
        <v>0</v>
      </c>
      <c r="F70" s="42">
        <f>0*Deflactores!$V$5</f>
        <v>0</v>
      </c>
      <c r="G70" s="42">
        <f>0*Deflactores!$W$5</f>
        <v>0</v>
      </c>
      <c r="H70" s="42">
        <f>0*Deflactores!$X$5</f>
        <v>0</v>
      </c>
      <c r="I70" s="42">
        <f>6476.39146826265*Deflactores!$Y$5</f>
        <v>7021.3885558659658</v>
      </c>
      <c r="J70" s="42">
        <f>6735.4282111402*Deflactores!$Z$5</f>
        <v>6947.8816274529818</v>
      </c>
      <c r="K70" s="42">
        <f>3698.43467245304*Deflactores!$AA$5</f>
        <v>3698.4346724530401</v>
      </c>
    </row>
    <row r="71" spans="3:11" x14ac:dyDescent="0.2">
      <c r="C71" s="88" t="s">
        <v>136</v>
      </c>
      <c r="D71" s="50">
        <f>7951.17159324398*Deflactores!$T$5</f>
        <v>12030.937709345555</v>
      </c>
      <c r="E71" s="50">
        <f>8575.50480492746*Deflactores!$U$5</f>
        <v>12770.020529605967</v>
      </c>
      <c r="F71" s="50">
        <f>11914.9247066506*Deflactores!$V$5</f>
        <v>16798.752824576433</v>
      </c>
      <c r="G71" s="50">
        <f>19048.9440520717*Deflactores!$W$5</f>
        <v>23741.997094091192</v>
      </c>
      <c r="H71" s="50">
        <f>15296.3502105005*Deflactores!$X$5</f>
        <v>17445.903790802069</v>
      </c>
      <c r="I71" s="50">
        <f>10863.196471742*Deflactores!$Y$5</f>
        <v>11777.349124214412</v>
      </c>
      <c r="J71" s="50">
        <f>8784.72130867526*Deflactores!$Z$5</f>
        <v>9061.8149090935476</v>
      </c>
      <c r="K71" s="50">
        <f>2154.06820256374*Deflactores!$AA$5</f>
        <v>2154.0682025637402</v>
      </c>
    </row>
    <row r="72" spans="3:11" x14ac:dyDescent="0.2">
      <c r="C72" s="87" t="s">
        <v>137</v>
      </c>
      <c r="D72" s="42">
        <f>179.519353133389*Deflactores!$T$5</f>
        <v>271.63118413957466</v>
      </c>
      <c r="E72" s="42">
        <f>169.66980518353*Deflactores!$U$5</f>
        <v>252.65998267564976</v>
      </c>
      <c r="F72" s="42">
        <f>217.88851002534*Deflactores!$V$5</f>
        <v>307.19919037237992</v>
      </c>
      <c r="G72" s="42">
        <f>251.49912177299*Deflactores!$W$5</f>
        <v>313.46049429188275</v>
      </c>
      <c r="H72" s="42">
        <f>634.72125268396*Deflactores!$X$5</f>
        <v>723.91686617505957</v>
      </c>
      <c r="I72" s="42">
        <f>949.73573878064*Deflactores!$Y$5</f>
        <v>1029.6572836972391</v>
      </c>
      <c r="J72" s="42">
        <f>687.39561462353*Deflactores!$Z$5</f>
        <v>709.07791040446466</v>
      </c>
      <c r="K72" s="42">
        <f>247.73993596512*Deflactores!$AA$5</f>
        <v>247.73993596512</v>
      </c>
    </row>
    <row r="73" spans="3:11" x14ac:dyDescent="0.2">
      <c r="C73" s="88" t="s">
        <v>138</v>
      </c>
      <c r="D73" s="50">
        <f>7.24011327854*Deflactores!$T$5</f>
        <v>10.95503358734363</v>
      </c>
      <c r="E73" s="50">
        <f>7.09158704076*Deflactores!$U$5</f>
        <v>10.56027769303534</v>
      </c>
      <c r="F73" s="50">
        <f>7.62840792554*Deflactores!$V$5</f>
        <v>10.75522861799182</v>
      </c>
      <c r="G73" s="50">
        <f>7.00219109229*Deflactores!$W$5</f>
        <v>8.7273079342862605</v>
      </c>
      <c r="H73" s="50">
        <f>28.58911039884*Deflactores!$X$5</f>
        <v>32.606658622420625</v>
      </c>
      <c r="I73" s="50">
        <f>39.42857062632*Deflactores!$Y$5</f>
        <v>42.746538087831489</v>
      </c>
      <c r="J73" s="50">
        <f>35.1851783793699*Deflactores!$Z$5</f>
        <v>36.29501299061377</v>
      </c>
      <c r="K73" s="50">
        <f>7.3980481558*Deflactores!$AA$5</f>
        <v>7.3980481557999997</v>
      </c>
    </row>
    <row r="74" spans="3:11" x14ac:dyDescent="0.2">
      <c r="C74" s="87" t="s">
        <v>160</v>
      </c>
      <c r="D74" s="42">
        <f>90.8150400894*Deflactores!$T$5</f>
        <v>137.41246526683591</v>
      </c>
      <c r="E74" s="42">
        <f>204.8316122369*Deflactores!$U$5</f>
        <v>305.02039855129306</v>
      </c>
      <c r="F74" s="42">
        <f>337.176317504449*Deflactores!$V$5</f>
        <v>475.38207378654829</v>
      </c>
      <c r="G74" s="42">
        <f>527.31773120062*Deflactores!$W$5</f>
        <v>657.23202333970278</v>
      </c>
      <c r="H74" s="42">
        <f>459.49130289419*Deflactores!$X$5</f>
        <v>524.06233857665052</v>
      </c>
      <c r="I74" s="42">
        <f>487.09482211411*Deflactores!$Y$5</f>
        <v>528.0845091550724</v>
      </c>
      <c r="J74" s="42">
        <f>461.12502309919*Deflactores!$Z$5</f>
        <v>475.67013937593953</v>
      </c>
      <c r="K74" s="42">
        <f>118.74233953698*Deflactores!$AA$5</f>
        <v>118.74233953698</v>
      </c>
    </row>
    <row r="75" spans="3:11" x14ac:dyDescent="0.2">
      <c r="C75" s="88" t="s">
        <v>161</v>
      </c>
      <c r="D75" s="50">
        <f>269.58784915244*Deflactores!$T$5</f>
        <v>407.91405169840976</v>
      </c>
      <c r="E75" s="50">
        <f>351.93193547118*Deflactores!$U$5</f>
        <v>524.07154368435431</v>
      </c>
      <c r="F75" s="50">
        <f>399.29915884968*Deflactores!$V$5</f>
        <v>562.96854891856572</v>
      </c>
      <c r="G75" s="50">
        <f>386.70711822953*Deflactores!$W$5</f>
        <v>481.97943424960414</v>
      </c>
      <c r="H75" s="50">
        <f>341.70574375636*Deflactores!$X$5</f>
        <v>389.72470218716734</v>
      </c>
      <c r="I75" s="50">
        <f>572.39793868475*Deflactores!$Y$5</f>
        <v>620.56599817622089</v>
      </c>
      <c r="J75" s="50">
        <f>526.71303305281*Deflactores!$Z$5</f>
        <v>543.32697054581956</v>
      </c>
      <c r="K75" s="50">
        <f>172.786082997*Deflactores!$AA$5</f>
        <v>172.78608299699999</v>
      </c>
    </row>
    <row r="76" spans="3:11" x14ac:dyDescent="0.2">
      <c r="C76" s="87" t="s">
        <v>140</v>
      </c>
      <c r="D76" s="42">
        <f>2947.84209677741*Deflactores!$T$5</f>
        <v>4460.3872809700242</v>
      </c>
      <c r="E76" s="42">
        <f>2957.58303695216*Deflactores!$U$5</f>
        <v>4404.2184056840406</v>
      </c>
      <c r="F76" s="42">
        <f>4294.83381059289*Deflactores!$V$5</f>
        <v>6055.2503169837591</v>
      </c>
      <c r="G76" s="42">
        <f>4053.36020428291*Deflactores!$W$5</f>
        <v>5051.9790455746315</v>
      </c>
      <c r="H76" s="42">
        <f>6370.78567600493*Deflactores!$X$5</f>
        <v>7266.0544800487587</v>
      </c>
      <c r="I76" s="42">
        <f>6756.589148683*Deflactores!$Y$5</f>
        <v>7325.1652494652799</v>
      </c>
      <c r="J76" s="42">
        <f>6184.15258352854*Deflactores!$Z$5</f>
        <v>6379.2172924355546</v>
      </c>
      <c r="K76" s="42">
        <f>2734.15315111457*Deflactores!$AA$5</f>
        <v>2734.1531511145699</v>
      </c>
    </row>
    <row r="77" spans="3:11" x14ac:dyDescent="0.2">
      <c r="C77" s="88" t="s">
        <v>141</v>
      </c>
      <c r="D77" s="50">
        <f>150.28931646502*Deflactores!$T$5</f>
        <v>227.40314223719145</v>
      </c>
      <c r="E77" s="50">
        <f>203.082940816609*Deflactores!$U$5</f>
        <v>302.41640374928204</v>
      </c>
      <c r="F77" s="50">
        <f>300.75663554628*Deflactores!$V$5</f>
        <v>424.03426838887987</v>
      </c>
      <c r="G77" s="50">
        <f>322.99075886375*Deflactores!$W$5</f>
        <v>402.56539351468496</v>
      </c>
      <c r="H77" s="50">
        <f>520.29727482276*Deflactores!$X$5</f>
        <v>593.41320473580936</v>
      </c>
      <c r="I77" s="50">
        <f>461.550373040819*Deflactores!$Y$5</f>
        <v>500.39046019771058</v>
      </c>
      <c r="J77" s="50">
        <f>364.29935462833*Deflactores!$Z$5</f>
        <v>375.79033040969432</v>
      </c>
      <c r="K77" s="50">
        <f>176.33635236004*Deflactores!$AA$5</f>
        <v>176.33635236004</v>
      </c>
    </row>
    <row r="78" spans="3:11" x14ac:dyDescent="0.2">
      <c r="C78" s="87" t="s">
        <v>142</v>
      </c>
      <c r="D78" s="42">
        <f>269.525839756349*Deflactores!$T$5</f>
        <v>407.82022512543034</v>
      </c>
      <c r="E78" s="42">
        <f>186.89580544895*Deflactores!$U$5</f>
        <v>278.31169438666336</v>
      </c>
      <c r="F78" s="42">
        <f>516.55555375496*Deflactores!$V$5</f>
        <v>728.28736071225273</v>
      </c>
      <c r="G78" s="42">
        <f>1030.49267358223*Deflactores!$W$5</f>
        <v>1284.3732437237502</v>
      </c>
      <c r="H78" s="42">
        <f>1288.00418734759*Deflactores!$X$5</f>
        <v>1469.0038359079269</v>
      </c>
      <c r="I78" s="42">
        <f>817.132259292449*Deflactores!$Y$5</f>
        <v>885.89504234585934</v>
      </c>
      <c r="J78" s="42">
        <f>602.660741276309*Deflactores!$Z$5</f>
        <v>621.67027257084123</v>
      </c>
      <c r="K78" s="42">
        <f>423.24534709597*Deflactores!$AA$5</f>
        <v>423.24534709596998</v>
      </c>
    </row>
    <row r="79" spans="3:11" x14ac:dyDescent="0.2">
      <c r="C79" s="88" t="s">
        <v>143</v>
      </c>
      <c r="D79" s="50">
        <f>259.46174088117*Deflactores!$T$5</f>
        <v>392.59221183857665</v>
      </c>
      <c r="E79" s="50">
        <f>683.62923952745*Deflactores!$U$5</f>
        <v>1018.011140100842</v>
      </c>
      <c r="F79" s="50">
        <f>2298.07416872874*Deflactores!$V$5</f>
        <v>3240.0355758412707</v>
      </c>
      <c r="G79" s="50">
        <f>1208.08034877217*Deflactores!$W$5</f>
        <v>1505.7128653206448</v>
      </c>
      <c r="H79" s="50">
        <f>2159.10552439612*Deflactores!$X$5</f>
        <v>2462.5186227068916</v>
      </c>
      <c r="I79" s="50">
        <f>696.05167274012*Deflactores!$Y$5</f>
        <v>754.62536093110657</v>
      </c>
      <c r="J79" s="50">
        <f>480.185708624419*Deflactores!$Z$5</f>
        <v>495.33204989090279</v>
      </c>
      <c r="K79" s="50">
        <f>93.46487724944*Deflactores!$AA$5</f>
        <v>93.464877249439994</v>
      </c>
    </row>
    <row r="80" spans="3:11" x14ac:dyDescent="0.2">
      <c r="C80" s="87" t="s">
        <v>144</v>
      </c>
      <c r="D80" s="42">
        <f>321.45615513963*Deflactores!$T$5</f>
        <v>486.39611576949386</v>
      </c>
      <c r="E80" s="42">
        <f>262.37118981223*Deflactores!$U$5</f>
        <v>390.70416919994523</v>
      </c>
      <c r="F80" s="42">
        <f>410.751881874079*Deflactores!$V$5</f>
        <v>579.11564745187218</v>
      </c>
      <c r="G80" s="42">
        <f>489.71873122904*Deflactores!$W$5</f>
        <v>610.36982742869623</v>
      </c>
      <c r="H80" s="42">
        <f>709.58348720248*Deflactores!$X$5</f>
        <v>809.2992824378623</v>
      </c>
      <c r="I80" s="42">
        <f>993.701711954949*Deflactores!$Y$5</f>
        <v>1077.323052884662</v>
      </c>
      <c r="J80" s="42">
        <f>1184.2927216499*Deflactores!$Z$5</f>
        <v>1221.6484808891912</v>
      </c>
      <c r="K80" s="42">
        <f>220.16156055025*Deflactores!$AA$5</f>
        <v>220.16156055024999</v>
      </c>
    </row>
    <row r="81" spans="1:11" x14ac:dyDescent="0.2">
      <c r="C81" s="88" t="s">
        <v>145</v>
      </c>
      <c r="D81" s="50">
        <f>58.978342967*Deflactores!$T$5</f>
        <v>89.240278884096114</v>
      </c>
      <c r="E81" s="50">
        <f>116.956398882*Deflactores!$U$5</f>
        <v>174.16299667090658</v>
      </c>
      <c r="F81" s="50">
        <f>63.501036954*Deflactores!$V$5</f>
        <v>89.529581609451085</v>
      </c>
      <c r="G81" s="50">
        <f>146.586798132*Deflactores!$W$5</f>
        <v>182.7011159132243</v>
      </c>
      <c r="H81" s="50">
        <f>243.208853273*Deflactores!$X$5</f>
        <v>277.38631744710972</v>
      </c>
      <c r="I81" s="50">
        <f>177.269805231*Deflactores!$Y$5</f>
        <v>192.18729872167975</v>
      </c>
      <c r="J81" s="50">
        <f>171.065803333*Deflactores!$Z$5</f>
        <v>176.46167620003988</v>
      </c>
      <c r="K81" s="50">
        <f>215.681699587*Deflactores!$AA$5</f>
        <v>215.681699587</v>
      </c>
    </row>
    <row r="82" spans="1:11" x14ac:dyDescent="0.2">
      <c r="C82" s="87" t="s">
        <v>146</v>
      </c>
      <c r="D82" s="42">
        <f>39.61131378285*Deflactores!$T$5</f>
        <v>59.935978379807331</v>
      </c>
      <c r="E82" s="42">
        <f>41.32036290865*Deflactores!$U$5</f>
        <v>61.531291117816934</v>
      </c>
      <c r="F82" s="42">
        <f>57.22022487088*Deflactores!$V$5</f>
        <v>80.674317113901822</v>
      </c>
      <c r="G82" s="42">
        <f>59.06011413243*Deflactores!$W$5</f>
        <v>73.610644993014617</v>
      </c>
      <c r="H82" s="42">
        <f>79.4460932495*Deflactores!$X$5</f>
        <v>90.610431920838991</v>
      </c>
      <c r="I82" s="42">
        <f>32.02278792026*Deflactores!$Y$5</f>
        <v>34.71754876648199</v>
      </c>
      <c r="J82" s="42">
        <f>18.8420124656*Deflactores!$Z$5</f>
        <v>19.436339922301833</v>
      </c>
      <c r="K82" s="42">
        <f>3.260411563*Deflactores!$AA$5</f>
        <v>3.2604115629999999</v>
      </c>
    </row>
    <row r="83" spans="1:11" x14ac:dyDescent="0.2">
      <c r="C83" s="88" t="s">
        <v>162</v>
      </c>
      <c r="D83" s="50">
        <f>522.14614027195*Deflactores!$T$5</f>
        <v>790.06063636265912</v>
      </c>
      <c r="E83" s="50">
        <f>570.31260894383*Deflactores!$U$5</f>
        <v>849.26822270813898</v>
      </c>
      <c r="F83" s="50">
        <f>714.72608173844*Deflactores!$V$5</f>
        <v>1007.6863328981296</v>
      </c>
      <c r="G83" s="50">
        <f>987.13788220809*Deflactores!$W$5</f>
        <v>1230.3372127497489</v>
      </c>
      <c r="H83" s="50">
        <f>1892.2162018296*Deflactores!$X$5</f>
        <v>2158.1240854341013</v>
      </c>
      <c r="I83" s="50">
        <f>1815.58085793159*Deflactores!$Y$5</f>
        <v>1968.3644388392593</v>
      </c>
      <c r="J83" s="50">
        <f>1965.36186308955*Deflactores!$Z$5</f>
        <v>2027.3546316285447</v>
      </c>
      <c r="K83" s="50">
        <f>1398.32690907922*Deflactores!$AA$5</f>
        <v>1398.3269090792201</v>
      </c>
    </row>
    <row r="84" spans="1:11" x14ac:dyDescent="0.2">
      <c r="C84" s="87" t="s">
        <v>148</v>
      </c>
      <c r="D84" s="42">
        <f>131.86012306384*Deflactores!$T$5</f>
        <v>199.51788341175344</v>
      </c>
      <c r="E84" s="42">
        <f>169.528733938289*Deflactores!$U$5</f>
        <v>252.44990959670642</v>
      </c>
      <c r="F84" s="42">
        <f>196.59069856996*Deflactores!$V$5</f>
        <v>277.17158389126979</v>
      </c>
      <c r="G84" s="42">
        <f>242.37571934876*Deflactores!$W$5</f>
        <v>302.08937612112328</v>
      </c>
      <c r="H84" s="42">
        <f>233.308292914719*Deflactores!$X$5</f>
        <v>266.09445885936447</v>
      </c>
      <c r="I84" s="42">
        <f>247.65642707201*Deflactores!$Y$5</f>
        <v>268.49704983885704</v>
      </c>
      <c r="J84" s="42">
        <f>262.45457091479*Deflactores!$Z$5</f>
        <v>270.73308988490209</v>
      </c>
      <c r="K84" s="42">
        <f>172.47354880496*Deflactores!$AA$5</f>
        <v>172.47354880495999</v>
      </c>
    </row>
    <row r="85" spans="1:11" x14ac:dyDescent="0.2">
      <c r="C85" s="88" t="s">
        <v>149</v>
      </c>
      <c r="D85" s="50">
        <f>14.31941515729*Deflactores!$T$5</f>
        <v>21.666743041741867</v>
      </c>
      <c r="E85" s="50">
        <f>0*Deflactores!$U$5</f>
        <v>0</v>
      </c>
      <c r="F85" s="50">
        <f>0*Deflactores!$V$5</f>
        <v>0</v>
      </c>
      <c r="G85" s="50">
        <f>0*Deflactores!$W$5</f>
        <v>0</v>
      </c>
      <c r="H85" s="50">
        <f>0*Deflactores!$X$5</f>
        <v>0</v>
      </c>
      <c r="I85" s="50">
        <f>791.205807196*Deflactores!$Y$5</f>
        <v>857.78684429509394</v>
      </c>
      <c r="J85" s="50">
        <f>491.35721619258*Deflactores!$Z$5</f>
        <v>506.85593668037211</v>
      </c>
      <c r="K85" s="50">
        <f>0*Deflactores!$AA$5</f>
        <v>0</v>
      </c>
    </row>
    <row r="86" spans="1:11" x14ac:dyDescent="0.2">
      <c r="C86" s="87" t="s">
        <v>163</v>
      </c>
      <c r="D86" s="42">
        <f>3557.51871904877*Deflactores!$T$5</f>
        <v>5382.8905095034625</v>
      </c>
      <c r="E86" s="42">
        <f>4143.55273728844*Deflactores!$U$5</f>
        <v>6170.2785695221792</v>
      </c>
      <c r="F86" s="42">
        <f>2476.32909317987*Deflactores!$V$5</f>
        <v>3491.3557049518349</v>
      </c>
      <c r="G86" s="42">
        <f>2613.25748991833*Deflactores!$W$5</f>
        <v>3257.0808944659238</v>
      </c>
      <c r="H86" s="42">
        <f>2855.65932673714*Deflactores!$X$5</f>
        <v>3256.9571948845078</v>
      </c>
      <c r="I86" s="42">
        <f>3399.25104821853*Deflactores!$Y$5</f>
        <v>3685.3026141854939</v>
      </c>
      <c r="J86" s="42">
        <f>3479.12664234872*Deflactores!$Z$5</f>
        <v>3588.8675998322051</v>
      </c>
      <c r="K86" s="42">
        <f>1803.87193163741*Deflactores!$AA$5</f>
        <v>1803.8719316374099</v>
      </c>
    </row>
    <row r="87" spans="1:11" x14ac:dyDescent="0.2">
      <c r="C87" s="88" t="s">
        <v>150</v>
      </c>
      <c r="D87" s="50">
        <f>4506.65704674783*Deflactores!$T$5</f>
        <v>6819.0340971732858</v>
      </c>
      <c r="E87" s="50">
        <f>4823.0439250498*Deflactores!$U$5</f>
        <v>7182.1276227013077</v>
      </c>
      <c r="F87" s="50">
        <f>7593.31585938642*Deflactores!$V$5</f>
        <v>10705.75260702814</v>
      </c>
      <c r="G87" s="50">
        <f>8465.74958167558*Deflactores!$W$5</f>
        <v>10551.440616236463</v>
      </c>
      <c r="H87" s="50">
        <f>8717.00961761594*Deflactores!$X$5</f>
        <v>9941.9867510635449</v>
      </c>
      <c r="I87" s="50">
        <f>9499.4303046705*Deflactores!$Y$5</f>
        <v>10298.820192589817</v>
      </c>
      <c r="J87" s="50">
        <f>8332.81416570121*Deflactores!$Z$5</f>
        <v>8595.6534064305051</v>
      </c>
      <c r="K87" s="50">
        <f>7710.36615103853*Deflactores!$AA$5</f>
        <v>7710.36615103853</v>
      </c>
    </row>
    <row r="88" spans="1:11" x14ac:dyDescent="0.2">
      <c r="C88" s="87" t="s">
        <v>151</v>
      </c>
      <c r="D88" s="42">
        <f>1925.21048560088*Deflactores!$T$5</f>
        <v>2913.0408214713489</v>
      </c>
      <c r="E88" s="42">
        <f>1980.99172377834*Deflactores!$U$5</f>
        <v>2949.9493682393086</v>
      </c>
      <c r="F88" s="42">
        <f>3221.0590711635*Deflactores!$V$5</f>
        <v>4541.3442805587119</v>
      </c>
      <c r="G88" s="42">
        <f>3100.58621018887*Deflactores!$W$5</f>
        <v>3864.4718883657674</v>
      </c>
      <c r="H88" s="42">
        <f>4925.39672612925*Deflactores!$X$5</f>
        <v>5617.5490383709521</v>
      </c>
      <c r="I88" s="42">
        <f>5318.6024361443*Deflactores!$Y$5</f>
        <v>5766.1700132469432</v>
      </c>
      <c r="J88" s="42">
        <f>3990.29980425294*Deflactores!$Z$5</f>
        <v>4116.1645301397966</v>
      </c>
      <c r="K88" s="42">
        <f>1759.56623936566*Deflactores!$AA$5</f>
        <v>1759.5662393656601</v>
      </c>
    </row>
    <row r="89" spans="1:11" x14ac:dyDescent="0.2">
      <c r="C89" s="79" t="s">
        <v>202</v>
      </c>
      <c r="D89" s="44">
        <f t="shared" ref="D89:K89" si="1">+SUM(D58:D88)</f>
        <v>49018.825468962175</v>
      </c>
      <c r="E89" s="44">
        <f t="shared" si="1"/>
        <v>50921.377309024923</v>
      </c>
      <c r="F89" s="44">
        <f t="shared" si="1"/>
        <v>67025.758913874583</v>
      </c>
      <c r="G89" s="44">
        <f t="shared" si="1"/>
        <v>70680.899586634259</v>
      </c>
      <c r="H89" s="44">
        <f t="shared" si="1"/>
        <v>74416.898455817543</v>
      </c>
      <c r="I89" s="44">
        <f t="shared" si="1"/>
        <v>81212.454994543063</v>
      </c>
      <c r="J89" s="44">
        <f t="shared" si="1"/>
        <v>64896.029279981798</v>
      </c>
      <c r="K89" s="44">
        <f t="shared" si="1"/>
        <v>32754.773109305759</v>
      </c>
    </row>
    <row r="90" spans="1:11" s="31" customFormat="1" x14ac:dyDescent="0.2">
      <c r="A90" s="5"/>
      <c r="B90" s="5"/>
      <c r="C90" s="72" t="str">
        <f>+'C1 Aprop Resumen 2000-2026'!B20</f>
        <v>* Información con corte a 28 de febrero</v>
      </c>
      <c r="D90" s="121">
        <f>+D89-'C6 Ejec. Nac 19-26'!D65</f>
        <v>0</v>
      </c>
      <c r="E90" s="121">
        <f>+E89-'C6 Ejec. Nac 19-26'!E65</f>
        <v>9.4587448984384537E-11</v>
      </c>
      <c r="F90" s="121">
        <f>+F89-'C6 Ejec. Nac 19-26'!F65</f>
        <v>0</v>
      </c>
      <c r="G90" s="121">
        <f>+G89-'C6 Ejec. Nac 19-26'!G65</f>
        <v>0</v>
      </c>
      <c r="H90" s="121">
        <f>+H89-'C6 Ejec. Nac 19-26'!H65</f>
        <v>0</v>
      </c>
      <c r="I90" s="121">
        <f>+I89-'C6 Ejec. Nac 19-26'!I65</f>
        <v>0</v>
      </c>
      <c r="J90" s="121">
        <f>+J89-'C6 Ejec. Nac 19-26'!J65</f>
        <v>0</v>
      </c>
      <c r="K90" s="121">
        <f>+K89-'C6 Ejec. Nac 19-26'!K65</f>
        <v>-4.0017766878008842E-11</v>
      </c>
    </row>
    <row r="91" spans="1:11" x14ac:dyDescent="0.2">
      <c r="C91" s="1" t="s">
        <v>52</v>
      </c>
      <c r="D91" s="11"/>
      <c r="E91" s="11"/>
      <c r="F91" s="11"/>
    </row>
    <row r="92" spans="1:11" x14ac:dyDescent="0.2">
      <c r="D92" s="11"/>
      <c r="E92" s="11"/>
      <c r="F92" s="11"/>
    </row>
    <row r="93" spans="1:11" x14ac:dyDescent="0.2">
      <c r="D93" s="11"/>
      <c r="E93" s="11"/>
      <c r="F93" s="11"/>
    </row>
    <row r="94" spans="1:11" x14ac:dyDescent="0.2">
      <c r="D94" s="11"/>
      <c r="E94" s="11"/>
      <c r="F94" s="11"/>
    </row>
    <row r="95" spans="1:11" ht="17.25" customHeight="1" x14ac:dyDescent="0.2">
      <c r="D95" s="131" t="s">
        <v>212</v>
      </c>
      <c r="E95" s="131"/>
      <c r="F95" s="131"/>
      <c r="G95" s="131"/>
      <c r="H95" s="131"/>
      <c r="I95" s="131"/>
      <c r="J95" s="131"/>
      <c r="K95" s="131"/>
    </row>
    <row r="96" spans="1:11" ht="11.25" hidden="1" customHeight="1" x14ac:dyDescent="0.2">
      <c r="D96" s="28"/>
      <c r="E96" s="28"/>
      <c r="F96" s="28"/>
    </row>
    <row r="97" spans="3:11" x14ac:dyDescent="0.2">
      <c r="E97" s="29"/>
      <c r="F97" s="29"/>
    </row>
    <row r="98" spans="3:11" ht="12" thickBot="1" x14ac:dyDescent="0.25">
      <c r="C98" s="177" t="s">
        <v>120</v>
      </c>
      <c r="D98" s="153">
        <v>2019</v>
      </c>
      <c r="E98" s="153">
        <v>2020</v>
      </c>
      <c r="F98" s="153">
        <v>2021</v>
      </c>
      <c r="G98" s="153">
        <v>2022</v>
      </c>
      <c r="H98" s="153">
        <v>2023</v>
      </c>
      <c r="I98" s="153">
        <v>2024</v>
      </c>
      <c r="J98" s="153">
        <v>2025</v>
      </c>
      <c r="K98" s="153" t="s">
        <v>36</v>
      </c>
    </row>
    <row r="99" spans="3:11" ht="12" customHeight="1" thickBot="1" x14ac:dyDescent="0.25">
      <c r="C99" s="156"/>
      <c r="D99" s="154"/>
      <c r="E99" s="154"/>
      <c r="F99" s="154"/>
      <c r="G99" s="154"/>
      <c r="H99" s="154"/>
      <c r="I99" s="154"/>
      <c r="J99" s="154"/>
      <c r="K99" s="154"/>
    </row>
    <row r="100" spans="3:11" x14ac:dyDescent="0.2">
      <c r="C100" s="87" t="s">
        <v>123</v>
      </c>
      <c r="D100" s="47">
        <f t="shared" ref="D100:K109" si="2">+IFERROR(IF(D58&gt;0,+((D58/D15)*100)," "),"")</f>
        <v>95.736860681073836</v>
      </c>
      <c r="E100" s="47">
        <f t="shared" si="2"/>
        <v>95.121236252374658</v>
      </c>
      <c r="F100" s="47">
        <f t="shared" si="2"/>
        <v>93.49527920245518</v>
      </c>
      <c r="G100" s="47">
        <f t="shared" si="2"/>
        <v>88.342622217358553</v>
      </c>
      <c r="H100" s="47">
        <f t="shared" si="2"/>
        <v>92.222187170490983</v>
      </c>
      <c r="I100" s="47">
        <f t="shared" si="2"/>
        <v>97.245008193490449</v>
      </c>
      <c r="J100" s="47">
        <f t="shared" si="2"/>
        <v>95.244777861312571</v>
      </c>
      <c r="K100" s="47">
        <f t="shared" si="2"/>
        <v>38.701126440653269</v>
      </c>
    </row>
    <row r="101" spans="3:11" x14ac:dyDescent="0.2">
      <c r="C101" s="88" t="s">
        <v>124</v>
      </c>
      <c r="D101" s="116">
        <f t="shared" si="2"/>
        <v>94.482573463202499</v>
      </c>
      <c r="E101" s="116">
        <f t="shared" si="2"/>
        <v>94.963219855354907</v>
      </c>
      <c r="F101" s="116">
        <f t="shared" si="2"/>
        <v>74.370532871812472</v>
      </c>
      <c r="G101" s="116">
        <f t="shared" si="2"/>
        <v>82.215102142893898</v>
      </c>
      <c r="H101" s="116">
        <f t="shared" si="2"/>
        <v>82.728906055532931</v>
      </c>
      <c r="I101" s="116">
        <f t="shared" si="2"/>
        <v>99.705538953255456</v>
      </c>
      <c r="J101" s="116">
        <f t="shared" si="2"/>
        <v>97.770004317405551</v>
      </c>
      <c r="K101" s="116">
        <f t="shared" si="2"/>
        <v>43.508291544209094</v>
      </c>
    </row>
    <row r="102" spans="3:11" x14ac:dyDescent="0.2">
      <c r="C102" s="87" t="s">
        <v>125</v>
      </c>
      <c r="D102" s="47">
        <f t="shared" si="2"/>
        <v>99.961103391274875</v>
      </c>
      <c r="E102" s="47">
        <f t="shared" si="2"/>
        <v>99.093095305659773</v>
      </c>
      <c r="F102" s="47">
        <f t="shared" si="2"/>
        <v>99.167724312621502</v>
      </c>
      <c r="G102" s="47">
        <f t="shared" si="2"/>
        <v>99.928007965450846</v>
      </c>
      <c r="H102" s="47">
        <f t="shared" si="2"/>
        <v>98.740813549341709</v>
      </c>
      <c r="I102" s="47">
        <f t="shared" si="2"/>
        <v>98.237727232815587</v>
      </c>
      <c r="J102" s="47">
        <f t="shared" si="2"/>
        <v>97.951336453366082</v>
      </c>
      <c r="K102" s="47">
        <f t="shared" si="2"/>
        <v>47.841223325015029</v>
      </c>
    </row>
    <row r="103" spans="3:11" x14ac:dyDescent="0.2">
      <c r="C103" s="88" t="s">
        <v>126</v>
      </c>
      <c r="D103" s="116">
        <f t="shared" si="2"/>
        <v>98.801158046798648</v>
      </c>
      <c r="E103" s="116">
        <f t="shared" si="2"/>
        <v>98.458340988483982</v>
      </c>
      <c r="F103" s="116">
        <f t="shared" si="2"/>
        <v>98.762572458619147</v>
      </c>
      <c r="G103" s="116">
        <f t="shared" si="2"/>
        <v>97.090119272863831</v>
      </c>
      <c r="H103" s="116">
        <f t="shared" si="2"/>
        <v>98.772652163573824</v>
      </c>
      <c r="I103" s="116">
        <f t="shared" si="2"/>
        <v>98.092958070855303</v>
      </c>
      <c r="J103" s="116">
        <f t="shared" si="2"/>
        <v>98.632071387007528</v>
      </c>
      <c r="K103" s="116">
        <f t="shared" si="2"/>
        <v>82.909678658951989</v>
      </c>
    </row>
    <row r="104" spans="3:11" x14ac:dyDescent="0.2">
      <c r="C104" s="87" t="s">
        <v>127</v>
      </c>
      <c r="D104" s="47">
        <f t="shared" si="2"/>
        <v>94.479768523844328</v>
      </c>
      <c r="E104" s="47">
        <f t="shared" si="2"/>
        <v>98.733460697228779</v>
      </c>
      <c r="F104" s="47">
        <f t="shared" si="2"/>
        <v>97.760069742216075</v>
      </c>
      <c r="G104" s="47">
        <f t="shared" si="2"/>
        <v>86.127672148666463</v>
      </c>
      <c r="H104" s="47">
        <f t="shared" si="2"/>
        <v>95.586965198124602</v>
      </c>
      <c r="I104" s="47">
        <f t="shared" si="2"/>
        <v>98.936286198779456</v>
      </c>
      <c r="J104" s="47">
        <f t="shared" si="2"/>
        <v>99.359080236880018</v>
      </c>
      <c r="K104" s="47">
        <f t="shared" si="2"/>
        <v>87.877855665880006</v>
      </c>
    </row>
    <row r="105" spans="3:11" x14ac:dyDescent="0.2">
      <c r="C105" s="88" t="s">
        <v>128</v>
      </c>
      <c r="D105" s="116">
        <f t="shared" si="2"/>
        <v>99.135575436791484</v>
      </c>
      <c r="E105" s="116">
        <f t="shared" si="2"/>
        <v>99.776832823113736</v>
      </c>
      <c r="F105" s="116">
        <f t="shared" si="2"/>
        <v>99.685302193032285</v>
      </c>
      <c r="G105" s="116">
        <f t="shared" si="2"/>
        <v>97.745040248296206</v>
      </c>
      <c r="H105" s="116">
        <f t="shared" si="2"/>
        <v>98.722891924324713</v>
      </c>
      <c r="I105" s="116">
        <f t="shared" si="2"/>
        <v>99.251798972917953</v>
      </c>
      <c r="J105" s="116">
        <f t="shared" si="2"/>
        <v>99.700381296328928</v>
      </c>
      <c r="K105" s="116">
        <f t="shared" si="2"/>
        <v>48.446829083398704</v>
      </c>
    </row>
    <row r="106" spans="3:11" x14ac:dyDescent="0.2">
      <c r="C106" s="87" t="s">
        <v>129</v>
      </c>
      <c r="D106" s="47">
        <f t="shared" si="2"/>
        <v>99.759990629687309</v>
      </c>
      <c r="E106" s="47">
        <f t="shared" si="2"/>
        <v>99.357839219178373</v>
      </c>
      <c r="F106" s="47">
        <f t="shared" si="2"/>
        <v>99.413133528191068</v>
      </c>
      <c r="G106" s="47">
        <f t="shared" si="2"/>
        <v>96.342575074474794</v>
      </c>
      <c r="H106" s="47">
        <f t="shared" si="2"/>
        <v>95.18041898539478</v>
      </c>
      <c r="I106" s="47">
        <f t="shared" si="2"/>
        <v>93.373344772893091</v>
      </c>
      <c r="J106" s="47">
        <f t="shared" si="2"/>
        <v>98.472190399639757</v>
      </c>
      <c r="K106" s="47">
        <f t="shared" si="2"/>
        <v>43.295832471823672</v>
      </c>
    </row>
    <row r="107" spans="3:11" x14ac:dyDescent="0.2">
      <c r="C107" s="88" t="s">
        <v>130</v>
      </c>
      <c r="D107" s="116">
        <f t="shared" si="2"/>
        <v>96.152329087001945</v>
      </c>
      <c r="E107" s="116">
        <f t="shared" si="2"/>
        <v>95.41649255760241</v>
      </c>
      <c r="F107" s="116">
        <f t="shared" si="2"/>
        <v>95.738091109540761</v>
      </c>
      <c r="G107" s="116">
        <f t="shared" si="2"/>
        <v>98.092260331530568</v>
      </c>
      <c r="H107" s="116">
        <f t="shared" si="2"/>
        <v>72.91573030280864</v>
      </c>
      <c r="I107" s="116">
        <f t="shared" si="2"/>
        <v>93.523266220800295</v>
      </c>
      <c r="J107" s="116">
        <f t="shared" si="2"/>
        <v>99.063327792382495</v>
      </c>
      <c r="K107" s="116">
        <f t="shared" si="2"/>
        <v>78.231465026026441</v>
      </c>
    </row>
    <row r="108" spans="3:11" x14ac:dyDescent="0.2">
      <c r="C108" s="87" t="s">
        <v>131</v>
      </c>
      <c r="D108" s="47">
        <f t="shared" si="2"/>
        <v>99.949603667530567</v>
      </c>
      <c r="E108" s="47">
        <f t="shared" si="2"/>
        <v>99.925193696997397</v>
      </c>
      <c r="F108" s="47">
        <f t="shared" si="2"/>
        <v>99.930436920049942</v>
      </c>
      <c r="G108" s="47">
        <f t="shared" si="2"/>
        <v>99.917586798057087</v>
      </c>
      <c r="H108" s="47">
        <f t="shared" si="2"/>
        <v>99.762461333095516</v>
      </c>
      <c r="I108" s="47">
        <f t="shared" si="2"/>
        <v>99.699990668540707</v>
      </c>
      <c r="J108" s="47">
        <f t="shared" si="2"/>
        <v>99.68734417264767</v>
      </c>
      <c r="K108" s="47">
        <f t="shared" si="2"/>
        <v>20.040766680168058</v>
      </c>
    </row>
    <row r="109" spans="3:11" x14ac:dyDescent="0.2">
      <c r="C109" s="88" t="s">
        <v>132</v>
      </c>
      <c r="D109" s="116">
        <f t="shared" si="2"/>
        <v>94.883936639752122</v>
      </c>
      <c r="E109" s="116">
        <f t="shared" si="2"/>
        <v>93.153680472356243</v>
      </c>
      <c r="F109" s="116">
        <f t="shared" si="2"/>
        <v>95.18575559242484</v>
      </c>
      <c r="G109" s="116">
        <f t="shared" si="2"/>
        <v>92.538792632670862</v>
      </c>
      <c r="H109" s="116">
        <f t="shared" si="2"/>
        <v>96.945327548281227</v>
      </c>
      <c r="I109" s="116">
        <f t="shared" si="2"/>
        <v>93.724847398181097</v>
      </c>
      <c r="J109" s="116">
        <f t="shared" si="2"/>
        <v>94.266602389617404</v>
      </c>
      <c r="K109" s="116">
        <f t="shared" si="2"/>
        <v>27.079923480000001</v>
      </c>
    </row>
    <row r="110" spans="3:11" x14ac:dyDescent="0.2">
      <c r="C110" s="87" t="s">
        <v>133</v>
      </c>
      <c r="D110" s="47">
        <f t="shared" ref="D110:K119" si="3">+IFERROR(IF(D68&gt;0,+((D68/D25)*100)," "),"")</f>
        <v>99.037223102070755</v>
      </c>
      <c r="E110" s="47">
        <f t="shared" si="3"/>
        <v>98.395650216819249</v>
      </c>
      <c r="F110" s="47">
        <f t="shared" si="3"/>
        <v>97.387200422863813</v>
      </c>
      <c r="G110" s="47">
        <f t="shared" si="3"/>
        <v>98.461846929503409</v>
      </c>
      <c r="H110" s="47">
        <f t="shared" si="3"/>
        <v>95.363987173430615</v>
      </c>
      <c r="I110" s="47">
        <f t="shared" si="3"/>
        <v>99.730042787332025</v>
      </c>
      <c r="J110" s="47">
        <f t="shared" si="3"/>
        <v>99.46596849012198</v>
      </c>
      <c r="K110" s="47">
        <f t="shared" si="3"/>
        <v>42.897179478596279</v>
      </c>
    </row>
    <row r="111" spans="3:11" x14ac:dyDescent="0.2">
      <c r="C111" s="88" t="s">
        <v>134</v>
      </c>
      <c r="D111" s="116">
        <f t="shared" si="3"/>
        <v>65.361076679625512</v>
      </c>
      <c r="E111" s="116">
        <f t="shared" si="3"/>
        <v>52.417146721396826</v>
      </c>
      <c r="F111" s="116">
        <f t="shared" si="3"/>
        <v>73.492023477512049</v>
      </c>
      <c r="G111" s="116">
        <f t="shared" si="3"/>
        <v>78.052782376541785</v>
      </c>
      <c r="H111" s="116">
        <f t="shared" si="3"/>
        <v>34.535372228981714</v>
      </c>
      <c r="I111" s="116">
        <f t="shared" si="3"/>
        <v>91.447029214453977</v>
      </c>
      <c r="J111" s="116">
        <f t="shared" si="3"/>
        <v>89.953280755402858</v>
      </c>
      <c r="K111" s="116">
        <f t="shared" si="3"/>
        <v>77.753811479314066</v>
      </c>
    </row>
    <row r="112" spans="3:11" x14ac:dyDescent="0.2">
      <c r="C112" s="87" t="s">
        <v>135</v>
      </c>
      <c r="D112" s="47" t="str">
        <f t="shared" si="3"/>
        <v xml:space="preserve"> </v>
      </c>
      <c r="E112" s="47" t="str">
        <f t="shared" si="3"/>
        <v xml:space="preserve"> </v>
      </c>
      <c r="F112" s="47" t="str">
        <f t="shared" si="3"/>
        <v xml:space="preserve"> </v>
      </c>
      <c r="G112" s="47" t="str">
        <f t="shared" si="3"/>
        <v xml:space="preserve"> </v>
      </c>
      <c r="H112" s="47" t="str">
        <f t="shared" si="3"/>
        <v xml:space="preserve"> </v>
      </c>
      <c r="I112" s="47">
        <f t="shared" si="3"/>
        <v>99.635054452814458</v>
      </c>
      <c r="J112" s="47">
        <f t="shared" si="3"/>
        <v>99.893708394739917</v>
      </c>
      <c r="K112" s="47">
        <f t="shared" si="3"/>
        <v>60.996877894092435</v>
      </c>
    </row>
    <row r="113" spans="3:11" x14ac:dyDescent="0.2">
      <c r="C113" s="88" t="s">
        <v>136</v>
      </c>
      <c r="D113" s="116">
        <f t="shared" si="3"/>
        <v>99.368716235369121</v>
      </c>
      <c r="E113" s="116">
        <f t="shared" si="3"/>
        <v>99.325065924113048</v>
      </c>
      <c r="F113" s="116">
        <f t="shared" si="3"/>
        <v>97.737310487346463</v>
      </c>
      <c r="G113" s="116">
        <f t="shared" si="3"/>
        <v>98.826575588030067</v>
      </c>
      <c r="H113" s="116">
        <f t="shared" si="3"/>
        <v>91.147356503494848</v>
      </c>
      <c r="I113" s="116">
        <f t="shared" si="3"/>
        <v>97.407612083282984</v>
      </c>
      <c r="J113" s="116">
        <f t="shared" si="3"/>
        <v>98.967311280751673</v>
      </c>
      <c r="K113" s="116">
        <f t="shared" si="3"/>
        <v>20.035518633442688</v>
      </c>
    </row>
    <row r="114" spans="3:11" x14ac:dyDescent="0.2">
      <c r="C114" s="87" t="s">
        <v>137</v>
      </c>
      <c r="D114" s="47">
        <f t="shared" si="3"/>
        <v>97.048459350639391</v>
      </c>
      <c r="E114" s="47">
        <f t="shared" si="3"/>
        <v>94.573373024913337</v>
      </c>
      <c r="F114" s="47">
        <f t="shared" si="3"/>
        <v>67.969369702300312</v>
      </c>
      <c r="G114" s="47">
        <f t="shared" si="3"/>
        <v>63.301748247736278</v>
      </c>
      <c r="H114" s="47">
        <f t="shared" si="3"/>
        <v>84.422203036898708</v>
      </c>
      <c r="I114" s="47">
        <f t="shared" si="3"/>
        <v>96.112045105628923</v>
      </c>
      <c r="J114" s="47">
        <f t="shared" si="3"/>
        <v>97.695058391064222</v>
      </c>
      <c r="K114" s="47">
        <f t="shared" si="3"/>
        <v>52.753825785596419</v>
      </c>
    </row>
    <row r="115" spans="3:11" x14ac:dyDescent="0.2">
      <c r="C115" s="88" t="s">
        <v>138</v>
      </c>
      <c r="D115" s="116">
        <f t="shared" si="3"/>
        <v>99.990654521629935</v>
      </c>
      <c r="E115" s="116">
        <f t="shared" si="3"/>
        <v>99.961007492574822</v>
      </c>
      <c r="F115" s="116">
        <f t="shared" si="3"/>
        <v>97.226082049471614</v>
      </c>
      <c r="G115" s="116">
        <f t="shared" si="3"/>
        <v>87.52738865362501</v>
      </c>
      <c r="H115" s="116">
        <f t="shared" si="3"/>
        <v>98.583139306344833</v>
      </c>
      <c r="I115" s="116">
        <f t="shared" si="3"/>
        <v>97.262777770164305</v>
      </c>
      <c r="J115" s="116">
        <f t="shared" si="3"/>
        <v>99.961076980065087</v>
      </c>
      <c r="K115" s="116">
        <f t="shared" si="3"/>
        <v>31.950306060715196</v>
      </c>
    </row>
    <row r="116" spans="3:11" x14ac:dyDescent="0.2">
      <c r="C116" s="87" t="s">
        <v>160</v>
      </c>
      <c r="D116" s="47">
        <f t="shared" si="3"/>
        <v>91.614986936697974</v>
      </c>
      <c r="E116" s="47">
        <f t="shared" si="3"/>
        <v>95.074663714325808</v>
      </c>
      <c r="F116" s="47">
        <f t="shared" si="3"/>
        <v>94.564305032470557</v>
      </c>
      <c r="G116" s="47">
        <f t="shared" si="3"/>
        <v>79.029744768169735</v>
      </c>
      <c r="H116" s="47">
        <f t="shared" si="3"/>
        <v>92.570713268672321</v>
      </c>
      <c r="I116" s="47">
        <f t="shared" si="3"/>
        <v>86.785954388436934</v>
      </c>
      <c r="J116" s="47">
        <f t="shared" si="3"/>
        <v>98.718507893612639</v>
      </c>
      <c r="K116" s="47">
        <f t="shared" si="3"/>
        <v>28.068624785989783</v>
      </c>
    </row>
    <row r="117" spans="3:11" x14ac:dyDescent="0.2">
      <c r="C117" s="88" t="s">
        <v>161</v>
      </c>
      <c r="D117" s="116">
        <f t="shared" si="3"/>
        <v>84.462530642998431</v>
      </c>
      <c r="E117" s="116">
        <f t="shared" si="3"/>
        <v>90.418873620780644</v>
      </c>
      <c r="F117" s="116">
        <f t="shared" si="3"/>
        <v>89.318357341031131</v>
      </c>
      <c r="G117" s="116">
        <f t="shared" si="3"/>
        <v>74.838112495970449</v>
      </c>
      <c r="H117" s="116">
        <f t="shared" si="3"/>
        <v>88.23080479727065</v>
      </c>
      <c r="I117" s="116">
        <f t="shared" si="3"/>
        <v>97.162913344731436</v>
      </c>
      <c r="J117" s="116">
        <f t="shared" si="3"/>
        <v>99.775677713963546</v>
      </c>
      <c r="K117" s="116">
        <f t="shared" si="3"/>
        <v>33.11731666685035</v>
      </c>
    </row>
    <row r="118" spans="3:11" x14ac:dyDescent="0.2">
      <c r="C118" s="87" t="s">
        <v>140</v>
      </c>
      <c r="D118" s="47">
        <f t="shared" si="3"/>
        <v>97.748334348962914</v>
      </c>
      <c r="E118" s="47">
        <f t="shared" si="3"/>
        <v>99.00166920223073</v>
      </c>
      <c r="F118" s="47">
        <f t="shared" si="3"/>
        <v>97.818077138156568</v>
      </c>
      <c r="G118" s="47">
        <f t="shared" si="3"/>
        <v>94.479010905084678</v>
      </c>
      <c r="H118" s="47">
        <f t="shared" si="3"/>
        <v>94.463126700221537</v>
      </c>
      <c r="I118" s="47">
        <f t="shared" si="3"/>
        <v>97.107035685997232</v>
      </c>
      <c r="J118" s="47">
        <f t="shared" si="3"/>
        <v>94.365971636227798</v>
      </c>
      <c r="K118" s="47">
        <f t="shared" si="3"/>
        <v>28.392797814878762</v>
      </c>
    </row>
    <row r="119" spans="3:11" x14ac:dyDescent="0.2">
      <c r="C119" s="88" t="s">
        <v>141</v>
      </c>
      <c r="D119" s="116">
        <f t="shared" si="3"/>
        <v>93.725072952524656</v>
      </c>
      <c r="E119" s="116">
        <f t="shared" si="3"/>
        <v>90.97495324328645</v>
      </c>
      <c r="F119" s="116">
        <f t="shared" si="3"/>
        <v>84.973516531592296</v>
      </c>
      <c r="G119" s="116">
        <f t="shared" si="3"/>
        <v>72.684884997754253</v>
      </c>
      <c r="H119" s="116">
        <f t="shared" si="3"/>
        <v>89.456737086477816</v>
      </c>
      <c r="I119" s="116">
        <f t="shared" si="3"/>
        <v>89.592219740791265</v>
      </c>
      <c r="J119" s="116">
        <f t="shared" si="3"/>
        <v>95.163440763641134</v>
      </c>
      <c r="K119" s="116">
        <f t="shared" si="3"/>
        <v>19.835645972324258</v>
      </c>
    </row>
    <row r="120" spans="3:11" x14ac:dyDescent="0.2">
      <c r="C120" s="87" t="s">
        <v>142</v>
      </c>
      <c r="D120" s="47">
        <f t="shared" ref="D120:K129" si="4">+IFERROR(IF(D78&gt;0,+((D78/D35)*100)," "),"")</f>
        <v>96.49602175501667</v>
      </c>
      <c r="E120" s="47">
        <f t="shared" si="4"/>
        <v>97.468665117962033</v>
      </c>
      <c r="F120" s="47">
        <f t="shared" si="4"/>
        <v>91.975840707044085</v>
      </c>
      <c r="G120" s="47">
        <f t="shared" si="4"/>
        <v>92.998184849755916</v>
      </c>
      <c r="H120" s="47">
        <f t="shared" si="4"/>
        <v>93.484678350854423</v>
      </c>
      <c r="I120" s="47">
        <f t="shared" si="4"/>
        <v>86.065809899752267</v>
      </c>
      <c r="J120" s="47">
        <f t="shared" si="4"/>
        <v>99.239948759252414</v>
      </c>
      <c r="K120" s="47">
        <f t="shared" si="4"/>
        <v>42.582262308355816</v>
      </c>
    </row>
    <row r="121" spans="3:11" x14ac:dyDescent="0.2">
      <c r="C121" s="88" t="s">
        <v>143</v>
      </c>
      <c r="D121" s="116">
        <f t="shared" si="4"/>
        <v>98.970185730702909</v>
      </c>
      <c r="E121" s="116">
        <f t="shared" si="4"/>
        <v>98.832729373160092</v>
      </c>
      <c r="F121" s="116">
        <f t="shared" si="4"/>
        <v>97.684304584347487</v>
      </c>
      <c r="G121" s="116">
        <f t="shared" si="4"/>
        <v>97.752841407425336</v>
      </c>
      <c r="H121" s="116">
        <f t="shared" si="4"/>
        <v>96.6991561971397</v>
      </c>
      <c r="I121" s="116">
        <f t="shared" si="4"/>
        <v>90.632731033240887</v>
      </c>
      <c r="J121" s="116">
        <f t="shared" si="4"/>
        <v>99.331700929980187</v>
      </c>
      <c r="K121" s="116">
        <f t="shared" si="4"/>
        <v>34.505261009892095</v>
      </c>
    </row>
    <row r="122" spans="3:11" x14ac:dyDescent="0.2">
      <c r="C122" s="87" t="s">
        <v>144</v>
      </c>
      <c r="D122" s="47">
        <f t="shared" si="4"/>
        <v>93.837051289448837</v>
      </c>
      <c r="E122" s="47">
        <f t="shared" si="4"/>
        <v>94.941729602483989</v>
      </c>
      <c r="F122" s="47">
        <f t="shared" si="4"/>
        <v>85.526863562744111</v>
      </c>
      <c r="G122" s="47">
        <f t="shared" si="4"/>
        <v>84.314765597743218</v>
      </c>
      <c r="H122" s="47">
        <f t="shared" si="4"/>
        <v>97.616435821096672</v>
      </c>
      <c r="I122" s="47">
        <f t="shared" si="4"/>
        <v>87.393747898805415</v>
      </c>
      <c r="J122" s="47">
        <f t="shared" si="4"/>
        <v>94.787758087106141</v>
      </c>
      <c r="K122" s="47">
        <f t="shared" si="4"/>
        <v>15.187634813519878</v>
      </c>
    </row>
    <row r="123" spans="3:11" x14ac:dyDescent="0.2">
      <c r="C123" s="88" t="s">
        <v>145</v>
      </c>
      <c r="D123" s="116">
        <f t="shared" si="4"/>
        <v>99.999988075285273</v>
      </c>
      <c r="E123" s="116">
        <f t="shared" si="4"/>
        <v>99.310990437216589</v>
      </c>
      <c r="F123" s="116">
        <f t="shared" si="4"/>
        <v>96.811812821441265</v>
      </c>
      <c r="G123" s="116">
        <f t="shared" si="4"/>
        <v>96.009247097242678</v>
      </c>
      <c r="H123" s="116">
        <f t="shared" si="4"/>
        <v>99.769693971737155</v>
      </c>
      <c r="I123" s="116">
        <f t="shared" si="4"/>
        <v>94.846499752942094</v>
      </c>
      <c r="J123" s="116">
        <f t="shared" si="4"/>
        <v>97.049166152271923</v>
      </c>
      <c r="K123" s="116">
        <f t="shared" si="4"/>
        <v>95.476623198185223</v>
      </c>
    </row>
    <row r="124" spans="3:11" x14ac:dyDescent="0.2">
      <c r="C124" s="87" t="s">
        <v>146</v>
      </c>
      <c r="D124" s="47">
        <f t="shared" si="4"/>
        <v>98.178738599100228</v>
      </c>
      <c r="E124" s="47">
        <f t="shared" si="4"/>
        <v>96.335401222543538</v>
      </c>
      <c r="F124" s="47">
        <f t="shared" si="4"/>
        <v>80.824074859643758</v>
      </c>
      <c r="G124" s="47">
        <f t="shared" si="4"/>
        <v>78.883061545238036</v>
      </c>
      <c r="H124" s="47">
        <f t="shared" si="4"/>
        <v>90.412739054996123</v>
      </c>
      <c r="I124" s="47">
        <f t="shared" si="4"/>
        <v>85.109575728313132</v>
      </c>
      <c r="J124" s="47">
        <f t="shared" si="4"/>
        <v>99.024967513696296</v>
      </c>
      <c r="K124" s="47">
        <f t="shared" si="4"/>
        <v>32.604115629999995</v>
      </c>
    </row>
    <row r="125" spans="3:11" x14ac:dyDescent="0.2">
      <c r="C125" s="88" t="s">
        <v>162</v>
      </c>
      <c r="D125" s="116">
        <f t="shared" si="4"/>
        <v>97.878623255222848</v>
      </c>
      <c r="E125" s="116">
        <f t="shared" si="4"/>
        <v>97.136406902260774</v>
      </c>
      <c r="F125" s="116">
        <f t="shared" si="4"/>
        <v>95.479847648116959</v>
      </c>
      <c r="G125" s="116">
        <f t="shared" si="4"/>
        <v>96.27730754614204</v>
      </c>
      <c r="H125" s="116">
        <f t="shared" si="4"/>
        <v>97.276638152859874</v>
      </c>
      <c r="I125" s="116">
        <f t="shared" si="4"/>
        <v>96.896453655828125</v>
      </c>
      <c r="J125" s="116">
        <f t="shared" si="4"/>
        <v>99.380201321736266</v>
      </c>
      <c r="K125" s="116">
        <f t="shared" si="4"/>
        <v>62.965505670259127</v>
      </c>
    </row>
    <row r="126" spans="3:11" x14ac:dyDescent="0.2">
      <c r="C126" s="87" t="s">
        <v>148</v>
      </c>
      <c r="D126" s="47">
        <f t="shared" si="4"/>
        <v>87.550332641644275</v>
      </c>
      <c r="E126" s="47">
        <f t="shared" si="4"/>
        <v>95.254788948116214</v>
      </c>
      <c r="F126" s="47">
        <f t="shared" si="4"/>
        <v>91.769189188323594</v>
      </c>
      <c r="G126" s="47">
        <f t="shared" si="4"/>
        <v>95.017400742872198</v>
      </c>
      <c r="H126" s="47">
        <f t="shared" si="4"/>
        <v>93.674105407507284</v>
      </c>
      <c r="I126" s="47">
        <f t="shared" si="4"/>
        <v>97.399255593046277</v>
      </c>
      <c r="J126" s="47">
        <f t="shared" si="4"/>
        <v>99.195341595097545</v>
      </c>
      <c r="K126" s="47">
        <f t="shared" si="4"/>
        <v>64.88985962963902</v>
      </c>
    </row>
    <row r="127" spans="3:11" x14ac:dyDescent="0.2">
      <c r="C127" s="88" t="s">
        <v>149</v>
      </c>
      <c r="D127" s="116">
        <f t="shared" si="4"/>
        <v>96.896840961496835</v>
      </c>
      <c r="E127" s="116" t="str">
        <f t="shared" si="4"/>
        <v xml:space="preserve"> </v>
      </c>
      <c r="F127" s="116" t="str">
        <f t="shared" si="4"/>
        <v xml:space="preserve"> </v>
      </c>
      <c r="G127" s="116" t="str">
        <f t="shared" si="4"/>
        <v xml:space="preserve"> </v>
      </c>
      <c r="H127" s="116" t="str">
        <f t="shared" si="4"/>
        <v xml:space="preserve"> </v>
      </c>
      <c r="I127" s="116">
        <f t="shared" si="4"/>
        <v>98.121876719505636</v>
      </c>
      <c r="J127" s="116">
        <f t="shared" si="4"/>
        <v>97.554437108302565</v>
      </c>
      <c r="K127" s="116" t="str">
        <f t="shared" si="4"/>
        <v xml:space="preserve"> </v>
      </c>
    </row>
    <row r="128" spans="3:11" x14ac:dyDescent="0.2">
      <c r="C128" s="87" t="s">
        <v>163</v>
      </c>
      <c r="D128" s="47">
        <f t="shared" si="4"/>
        <v>98.57394444748823</v>
      </c>
      <c r="E128" s="47">
        <f t="shared" si="4"/>
        <v>96.655585125664359</v>
      </c>
      <c r="F128" s="47">
        <f t="shared" si="4"/>
        <v>97.716901627426267</v>
      </c>
      <c r="G128" s="47">
        <f t="shared" si="4"/>
        <v>97.965105071264503</v>
      </c>
      <c r="H128" s="47">
        <f t="shared" si="4"/>
        <v>97.555427963294903</v>
      </c>
      <c r="I128" s="47">
        <f t="shared" si="4"/>
        <v>97.035989678193076</v>
      </c>
      <c r="J128" s="47">
        <f t="shared" si="4"/>
        <v>94.040597134628285</v>
      </c>
      <c r="K128" s="47">
        <f t="shared" si="4"/>
        <v>46.661886641158738</v>
      </c>
    </row>
    <row r="129" spans="1:11" x14ac:dyDescent="0.2">
      <c r="C129" s="88" t="s">
        <v>150</v>
      </c>
      <c r="D129" s="116">
        <f t="shared" si="4"/>
        <v>99.856915679818073</v>
      </c>
      <c r="E129" s="116">
        <f t="shared" si="4"/>
        <v>98.816066770733229</v>
      </c>
      <c r="F129" s="116">
        <f t="shared" si="4"/>
        <v>99.651439249839797</v>
      </c>
      <c r="G129" s="116">
        <f t="shared" si="4"/>
        <v>98.231600849662897</v>
      </c>
      <c r="H129" s="116">
        <f t="shared" si="4"/>
        <v>98.833231774193138</v>
      </c>
      <c r="I129" s="116">
        <f t="shared" si="4"/>
        <v>98.871729417539072</v>
      </c>
      <c r="J129" s="116">
        <f t="shared" si="4"/>
        <v>99.77527315458596</v>
      </c>
      <c r="K129" s="116">
        <f t="shared" si="4"/>
        <v>77.012166920653428</v>
      </c>
    </row>
    <row r="130" spans="1:11" x14ac:dyDescent="0.2">
      <c r="C130" s="87" t="s">
        <v>151</v>
      </c>
      <c r="D130" s="47">
        <f t="shared" ref="D130:K131" si="5">+IFERROR(IF(D88&gt;0,+((D88/D45)*100)," "),"")</f>
        <v>98.384956681552069</v>
      </c>
      <c r="E130" s="47">
        <f t="shared" si="5"/>
        <v>99.249450066239987</v>
      </c>
      <c r="F130" s="47">
        <f t="shared" si="5"/>
        <v>99.621393492381614</v>
      </c>
      <c r="G130" s="47">
        <f t="shared" si="5"/>
        <v>97.954064631499691</v>
      </c>
      <c r="H130" s="47">
        <f t="shared" si="5"/>
        <v>98.342139616009263</v>
      </c>
      <c r="I130" s="47">
        <f t="shared" si="5"/>
        <v>99.099970090062541</v>
      </c>
      <c r="J130" s="47">
        <f t="shared" si="5"/>
        <v>99.719384996152343</v>
      </c>
      <c r="K130" s="47">
        <f t="shared" si="5"/>
        <v>68.24650758874381</v>
      </c>
    </row>
    <row r="131" spans="1:11" x14ac:dyDescent="0.2">
      <c r="C131" s="91" t="s">
        <v>202</v>
      </c>
      <c r="D131" s="64">
        <f t="shared" si="5"/>
        <v>96.794107625128234</v>
      </c>
      <c r="E131" s="64">
        <f t="shared" si="5"/>
        <v>95.9654220456069</v>
      </c>
      <c r="F131" s="64">
        <f t="shared" si="5"/>
        <v>96.27797246159335</v>
      </c>
      <c r="G131" s="64">
        <f t="shared" si="5"/>
        <v>95.645640539801846</v>
      </c>
      <c r="H131" s="64">
        <f t="shared" si="5"/>
        <v>90.679362844322966</v>
      </c>
      <c r="I131" s="64">
        <f t="shared" si="5"/>
        <v>97.176004920468699</v>
      </c>
      <c r="J131" s="64">
        <f t="shared" si="5"/>
        <v>97.78636730695321</v>
      </c>
      <c r="K131" s="64">
        <f t="shared" si="5"/>
        <v>45.2421276836114</v>
      </c>
    </row>
    <row r="132" spans="1:11" s="31" customFormat="1" x14ac:dyDescent="0.2">
      <c r="A132" s="5"/>
      <c r="B132" s="5"/>
      <c r="C132" s="72" t="str">
        <f>+'C1 Aprop Resumen 2000-2026'!B20</f>
        <v>* Información con corte a 28 de febrero</v>
      </c>
      <c r="D132" s="47"/>
      <c r="E132" s="47"/>
      <c r="F132" s="47"/>
      <c r="G132" s="47"/>
      <c r="H132" s="47"/>
      <c r="I132" s="47"/>
    </row>
    <row r="133" spans="1:11" x14ac:dyDescent="0.2">
      <c r="C133" s="1" t="s">
        <v>52</v>
      </c>
      <c r="D133" s="11"/>
      <c r="E133" s="11"/>
      <c r="F133" s="11"/>
    </row>
    <row r="134" spans="1:11" x14ac:dyDescent="0.2">
      <c r="D134" s="11"/>
      <c r="E134" s="11"/>
      <c r="F134" s="11"/>
    </row>
    <row r="135" spans="1:11" x14ac:dyDescent="0.2">
      <c r="E135" s="3"/>
      <c r="F135" s="3"/>
    </row>
    <row r="136" spans="1:11" x14ac:dyDescent="0.2">
      <c r="E136" s="3"/>
      <c r="F136" s="3"/>
    </row>
    <row r="137" spans="1:11" x14ac:dyDescent="0.2">
      <c r="E137" s="3"/>
      <c r="F137" s="3"/>
    </row>
    <row r="138" spans="1:11" ht="18" customHeight="1" x14ac:dyDescent="0.2">
      <c r="D138" s="160" t="s">
        <v>213</v>
      </c>
      <c r="E138" s="178"/>
      <c r="F138" s="178"/>
      <c r="G138" s="178"/>
      <c r="H138" s="178"/>
      <c r="I138" s="178"/>
      <c r="J138" s="178"/>
      <c r="K138" s="178"/>
    </row>
    <row r="139" spans="1:11" x14ac:dyDescent="0.2">
      <c r="C139" s="150"/>
      <c r="D139" s="150"/>
      <c r="E139" s="150"/>
      <c r="F139" s="150"/>
      <c r="G139" s="150"/>
      <c r="H139" s="150"/>
      <c r="I139" s="150"/>
      <c r="J139" s="150"/>
    </row>
    <row r="140" spans="1:11" x14ac:dyDescent="0.2">
      <c r="C140" s="177" t="s">
        <v>120</v>
      </c>
      <c r="D140" s="153">
        <v>2019</v>
      </c>
      <c r="E140" s="153">
        <v>2020</v>
      </c>
      <c r="F140" s="153">
        <v>2021</v>
      </c>
      <c r="G140" s="153">
        <v>2022</v>
      </c>
      <c r="H140" s="153">
        <v>2023</v>
      </c>
      <c r="I140" s="153">
        <v>2024</v>
      </c>
      <c r="J140" s="153">
        <v>2025</v>
      </c>
      <c r="K140" s="153" t="s">
        <v>36</v>
      </c>
    </row>
    <row r="141" spans="1:11" ht="12" customHeight="1" thickBot="1" x14ac:dyDescent="0.25">
      <c r="C141" s="156"/>
      <c r="D141" s="154"/>
      <c r="E141" s="154"/>
      <c r="F141" s="154"/>
      <c r="G141" s="154"/>
      <c r="H141" s="154"/>
      <c r="I141" s="154"/>
      <c r="J141" s="154"/>
      <c r="K141" s="154"/>
    </row>
    <row r="142" spans="1:11" x14ac:dyDescent="0.2">
      <c r="C142" s="87" t="s">
        <v>123</v>
      </c>
      <c r="D142" s="42">
        <f>834.47645187283*Deflactores!$T$5</f>
        <v>1262.6484153515428</v>
      </c>
      <c r="E142" s="42">
        <f>781.79417366667*Deflactores!$U$5</f>
        <v>1164.1912487662771</v>
      </c>
      <c r="F142" s="42">
        <f>1247.2758255299*Deflactores!$V$5</f>
        <v>1758.5237685514767</v>
      </c>
      <c r="G142" s="42">
        <f>1169.05260529826*Deflactores!$W$5</f>
        <v>1457.0699290185805</v>
      </c>
      <c r="H142" s="42">
        <f>3234.1692085812*Deflactores!$X$5</f>
        <v>3688.6580183911674</v>
      </c>
      <c r="I142" s="42">
        <f>2136.39120335889*Deflactores!$Y$5</f>
        <v>2316.1714080481347</v>
      </c>
      <c r="J142" s="42">
        <f>2142.38178103536*Deflactores!$Z$5</f>
        <v>2209.9582311375834</v>
      </c>
      <c r="K142" s="42">
        <f>54.23850148469*Deflactores!$AA$5</f>
        <v>54.238501484689998</v>
      </c>
    </row>
    <row r="143" spans="1:11" x14ac:dyDescent="0.2">
      <c r="C143" s="88" t="s">
        <v>124</v>
      </c>
      <c r="D143" s="50">
        <f>156.46734359599*Deflactores!$T$5</f>
        <v>236.75113060691828</v>
      </c>
      <c r="E143" s="50">
        <f>149.4839606047*Deflactores!$U$5</f>
        <v>222.60068522986225</v>
      </c>
      <c r="F143" s="50">
        <f>288.10071579274*Deflactores!$V$5</f>
        <v>406.19079283685033</v>
      </c>
      <c r="G143" s="50">
        <f>324.32378069025*Deflactores!$W$5</f>
        <v>404.22682945804269</v>
      </c>
      <c r="H143" s="50">
        <f>383.90208717624*Deflactores!$X$5</f>
        <v>437.85078046703848</v>
      </c>
      <c r="I143" s="50">
        <f>402.80333426209*Deflactores!$Y$5</f>
        <v>436.69977877529266</v>
      </c>
      <c r="J143" s="50">
        <f>507.82884454321*Deflactores!$Z$5</f>
        <v>523.8471242343112</v>
      </c>
      <c r="K143" s="50">
        <f>19.35331251822*Deflactores!$AA$5</f>
        <v>19.353312518220001</v>
      </c>
    </row>
    <row r="144" spans="1:11" x14ac:dyDescent="0.2">
      <c r="C144" s="87" t="s">
        <v>125</v>
      </c>
      <c r="D144" s="42">
        <f>134.63888078372*Deflactores!$T$5</f>
        <v>203.72242869733694</v>
      </c>
      <c r="E144" s="42">
        <f>160.21290041796*Deflactores!$U$5</f>
        <v>238.57744517494584</v>
      </c>
      <c r="F144" s="42">
        <f>336.03032165847*Deflactores!$V$5</f>
        <v>473.76634381522524</v>
      </c>
      <c r="G144" s="42">
        <f>265.99426824601*Deflactores!$W$5</f>
        <v>331.52678313708725</v>
      </c>
      <c r="H144" s="42">
        <f>293.92692347326*Deflactores!$X$5</f>
        <v>335.23165708646212</v>
      </c>
      <c r="I144" s="42">
        <f>302.278074158079*Deflactores!$Y$5</f>
        <v>327.71518228685699</v>
      </c>
      <c r="J144" s="42">
        <f>244.244749685719*Deflactores!$Z$5</f>
        <v>251.94888220120862</v>
      </c>
      <c r="K144" s="42">
        <f>0.921491704*Deflactores!$AA$5</f>
        <v>0.92149170400000002</v>
      </c>
    </row>
    <row r="145" spans="3:11" x14ac:dyDescent="0.2">
      <c r="C145" s="88" t="s">
        <v>126</v>
      </c>
      <c r="D145" s="50">
        <f>120.41698659701*Deflactores!$T$5</f>
        <v>182.20324488113107</v>
      </c>
      <c r="E145" s="50">
        <f>84.36305793219*Deflactores!$U$5</f>
        <v>125.62735445211111</v>
      </c>
      <c r="F145" s="50">
        <f>103.44156853317*Deflactores!$V$5</f>
        <v>145.84140347989555</v>
      </c>
      <c r="G145" s="50">
        <f>146.24101075751*Deflactores!$W$5</f>
        <v>182.27013754414131</v>
      </c>
      <c r="H145" s="50">
        <f>172.91735034596*Deflactores!$X$5</f>
        <v>197.21694498241524</v>
      </c>
      <c r="I145" s="50">
        <f>50.6850753991*Deflactores!$Y$5</f>
        <v>54.950292937729451</v>
      </c>
      <c r="J145" s="50">
        <f>156.16812169469*Deflactores!$Z$5</f>
        <v>161.09408184646045</v>
      </c>
      <c r="K145" s="50">
        <f>36.25591536789*Deflactores!$AA$5</f>
        <v>36.255915367889997</v>
      </c>
    </row>
    <row r="146" spans="3:11" x14ac:dyDescent="0.2">
      <c r="C146" s="87" t="s">
        <v>127</v>
      </c>
      <c r="D146" s="42">
        <f>56.1922021154799*Deflactores!$T$5</f>
        <v>85.024562163483168</v>
      </c>
      <c r="E146" s="42">
        <f>66.59964476967*Deflactores!$U$5</f>
        <v>99.175366385949417</v>
      </c>
      <c r="F146" s="42">
        <f>102.568897871439*Deflactores!$V$5</f>
        <v>144.611032402897</v>
      </c>
      <c r="G146" s="42">
        <f>137.29572419259*Deflactores!$W$5</f>
        <v>171.12101730684154</v>
      </c>
      <c r="H146" s="42">
        <f>176.44283537095*Deflactores!$X$5</f>
        <v>201.23785661920999</v>
      </c>
      <c r="I146" s="42">
        <f>148.61662962711*Deflactores!$Y$5</f>
        <v>161.12291969822633</v>
      </c>
      <c r="J146" s="42">
        <f>143.897824087*Deflactores!$Z$5</f>
        <v>148.43674624145106</v>
      </c>
      <c r="K146" s="42">
        <f>16.690274599*Deflactores!$AA$5</f>
        <v>16.690274598999999</v>
      </c>
    </row>
    <row r="147" spans="3:11" x14ac:dyDescent="0.2">
      <c r="C147" s="88" t="s">
        <v>128</v>
      </c>
      <c r="D147" s="50">
        <f>126.70022664638*Deflactores!$T$5</f>
        <v>191.71043118196081</v>
      </c>
      <c r="E147" s="50">
        <f>123.57267952176*Deflactores!$U$5</f>
        <v>184.01548250367316</v>
      </c>
      <c r="F147" s="50">
        <f>284.91436627516*Deflactores!$V$5</f>
        <v>401.69838526597761</v>
      </c>
      <c r="G147" s="50">
        <f>259.01034480766*Deflactores!$W$5</f>
        <v>322.82224342478605</v>
      </c>
      <c r="H147" s="50">
        <f>323.074267285879*Deflactores!$X$5</f>
        <v>368.47499611274236</v>
      </c>
      <c r="I147" s="50">
        <f>532.19371236318*Deflactores!$Y$5</f>
        <v>576.97853191895911</v>
      </c>
      <c r="J147" s="50">
        <f>390.26053834753*Deflactores!$Z$5</f>
        <v>402.57039928359694</v>
      </c>
      <c r="K147" s="50">
        <f>17.53381070535*Deflactores!$AA$5</f>
        <v>17.53381070535</v>
      </c>
    </row>
    <row r="148" spans="3:11" x14ac:dyDescent="0.2">
      <c r="C148" s="87" t="s">
        <v>129</v>
      </c>
      <c r="D148" s="42">
        <f>660.31557370762*Deflactores!$T$5</f>
        <v>999.12515314563962</v>
      </c>
      <c r="E148" s="42">
        <f>991.32334637865*Deflactores!$U$5</f>
        <v>1476.2069140768363</v>
      </c>
      <c r="F148" s="42">
        <f>1441.45804974997*Deflactores!$V$5</f>
        <v>2032.2996645736027</v>
      </c>
      <c r="G148" s="42">
        <f>1313.35707416726*Deflactores!$W$5</f>
        <v>1636.9264224382021</v>
      </c>
      <c r="H148" s="42">
        <f>1317.86255985152*Deflactores!$X$5</f>
        <v>1503.0581225112701</v>
      </c>
      <c r="I148" s="42">
        <f>1064.23002601935*Deflactores!$Y$5</f>
        <v>1153.786419817166</v>
      </c>
      <c r="J148" s="42">
        <f>868.7810663572*Deflactores!$Z$5</f>
        <v>896.184744310469</v>
      </c>
      <c r="K148" s="42">
        <f>140.11065983402*Deflactores!$AA$5</f>
        <v>140.11065983402</v>
      </c>
    </row>
    <row r="149" spans="3:11" x14ac:dyDescent="0.2">
      <c r="C149" s="88" t="s">
        <v>130</v>
      </c>
      <c r="D149" s="50">
        <f>230.304444823769*Deflactores!$T$5</f>
        <v>348.47423393735761</v>
      </c>
      <c r="E149" s="50">
        <f>204.20464554813*Deflactores!$U$5</f>
        <v>304.08676517703714</v>
      </c>
      <c r="F149" s="50">
        <f>635.953247227649*Deflactores!$V$5</f>
        <v>896.62517147094741</v>
      </c>
      <c r="G149" s="50">
        <f>507.46248029199*Deflactores!$W$5</f>
        <v>632.48507106316038</v>
      </c>
      <c r="H149" s="50">
        <f>512.80351295235*Deflactores!$X$5</f>
        <v>584.86636533796366</v>
      </c>
      <c r="I149" s="50">
        <f>321.25338850098*Deflactores!$Y$5</f>
        <v>348.28729495547947</v>
      </c>
      <c r="J149" s="50">
        <f>258.97770164243*Deflactores!$Z$5</f>
        <v>267.14655085854429</v>
      </c>
      <c r="K149" s="50">
        <f>7.13678924267*Deflactores!$AA$5</f>
        <v>7.1367892426699999</v>
      </c>
    </row>
    <row r="150" spans="3:11" x14ac:dyDescent="0.2">
      <c r="C150" s="87" t="s">
        <v>131</v>
      </c>
      <c r="D150" s="42">
        <f>3919.81163337762*Deflactores!$T$5</f>
        <v>5931.0768281751934</v>
      </c>
      <c r="E150" s="42">
        <f>3952.40967921846*Deflactores!$U$5</f>
        <v>5885.6421742113434</v>
      </c>
      <c r="F150" s="42">
        <f>4819.40504203246*Deflactores!$V$5</f>
        <v>6794.8389147126491</v>
      </c>
      <c r="G150" s="42">
        <f>5457.46020193701*Deflactores!$W$5</f>
        <v>6802.0045573820198</v>
      </c>
      <c r="H150" s="42">
        <f>6746.28314398497*Deflactores!$X$5</f>
        <v>7694.3195635438115</v>
      </c>
      <c r="I150" s="42">
        <f>5734.98439041931*Deflactores!$Y$5</f>
        <v>6217.5910712454552</v>
      </c>
      <c r="J150" s="42">
        <f>6104.79918110966*Deflactores!$Z$5</f>
        <v>6297.3608715134033</v>
      </c>
      <c r="K150" s="42">
        <f>57.79249163367*Deflactores!$AA$5</f>
        <v>57.792491633669997</v>
      </c>
    </row>
    <row r="151" spans="3:11" x14ac:dyDescent="0.2">
      <c r="C151" s="88" t="s">
        <v>132</v>
      </c>
      <c r="D151" s="50">
        <f>16.52613024648*Deflactores!$T$5</f>
        <v>25.005729185982052</v>
      </c>
      <c r="E151" s="50">
        <f>18.8014533346699*Deflactores!$U$5</f>
        <v>27.997762292921273</v>
      </c>
      <c r="F151" s="50">
        <f>18.78924422661*Deflactores!$V$5</f>
        <v>26.490798498058613</v>
      </c>
      <c r="G151" s="50">
        <f>16.6349977568099*Deflactores!$W$5</f>
        <v>20.733331323918758</v>
      </c>
      <c r="H151" s="50">
        <f>16.86733196746*Deflactores!$X$5</f>
        <v>19.237651247669682</v>
      </c>
      <c r="I151" s="50">
        <f>16.3133281999*Deflactores!$Y$5</f>
        <v>17.68611679701171</v>
      </c>
      <c r="J151" s="50">
        <f>15.75736759425*Deflactores!$Z$5</f>
        <v>16.254397103369811</v>
      </c>
      <c r="K151" s="50">
        <f>0.912385252*Deflactores!$AA$5</f>
        <v>0.91238525199999998</v>
      </c>
    </row>
    <row r="152" spans="3:11" x14ac:dyDescent="0.2">
      <c r="C152" s="87" t="s">
        <v>133</v>
      </c>
      <c r="D152" s="42">
        <f>71.88238380714*Deflactores!$T$5</f>
        <v>108.76541549144686</v>
      </c>
      <c r="E152" s="42">
        <f>82.60795414807*Deflactores!$U$5</f>
        <v>123.01378103985864</v>
      </c>
      <c r="F152" s="42">
        <f>107.484238707709*Deflactores!$V$5</f>
        <v>151.54113039260204</v>
      </c>
      <c r="G152" s="42">
        <f>140.28945144849*Deflactores!$W$5</f>
        <v>174.85230359839582</v>
      </c>
      <c r="H152" s="42">
        <f>146.45481519125*Deflactores!$X$5</f>
        <v>167.03570331256449</v>
      </c>
      <c r="I152" s="42">
        <f>154.987248532139*Deflactores!$Y$5</f>
        <v>168.02963478683003</v>
      </c>
      <c r="J152" s="42">
        <f>189.306773949779*Deflactores!$Z$5</f>
        <v>195.27801580642313</v>
      </c>
      <c r="K152" s="42">
        <f>5.421725204*Deflactores!$AA$5</f>
        <v>5.4217252040000004</v>
      </c>
    </row>
    <row r="153" spans="3:11" x14ac:dyDescent="0.2">
      <c r="C153" s="88" t="s">
        <v>134</v>
      </c>
      <c r="D153" s="50">
        <f>507.017768734019*Deflactores!$T$5</f>
        <v>767.16985938944742</v>
      </c>
      <c r="E153" s="50">
        <f>546.384610871539*Deflactores!$U$5</f>
        <v>813.63638136861186</v>
      </c>
      <c r="F153" s="50">
        <f>768.1713783323*Deflactores!$V$5</f>
        <v>1083.0384101643247</v>
      </c>
      <c r="G153" s="50">
        <f>954.4071867976*Deflactores!$W$5</f>
        <v>1189.5427165719452</v>
      </c>
      <c r="H153" s="50">
        <f>1035.40242502363*Deflactores!$X$5</f>
        <v>1180.9046500076413</v>
      </c>
      <c r="I153" s="50">
        <f>947.52846095229*Deflactores!$Y$5</f>
        <v>1027.2642604589832</v>
      </c>
      <c r="J153" s="50">
        <f>632.16662656359*Deflactores!$Z$5</f>
        <v>652.1068523788133</v>
      </c>
      <c r="K153" s="50">
        <f>517.20611946894*Deflactores!$AA$5</f>
        <v>517.20611946893996</v>
      </c>
    </row>
    <row r="154" spans="3:11" x14ac:dyDescent="0.2">
      <c r="C154" s="87" t="s">
        <v>135</v>
      </c>
      <c r="D154" s="42">
        <f>0*Deflactores!$T$5</f>
        <v>0</v>
      </c>
      <c r="E154" s="42">
        <f>0*Deflactores!$U$5</f>
        <v>0</v>
      </c>
      <c r="F154" s="42">
        <f>0*Deflactores!$V$5</f>
        <v>0</v>
      </c>
      <c r="G154" s="42">
        <f>0*Deflactores!$W$5</f>
        <v>0</v>
      </c>
      <c r="H154" s="42">
        <f>0*Deflactores!$X$5</f>
        <v>0</v>
      </c>
      <c r="I154" s="42">
        <f>5937.61276479059*Deflactores!$Y$5</f>
        <v>6437.2708969441155</v>
      </c>
      <c r="J154" s="42">
        <f>6301.09181103767*Deflactores!$Z$5</f>
        <v>6499.8450958757876</v>
      </c>
      <c r="K154" s="42">
        <f>745.320761925219*Deflactores!$AA$5</f>
        <v>745.32076192521902</v>
      </c>
    </row>
    <row r="155" spans="3:11" x14ac:dyDescent="0.2">
      <c r="C155" s="88" t="s">
        <v>136</v>
      </c>
      <c r="D155" s="50">
        <f>6967.11612318416*Deflactores!$T$5</f>
        <v>10541.960905865422</v>
      </c>
      <c r="E155" s="50">
        <f>8318.69162104228*Deflactores!$U$5</f>
        <v>12387.592940200057</v>
      </c>
      <c r="F155" s="50">
        <f>10900.5752538404*Deflactores!$V$5</f>
        <v>15368.630003406464</v>
      </c>
      <c r="G155" s="50">
        <f>18665.7935915633*Deflactores!$W$5</f>
        <v>23264.45056473379</v>
      </c>
      <c r="H155" s="50">
        <f>14757.7751253667*Deflactores!$X$5</f>
        <v>16831.644245873678</v>
      </c>
      <c r="I155" s="50">
        <f>8579.61837453714*Deflactores!$Y$5</f>
        <v>9301.6048464458527</v>
      </c>
      <c r="J155" s="50">
        <f>6865.09731278762*Deflactores!$Z$5</f>
        <v>7081.6408393015072</v>
      </c>
      <c r="K155" s="50">
        <f>1292.0861494493*Deflactores!$AA$5</f>
        <v>1292.0861494492999</v>
      </c>
    </row>
    <row r="156" spans="3:11" x14ac:dyDescent="0.2">
      <c r="C156" s="87" t="s">
        <v>137</v>
      </c>
      <c r="D156" s="42">
        <f>157.55439565454*Deflactores!$T$5</f>
        <v>238.39595180714784</v>
      </c>
      <c r="E156" s="42">
        <f>151.56875934962*Deflactores!$U$5</f>
        <v>225.70521649400749</v>
      </c>
      <c r="F156" s="42">
        <f>186.82661174201*Deflactores!$V$5</f>
        <v>263.40527942701408</v>
      </c>
      <c r="G156" s="42">
        <f>202.82105582233*Deflactores!$W$5</f>
        <v>252.78970344975957</v>
      </c>
      <c r="H156" s="42">
        <f>343.25976809227*Deflactores!$X$5</f>
        <v>391.49710924373693</v>
      </c>
      <c r="I156" s="42">
        <f>538.15611193801*Deflactores!$Y$5</f>
        <v>583.4426754694789</v>
      </c>
      <c r="J156" s="42">
        <f>439.29139891426*Deflactores!$Z$5</f>
        <v>453.14782430111103</v>
      </c>
      <c r="K156" s="42">
        <f>15.1164942522999*Deflactores!$AA$5</f>
        <v>15.1164942522999</v>
      </c>
    </row>
    <row r="157" spans="3:11" x14ac:dyDescent="0.2">
      <c r="C157" s="88" t="s">
        <v>138</v>
      </c>
      <c r="D157" s="50">
        <f>4.76299823841*Deflactores!$T$5</f>
        <v>7.2069045981504551</v>
      </c>
      <c r="E157" s="50">
        <f>6.86644852094*Deflactores!$U$5</f>
        <v>10.225017718782336</v>
      </c>
      <c r="F157" s="50">
        <f>7.52410469154*Deflactores!$V$5</f>
        <v>10.608172359567297</v>
      </c>
      <c r="G157" s="50">
        <f>6.92170782745*Deflactores!$W$5</f>
        <v>8.6269961566501419</v>
      </c>
      <c r="H157" s="50">
        <f>21.57742476233*Deflactores!$X$5</f>
        <v>24.609640291738735</v>
      </c>
      <c r="I157" s="50">
        <f>16.3466193832*Deflactores!$Y$5</f>
        <v>17.722209478341949</v>
      </c>
      <c r="J157" s="50">
        <f>15.28163051567*Deflactores!$Z$5</f>
        <v>15.763654005210563</v>
      </c>
      <c r="K157" s="50">
        <f>0*Deflactores!$AA$5</f>
        <v>0</v>
      </c>
    </row>
    <row r="158" spans="3:11" x14ac:dyDescent="0.2">
      <c r="C158" s="87" t="s">
        <v>160</v>
      </c>
      <c r="D158" s="42">
        <f>56.3394594717599*Deflactores!$T$5</f>
        <v>85.24737763914878</v>
      </c>
      <c r="E158" s="42">
        <f>181.41575232815*Deflactores!$U$5</f>
        <v>270.15119626464764</v>
      </c>
      <c r="F158" s="42">
        <f>302.92637915498*Deflactores!$V$5</f>
        <v>427.09337178001675</v>
      </c>
      <c r="G158" s="42">
        <f>450.22734428941*Deflactores!$W$5</f>
        <v>561.14902067954961</v>
      </c>
      <c r="H158" s="42">
        <f>242.093810540379*Deflactores!$X$5</f>
        <v>276.11458085843083</v>
      </c>
      <c r="I158" s="42">
        <f>217.12014470533*Deflactores!$Y$5</f>
        <v>235.39109807562687</v>
      </c>
      <c r="J158" s="42">
        <f>245.85399377512*Deflactores!$Z$5</f>
        <v>253.6088861523076</v>
      </c>
      <c r="K158" s="42">
        <f>0.75537895841*Deflactores!$AA$5</f>
        <v>0.75537895841000002</v>
      </c>
    </row>
    <row r="159" spans="3:11" x14ac:dyDescent="0.2">
      <c r="C159" s="88" t="s">
        <v>161</v>
      </c>
      <c r="D159" s="50">
        <f>44.3906720753999*Deflactores!$T$5</f>
        <v>67.167637416969754</v>
      </c>
      <c r="E159" s="50">
        <f>87.65626220871*Deflactores!$U$5</f>
        <v>130.53135569471812</v>
      </c>
      <c r="F159" s="50">
        <f>68.02648163035*Deflactores!$V$5</f>
        <v>95.909968259890064</v>
      </c>
      <c r="G159" s="50">
        <f>68.88124650187*Deflactores!$W$5</f>
        <v>85.851391542457606</v>
      </c>
      <c r="H159" s="50">
        <f>163.391933405459*Deflactores!$X$5</f>
        <v>186.35294767427445</v>
      </c>
      <c r="I159" s="50">
        <f>179.30102481527*Deflactores!$Y$5</f>
        <v>194.3894481768717</v>
      </c>
      <c r="J159" s="50">
        <f>208.39593235844*Deflactores!$Z$5</f>
        <v>214.9692973156983</v>
      </c>
      <c r="K159" s="50">
        <f>0.99659236033*Deflactores!$AA$5</f>
        <v>0.99659236032999998</v>
      </c>
    </row>
    <row r="160" spans="3:11" x14ac:dyDescent="0.2">
      <c r="C160" s="87" t="s">
        <v>140</v>
      </c>
      <c r="D160" s="42">
        <f>2494.85071559404*Deflactores!$T$5</f>
        <v>3774.964884285961</v>
      </c>
      <c r="E160" s="42">
        <f>2618.16401238096*Deflactores!$U$5</f>
        <v>3898.7801824528519</v>
      </c>
      <c r="F160" s="42">
        <f>4062.74877373705*Deflactores!$V$5</f>
        <v>5728.0355620094551</v>
      </c>
      <c r="G160" s="42">
        <f>3596.32142659748*Deflactores!$W$5</f>
        <v>4482.3404712771562</v>
      </c>
      <c r="H160" s="42">
        <f>6026.12100511924*Deflactores!$X$5</f>
        <v>6872.9550409268395</v>
      </c>
      <c r="I160" s="42">
        <f>4060.48717096345*Deflactores!$Y$5</f>
        <v>4402.1826495753003</v>
      </c>
      <c r="J160" s="42">
        <f>4373.32231459819*Deflactores!$Z$5</f>
        <v>4511.2685946634365</v>
      </c>
      <c r="K160" s="42">
        <f>13.45165059663*Deflactores!$AA$5</f>
        <v>13.45165059663</v>
      </c>
    </row>
    <row r="161" spans="1:11" x14ac:dyDescent="0.2">
      <c r="C161" s="88" t="s">
        <v>141</v>
      </c>
      <c r="D161" s="50">
        <f>88.24914922132*Deflactores!$T$5</f>
        <v>133.53000934938609</v>
      </c>
      <c r="E161" s="50">
        <f>143.06381197834*Deflactores!$U$5</f>
        <v>213.04026498327454</v>
      </c>
      <c r="F161" s="50">
        <f>151.71518984451*Deflactores!$V$5</f>
        <v>213.90197896164932</v>
      </c>
      <c r="G161" s="50">
        <f>176.00208250859*Deflactores!$W$5</f>
        <v>219.36338938527604</v>
      </c>
      <c r="H161" s="50">
        <f>304.634226872609*Deflactores!$X$5</f>
        <v>347.4436280725696</v>
      </c>
      <c r="I161" s="50">
        <f>344.890163782379*Deflactores!$Y$5</f>
        <v>373.91313679528895</v>
      </c>
      <c r="J161" s="50">
        <f>233.286404814959*Deflactores!$Z$5</f>
        <v>240.64488183061329</v>
      </c>
      <c r="K161" s="50">
        <f>5.27560215242*Deflactores!$AA$5</f>
        <v>5.2756021524200003</v>
      </c>
    </row>
    <row r="162" spans="1:11" x14ac:dyDescent="0.2">
      <c r="C162" s="87" t="s">
        <v>142</v>
      </c>
      <c r="D162" s="42">
        <f>142.25467665546*Deflactores!$T$5</f>
        <v>215.24590856008419</v>
      </c>
      <c r="E162" s="42">
        <f>116.62328960471*Deflactores!$U$5</f>
        <v>173.66695446623643</v>
      </c>
      <c r="F162" s="42">
        <f>374.63853888416*Deflactores!$V$5</f>
        <v>528.19974680684516</v>
      </c>
      <c r="G162" s="42">
        <f>245.480397460459*Deflactores!$W$5</f>
        <v>305.95894802519058</v>
      </c>
      <c r="H162" s="42">
        <f>362.21444388603*Deflactores!$X$5</f>
        <v>413.11543294403884</v>
      </c>
      <c r="I162" s="42">
        <f>364.35726439095*Deflactores!$Y$5</f>
        <v>395.01842020793276</v>
      </c>
      <c r="J162" s="42">
        <f>243.98160810942*Deflactores!$Z$5</f>
        <v>251.67744043595263</v>
      </c>
      <c r="K162" s="42">
        <f>5.67516963271999*Deflactores!$AA$5</f>
        <v>5.6751696327199896</v>
      </c>
    </row>
    <row r="163" spans="1:11" x14ac:dyDescent="0.2">
      <c r="C163" s="88" t="s">
        <v>143</v>
      </c>
      <c r="D163" s="50">
        <f>84.27210189847*Deflactores!$T$5</f>
        <v>127.51232905570667</v>
      </c>
      <c r="E163" s="50">
        <f>96.9189313193*Deflactores!$U$5</f>
        <v>144.32465152882637</v>
      </c>
      <c r="F163" s="50">
        <f>334.65188289699*Deflactores!$V$5</f>
        <v>471.8228945188153</v>
      </c>
      <c r="G163" s="50">
        <f>218.92093223456*Deflactores!$W$5</f>
        <v>272.85607657519381</v>
      </c>
      <c r="H163" s="50">
        <f>149.027587612269*Deflactores!$X$5</f>
        <v>169.97002029112809</v>
      </c>
      <c r="I163" s="50">
        <f>90.40116320652*Deflactores!$Y$5</f>
        <v>98.008543165706143</v>
      </c>
      <c r="J163" s="50">
        <f>333.5822286163*Deflactores!$Z$5</f>
        <v>344.10430410565732</v>
      </c>
      <c r="K163" s="50">
        <f>0.98007182967*Deflactores!$AA$5</f>
        <v>0.98007182966999995</v>
      </c>
    </row>
    <row r="164" spans="1:11" x14ac:dyDescent="0.2">
      <c r="C164" s="87" t="s">
        <v>144</v>
      </c>
      <c r="D164" s="42">
        <f>158.03429547132*Deflactores!$T$5</f>
        <v>239.12208942532129</v>
      </c>
      <c r="E164" s="42">
        <f>132.65661356948*Deflactores!$U$5</f>
        <v>197.54261903006361</v>
      </c>
      <c r="F164" s="42">
        <f>141.43333782396*Deflactores!$V$5</f>
        <v>199.40568167697722</v>
      </c>
      <c r="G164" s="42">
        <f>203.804279047869*Deflactores!$W$5</f>
        <v>254.0151615591318</v>
      </c>
      <c r="H164" s="42">
        <f>317.32623169544*Deflactores!$X$5</f>
        <v>361.91920505690831</v>
      </c>
      <c r="I164" s="42">
        <f>279.35663572606*Deflactores!$Y$5</f>
        <v>302.8648738582749</v>
      </c>
      <c r="J164" s="42">
        <f>478.57676047364*Deflactores!$Z$5</f>
        <v>493.6723512131212</v>
      </c>
      <c r="K164" s="42">
        <f>2.65570497118*Deflactores!$AA$5</f>
        <v>2.65570497118</v>
      </c>
    </row>
    <row r="165" spans="1:11" x14ac:dyDescent="0.2">
      <c r="C165" s="88" t="s">
        <v>145</v>
      </c>
      <c r="D165" s="50">
        <f>45.763409356*Deflactores!$T$5</f>
        <v>69.244729644262279</v>
      </c>
      <c r="E165" s="50">
        <f>78.70152049808*Deflactores!$U$5</f>
        <v>117.19660303778326</v>
      </c>
      <c r="F165" s="50">
        <f>47.942235419*Deflactores!$V$5</f>
        <v>67.593357280042085</v>
      </c>
      <c r="G165" s="50">
        <f>105.647963472*Deflactores!$W$5</f>
        <v>131.6762564314468</v>
      </c>
      <c r="H165" s="50">
        <f>119.955067789*Deflactores!$X$5</f>
        <v>136.81202006145492</v>
      </c>
      <c r="I165" s="50">
        <f>101.8172757298*Deflactores!$Y$5</f>
        <v>110.3853369738388</v>
      </c>
      <c r="J165" s="50">
        <f>148.973050154*Deflactores!$Z$5</f>
        <v>153.67205850975751</v>
      </c>
      <c r="K165" s="50">
        <f>0*Deflactores!$AA$5</f>
        <v>0</v>
      </c>
    </row>
    <row r="166" spans="1:11" x14ac:dyDescent="0.2">
      <c r="C166" s="87" t="s">
        <v>146</v>
      </c>
      <c r="D166" s="42">
        <f>35.0384065754799*Deflactores!$T$5</f>
        <v>53.016700998190537</v>
      </c>
      <c r="E166" s="42">
        <f>37.69416342996*Deflactores!$U$5</f>
        <v>56.131417542944689</v>
      </c>
      <c r="F166" s="42">
        <f>53.11331817313*Deflactores!$V$5</f>
        <v>74.88402366365527</v>
      </c>
      <c r="G166" s="42">
        <f>48.625531345*Deflactores!$W$5</f>
        <v>60.605313383031017</v>
      </c>
      <c r="H166" s="42">
        <f>66.19232723216*Deflactores!$X$5</f>
        <v>75.494151002689833</v>
      </c>
      <c r="I166" s="42">
        <f>29.5275617850699*Deflactores!$Y$5</f>
        <v>32.012345982527776</v>
      </c>
      <c r="J166" s="42">
        <f>15.25847688394*Deflactores!$Z$5</f>
        <v>15.739770046022993</v>
      </c>
      <c r="K166" s="42">
        <f>0*Deflactores!$AA$5</f>
        <v>0</v>
      </c>
    </row>
    <row r="167" spans="1:11" x14ac:dyDescent="0.2">
      <c r="C167" s="88" t="s">
        <v>162</v>
      </c>
      <c r="D167" s="50">
        <f>497.86081788792*Deflactores!$T$5</f>
        <v>753.31445406395267</v>
      </c>
      <c r="E167" s="50">
        <f>544.64550918427*Deflactores!$U$5</f>
        <v>811.04663711976752</v>
      </c>
      <c r="F167" s="50">
        <f>683.87962904999*Deflactores!$V$5</f>
        <v>964.19617689747713</v>
      </c>
      <c r="G167" s="50">
        <f>935.07053764484*Deflactores!$W$5</f>
        <v>1165.4421330047232</v>
      </c>
      <c r="H167" s="50">
        <f>1264.4852795049*Deflactores!$X$5</f>
        <v>1442.1798813147166</v>
      </c>
      <c r="I167" s="50">
        <f>798.77863563213*Deflactores!$Y$5</f>
        <v>865.99693647027289</v>
      </c>
      <c r="J167" s="50">
        <f>792.00914913567*Deflactores!$Z$5</f>
        <v>816.99123553168374</v>
      </c>
      <c r="K167" s="50">
        <f>7.50342708953*Deflactores!$AA$5</f>
        <v>7.5034270895299997</v>
      </c>
    </row>
    <row r="168" spans="1:11" x14ac:dyDescent="0.2">
      <c r="C168" s="87" t="s">
        <v>148</v>
      </c>
      <c r="D168" s="42">
        <f>93.17708820442*Deflactores!$T$5</f>
        <v>140.98648620262216</v>
      </c>
      <c r="E168" s="42">
        <f>141.71222660206*Deflactores!$U$5</f>
        <v>211.02758195233585</v>
      </c>
      <c r="F168" s="42">
        <f>181.1178384926*Deflactores!$V$5</f>
        <v>255.35652770516194</v>
      </c>
      <c r="G168" s="42">
        <f>221.057681067709*Deflactores!$W$5</f>
        <v>275.51925225825266</v>
      </c>
      <c r="H168" s="42">
        <f>213.284224419449*Deflactores!$X$5</f>
        <v>243.25646367348665</v>
      </c>
      <c r="I168" s="42">
        <f>194.44227124132*Deflactores!$Y$5</f>
        <v>210.80485093601544</v>
      </c>
      <c r="J168" s="42">
        <f>207.06352164687*Deflactores!$Z$5</f>
        <v>213.59485880741946</v>
      </c>
      <c r="K168" s="42">
        <f>21.76626625904*Deflactores!$AA$5</f>
        <v>21.766266259039998</v>
      </c>
    </row>
    <row r="169" spans="1:11" x14ac:dyDescent="0.2">
      <c r="C169" s="88" t="s">
        <v>149</v>
      </c>
      <c r="D169" s="50">
        <f>14.31941515729*Deflactores!$T$5</f>
        <v>21.666743041741867</v>
      </c>
      <c r="E169" s="50">
        <f>0*Deflactores!$U$5</f>
        <v>0</v>
      </c>
      <c r="F169" s="50">
        <f>0*Deflactores!$V$5</f>
        <v>0</v>
      </c>
      <c r="G169" s="50">
        <f>0*Deflactores!$W$5</f>
        <v>0</v>
      </c>
      <c r="H169" s="50">
        <f>0*Deflactores!$X$5</f>
        <v>0</v>
      </c>
      <c r="I169" s="50">
        <f>171.953374622*Deflactores!$Y$5</f>
        <v>186.42348329776411</v>
      </c>
      <c r="J169" s="50">
        <f>343.83644773*Deflactores!$Z$5</f>
        <v>354.68196870998287</v>
      </c>
      <c r="K169" s="50">
        <f>0*Deflactores!$AA$5</f>
        <v>0</v>
      </c>
    </row>
    <row r="170" spans="1:11" x14ac:dyDescent="0.2">
      <c r="C170" s="87" t="s">
        <v>163</v>
      </c>
      <c r="D170" s="42">
        <f>3364.06050602578*Deflactores!$T$5</f>
        <v>5090.1684014535576</v>
      </c>
      <c r="E170" s="42">
        <f>3690.98629757269*Deflactores!$U$5</f>
        <v>5496.3494122718621</v>
      </c>
      <c r="F170" s="42">
        <f>2216.10884265511*Deflactores!$V$5</f>
        <v>3124.4733472249068</v>
      </c>
      <c r="G170" s="42">
        <f>2484.73571377666*Deflactores!$W$5</f>
        <v>3096.8954465302354</v>
      </c>
      <c r="H170" s="42">
        <f>2546.12836505365*Deflactores!$X$5</f>
        <v>2903.9287074681024</v>
      </c>
      <c r="I170" s="42">
        <f>2783.61741845716*Deflactores!$Y$5</f>
        <v>3017.8625831442137</v>
      </c>
      <c r="J170" s="42">
        <f>2822.43133382321*Deflactores!$Z$5</f>
        <v>2911.4583652727033</v>
      </c>
      <c r="K170" s="42">
        <f>189.559130139889*Deflactores!$AA$5</f>
        <v>189.55913013988899</v>
      </c>
    </row>
    <row r="171" spans="1:11" x14ac:dyDescent="0.2">
      <c r="C171" s="88" t="s">
        <v>150</v>
      </c>
      <c r="D171" s="50">
        <f>3544.67584754617*Deflactores!$T$5</f>
        <v>5363.4579283743878</v>
      </c>
      <c r="E171" s="50">
        <f>4105.6821877732*Deflactores!$U$5</f>
        <v>6113.8844905987798</v>
      </c>
      <c r="F171" s="50">
        <f>6491.21648850344*Deflactores!$V$5</f>
        <v>9151.9119092979727</v>
      </c>
      <c r="G171" s="50">
        <f>6874.7917038523*Deflactores!$W$5</f>
        <v>8568.5213946330077</v>
      </c>
      <c r="H171" s="50">
        <f>7720.48190230344*Deflactores!$X$5</f>
        <v>8805.4197656741053</v>
      </c>
      <c r="I171" s="50">
        <f>3304.95877460782*Deflactores!$Y$5</f>
        <v>3583.0755184206323</v>
      </c>
      <c r="J171" s="50">
        <f>2423.43990034121*Deflactores!$Z$5</f>
        <v>2499.8816750756837</v>
      </c>
      <c r="K171" s="50">
        <f>1010.51235217668*Deflactores!$AA$5</f>
        <v>1010.51235217668</v>
      </c>
    </row>
    <row r="172" spans="1:11" x14ac:dyDescent="0.2">
      <c r="C172" s="87" t="s">
        <v>151</v>
      </c>
      <c r="D172" s="42">
        <f>685.84522775402*Deflactores!$T$5</f>
        <v>1037.7541368081677</v>
      </c>
      <c r="E172" s="42">
        <f>985.833941105099*Deflactores!$U$5</f>
        <v>1468.0324894064318</v>
      </c>
      <c r="F172" s="42">
        <f>1911.53779086795*Deflactores!$V$5</f>
        <v>2695.0611652378966</v>
      </c>
      <c r="G172" s="42">
        <f>2030.07812997202*Deflactores!$W$5</f>
        <v>2530.22471643681</v>
      </c>
      <c r="H172" s="42">
        <f>2057.80987600099*Deflactores!$X$5</f>
        <v>2346.9881783846095</v>
      </c>
      <c r="I172" s="42">
        <f>1613.20015703395*Deflactores!$Y$5</f>
        <v>1748.9531286714976</v>
      </c>
      <c r="J172" s="42">
        <f>1474.83024841859*Deflactores!$Z$5</f>
        <v>1521.3503381494425</v>
      </c>
      <c r="K172" s="42">
        <f>52.9934366664799*Deflactores!$AA$5</f>
        <v>52.993436666479901</v>
      </c>
    </row>
    <row r="173" spans="1:11" x14ac:dyDescent="0.2">
      <c r="C173" s="79" t="s">
        <v>202</v>
      </c>
      <c r="D173" s="44">
        <f t="shared" ref="D173:K173" si="6">+SUM(D142:D172)</f>
        <v>38301.641010797612</v>
      </c>
      <c r="E173" s="44">
        <f t="shared" si="6"/>
        <v>42590.000391442802</v>
      </c>
      <c r="F173" s="44">
        <f t="shared" si="6"/>
        <v>53955.954982678311</v>
      </c>
      <c r="G173" s="44">
        <f t="shared" si="6"/>
        <v>58861.867578328784</v>
      </c>
      <c r="H173" s="44">
        <f t="shared" si="6"/>
        <v>58207.793328432483</v>
      </c>
      <c r="I173" s="44">
        <f t="shared" si="6"/>
        <v>44903.605893815671</v>
      </c>
      <c r="J173" s="44">
        <f t="shared" si="6"/>
        <v>40869.900336218736</v>
      </c>
      <c r="K173" s="44">
        <f t="shared" si="6"/>
        <v>4238.2216654742479</v>
      </c>
    </row>
    <row r="174" spans="1:11" s="31" customFormat="1" x14ac:dyDescent="0.2">
      <c r="A174" s="5"/>
      <c r="B174" s="5"/>
      <c r="C174" s="72" t="str">
        <f>+'C1 Aprop Resumen 2000-2026'!B20</f>
        <v>* Información con corte a 28 de febrero</v>
      </c>
      <c r="D174" s="121">
        <f>+D173-'C6 Ejec. Nac 19-26'!D97</f>
        <v>0</v>
      </c>
      <c r="E174" s="121">
        <f>+E173-'C6 Ejec. Nac 19-26'!E97</f>
        <v>0</v>
      </c>
      <c r="F174" s="121">
        <f>+F173-'C6 Ejec. Nac 19-26'!F97</f>
        <v>-8.0035533756017685E-11</v>
      </c>
      <c r="G174" s="121">
        <f>+G173-'C6 Ejec. Nac 19-26'!G97</f>
        <v>0</v>
      </c>
      <c r="H174" s="121">
        <f>+H173-'C6 Ejec. Nac 19-26'!H97</f>
        <v>0</v>
      </c>
      <c r="I174" s="121">
        <f>+I173-'C6 Ejec. Nac 19-26'!I97</f>
        <v>0</v>
      </c>
      <c r="J174" s="121">
        <f>+J173-'C6 Ejec. Nac 19-26'!J97</f>
        <v>0</v>
      </c>
      <c r="K174" s="121">
        <f>+K173-'C6 Ejec. Nac 19-26'!K97</f>
        <v>-1.1823431123048067E-11</v>
      </c>
    </row>
    <row r="175" spans="1:11" x14ac:dyDescent="0.2">
      <c r="C175" s="1" t="s">
        <v>52</v>
      </c>
      <c r="D175" s="11"/>
      <c r="E175" s="11"/>
      <c r="F175" s="11"/>
    </row>
    <row r="176" spans="1:11" x14ac:dyDescent="0.2">
      <c r="B176" s="9"/>
      <c r="D176" s="11"/>
      <c r="E176" s="11"/>
      <c r="F176" s="11"/>
    </row>
    <row r="177" spans="3:11" x14ac:dyDescent="0.2">
      <c r="D177" s="11"/>
      <c r="E177" s="11"/>
      <c r="F177" s="11"/>
    </row>
    <row r="178" spans="3:11" x14ac:dyDescent="0.2">
      <c r="D178" s="11"/>
      <c r="E178" s="11"/>
      <c r="F178" s="11"/>
    </row>
    <row r="179" spans="3:11" ht="15.75" customHeight="1" x14ac:dyDescent="0.2">
      <c r="D179" s="131" t="s">
        <v>214</v>
      </c>
      <c r="E179" s="131"/>
      <c r="F179" s="131"/>
      <c r="G179" s="131"/>
      <c r="H179" s="131"/>
      <c r="I179" s="131"/>
      <c r="J179" s="131"/>
      <c r="K179" s="131"/>
    </row>
    <row r="180" spans="3:11" ht="11.25" hidden="1" customHeight="1" x14ac:dyDescent="0.2">
      <c r="D180" s="28"/>
      <c r="E180" s="28"/>
      <c r="F180" s="28"/>
    </row>
    <row r="181" spans="3:11" x14ac:dyDescent="0.2">
      <c r="D181" s="29"/>
      <c r="E181" s="29"/>
      <c r="F181" s="29"/>
    </row>
    <row r="182" spans="3:11" ht="12" thickBot="1" x14ac:dyDescent="0.25">
      <c r="C182" s="177" t="s">
        <v>120</v>
      </c>
      <c r="D182" s="153">
        <v>2019</v>
      </c>
      <c r="E182" s="153">
        <v>2020</v>
      </c>
      <c r="F182" s="153">
        <v>2021</v>
      </c>
      <c r="G182" s="153">
        <v>2022</v>
      </c>
      <c r="H182" s="153">
        <v>2023</v>
      </c>
      <c r="I182" s="153">
        <v>2024</v>
      </c>
      <c r="J182" s="153">
        <v>2025</v>
      </c>
      <c r="K182" s="153" t="s">
        <v>36</v>
      </c>
    </row>
    <row r="183" spans="3:11" ht="12" customHeight="1" thickBot="1" x14ac:dyDescent="0.25">
      <c r="C183" s="156"/>
      <c r="D183" s="154"/>
      <c r="E183" s="154"/>
      <c r="F183" s="154"/>
      <c r="G183" s="154"/>
      <c r="H183" s="154"/>
      <c r="I183" s="154"/>
      <c r="J183" s="154"/>
      <c r="K183" s="154"/>
    </row>
    <row r="184" spans="3:11" x14ac:dyDescent="0.2">
      <c r="C184" s="87" t="s">
        <v>123</v>
      </c>
      <c r="D184" s="47">
        <f t="shared" ref="D184:K193" si="7">+IFERROR(IF(D142&gt;0,+((D142/D15)*100)," "),"")</f>
        <v>56.895829759345574</v>
      </c>
      <c r="E184" s="47">
        <f t="shared" si="7"/>
        <v>75.0854296995618</v>
      </c>
      <c r="F184" s="47">
        <f t="shared" si="7"/>
        <v>74.216695196408011</v>
      </c>
      <c r="G184" s="47">
        <f t="shared" si="7"/>
        <v>66.461703982444419</v>
      </c>
      <c r="H184" s="47">
        <f t="shared" si="7"/>
        <v>73.9034273110355</v>
      </c>
      <c r="I184" s="47">
        <f t="shared" si="7"/>
        <v>31.837975970523726</v>
      </c>
      <c r="J184" s="47">
        <f t="shared" si="7"/>
        <v>52.304524965645527</v>
      </c>
      <c r="K184" s="47">
        <f t="shared" si="7"/>
        <v>1.7270476780023938</v>
      </c>
    </row>
    <row r="185" spans="3:11" x14ac:dyDescent="0.2">
      <c r="C185" s="88" t="s">
        <v>124</v>
      </c>
      <c r="D185" s="116">
        <f t="shared" si="7"/>
        <v>76.726687990049243</v>
      </c>
      <c r="E185" s="116">
        <f t="shared" si="7"/>
        <v>57.74859135600645</v>
      </c>
      <c r="F185" s="116">
        <f t="shared" si="7"/>
        <v>47.273529066921704</v>
      </c>
      <c r="G185" s="116">
        <f t="shared" si="7"/>
        <v>43.042913282691288</v>
      </c>
      <c r="H185" s="116">
        <f t="shared" si="7"/>
        <v>28.995270681227968</v>
      </c>
      <c r="I185" s="116">
        <f t="shared" si="7"/>
        <v>32.143522932122352</v>
      </c>
      <c r="J185" s="116">
        <f t="shared" si="7"/>
        <v>62.866945460619249</v>
      </c>
      <c r="K185" s="116">
        <f t="shared" si="7"/>
        <v>2.1029144388868115</v>
      </c>
    </row>
    <row r="186" spans="3:11" x14ac:dyDescent="0.2">
      <c r="C186" s="87" t="s">
        <v>125</v>
      </c>
      <c r="D186" s="47">
        <f t="shared" si="7"/>
        <v>41.111096670724471</v>
      </c>
      <c r="E186" s="47">
        <f t="shared" si="7"/>
        <v>65.160817123109396</v>
      </c>
      <c r="F186" s="47">
        <f t="shared" si="7"/>
        <v>86.94970575387724</v>
      </c>
      <c r="G186" s="47">
        <f t="shared" si="7"/>
        <v>87.815453817001895</v>
      </c>
      <c r="H186" s="47">
        <f t="shared" si="7"/>
        <v>64.230697522473022</v>
      </c>
      <c r="I186" s="47">
        <f t="shared" si="7"/>
        <v>86.898577806600315</v>
      </c>
      <c r="J186" s="47">
        <f t="shared" si="7"/>
        <v>95.998861184967197</v>
      </c>
      <c r="K186" s="47">
        <f t="shared" si="7"/>
        <v>0.26436566030122671</v>
      </c>
    </row>
    <row r="187" spans="3:11" x14ac:dyDescent="0.2">
      <c r="C187" s="88" t="s">
        <v>126</v>
      </c>
      <c r="D187" s="116">
        <f t="shared" si="7"/>
        <v>60.316242747538851</v>
      </c>
      <c r="E187" s="116">
        <f t="shared" si="7"/>
        <v>39.464989139006818</v>
      </c>
      <c r="F187" s="116">
        <f t="shared" si="7"/>
        <v>32.026919355644274</v>
      </c>
      <c r="G187" s="116">
        <f t="shared" si="7"/>
        <v>46.707379928792278</v>
      </c>
      <c r="H187" s="116">
        <f t="shared" si="7"/>
        <v>37.12770639328231</v>
      </c>
      <c r="I187" s="116">
        <f t="shared" si="7"/>
        <v>26.932818771953571</v>
      </c>
      <c r="J187" s="116">
        <f t="shared" si="7"/>
        <v>68.543970314246707</v>
      </c>
      <c r="K187" s="116">
        <f t="shared" si="7"/>
        <v>17.365019543564578</v>
      </c>
    </row>
    <row r="188" spans="3:11" x14ac:dyDescent="0.2">
      <c r="C188" s="87" t="s">
        <v>127</v>
      </c>
      <c r="D188" s="47">
        <f t="shared" si="7"/>
        <v>62.435780128311002</v>
      </c>
      <c r="E188" s="47">
        <f t="shared" si="7"/>
        <v>80.104329979314855</v>
      </c>
      <c r="F188" s="47">
        <f t="shared" si="7"/>
        <v>88.640414545997629</v>
      </c>
      <c r="G188" s="47">
        <f t="shared" si="7"/>
        <v>65.681221621759292</v>
      </c>
      <c r="H188" s="47">
        <f t="shared" si="7"/>
        <v>63.80910053912725</v>
      </c>
      <c r="I188" s="47">
        <f t="shared" si="7"/>
        <v>56.508224192817494</v>
      </c>
      <c r="J188" s="47">
        <f t="shared" si="7"/>
        <v>71.948912043500016</v>
      </c>
      <c r="K188" s="47">
        <f t="shared" si="7"/>
        <v>8.3451372994999993</v>
      </c>
    </row>
    <row r="189" spans="3:11" x14ac:dyDescent="0.2">
      <c r="C189" s="88" t="s">
        <v>128</v>
      </c>
      <c r="D189" s="116">
        <f t="shared" si="7"/>
        <v>90.843270054815008</v>
      </c>
      <c r="E189" s="116">
        <f t="shared" si="7"/>
        <v>92.077887049592903</v>
      </c>
      <c r="F189" s="116">
        <f t="shared" si="7"/>
        <v>78.905664744340783</v>
      </c>
      <c r="G189" s="116">
        <f t="shared" si="7"/>
        <v>72.272042019499594</v>
      </c>
      <c r="H189" s="116">
        <f t="shared" si="7"/>
        <v>65.573912849275445</v>
      </c>
      <c r="I189" s="116">
        <f t="shared" si="7"/>
        <v>54.834065381115757</v>
      </c>
      <c r="J189" s="116">
        <f t="shared" si="7"/>
        <v>54.313425307772903</v>
      </c>
      <c r="K189" s="116">
        <f t="shared" si="7"/>
        <v>2.4360038058333013</v>
      </c>
    </row>
    <row r="190" spans="3:11" x14ac:dyDescent="0.2">
      <c r="C190" s="87" t="s">
        <v>129</v>
      </c>
      <c r="D190" s="47">
        <f t="shared" si="7"/>
        <v>62.504115280380091</v>
      </c>
      <c r="E190" s="47">
        <f t="shared" si="7"/>
        <v>74.1617991423646</v>
      </c>
      <c r="F190" s="47">
        <f t="shared" si="7"/>
        <v>71.005655987005383</v>
      </c>
      <c r="G190" s="47">
        <f t="shared" si="7"/>
        <v>64.920752390454339</v>
      </c>
      <c r="H190" s="47">
        <f t="shared" si="7"/>
        <v>68.677282892619047</v>
      </c>
      <c r="I190" s="47">
        <f t="shared" si="7"/>
        <v>35.324096702887473</v>
      </c>
      <c r="J190" s="47">
        <f t="shared" si="7"/>
        <v>39.459520920504758</v>
      </c>
      <c r="K190" s="47">
        <f t="shared" si="7"/>
        <v>3.9481542413339357</v>
      </c>
    </row>
    <row r="191" spans="3:11" x14ac:dyDescent="0.2">
      <c r="C191" s="88" t="s">
        <v>130</v>
      </c>
      <c r="D191" s="116">
        <f t="shared" si="7"/>
        <v>49.849446931551725</v>
      </c>
      <c r="E191" s="116">
        <f t="shared" si="7"/>
        <v>48.345347668945422</v>
      </c>
      <c r="F191" s="116">
        <f t="shared" si="7"/>
        <v>87.375443519254858</v>
      </c>
      <c r="G191" s="116">
        <f t="shared" si="7"/>
        <v>60.033506326257047</v>
      </c>
      <c r="H191" s="116">
        <f t="shared" si="7"/>
        <v>57.507935874152302</v>
      </c>
      <c r="I191" s="116">
        <f t="shared" si="7"/>
        <v>32.31799046689293</v>
      </c>
      <c r="J191" s="116">
        <f t="shared" si="7"/>
        <v>64.744425410607505</v>
      </c>
      <c r="K191" s="116">
        <f t="shared" si="7"/>
        <v>1.6150510462356296</v>
      </c>
    </row>
    <row r="192" spans="3:11" x14ac:dyDescent="0.2">
      <c r="C192" s="87" t="s">
        <v>131</v>
      </c>
      <c r="D192" s="47">
        <f t="shared" si="7"/>
        <v>96.713903370859327</v>
      </c>
      <c r="E192" s="47">
        <f t="shared" si="7"/>
        <v>99.18458739407717</v>
      </c>
      <c r="F192" s="47">
        <f t="shared" si="7"/>
        <v>99.373553138397298</v>
      </c>
      <c r="G192" s="47">
        <f t="shared" si="7"/>
        <v>98.821714220829577</v>
      </c>
      <c r="H192" s="47">
        <f t="shared" si="7"/>
        <v>91.32748434788428</v>
      </c>
      <c r="I192" s="47">
        <f t="shared" si="7"/>
        <v>71.136538570822481</v>
      </c>
      <c r="J192" s="47">
        <f t="shared" si="7"/>
        <v>90.374599611805266</v>
      </c>
      <c r="K192" s="47">
        <f t="shared" si="7"/>
        <v>0.85262631386573906</v>
      </c>
    </row>
    <row r="193" spans="3:11" x14ac:dyDescent="0.2">
      <c r="C193" s="88" t="s">
        <v>132</v>
      </c>
      <c r="D193" s="116">
        <f t="shared" si="7"/>
        <v>90.846853669356705</v>
      </c>
      <c r="E193" s="116">
        <f t="shared" si="7"/>
        <v>88.736272697255643</v>
      </c>
      <c r="F193" s="116">
        <f t="shared" si="7"/>
        <v>92.115795136453443</v>
      </c>
      <c r="G193" s="116">
        <f t="shared" si="7"/>
        <v>88.472041939634593</v>
      </c>
      <c r="H193" s="116">
        <f t="shared" si="7"/>
        <v>85.177585976328956</v>
      </c>
      <c r="I193" s="116">
        <f t="shared" si="7"/>
        <v>89.144096931010068</v>
      </c>
      <c r="J193" s="116">
        <f t="shared" si="7"/>
        <v>92.688455522931264</v>
      </c>
      <c r="K193" s="116">
        <f t="shared" si="7"/>
        <v>9.1238525199999998</v>
      </c>
    </row>
    <row r="194" spans="3:11" x14ac:dyDescent="0.2">
      <c r="C194" s="87" t="s">
        <v>133</v>
      </c>
      <c r="D194" s="47">
        <f t="shared" ref="D194:K203" si="8">+IFERROR(IF(D152&gt;0,+((D152/D25)*100)," "),"")</f>
        <v>63.436145820679926</v>
      </c>
      <c r="E194" s="47">
        <f t="shared" si="8"/>
        <v>67.195856615496155</v>
      </c>
      <c r="F194" s="47">
        <f t="shared" si="8"/>
        <v>86.005768512963925</v>
      </c>
      <c r="G194" s="47">
        <f t="shared" si="8"/>
        <v>82.123242895806285</v>
      </c>
      <c r="H194" s="47">
        <f t="shared" si="8"/>
        <v>72.179348620439185</v>
      </c>
      <c r="I194" s="47">
        <f t="shared" si="8"/>
        <v>67.601813938667405</v>
      </c>
      <c r="J194" s="47">
        <f t="shared" si="8"/>
        <v>59.545202142585417</v>
      </c>
      <c r="K194" s="47">
        <f t="shared" si="8"/>
        <v>1.3878240648899114</v>
      </c>
    </row>
    <row r="195" spans="3:11" x14ac:dyDescent="0.2">
      <c r="C195" s="88" t="s">
        <v>134</v>
      </c>
      <c r="D195" s="116">
        <f t="shared" si="8"/>
        <v>28.330932151767229</v>
      </c>
      <c r="E195" s="116">
        <f t="shared" si="8"/>
        <v>29.015856189762836</v>
      </c>
      <c r="F195" s="116">
        <f t="shared" si="8"/>
        <v>34.919413921825026</v>
      </c>
      <c r="G195" s="116">
        <f t="shared" si="8"/>
        <v>37.69152185006255</v>
      </c>
      <c r="H195" s="116">
        <f t="shared" si="8"/>
        <v>21.797392444849546</v>
      </c>
      <c r="I195" s="116">
        <f t="shared" si="8"/>
        <v>29.237945702298298</v>
      </c>
      <c r="J195" s="116">
        <f t="shared" si="8"/>
        <v>23.27023962965621</v>
      </c>
      <c r="K195" s="116">
        <f t="shared" si="8"/>
        <v>10.713421161291247</v>
      </c>
    </row>
    <row r="196" spans="3:11" x14ac:dyDescent="0.2">
      <c r="C196" s="87" t="s">
        <v>135</v>
      </c>
      <c r="D196" s="47" t="str">
        <f t="shared" si="8"/>
        <v xml:space="preserve"> </v>
      </c>
      <c r="E196" s="47" t="str">
        <f t="shared" si="8"/>
        <v xml:space="preserve"> </v>
      </c>
      <c r="F196" s="47" t="str">
        <f t="shared" si="8"/>
        <v xml:space="preserve"> </v>
      </c>
      <c r="G196" s="47" t="str">
        <f t="shared" si="8"/>
        <v xml:space="preserve"> </v>
      </c>
      <c r="H196" s="47" t="str">
        <f t="shared" si="8"/>
        <v xml:space="preserve"> </v>
      </c>
      <c r="I196" s="47">
        <f t="shared" si="8"/>
        <v>91.346295856068309</v>
      </c>
      <c r="J196" s="47">
        <f t="shared" si="8"/>
        <v>93.452028320813554</v>
      </c>
      <c r="K196" s="47">
        <f t="shared" si="8"/>
        <v>12.292292154218595</v>
      </c>
    </row>
    <row r="197" spans="3:11" x14ac:dyDescent="0.2">
      <c r="C197" s="88" t="s">
        <v>136</v>
      </c>
      <c r="D197" s="116">
        <f t="shared" si="8"/>
        <v>87.070613041706025</v>
      </c>
      <c r="E197" s="116">
        <f t="shared" si="8"/>
        <v>96.350548738265303</v>
      </c>
      <c r="F197" s="116">
        <f t="shared" si="8"/>
        <v>89.416671469238068</v>
      </c>
      <c r="G197" s="116">
        <f t="shared" si="8"/>
        <v>96.838777847456427</v>
      </c>
      <c r="H197" s="116">
        <f t="shared" si="8"/>
        <v>87.93811412782722</v>
      </c>
      <c r="I197" s="116">
        <f t="shared" si="8"/>
        <v>76.931328695328872</v>
      </c>
      <c r="J197" s="116">
        <f t="shared" si="8"/>
        <v>77.34112430594125</v>
      </c>
      <c r="K197" s="116">
        <f t="shared" si="8"/>
        <v>12.018011357529721</v>
      </c>
    </row>
    <row r="198" spans="3:11" x14ac:dyDescent="0.2">
      <c r="C198" s="87" t="s">
        <v>137</v>
      </c>
      <c r="D198" s="47">
        <f t="shared" si="8"/>
        <v>85.174166992641091</v>
      </c>
      <c r="E198" s="47">
        <f t="shared" si="8"/>
        <v>84.483911568057721</v>
      </c>
      <c r="F198" s="47">
        <f t="shared" si="8"/>
        <v>58.279746106134688</v>
      </c>
      <c r="G198" s="47">
        <f t="shared" si="8"/>
        <v>51.049591443877759</v>
      </c>
      <c r="H198" s="47">
        <f t="shared" si="8"/>
        <v>45.655861866521533</v>
      </c>
      <c r="I198" s="47">
        <f t="shared" si="8"/>
        <v>54.460711956426024</v>
      </c>
      <c r="J198" s="47">
        <f t="shared" si="8"/>
        <v>62.433623308937314</v>
      </c>
      <c r="K198" s="47">
        <f t="shared" si="8"/>
        <v>3.2189114006515052</v>
      </c>
    </row>
    <row r="199" spans="3:11" x14ac:dyDescent="0.2">
      <c r="C199" s="88" t="s">
        <v>138</v>
      </c>
      <c r="D199" s="116">
        <f t="shared" si="8"/>
        <v>65.780091142444846</v>
      </c>
      <c r="E199" s="116">
        <f t="shared" si="8"/>
        <v>96.787518520749089</v>
      </c>
      <c r="F199" s="116">
        <f t="shared" si="8"/>
        <v>95.896709671133394</v>
      </c>
      <c r="G199" s="116">
        <f t="shared" si="8"/>
        <v>86.521347843124985</v>
      </c>
      <c r="H199" s="116">
        <f t="shared" si="8"/>
        <v>74.404912973551731</v>
      </c>
      <c r="I199" s="116">
        <f t="shared" si="8"/>
        <v>40.323998133990543</v>
      </c>
      <c r="J199" s="116">
        <f t="shared" si="8"/>
        <v>43.415105868937658</v>
      </c>
      <c r="K199" s="116" t="str">
        <f t="shared" si="8"/>
        <v xml:space="preserve"> </v>
      </c>
    </row>
    <row r="200" spans="3:11" x14ac:dyDescent="0.2">
      <c r="C200" s="87" t="s">
        <v>160</v>
      </c>
      <c r="D200" s="47">
        <f t="shared" si="8"/>
        <v>56.835727192817345</v>
      </c>
      <c r="E200" s="47">
        <f t="shared" si="8"/>
        <v>84.205955597966408</v>
      </c>
      <c r="F200" s="47">
        <f t="shared" si="8"/>
        <v>84.958584080910072</v>
      </c>
      <c r="G200" s="47">
        <f t="shared" si="8"/>
        <v>67.476115445292876</v>
      </c>
      <c r="H200" s="47">
        <f t="shared" si="8"/>
        <v>48.773059638985977</v>
      </c>
      <c r="I200" s="47">
        <f t="shared" si="8"/>
        <v>38.684416503186156</v>
      </c>
      <c r="J200" s="47">
        <f t="shared" si="8"/>
        <v>52.632883078099013</v>
      </c>
      <c r="K200" s="47">
        <f t="shared" si="8"/>
        <v>0.17855845385494515</v>
      </c>
    </row>
    <row r="201" spans="3:11" x14ac:dyDescent="0.2">
      <c r="C201" s="88" t="s">
        <v>161</v>
      </c>
      <c r="D201" s="116">
        <f t="shared" si="8"/>
        <v>13.907705826577027</v>
      </c>
      <c r="E201" s="116">
        <f t="shared" si="8"/>
        <v>22.520776593087579</v>
      </c>
      <c r="F201" s="116">
        <f t="shared" si="8"/>
        <v>15.216695202706562</v>
      </c>
      <c r="G201" s="116">
        <f t="shared" si="8"/>
        <v>13.330353209350291</v>
      </c>
      <c r="H201" s="116">
        <f t="shared" si="8"/>
        <v>42.18893608070168</v>
      </c>
      <c r="I201" s="116">
        <f t="shared" si="8"/>
        <v>30.435836258911685</v>
      </c>
      <c r="J201" s="116">
        <f t="shared" si="8"/>
        <v>39.476610752124486</v>
      </c>
      <c r="K201" s="116">
        <f t="shared" si="8"/>
        <v>0.19101344397850303</v>
      </c>
    </row>
    <row r="202" spans="3:11" x14ac:dyDescent="0.2">
      <c r="C202" s="87" t="s">
        <v>140</v>
      </c>
      <c r="D202" s="47">
        <f t="shared" si="8"/>
        <v>82.727464325593402</v>
      </c>
      <c r="E202" s="47">
        <f t="shared" si="8"/>
        <v>87.640010181434377</v>
      </c>
      <c r="F202" s="47">
        <f t="shared" si="8"/>
        <v>92.5321654966436</v>
      </c>
      <c r="G202" s="47">
        <f t="shared" si="8"/>
        <v>83.82597996661481</v>
      </c>
      <c r="H202" s="47">
        <f t="shared" si="8"/>
        <v>89.352594949390138</v>
      </c>
      <c r="I202" s="47">
        <f t="shared" si="8"/>
        <v>58.358124778112256</v>
      </c>
      <c r="J202" s="47">
        <f t="shared" si="8"/>
        <v>66.733930626915665</v>
      </c>
      <c r="K202" s="47">
        <f t="shared" si="8"/>
        <v>0.13968858895516373</v>
      </c>
    </row>
    <row r="203" spans="3:11" x14ac:dyDescent="0.2">
      <c r="C203" s="88" t="s">
        <v>141</v>
      </c>
      <c r="D203" s="116">
        <f t="shared" si="8"/>
        <v>55.034902967913709</v>
      </c>
      <c r="E203" s="116">
        <f t="shared" si="8"/>
        <v>64.088217125479815</v>
      </c>
      <c r="F203" s="116">
        <f t="shared" si="8"/>
        <v>42.864468040514325</v>
      </c>
      <c r="G203" s="116">
        <f t="shared" si="8"/>
        <v>39.606988049768241</v>
      </c>
      <c r="H203" s="116">
        <f t="shared" si="8"/>
        <v>52.376949216519954</v>
      </c>
      <c r="I203" s="116">
        <f t="shared" si="8"/>
        <v>66.947135447977786</v>
      </c>
      <c r="J203" s="116">
        <f t="shared" si="8"/>
        <v>60.939819638771141</v>
      </c>
      <c r="K203" s="116">
        <f t="shared" si="8"/>
        <v>0.5934396123413791</v>
      </c>
    </row>
    <row r="204" spans="3:11" x14ac:dyDescent="0.2">
      <c r="C204" s="87" t="s">
        <v>142</v>
      </c>
      <c r="D204" s="47">
        <f t="shared" ref="D204:K213" si="9">+IFERROR(IF(D162&gt;0,+((D162/D35)*100)," "),"")</f>
        <v>50.930220218244493</v>
      </c>
      <c r="E204" s="47">
        <f t="shared" si="9"/>
        <v>60.820607140599911</v>
      </c>
      <c r="F204" s="47">
        <f t="shared" si="9"/>
        <v>66.706657831182753</v>
      </c>
      <c r="G204" s="47">
        <f t="shared" si="9"/>
        <v>22.153705664553296</v>
      </c>
      <c r="H204" s="47">
        <f t="shared" si="9"/>
        <v>26.28989960851813</v>
      </c>
      <c r="I204" s="47">
        <f t="shared" si="9"/>
        <v>38.376532924815173</v>
      </c>
      <c r="J204" s="47">
        <f t="shared" si="9"/>
        <v>40.176372258298059</v>
      </c>
      <c r="K204" s="47">
        <f t="shared" si="9"/>
        <v>0.57097275517148616</v>
      </c>
    </row>
    <row r="205" spans="3:11" x14ac:dyDescent="0.2">
      <c r="C205" s="88" t="s">
        <v>143</v>
      </c>
      <c r="D205" s="116">
        <f t="shared" si="9"/>
        <v>32.145107592676254</v>
      </c>
      <c r="E205" s="116">
        <f t="shared" si="9"/>
        <v>14.011633728302</v>
      </c>
      <c r="F205" s="116">
        <f t="shared" si="9"/>
        <v>14.225057181996306</v>
      </c>
      <c r="G205" s="116">
        <f t="shared" si="9"/>
        <v>17.714172067479325</v>
      </c>
      <c r="H205" s="116">
        <f t="shared" si="9"/>
        <v>6.6744500485830995</v>
      </c>
      <c r="I205" s="116">
        <f t="shared" si="9"/>
        <v>11.771115034799601</v>
      </c>
      <c r="J205" s="116">
        <f t="shared" si="9"/>
        <v>69.005156907715488</v>
      </c>
      <c r="K205" s="116">
        <f t="shared" si="9"/>
        <v>0.36182184459466005</v>
      </c>
    </row>
    <row r="206" spans="3:11" x14ac:dyDescent="0.2">
      <c r="C206" s="87" t="s">
        <v>144</v>
      </c>
      <c r="D206" s="47">
        <f t="shared" si="9"/>
        <v>46.132177133745444</v>
      </c>
      <c r="E206" s="47">
        <f t="shared" si="9"/>
        <v>48.003168124169164</v>
      </c>
      <c r="F206" s="47">
        <f t="shared" si="9"/>
        <v>29.449286348009007</v>
      </c>
      <c r="G206" s="47">
        <f t="shared" si="9"/>
        <v>35.088937628773998</v>
      </c>
      <c r="H206" s="47">
        <f t="shared" si="9"/>
        <v>43.65413836329774</v>
      </c>
      <c r="I206" s="47">
        <f t="shared" si="9"/>
        <v>24.568764552564804</v>
      </c>
      <c r="J206" s="47">
        <f t="shared" si="9"/>
        <v>38.304058927837083</v>
      </c>
      <c r="K206" s="47">
        <f t="shared" si="9"/>
        <v>0.18320126898594233</v>
      </c>
    </row>
    <row r="207" spans="3:11" x14ac:dyDescent="0.2">
      <c r="C207" s="88" t="s">
        <v>145</v>
      </c>
      <c r="D207" s="116">
        <f t="shared" si="9"/>
        <v>77.593573499428175</v>
      </c>
      <c r="E207" s="116">
        <f t="shared" si="9"/>
        <v>66.827689842476218</v>
      </c>
      <c r="F207" s="116">
        <f t="shared" si="9"/>
        <v>73.091321721059472</v>
      </c>
      <c r="G207" s="116">
        <f t="shared" si="9"/>
        <v>69.195736311600726</v>
      </c>
      <c r="H207" s="116">
        <f t="shared" si="9"/>
        <v>49.208243214048068</v>
      </c>
      <c r="I207" s="116">
        <f t="shared" si="9"/>
        <v>54.476351484493804</v>
      </c>
      <c r="J207" s="116">
        <f t="shared" si="9"/>
        <v>84.5154906177398</v>
      </c>
      <c r="K207" s="116" t="str">
        <f t="shared" si="9"/>
        <v xml:space="preserve"> </v>
      </c>
    </row>
    <row r="208" spans="3:11" x14ac:dyDescent="0.2">
      <c r="C208" s="87" t="s">
        <v>146</v>
      </c>
      <c r="D208" s="47">
        <f t="shared" si="9"/>
        <v>86.844545953747669</v>
      </c>
      <c r="E208" s="47">
        <f t="shared" si="9"/>
        <v>87.881182597579567</v>
      </c>
      <c r="F208" s="47">
        <f t="shared" si="9"/>
        <v>75.023032743336998</v>
      </c>
      <c r="G208" s="47">
        <f t="shared" si="9"/>
        <v>64.946213499633757</v>
      </c>
      <c r="H208" s="47">
        <f t="shared" si="9"/>
        <v>75.329438675977443</v>
      </c>
      <c r="I208" s="47">
        <f t="shared" si="9"/>
        <v>78.477809679677861</v>
      </c>
      <c r="J208" s="47">
        <f t="shared" si="9"/>
        <v>80.191549628747666</v>
      </c>
      <c r="K208" s="47" t="str">
        <f t="shared" si="9"/>
        <v xml:space="preserve"> </v>
      </c>
    </row>
    <row r="209" spans="1:11" x14ac:dyDescent="0.2">
      <c r="C209" s="88" t="s">
        <v>162</v>
      </c>
      <c r="D209" s="116">
        <f t="shared" si="9"/>
        <v>93.326231239033532</v>
      </c>
      <c r="E209" s="116">
        <f t="shared" si="9"/>
        <v>92.764752116541146</v>
      </c>
      <c r="F209" s="116">
        <f t="shared" si="9"/>
        <v>91.359087711646794</v>
      </c>
      <c r="G209" s="116">
        <f t="shared" si="9"/>
        <v>91.199087131366966</v>
      </c>
      <c r="H209" s="116">
        <f t="shared" si="9"/>
        <v>65.005720205271246</v>
      </c>
      <c r="I209" s="116">
        <f t="shared" si="9"/>
        <v>42.630333268093231</v>
      </c>
      <c r="J209" s="116">
        <f t="shared" si="9"/>
        <v>40.048619120973335</v>
      </c>
      <c r="K209" s="116">
        <f t="shared" si="9"/>
        <v>0.33787312386291979</v>
      </c>
    </row>
    <row r="210" spans="1:11" x14ac:dyDescent="0.2">
      <c r="C210" s="87" t="s">
        <v>148</v>
      </c>
      <c r="D210" s="47">
        <f t="shared" si="9"/>
        <v>61.866202437315053</v>
      </c>
      <c r="E210" s="47">
        <f t="shared" si="9"/>
        <v>79.625252443993361</v>
      </c>
      <c r="F210" s="47">
        <f t="shared" si="9"/>
        <v>84.546406859085337</v>
      </c>
      <c r="G210" s="47">
        <f t="shared" si="9"/>
        <v>86.660191564308178</v>
      </c>
      <c r="H210" s="47">
        <f t="shared" si="9"/>
        <v>85.634371030818386</v>
      </c>
      <c r="I210" s="47">
        <f t="shared" si="9"/>
        <v>76.470991278651852</v>
      </c>
      <c r="J210" s="47">
        <f t="shared" si="9"/>
        <v>78.260160187165098</v>
      </c>
      <c r="K210" s="47">
        <f t="shared" si="9"/>
        <v>8.1891395637000741</v>
      </c>
    </row>
    <row r="211" spans="1:11" x14ac:dyDescent="0.2">
      <c r="C211" s="88" t="s">
        <v>149</v>
      </c>
      <c r="D211" s="116">
        <f t="shared" si="9"/>
        <v>96.896840961496835</v>
      </c>
      <c r="E211" s="116" t="str">
        <f t="shared" si="9"/>
        <v xml:space="preserve"> </v>
      </c>
      <c r="F211" s="116" t="str">
        <f t="shared" si="9"/>
        <v xml:space="preserve"> </v>
      </c>
      <c r="G211" s="116" t="str">
        <f t="shared" si="9"/>
        <v xml:space="preserve"> </v>
      </c>
      <c r="H211" s="116" t="str">
        <f t="shared" si="9"/>
        <v xml:space="preserve"> </v>
      </c>
      <c r="I211" s="116">
        <f t="shared" si="9"/>
        <v>21.324903928546586</v>
      </c>
      <c r="J211" s="116">
        <f t="shared" si="9"/>
        <v>68.265551029318488</v>
      </c>
      <c r="K211" s="116" t="str">
        <f t="shared" si="9"/>
        <v xml:space="preserve"> </v>
      </c>
    </row>
    <row r="212" spans="1:11" x14ac:dyDescent="0.2">
      <c r="C212" s="87" t="s">
        <v>163</v>
      </c>
      <c r="D212" s="47">
        <f t="shared" si="9"/>
        <v>93.213483786711279</v>
      </c>
      <c r="E212" s="47">
        <f t="shared" si="9"/>
        <v>86.098684607586193</v>
      </c>
      <c r="F212" s="47">
        <f t="shared" si="9"/>
        <v>87.448510123234044</v>
      </c>
      <c r="G212" s="47">
        <f t="shared" si="9"/>
        <v>93.147114746071651</v>
      </c>
      <c r="H212" s="47">
        <f t="shared" si="9"/>
        <v>86.981188539075717</v>
      </c>
      <c r="I212" s="47">
        <f t="shared" si="9"/>
        <v>79.461936542464713</v>
      </c>
      <c r="J212" s="47">
        <f t="shared" si="9"/>
        <v>76.29015994227673</v>
      </c>
      <c r="K212" s="47">
        <f t="shared" si="9"/>
        <v>4.9034449105016051</v>
      </c>
    </row>
    <row r="213" spans="1:11" x14ac:dyDescent="0.2">
      <c r="C213" s="88" t="s">
        <v>150</v>
      </c>
      <c r="D213" s="116">
        <f t="shared" si="9"/>
        <v>78.541675913887545</v>
      </c>
      <c r="E213" s="116">
        <f t="shared" si="9"/>
        <v>84.118530021933708</v>
      </c>
      <c r="F213" s="116">
        <f t="shared" si="9"/>
        <v>85.187957084920811</v>
      </c>
      <c r="G213" s="116">
        <f t="shared" si="9"/>
        <v>79.771057253943752</v>
      </c>
      <c r="H213" s="116">
        <f t="shared" si="9"/>
        <v>87.534626062223765</v>
      </c>
      <c r="I213" s="116">
        <f t="shared" si="9"/>
        <v>34.398588043589022</v>
      </c>
      <c r="J213" s="116">
        <f t="shared" si="9"/>
        <v>29.017733171770466</v>
      </c>
      <c r="K213" s="116">
        <f t="shared" si="9"/>
        <v>10.09313233856353</v>
      </c>
    </row>
    <row r="214" spans="1:11" x14ac:dyDescent="0.2">
      <c r="C214" s="87" t="s">
        <v>151</v>
      </c>
      <c r="D214" s="47">
        <f t="shared" ref="D214:K215" si="10">+IFERROR(IF(D172&gt;0,+((D172/D45)*100)," "),"")</f>
        <v>35.049078283909395</v>
      </c>
      <c r="E214" s="47">
        <f t="shared" si="10"/>
        <v>49.391158648910718</v>
      </c>
      <c r="F214" s="47">
        <f t="shared" si="10"/>
        <v>59.120324785235134</v>
      </c>
      <c r="G214" s="47">
        <f t="shared" si="10"/>
        <v>64.134454219274943</v>
      </c>
      <c r="H214" s="47">
        <f t="shared" si="10"/>
        <v>41.086929110770178</v>
      </c>
      <c r="I214" s="47">
        <f t="shared" si="10"/>
        <v>30.058288663373826</v>
      </c>
      <c r="J214" s="47">
        <f t="shared" si="10"/>
        <v>36.85667056627554</v>
      </c>
      <c r="K214" s="47">
        <f t="shared" si="10"/>
        <v>2.0554025740550457</v>
      </c>
    </row>
    <row r="215" spans="1:11" x14ac:dyDescent="0.2">
      <c r="C215" s="91" t="s">
        <v>202</v>
      </c>
      <c r="D215" s="64">
        <f t="shared" si="10"/>
        <v>75.631619622661304</v>
      </c>
      <c r="E215" s="64">
        <f t="shared" si="10"/>
        <v>80.26427364059127</v>
      </c>
      <c r="F215" s="64">
        <f t="shared" si="10"/>
        <v>77.504082492170582</v>
      </c>
      <c r="G215" s="64">
        <f t="shared" si="10"/>
        <v>79.652085086971098</v>
      </c>
      <c r="H215" s="64">
        <f t="shared" si="10"/>
        <v>70.928051573260149</v>
      </c>
      <c r="I215" s="64">
        <f t="shared" si="10"/>
        <v>53.730096295912013</v>
      </c>
      <c r="J215" s="64">
        <f t="shared" si="10"/>
        <v>61.583414739194922</v>
      </c>
      <c r="K215" s="64">
        <f t="shared" si="10"/>
        <v>5.8539915724941549</v>
      </c>
    </row>
    <row r="216" spans="1:11" s="31" customFormat="1" x14ac:dyDescent="0.2">
      <c r="A216" s="5"/>
      <c r="B216" s="5"/>
      <c r="C216" s="72" t="str">
        <f>+'C1 Aprop Resumen 2000-2026'!B20</f>
        <v>* Información con corte a 28 de febrero</v>
      </c>
      <c r="D216" s="47"/>
      <c r="E216" s="47"/>
      <c r="F216" s="47"/>
      <c r="G216" s="47"/>
      <c r="H216" s="47"/>
      <c r="I216" s="47"/>
    </row>
    <row r="217" spans="1:11" x14ac:dyDescent="0.2">
      <c r="C217" s="1" t="s">
        <v>52</v>
      </c>
      <c r="D217" s="11"/>
      <c r="E217" s="11"/>
      <c r="F217" s="11"/>
    </row>
    <row r="218" spans="1:11" x14ac:dyDescent="0.2">
      <c r="E218" s="3"/>
      <c r="F218" s="3"/>
    </row>
    <row r="219" spans="1:11" x14ac:dyDescent="0.2">
      <c r="E219" s="3"/>
      <c r="F219" s="3"/>
    </row>
    <row r="220" spans="1:11" x14ac:dyDescent="0.2">
      <c r="E220" s="3"/>
      <c r="F220" s="3"/>
    </row>
    <row r="221" spans="1:11" ht="18" customHeight="1" x14ac:dyDescent="0.2">
      <c r="D221" s="160" t="s">
        <v>215</v>
      </c>
      <c r="E221" s="178"/>
      <c r="F221" s="178"/>
      <c r="G221" s="178"/>
      <c r="H221" s="178"/>
      <c r="I221" s="178"/>
      <c r="J221" s="178"/>
      <c r="K221" s="178"/>
    </row>
    <row r="222" spans="1:11" x14ac:dyDescent="0.2">
      <c r="C222" s="150"/>
      <c r="D222" s="150"/>
      <c r="E222" s="150"/>
      <c r="F222" s="150"/>
      <c r="G222" s="150"/>
      <c r="H222" s="150"/>
      <c r="I222" s="150"/>
      <c r="J222" s="150"/>
    </row>
    <row r="223" spans="1:11" x14ac:dyDescent="0.2">
      <c r="C223" s="177" t="s">
        <v>120</v>
      </c>
      <c r="D223" s="153">
        <v>2019</v>
      </c>
      <c r="E223" s="153">
        <v>2020</v>
      </c>
      <c r="F223" s="153">
        <v>2021</v>
      </c>
      <c r="G223" s="153">
        <v>2022</v>
      </c>
      <c r="H223" s="153">
        <v>2023</v>
      </c>
      <c r="I223" s="153">
        <v>2024</v>
      </c>
      <c r="J223" s="153">
        <v>2025</v>
      </c>
      <c r="K223" s="153" t="s">
        <v>36</v>
      </c>
    </row>
    <row r="224" spans="1:11" ht="12" customHeight="1" thickBot="1" x14ac:dyDescent="0.25">
      <c r="C224" s="156"/>
      <c r="D224" s="154"/>
      <c r="E224" s="154"/>
      <c r="F224" s="154"/>
      <c r="G224" s="154"/>
      <c r="H224" s="154"/>
      <c r="I224" s="154"/>
      <c r="J224" s="154"/>
      <c r="K224" s="154"/>
    </row>
    <row r="225" spans="3:11" x14ac:dyDescent="0.2">
      <c r="C225" s="87" t="s">
        <v>123</v>
      </c>
      <c r="D225" s="42">
        <f>831.49980542253*Deflactores!$T$5</f>
        <v>1258.1444441309075</v>
      </c>
      <c r="E225" s="42">
        <f>780.757653156359*Deflactores!$U$5</f>
        <v>1162.6477375098409</v>
      </c>
      <c r="F225" s="42">
        <f>1246.75207125103*Deflactores!$V$5</f>
        <v>1757.7853317683519</v>
      </c>
      <c r="G225" s="42">
        <f>1160.71173850402*Deflactores!$W$5</f>
        <v>1446.6741383306705</v>
      </c>
      <c r="H225" s="42">
        <f>3221.382938719*Deflactores!$X$5</f>
        <v>3674.0749295634778</v>
      </c>
      <c r="I225" s="42">
        <f>2133.77796612862*Deflactores!$Y$5</f>
        <v>2313.3382633760907</v>
      </c>
      <c r="J225" s="42">
        <f>2140.06491885735*Deflactores!$Z$5</f>
        <v>2207.5682889311902</v>
      </c>
      <c r="K225" s="42">
        <f>44.1667257596899*Deflactores!$AA$5</f>
        <v>44.166725759689903</v>
      </c>
    </row>
    <row r="226" spans="3:11" x14ac:dyDescent="0.2">
      <c r="C226" s="88" t="s">
        <v>124</v>
      </c>
      <c r="D226" s="50">
        <f>155.19338699352*Deflactores!$T$5</f>
        <v>234.82350367181991</v>
      </c>
      <c r="E226" s="50">
        <f>148.123213000239*Deflactores!$U$5</f>
        <v>220.57435847244565</v>
      </c>
      <c r="F226" s="50">
        <f>284.05262034974*Deflactores!$V$5</f>
        <v>400.48341688345516</v>
      </c>
      <c r="G226" s="50">
        <f>319.22715002427*Deflactores!$W$5</f>
        <v>397.87455134065311</v>
      </c>
      <c r="H226" s="50">
        <f>377.63529393953*Deflactores!$X$5</f>
        <v>430.70333219474151</v>
      </c>
      <c r="I226" s="50">
        <f>397.520546904029*Deflactores!$Y$5</f>
        <v>430.97243772731349</v>
      </c>
      <c r="J226" s="50">
        <f>503.67840832279*Deflactores!$Z$5</f>
        <v>519.56577215723371</v>
      </c>
      <c r="K226" s="50">
        <f>19.30180844722*Deflactores!$AA$5</f>
        <v>19.301808447220001</v>
      </c>
    </row>
    <row r="227" spans="3:11" x14ac:dyDescent="0.2">
      <c r="C227" s="87" t="s">
        <v>125</v>
      </c>
      <c r="D227" s="42">
        <f>127.44265654972*Deflactores!$T$5</f>
        <v>192.83380373352648</v>
      </c>
      <c r="E227" s="42">
        <f>159.44373548996*Deflactores!$U$5</f>
        <v>237.43206048393978</v>
      </c>
      <c r="F227" s="42">
        <f>334.840820390469*Deflactores!$V$5</f>
        <v>472.08927591277217</v>
      </c>
      <c r="G227" s="42">
        <f>265.99201824601*Deflactores!$W$5</f>
        <v>331.52397880875725</v>
      </c>
      <c r="H227" s="42">
        <f>293.92692347326*Deflactores!$X$5</f>
        <v>335.23165708646212</v>
      </c>
      <c r="I227" s="42">
        <f>300.61243224908*Deflactores!$Y$5</f>
        <v>325.90937436197657</v>
      </c>
      <c r="J227" s="42">
        <f>234.79407262684*Deflactores!$Z$5</f>
        <v>242.20010551678439</v>
      </c>
      <c r="K227" s="42">
        <f>0.914211186*Deflactores!$AA$5</f>
        <v>0.91421118599999995</v>
      </c>
    </row>
    <row r="228" spans="3:11" x14ac:dyDescent="0.2">
      <c r="C228" s="88" t="s">
        <v>126</v>
      </c>
      <c r="D228" s="50">
        <f>120.41569268501*Deflactores!$T$5</f>
        <v>182.20128705963384</v>
      </c>
      <c r="E228" s="50">
        <f>84.20351596211*Deflactores!$U$5</f>
        <v>125.38977610779199</v>
      </c>
      <c r="F228" s="50">
        <f>103.194659830279*Deflactores!$V$5</f>
        <v>145.49328896199285</v>
      </c>
      <c r="G228" s="50">
        <f>146.15130569051*Deflactores!$W$5</f>
        <v>182.15833200603811</v>
      </c>
      <c r="H228" s="50">
        <f>172.411864912919*Deflactores!$X$5</f>
        <v>196.64042508641865</v>
      </c>
      <c r="I228" s="50">
        <f>50.6850753991*Deflactores!$Y$5</f>
        <v>54.950292937729451</v>
      </c>
      <c r="J228" s="50">
        <f>156.16812169469*Deflactores!$Z$5</f>
        <v>161.09408184646045</v>
      </c>
      <c r="K228" s="50">
        <f>36.22128115589*Deflactores!$AA$5</f>
        <v>36.221281155889997</v>
      </c>
    </row>
    <row r="229" spans="3:11" x14ac:dyDescent="0.2">
      <c r="C229" s="87" t="s">
        <v>127</v>
      </c>
      <c r="D229" s="42">
        <f>56.1706710994799*Deflactores!$T$5</f>
        <v>84.991983529092337</v>
      </c>
      <c r="E229" s="42">
        <f>63.9798286538699*Deflactores!$U$5</f>
        <v>95.274126010766309</v>
      </c>
      <c r="F229" s="42">
        <f>102.568897871439*Deflactores!$V$5</f>
        <v>144.611032402897</v>
      </c>
      <c r="G229" s="42">
        <f>135.40986192558*Deflactores!$W$5</f>
        <v>168.77053864824427</v>
      </c>
      <c r="H229" s="42">
        <f>176.44283537095*Deflactores!$X$5</f>
        <v>201.23785661920999</v>
      </c>
      <c r="I229" s="42">
        <f>148.44162962711*Deflactores!$Y$5</f>
        <v>160.93319321191092</v>
      </c>
      <c r="J229" s="42">
        <f>143.897824087*Deflactores!$Z$5</f>
        <v>148.43674624145106</v>
      </c>
      <c r="K229" s="42">
        <f>16.690274599*Deflactores!$AA$5</f>
        <v>16.690274598999999</v>
      </c>
    </row>
    <row r="230" spans="3:11" x14ac:dyDescent="0.2">
      <c r="C230" s="88" t="s">
        <v>128</v>
      </c>
      <c r="D230" s="50">
        <f>126.07571904938*Deflactores!$T$5</f>
        <v>190.76548716831329</v>
      </c>
      <c r="E230" s="50">
        <f>121.50204043517*Deflactores!$U$5</f>
        <v>180.93203677696036</v>
      </c>
      <c r="F230" s="50">
        <f>269.28198027427*Deflactores!$V$5</f>
        <v>379.65841481272406</v>
      </c>
      <c r="G230" s="50">
        <f>257.70229679655*Deflactores!$W$5</f>
        <v>321.1919340494311</v>
      </c>
      <c r="H230" s="50">
        <f>322.268912770119*Deflactores!$X$5</f>
        <v>367.55646736529047</v>
      </c>
      <c r="I230" s="50">
        <f>528.63048914799*Deflactores!$Y$5</f>
        <v>573.11545865852781</v>
      </c>
      <c r="J230" s="50">
        <f>389.09217031253*Deflactores!$Z$5</f>
        <v>401.36517779655725</v>
      </c>
      <c r="K230" s="50">
        <f>11.83611877341*Deflactores!$AA$5</f>
        <v>11.83611877341</v>
      </c>
    </row>
    <row r="231" spans="3:11" x14ac:dyDescent="0.2">
      <c r="C231" s="87" t="s">
        <v>129</v>
      </c>
      <c r="D231" s="42">
        <f>657.643914370949*Deflactores!$T$5</f>
        <v>995.08265869269735</v>
      </c>
      <c r="E231" s="42">
        <f>984.95463971829*Deflactores!$U$5</f>
        <v>1466.723097479462</v>
      </c>
      <c r="F231" s="42">
        <f>1436.97174639999*Deflactores!$V$5</f>
        <v>2025.9744629522852</v>
      </c>
      <c r="G231" s="42">
        <f>1304.19742820289*Deflactores!$W$5</f>
        <v>1625.5101314734898</v>
      </c>
      <c r="H231" s="42">
        <f>1294.71539464193*Deflactores!$X$5</f>
        <v>1476.6581505101653</v>
      </c>
      <c r="I231" s="42">
        <f>1059.3938250174*Deflactores!$Y$5</f>
        <v>1148.5432459702233</v>
      </c>
      <c r="J231" s="42">
        <f>861.73677625517*Deflactores!$Z$5</f>
        <v>888.91825846219092</v>
      </c>
      <c r="K231" s="42">
        <f>138.50106558283*Deflactores!$AA$5</f>
        <v>138.50106558282999</v>
      </c>
    </row>
    <row r="232" spans="3:11" x14ac:dyDescent="0.2">
      <c r="C232" s="88" t="s">
        <v>130</v>
      </c>
      <c r="D232" s="50">
        <f>230.302374533769*Deflactores!$T$5</f>
        <v>348.47110137635855</v>
      </c>
      <c r="E232" s="50">
        <f>204.19736059113*Deflactores!$U$5</f>
        <v>304.07591694680889</v>
      </c>
      <c r="F232" s="50">
        <f>635.752490601649*Deflactores!$V$5</f>
        <v>896.3421263807686</v>
      </c>
      <c r="G232" s="50">
        <f>507.382871380989*Deflactores!$W$5</f>
        <v>632.38584905229811</v>
      </c>
      <c r="H232" s="50">
        <f>512.78972961935*Deflactores!$X$5</f>
        <v>584.85064507148661</v>
      </c>
      <c r="I232" s="50">
        <f>321.04538850098*Deflactores!$Y$5</f>
        <v>348.06179147460165</v>
      </c>
      <c r="J232" s="50">
        <f>258.97770164243*Deflactores!$Z$5</f>
        <v>267.14655085854429</v>
      </c>
      <c r="K232" s="50">
        <f>7.13678924267*Deflactores!$AA$5</f>
        <v>7.1367892426699999</v>
      </c>
    </row>
    <row r="233" spans="3:11" x14ac:dyDescent="0.2">
      <c r="C233" s="87" t="s">
        <v>131</v>
      </c>
      <c r="D233" s="42">
        <f>3615.88028740662*Deflactores!$T$5</f>
        <v>5471.1975451772505</v>
      </c>
      <c r="E233" s="42">
        <f>3952.36958644122*Deflactores!$U$5</f>
        <v>5885.5824709518738</v>
      </c>
      <c r="F233" s="42">
        <f>4816.5881248928*Deflactores!$V$5</f>
        <v>6790.867366765724</v>
      </c>
      <c r="G233" s="42">
        <f>5457.23801525114*Deflactores!$W$5</f>
        <v>6801.7276309741374</v>
      </c>
      <c r="H233" s="42">
        <f>6731.16341195197*Deflactores!$X$5</f>
        <v>7677.075097592101</v>
      </c>
      <c r="I233" s="42">
        <f>5631.11083306629*Deflactores!$Y$5</f>
        <v>6104.9764137730535</v>
      </c>
      <c r="J233" s="42">
        <f>6103.97139294635*Deflactores!$Z$5</f>
        <v>6296.5069726979173</v>
      </c>
      <c r="K233" s="42">
        <f>53.94774538867*Deflactores!$AA$5</f>
        <v>53.94774538867</v>
      </c>
    </row>
    <row r="234" spans="3:11" x14ac:dyDescent="0.2">
      <c r="C234" s="88" t="s">
        <v>132</v>
      </c>
      <c r="D234" s="50">
        <f>15.82750613848*Deflactores!$T$5</f>
        <v>23.948639293375933</v>
      </c>
      <c r="E234" s="50">
        <f>18.47924453267*Deflactores!$U$5</f>
        <v>27.517952286401975</v>
      </c>
      <c r="F234" s="50">
        <f>18.74275271973*Deflactores!$V$5</f>
        <v>26.425250510828505</v>
      </c>
      <c r="G234" s="50">
        <f>15.5735068128899*Deflactores!$W$5</f>
        <v>19.410322823444325</v>
      </c>
      <c r="H234" s="50">
        <f>15.58480259389*Deflactores!$X$5</f>
        <v>17.774891585902775</v>
      </c>
      <c r="I234" s="50">
        <f>16.2117949298999*Deflactores!$Y$5</f>
        <v>17.576039365233239</v>
      </c>
      <c r="J234" s="50">
        <f>15.61785591425*Deflactores!$Z$5</f>
        <v>16.110484851928412</v>
      </c>
      <c r="K234" s="50">
        <f>0.912385252*Deflactores!$AA$5</f>
        <v>0.91238525199999998</v>
      </c>
    </row>
    <row r="235" spans="3:11" x14ac:dyDescent="0.2">
      <c r="C235" s="87" t="s">
        <v>133</v>
      </c>
      <c r="D235" s="42">
        <f>71.75964631023*Deflactores!$T$5</f>
        <v>108.57970107658252</v>
      </c>
      <c r="E235" s="42">
        <f>82.58783512007*Deflactores!$U$5</f>
        <v>122.98382124082174</v>
      </c>
      <c r="F235" s="42">
        <f>107.18147040371*Deflactores!$V$5</f>
        <v>151.11425988966411</v>
      </c>
      <c r="G235" s="42">
        <f>140.28140386449*Deflactores!$W$5</f>
        <v>174.84227334604057</v>
      </c>
      <c r="H235" s="42">
        <f>146.44762847544*Deflactores!$X$5</f>
        <v>167.02750666755654</v>
      </c>
      <c r="I235" s="42">
        <f>154.987248532139*Deflactores!$Y$5</f>
        <v>168.02963478683003</v>
      </c>
      <c r="J235" s="42">
        <f>189.306010943289*Deflactores!$Z$5</f>
        <v>195.27722873266816</v>
      </c>
      <c r="K235" s="42">
        <f>5.421725204*Deflactores!$AA$5</f>
        <v>5.4217252040000004</v>
      </c>
    </row>
    <row r="236" spans="3:11" x14ac:dyDescent="0.2">
      <c r="C236" s="88" t="s">
        <v>134</v>
      </c>
      <c r="D236" s="50">
        <f>506.516502913519*Deflactores!$T$5</f>
        <v>766.41139281737856</v>
      </c>
      <c r="E236" s="50">
        <f>545.432410609499*Deflactores!$U$5</f>
        <v>812.21843371758132</v>
      </c>
      <c r="F236" s="50">
        <f>766.940848248379*Deflactores!$V$5</f>
        <v>1081.3034960769987</v>
      </c>
      <c r="G236" s="50">
        <f>952.55666504925*Deflactores!$W$5</f>
        <v>1187.2362852100923</v>
      </c>
      <c r="H236" s="50">
        <f>1032.56918892119*Deflactores!$X$5</f>
        <v>1177.6732671104412</v>
      </c>
      <c r="I236" s="50">
        <f>945.06497279963*Deflactores!$Y$5</f>
        <v>1024.5934664516474</v>
      </c>
      <c r="J236" s="50">
        <f>632.16662656359*Deflactores!$Z$5</f>
        <v>652.1068523788133</v>
      </c>
      <c r="K236" s="50">
        <f>517.1620877702*Deflactores!$AA$5</f>
        <v>517.16208777019995</v>
      </c>
    </row>
    <row r="237" spans="3:11" x14ac:dyDescent="0.2">
      <c r="C237" s="87" t="s">
        <v>135</v>
      </c>
      <c r="D237" s="42">
        <f>0*Deflactores!$T$5</f>
        <v>0</v>
      </c>
      <c r="E237" s="42">
        <f>0*Deflactores!$U$5</f>
        <v>0</v>
      </c>
      <c r="F237" s="42">
        <f>0*Deflactores!$V$5</f>
        <v>0</v>
      </c>
      <c r="G237" s="42">
        <f>0*Deflactores!$W$5</f>
        <v>0</v>
      </c>
      <c r="H237" s="42">
        <f>0*Deflactores!$X$5</f>
        <v>0</v>
      </c>
      <c r="I237" s="42">
        <f>5908.9827952033*Deflactores!$Y$5</f>
        <v>6406.2316767548955</v>
      </c>
      <c r="J237" s="42">
        <f>6293.11152951165*Deflactores!$Z$5</f>
        <v>6491.6130949311664</v>
      </c>
      <c r="K237" s="42">
        <f>742.38929804422*Deflactores!$AA$5</f>
        <v>742.38929804422003</v>
      </c>
    </row>
    <row r="238" spans="3:11" x14ac:dyDescent="0.2">
      <c r="C238" s="88" t="s">
        <v>136</v>
      </c>
      <c r="D238" s="50">
        <f>6966.95545508716*Deflactores!$T$5</f>
        <v>10541.717798564288</v>
      </c>
      <c r="E238" s="50">
        <f>8313.01657532428*Deflactores!$U$5</f>
        <v>12379.142073227926</v>
      </c>
      <c r="F238" s="50">
        <f>10835.8248953266*Deflactores!$V$5</f>
        <v>15277.339013764802</v>
      </c>
      <c r="G238" s="50">
        <f>18652.4962292094*Deflactores!$W$5</f>
        <v>23247.877155861235</v>
      </c>
      <c r="H238" s="50">
        <f>14751.9484644893*Deflactores!$X$5</f>
        <v>16824.998780537841</v>
      </c>
      <c r="I238" s="50">
        <f>8406.17716686667*Deflactores!$Y$5</f>
        <v>9113.5683269394594</v>
      </c>
      <c r="J238" s="50">
        <f>6844.6693317788*Deflactores!$Z$5</f>
        <v>7060.5685051472537</v>
      </c>
      <c r="K238" s="50">
        <f>1275.23471848813*Deflactores!$AA$5</f>
        <v>1275.2347184881301</v>
      </c>
    </row>
    <row r="239" spans="3:11" x14ac:dyDescent="0.2">
      <c r="C239" s="87" t="s">
        <v>137</v>
      </c>
      <c r="D239" s="42">
        <f>157.51847690306*Deflactores!$T$5</f>
        <v>238.34160305406337</v>
      </c>
      <c r="E239" s="42">
        <f>150.48391518932*Deflactores!$U$5</f>
        <v>224.08974515866475</v>
      </c>
      <c r="F239" s="42">
        <f>186.61742393987*Deflactores!$V$5</f>
        <v>263.11034729201663</v>
      </c>
      <c r="G239" s="42">
        <f>202.454211757*Deflactores!$W$5</f>
        <v>252.33248069193942</v>
      </c>
      <c r="H239" s="42">
        <f>341.3385152087*Deflactores!$X$5</f>
        <v>389.30586803238219</v>
      </c>
      <c r="I239" s="42">
        <f>537.894357638169*Deflactores!$Y$5</f>
        <v>583.1588941918402</v>
      </c>
      <c r="J239" s="42">
        <f>439.19075076426*Deflactores!$Z$5</f>
        <v>453.04400143932685</v>
      </c>
      <c r="K239" s="42">
        <f>15.0707656752999*Deflactores!$AA$5</f>
        <v>15.070765675299899</v>
      </c>
    </row>
    <row r="240" spans="3:11" x14ac:dyDescent="0.2">
      <c r="C240" s="88" t="s">
        <v>138</v>
      </c>
      <c r="D240" s="50">
        <f>4.76299823841*Deflactores!$T$5</f>
        <v>7.2069045981504551</v>
      </c>
      <c r="E240" s="50">
        <f>6.86644852094*Deflactores!$U$5</f>
        <v>10.225017718782336</v>
      </c>
      <c r="F240" s="50">
        <f>7.52410469154*Deflactores!$V$5</f>
        <v>10.608172359567297</v>
      </c>
      <c r="G240" s="50">
        <f>6.92170782745*Deflactores!$W$5</f>
        <v>8.6269961566501419</v>
      </c>
      <c r="H240" s="50">
        <f>19.5820033794*Deflactores!$X$5</f>
        <v>22.33380788795338</v>
      </c>
      <c r="I240" s="50">
        <f>16.3466193832*Deflactores!$Y$5</f>
        <v>17.722209478341949</v>
      </c>
      <c r="J240" s="50">
        <f>15.28163051567*Deflactores!$Z$5</f>
        <v>15.763654005210563</v>
      </c>
      <c r="K240" s="50">
        <f>0*Deflactores!$AA$5</f>
        <v>0</v>
      </c>
    </row>
    <row r="241" spans="3:11" x14ac:dyDescent="0.2">
      <c r="C241" s="87" t="s">
        <v>160</v>
      </c>
      <c r="D241" s="42">
        <f>56.33923937076*Deflactores!$T$5</f>
        <v>85.247044603772977</v>
      </c>
      <c r="E241" s="42">
        <f>180.48963312414*Deflactores!$U$5</f>
        <v>268.77208663587402</v>
      </c>
      <c r="F241" s="42">
        <f>302.87816957598*Deflactores!$V$5</f>
        <v>427.02540149725485</v>
      </c>
      <c r="G241" s="42">
        <f>448.64499702241*Deflactores!$W$5</f>
        <v>559.17683344899967</v>
      </c>
      <c r="H241" s="42">
        <f>231.05889590605*Deflactores!$X$5</f>
        <v>263.52896034105657</v>
      </c>
      <c r="I241" s="42">
        <f>216.14172170666*Deflactores!$Y$5</f>
        <v>234.33033946038208</v>
      </c>
      <c r="J241" s="42">
        <f>226.52304626985*Deflactores!$Z$5</f>
        <v>233.66818887177243</v>
      </c>
      <c r="K241" s="42">
        <f>0.62809303841*Deflactores!$AA$5</f>
        <v>0.62809303840999997</v>
      </c>
    </row>
    <row r="242" spans="3:11" x14ac:dyDescent="0.2">
      <c r="C242" s="88" t="s">
        <v>161</v>
      </c>
      <c r="D242" s="50">
        <f>44.3871746213999*Deflactores!$T$5</f>
        <v>67.162345410537512</v>
      </c>
      <c r="E242" s="50">
        <f>86.99436187871*Deflactores!$U$5</f>
        <v>129.54570167260198</v>
      </c>
      <c r="F242" s="50">
        <f>67.49391293035*Deflactores!$V$5</f>
        <v>95.159104098036636</v>
      </c>
      <c r="G242" s="50">
        <f>65.7400326780199*Deflactores!$W$5</f>
        <v>81.936282690549504</v>
      </c>
      <c r="H242" s="50">
        <f>152.66151323161*Deflactores!$X$5</f>
        <v>174.11461137759744</v>
      </c>
      <c r="I242" s="50">
        <f>173.06363522605*Deflactores!$Y$5</f>
        <v>187.62717383091166</v>
      </c>
      <c r="J242" s="50">
        <f>208.27255029644*Deflactores!$Z$5</f>
        <v>214.84202345353921</v>
      </c>
      <c r="K242" s="50">
        <f>0.97784332033*Deflactores!$AA$5</f>
        <v>0.97784332032999999</v>
      </c>
    </row>
    <row r="243" spans="3:11" x14ac:dyDescent="0.2">
      <c r="C243" s="87" t="s">
        <v>140</v>
      </c>
      <c r="D243" s="42">
        <f>2489.26845413335*Deflactores!$T$5</f>
        <v>3766.5183504483684</v>
      </c>
      <c r="E243" s="42">
        <f>2611.78285350464*Deflactores!$U$5</f>
        <v>3889.2778229175324</v>
      </c>
      <c r="F243" s="42">
        <f>4058.52998701613*Deflactores!$V$5</f>
        <v>5722.0875298490182</v>
      </c>
      <c r="G243" s="42">
        <f>3595.74618192593*Deflactores!$W$5</f>
        <v>4481.6235046419988</v>
      </c>
      <c r="H243" s="42">
        <f>6019.95213296458*Deflactores!$X$5</f>
        <v>6865.9192743140902</v>
      </c>
      <c r="I243" s="42">
        <f>4055.70523693843*Deflactores!$Y$5</f>
        <v>4396.9983093446763</v>
      </c>
      <c r="J243" s="42">
        <f>4371.62091294051*Deflactores!$Z$5</f>
        <v>4509.5135262479253</v>
      </c>
      <c r="K243" s="42">
        <f>11.15868958963*Deflactores!$AA$5</f>
        <v>11.158689589630001</v>
      </c>
    </row>
    <row r="244" spans="3:11" x14ac:dyDescent="0.2">
      <c r="C244" s="88" t="s">
        <v>141</v>
      </c>
      <c r="D244" s="50">
        <f>88.0391492213199*Deflactores!$T$5</f>
        <v>133.21225782191178</v>
      </c>
      <c r="E244" s="50">
        <f>138.704273806039*Deflactores!$U$5</f>
        <v>206.5483565503277</v>
      </c>
      <c r="F244" s="50">
        <f>146.82482003572*Deflactores!$V$5</f>
        <v>207.00708741501793</v>
      </c>
      <c r="G244" s="50">
        <f>174.92951562245*Deflactores!$W$5</f>
        <v>218.02657618322428</v>
      </c>
      <c r="H244" s="50">
        <f>297.228480203929*Deflactores!$X$5</f>
        <v>338.99717240812276</v>
      </c>
      <c r="I244" s="50">
        <f>344.725257502229*Deflactores!$Y$5</f>
        <v>373.7343534289792</v>
      </c>
      <c r="J244" s="50">
        <f>230.666522926599*Deflactores!$Z$5</f>
        <v>237.94236186193086</v>
      </c>
      <c r="K244" s="50">
        <f>5.17835254273*Deflactores!$AA$5</f>
        <v>5.1783525427299999</v>
      </c>
    </row>
    <row r="245" spans="3:11" x14ac:dyDescent="0.2">
      <c r="C245" s="87" t="s">
        <v>142</v>
      </c>
      <c r="D245" s="42">
        <f>142.25467665546*Deflactores!$T$5</f>
        <v>215.24590856008419</v>
      </c>
      <c r="E245" s="42">
        <f>115.81430272671*Deflactores!$U$5</f>
        <v>172.46226981206823</v>
      </c>
      <c r="F245" s="42">
        <f>367.08058492916*Deflactores!$V$5</f>
        <v>517.54385065345139</v>
      </c>
      <c r="G245" s="42">
        <f>235.55994928746*Deflactores!$W$5</f>
        <v>293.59441742173129</v>
      </c>
      <c r="H245" s="42">
        <f>353.09455431769*Deflactores!$X$5</f>
        <v>402.7139506425433</v>
      </c>
      <c r="I245" s="42">
        <f>362.00239251995*Deflactores!$Y$5</f>
        <v>392.465382689031</v>
      </c>
      <c r="J245" s="42">
        <f>243.0389058167*Deflactores!$Z$5</f>
        <v>250.70500279213454</v>
      </c>
      <c r="K245" s="42">
        <f>5.08267232272*Deflactores!$AA$5</f>
        <v>5.0826723227199997</v>
      </c>
    </row>
    <row r="246" spans="3:11" x14ac:dyDescent="0.2">
      <c r="C246" s="88" t="s">
        <v>143</v>
      </c>
      <c r="D246" s="50">
        <f>83.64624915036*Deflactores!$T$5</f>
        <v>126.56534969053591</v>
      </c>
      <c r="E246" s="50">
        <f>96.7766911839799*Deflactores!$U$5</f>
        <v>144.11283782345384</v>
      </c>
      <c r="F246" s="50">
        <f>329.19726469817*Deflactores!$V$5</f>
        <v>464.13247387996159</v>
      </c>
      <c r="G246" s="50">
        <f>215.22714796652*Deflactores!$W$5</f>
        <v>268.25226152285927</v>
      </c>
      <c r="H246" s="50">
        <f>133.670681254939*Deflactores!$X$5</f>
        <v>152.45505056649276</v>
      </c>
      <c r="I246" s="50">
        <f>90.31862748685*Deflactores!$Y$5</f>
        <v>97.919061953771859</v>
      </c>
      <c r="J246" s="50">
        <f>333.4928368553*Deflactores!$Z$5</f>
        <v>344.0120926894819</v>
      </c>
      <c r="K246" s="50">
        <f>0.95910095267*Deflactores!$AA$5</f>
        <v>0.95910095266999995</v>
      </c>
    </row>
    <row r="247" spans="3:11" x14ac:dyDescent="0.2">
      <c r="C247" s="87" t="s">
        <v>144</v>
      </c>
      <c r="D247" s="42">
        <f>85.39372257432*Deflactores!$T$5</f>
        <v>129.20945611760172</v>
      </c>
      <c r="E247" s="42">
        <f>117.47647423659*Deflactores!$U$5</f>
        <v>174.93745521371332</v>
      </c>
      <c r="F247" s="42">
        <f>134.42534392621*Deflactores!$V$5</f>
        <v>189.52516961476243</v>
      </c>
      <c r="G247" s="42">
        <f>197.41762997504*Deflactores!$W$5</f>
        <v>246.05504559083514</v>
      </c>
      <c r="H247" s="42">
        <f>316.03648607077*Deflactores!$X$5</f>
        <v>360.44821506433124</v>
      </c>
      <c r="I247" s="42">
        <f>273.69532425554*Deflactores!$Y$5</f>
        <v>296.72715538262423</v>
      </c>
      <c r="J247" s="42">
        <f>413.75541038021*Deflactores!$Z$5</f>
        <v>426.80636240546983</v>
      </c>
      <c r="K247" s="42">
        <f>0.809150516*Deflactores!$AA$5</f>
        <v>0.80915051599999999</v>
      </c>
    </row>
    <row r="248" spans="3:11" x14ac:dyDescent="0.2">
      <c r="C248" s="88" t="s">
        <v>145</v>
      </c>
      <c r="D248" s="50">
        <f>45.763409356*Deflactores!$T$5</f>
        <v>69.244729644262279</v>
      </c>
      <c r="E248" s="50">
        <f>78.70152049808*Deflactores!$U$5</f>
        <v>117.19660303778326</v>
      </c>
      <c r="F248" s="50">
        <f>47.942235419*Deflactores!$V$5</f>
        <v>67.593357280042085</v>
      </c>
      <c r="G248" s="50">
        <f>105.647963472*Deflactores!$W$5</f>
        <v>131.6762564314468</v>
      </c>
      <c r="H248" s="50">
        <f>119.955067789*Deflactores!$X$5</f>
        <v>136.81202006145492</v>
      </c>
      <c r="I248" s="50">
        <f>98.1743662298*Deflactores!$Y$5</f>
        <v>106.43587172012445</v>
      </c>
      <c r="J248" s="50">
        <f>148.973050154*Deflactores!$Z$5</f>
        <v>153.67205850975751</v>
      </c>
      <c r="K248" s="50">
        <f>0*Deflactores!$AA$5</f>
        <v>0</v>
      </c>
    </row>
    <row r="249" spans="3:11" x14ac:dyDescent="0.2">
      <c r="C249" s="87" t="s">
        <v>146</v>
      </c>
      <c r="D249" s="42">
        <f>33.60684902011*Deflactores!$T$5</f>
        <v>50.850607665400133</v>
      </c>
      <c r="E249" s="42">
        <f>37.69416342996*Deflactores!$U$5</f>
        <v>56.131417542944689</v>
      </c>
      <c r="F249" s="42">
        <f>53.11331817313*Deflactores!$V$5</f>
        <v>74.88402366365527</v>
      </c>
      <c r="G249" s="42">
        <f>48.45713720763*Deflactores!$W$5</f>
        <v>60.395432294128049</v>
      </c>
      <c r="H249" s="42">
        <f>66.19232723216*Deflactores!$X$5</f>
        <v>75.494151002689833</v>
      </c>
      <c r="I249" s="42">
        <f>29.25509856256*Deflactores!$Y$5</f>
        <v>31.716954611916488</v>
      </c>
      <c r="J249" s="42">
        <f>15.25847688394*Deflactores!$Z$5</f>
        <v>15.739770046022993</v>
      </c>
      <c r="K249" s="42">
        <f>0*Deflactores!$AA$5</f>
        <v>0</v>
      </c>
    </row>
    <row r="250" spans="3:11" x14ac:dyDescent="0.2">
      <c r="C250" s="88" t="s">
        <v>162</v>
      </c>
      <c r="D250" s="50">
        <f>497.85164759372*Deflactores!$T$5</f>
        <v>753.3005784687648</v>
      </c>
      <c r="E250" s="50">
        <f>544.57065222106*Deflactores!$U$5</f>
        <v>810.93516555293593</v>
      </c>
      <c r="F250" s="50">
        <f>683.87962904999*Deflactores!$V$5</f>
        <v>964.19617689747713</v>
      </c>
      <c r="G250" s="50">
        <f>935.052207824839*Deflactores!$W$5</f>
        <v>1165.4192873009399</v>
      </c>
      <c r="H250" s="50">
        <f>1264.38755484838*Deflactores!$X$5</f>
        <v>1442.0684236838322</v>
      </c>
      <c r="I250" s="50">
        <f>798.35743606098*Deflactores!$Y$5</f>
        <v>865.54029238643386</v>
      </c>
      <c r="J250" s="50">
        <f>790.64797548967*Deflactores!$Z$5</f>
        <v>815.58712682911084</v>
      </c>
      <c r="K250" s="50">
        <f>7.42486472753*Deflactores!$AA$5</f>
        <v>7.4248647275300002</v>
      </c>
    </row>
    <row r="251" spans="3:11" x14ac:dyDescent="0.2">
      <c r="C251" s="87" t="s">
        <v>148</v>
      </c>
      <c r="D251" s="42">
        <f>92.63155866232*Deflactores!$T$5</f>
        <v>140.16104408221946</v>
      </c>
      <c r="E251" s="42">
        <f>138.628278518*Deflactores!$U$5</f>
        <v>206.43518987262334</v>
      </c>
      <c r="F251" s="42">
        <f>178.78469355741*Deflactores!$V$5</f>
        <v>252.0670461486153</v>
      </c>
      <c r="G251" s="42">
        <f>218.56945861701*Deflactores!$W$5</f>
        <v>272.41801105388663</v>
      </c>
      <c r="H251" s="42">
        <f>206.08951802692*Deflactores!$X$5</f>
        <v>235.05070518863153</v>
      </c>
      <c r="I251" s="42">
        <f>193.75256609657*Deflactores!$Y$5</f>
        <v>210.05710617197505</v>
      </c>
      <c r="J251" s="42">
        <f>207.06352164687*Deflactores!$Z$5</f>
        <v>213.59485880741946</v>
      </c>
      <c r="K251" s="42">
        <f>21.6600646262099*Deflactores!$AA$5</f>
        <v>21.660064626209898</v>
      </c>
    </row>
    <row r="252" spans="3:11" x14ac:dyDescent="0.2">
      <c r="C252" s="88" t="s">
        <v>149</v>
      </c>
      <c r="D252" s="50">
        <f>13.78380147429*Deflactores!$T$5</f>
        <v>20.856304632649863</v>
      </c>
      <c r="E252" s="50">
        <f>0*Deflactores!$U$5</f>
        <v>0</v>
      </c>
      <c r="F252" s="50">
        <f>0*Deflactores!$V$5</f>
        <v>0</v>
      </c>
      <c r="G252" s="50">
        <f>0*Deflactores!$W$5</f>
        <v>0</v>
      </c>
      <c r="H252" s="50">
        <f>0*Deflactores!$X$5</f>
        <v>0</v>
      </c>
      <c r="I252" s="50">
        <f>169.88984203201*Deflactores!$Y$5</f>
        <v>184.18630165378619</v>
      </c>
      <c r="J252" s="50">
        <f>343.77604554727*Deflactores!$Z$5</f>
        <v>354.61966128089415</v>
      </c>
      <c r="K252" s="50">
        <f>0*Deflactores!$AA$5</f>
        <v>0</v>
      </c>
    </row>
    <row r="253" spans="3:11" x14ac:dyDescent="0.2">
      <c r="C253" s="87" t="s">
        <v>163</v>
      </c>
      <c r="D253" s="42">
        <f>3362.79547808916*Deflactores!$T$5</f>
        <v>5088.2542845051839</v>
      </c>
      <c r="E253" s="42">
        <f>3689.07330769045*Deflactores!$U$5</f>
        <v>5493.5007263198586</v>
      </c>
      <c r="F253" s="42">
        <f>2215.35846565099*Deflactores!$V$5</f>
        <v>3123.4153969543172</v>
      </c>
      <c r="G253" s="42">
        <f>2472.53556331318*Deflactores!$W$5</f>
        <v>3081.689567608043</v>
      </c>
      <c r="H253" s="42">
        <f>2535.73110195576*Deflactores!$X$5</f>
        <v>2892.0703458852895</v>
      </c>
      <c r="I253" s="42">
        <f>2769.65734363743*Deflactores!$Y$5</f>
        <v>3002.7277491770847</v>
      </c>
      <c r="J253" s="42">
        <f>2821.97246031024*Deflactores!$Z$5</f>
        <v>2910.9850176621062</v>
      </c>
      <c r="K253" s="42">
        <f>188.171424884889*Deflactores!$AA$5</f>
        <v>188.17142488488901</v>
      </c>
    </row>
    <row r="254" spans="3:11" x14ac:dyDescent="0.2">
      <c r="C254" s="88" t="s">
        <v>150</v>
      </c>
      <c r="D254" s="50">
        <f>3541.84660173827*Deflactores!$T$5</f>
        <v>5359.1769894360059</v>
      </c>
      <c r="E254" s="50">
        <f>4019.94497807177*Deflactores!$U$5</f>
        <v>5986.2108488780859</v>
      </c>
      <c r="F254" s="50">
        <f>6321.60810004545*Deflactores!$V$5</f>
        <v>8912.7824590640012</v>
      </c>
      <c r="G254" s="50">
        <f>6797.77927606223*Deflactores!$W$5</f>
        <v>8472.5355577381852</v>
      </c>
      <c r="H254" s="50">
        <f>7707.14003677219*Deflactores!$X$5</f>
        <v>8790.20300486222</v>
      </c>
      <c r="I254" s="50">
        <f>3302.96941455801*Deflactores!$Y$5</f>
        <v>3580.9187510362513</v>
      </c>
      <c r="J254" s="50">
        <f>2410.10714519478*Deflactores!$Z$5</f>
        <v>2486.1283691801514</v>
      </c>
      <c r="K254" s="50">
        <f>939.582544189169*Deflactores!$AA$5</f>
        <v>939.58254418916897</v>
      </c>
    </row>
    <row r="255" spans="3:11" x14ac:dyDescent="0.2">
      <c r="C255" s="87" t="s">
        <v>151</v>
      </c>
      <c r="D255" s="42">
        <f>685.72883814402*Deflactores!$T$5</f>
        <v>1037.5780273969315</v>
      </c>
      <c r="E255" s="42">
        <f>985.788235944099*Deflactores!$U$5</f>
        <v>1467.9644285916395</v>
      </c>
      <c r="F255" s="42">
        <f>1911.31594845107*Deflactores!$V$5</f>
        <v>2694.7483914672748</v>
      </c>
      <c r="G255" s="42">
        <f>2029.19921821926*Deflactores!$W$5</f>
        <v>2529.1292688244412</v>
      </c>
      <c r="H255" s="42">
        <f>2048.35031908934*Deflactores!$X$5</f>
        <v>2336.1992962321224</v>
      </c>
      <c r="I255" s="42">
        <f>1612.91081893585*Deflactores!$Y$5</f>
        <v>1748.639442381728</v>
      </c>
      <c r="J255" s="42">
        <f>1474.55170074259*Deflactores!$Z$5</f>
        <v>1521.0630043349049</v>
      </c>
      <c r="K255" s="42">
        <f>52.95044461248*Deflactores!$AA$5</f>
        <v>52.950444612479998</v>
      </c>
    </row>
    <row r="256" spans="3:11" x14ac:dyDescent="0.2">
      <c r="C256" s="79" t="s">
        <v>202</v>
      </c>
      <c r="D256" s="44">
        <f>+SUM(D225:D255)</f>
        <v>37687.301132427674</v>
      </c>
      <c r="E256" s="44">
        <f>+SUM(E225:E255)</f>
        <v>42378.839534511506</v>
      </c>
      <c r="F256" s="44">
        <f>+SUM(F225:F255)</f>
        <v>53535.372725217734</v>
      </c>
      <c r="G256" s="44">
        <f>+SUM(G225:G255)</f>
        <v>58660.070901524399</v>
      </c>
      <c r="H256" s="44">
        <f>+SUM(H225:H255)</f>
        <v>58009.217864541919</v>
      </c>
      <c r="I256" s="44">
        <f>41047.5022231425*Deflactores!$Y$5</f>
        <v>44501.704964689328</v>
      </c>
      <c r="J256" s="44">
        <f>SUM(J225:J255)</f>
        <v>40706.165200967313</v>
      </c>
      <c r="K256" s="44">
        <f>SUM(K225:K255)</f>
        <v>4119.4902458919969</v>
      </c>
    </row>
    <row r="257" spans="1:11" s="31" customFormat="1" x14ac:dyDescent="0.2">
      <c r="A257" s="5"/>
      <c r="B257" s="5"/>
      <c r="C257" s="72" t="str">
        <f>+'C1 Aprop Resumen 2000-2026'!B20</f>
        <v>* Información con corte a 28 de febrero</v>
      </c>
      <c r="D257" s="121">
        <f>+D256-'C6 Ejec. Nac 19-26'!D130</f>
        <v>0</v>
      </c>
      <c r="E257" s="121">
        <f>+E256-'C6 Ejec. Nac 19-26'!E130</f>
        <v>8.0035533756017685E-11</v>
      </c>
      <c r="F257" s="121">
        <f>+F256-'C6 Ejec. Nac 19-26'!F130</f>
        <v>8.0035533756017685E-11</v>
      </c>
      <c r="G257" s="121">
        <f>+G256-'C6 Ejec. Nac 19-26'!G130</f>
        <v>-9.4587448984384537E-11</v>
      </c>
      <c r="H257" s="121">
        <f>+H256-'C6 Ejec. Nac 19-26'!H130</f>
        <v>0</v>
      </c>
      <c r="I257" s="121">
        <f>+I256-'C6 Ejec. Nac 19-26'!I130</f>
        <v>0</v>
      </c>
      <c r="J257" s="121">
        <f>+J256-'C6 Ejec. Nac 19-26'!J130</f>
        <v>0</v>
      </c>
      <c r="K257" s="121">
        <f>+K256-'C6 Ejec. Nac 19-26'!K130</f>
        <v>-1.2732925824820995E-11</v>
      </c>
    </row>
    <row r="258" spans="1:11" x14ac:dyDescent="0.2">
      <c r="C258" s="1" t="s">
        <v>52</v>
      </c>
      <c r="D258" s="8"/>
      <c r="E258" s="3"/>
      <c r="F258" s="3"/>
    </row>
    <row r="259" spans="1:11" x14ac:dyDescent="0.2">
      <c r="B259" s="9"/>
      <c r="E259" s="3"/>
      <c r="F259" s="3"/>
    </row>
    <row r="260" spans="1:11" x14ac:dyDescent="0.2">
      <c r="E260" s="3"/>
      <c r="F260" s="3"/>
    </row>
    <row r="261" spans="1:11" x14ac:dyDescent="0.2">
      <c r="E261" s="3"/>
      <c r="F261" s="3"/>
    </row>
    <row r="262" spans="1:11" ht="15.75" customHeight="1" x14ac:dyDescent="0.2">
      <c r="D262" s="131" t="s">
        <v>216</v>
      </c>
      <c r="E262" s="131"/>
      <c r="F262" s="131"/>
      <c r="G262" s="131"/>
      <c r="H262" s="131"/>
      <c r="I262" s="131"/>
      <c r="J262" s="131"/>
      <c r="K262" s="131"/>
    </row>
    <row r="263" spans="1:11" ht="11.25" hidden="1" customHeight="1" x14ac:dyDescent="0.2">
      <c r="D263" s="28"/>
      <c r="E263" s="28"/>
      <c r="F263" s="28"/>
    </row>
    <row r="264" spans="1:11" x14ac:dyDescent="0.2">
      <c r="D264" s="29"/>
      <c r="E264" s="29"/>
      <c r="F264" s="29"/>
    </row>
    <row r="265" spans="1:11" ht="13.5" customHeight="1" thickBot="1" x14ac:dyDescent="0.25">
      <c r="C265" s="177" t="s">
        <v>120</v>
      </c>
      <c r="D265" s="153">
        <v>2019</v>
      </c>
      <c r="E265" s="153">
        <v>2020</v>
      </c>
      <c r="F265" s="153">
        <v>2021</v>
      </c>
      <c r="G265" s="153">
        <v>2022</v>
      </c>
      <c r="H265" s="153">
        <v>2023</v>
      </c>
      <c r="I265" s="153">
        <v>2024</v>
      </c>
      <c r="J265" s="153">
        <v>2025</v>
      </c>
      <c r="K265" s="153" t="s">
        <v>36</v>
      </c>
    </row>
    <row r="266" spans="1:11" ht="12" customHeight="1" thickBot="1" x14ac:dyDescent="0.25">
      <c r="C266" s="156"/>
      <c r="D266" s="154"/>
      <c r="E266" s="154"/>
      <c r="F266" s="154"/>
      <c r="G266" s="154"/>
      <c r="H266" s="154"/>
      <c r="I266" s="154"/>
      <c r="J266" s="154"/>
      <c r="K266" s="154"/>
    </row>
    <row r="267" spans="1:11" x14ac:dyDescent="0.2">
      <c r="C267" s="87" t="s">
        <v>123</v>
      </c>
      <c r="D267" s="47">
        <f t="shared" ref="D267:K276" si="11">+IFERROR(IF(D225&gt;0,+((D225/D15)*100)," "),"")</f>
        <v>56.69287763372246</v>
      </c>
      <c r="E267" s="47">
        <f t="shared" si="11"/>
        <v>74.985879727803777</v>
      </c>
      <c r="F267" s="47">
        <f t="shared" si="11"/>
        <v>74.185530228020852</v>
      </c>
      <c r="G267" s="47">
        <f t="shared" si="11"/>
        <v>65.987518118332389</v>
      </c>
      <c r="H267" s="47">
        <f t="shared" si="11"/>
        <v>73.611250524850917</v>
      </c>
      <c r="I267" s="47">
        <f t="shared" si="11"/>
        <v>31.799031706003351</v>
      </c>
      <c r="J267" s="47">
        <f t="shared" si="11"/>
        <v>52.247960642374856</v>
      </c>
      <c r="K267" s="47">
        <f t="shared" si="11"/>
        <v>1.4063449225228337</v>
      </c>
    </row>
    <row r="268" spans="1:11" x14ac:dyDescent="0.2">
      <c r="C268" s="88" t="s">
        <v>124</v>
      </c>
      <c r="D268" s="116">
        <f t="shared" si="11"/>
        <v>76.101979546075356</v>
      </c>
      <c r="E268" s="116">
        <f t="shared" si="11"/>
        <v>57.222907817579973</v>
      </c>
      <c r="F268" s="116">
        <f t="shared" si="11"/>
        <v>46.609289975867149</v>
      </c>
      <c r="G268" s="116">
        <f t="shared" si="11"/>
        <v>42.366509500881655</v>
      </c>
      <c r="H268" s="116">
        <f t="shared" si="11"/>
        <v>28.521953728100087</v>
      </c>
      <c r="I268" s="116">
        <f t="shared" si="11"/>
        <v>31.721958902866149</v>
      </c>
      <c r="J268" s="116">
        <f t="shared" si="11"/>
        <v>62.353139972194072</v>
      </c>
      <c r="K268" s="116">
        <f t="shared" si="11"/>
        <v>2.0973180504408862</v>
      </c>
    </row>
    <row r="269" spans="1:11" x14ac:dyDescent="0.2">
      <c r="C269" s="87" t="s">
        <v>125</v>
      </c>
      <c r="D269" s="47">
        <f t="shared" si="11"/>
        <v>38.913776933468036</v>
      </c>
      <c r="E269" s="47">
        <f t="shared" si="11"/>
        <v>64.847987038389832</v>
      </c>
      <c r="F269" s="47">
        <f t="shared" si="11"/>
        <v>86.641915716549391</v>
      </c>
      <c r="G269" s="47">
        <f t="shared" si="11"/>
        <v>87.814711001104428</v>
      </c>
      <c r="H269" s="47">
        <f t="shared" si="11"/>
        <v>64.230697522473022</v>
      </c>
      <c r="I269" s="47">
        <f t="shared" si="11"/>
        <v>86.419740850164644</v>
      </c>
      <c r="J269" s="47">
        <f t="shared" si="11"/>
        <v>92.284332065112281</v>
      </c>
      <c r="K269" s="47">
        <f t="shared" si="11"/>
        <v>0.26227696114088683</v>
      </c>
    </row>
    <row r="270" spans="1:11" x14ac:dyDescent="0.2">
      <c r="C270" s="88" t="s">
        <v>126</v>
      </c>
      <c r="D270" s="116">
        <f t="shared" si="11"/>
        <v>60.315594633742855</v>
      </c>
      <c r="E270" s="116">
        <f t="shared" si="11"/>
        <v>39.390355498753003</v>
      </c>
      <c r="F270" s="116">
        <f t="shared" si="11"/>
        <v>31.950473056271296</v>
      </c>
      <c r="G270" s="116">
        <f t="shared" si="11"/>
        <v>46.678729356533481</v>
      </c>
      <c r="H270" s="116">
        <f t="shared" si="11"/>
        <v>37.01917179738156</v>
      </c>
      <c r="I270" s="116">
        <f t="shared" si="11"/>
        <v>26.932818771953571</v>
      </c>
      <c r="J270" s="116">
        <f t="shared" si="11"/>
        <v>68.543970314246707</v>
      </c>
      <c r="K270" s="116">
        <f t="shared" si="11"/>
        <v>17.348431249981218</v>
      </c>
    </row>
    <row r="271" spans="1:11" x14ac:dyDescent="0.2">
      <c r="C271" s="87" t="s">
        <v>127</v>
      </c>
      <c r="D271" s="47">
        <f t="shared" si="11"/>
        <v>62.41185677719988</v>
      </c>
      <c r="E271" s="47">
        <f t="shared" si="11"/>
        <v>76.953282922668251</v>
      </c>
      <c r="F271" s="47">
        <f t="shared" si="11"/>
        <v>88.640414545997629</v>
      </c>
      <c r="G271" s="47">
        <f t="shared" si="11"/>
        <v>64.779039574677853</v>
      </c>
      <c r="H271" s="47">
        <f t="shared" si="11"/>
        <v>63.80910053912725</v>
      </c>
      <c r="I271" s="47">
        <f t="shared" si="11"/>
        <v>56.441684268863114</v>
      </c>
      <c r="J271" s="47">
        <f t="shared" si="11"/>
        <v>71.948912043500016</v>
      </c>
      <c r="K271" s="47">
        <f t="shared" si="11"/>
        <v>8.3451372994999993</v>
      </c>
    </row>
    <row r="272" spans="1:11" x14ac:dyDescent="0.2">
      <c r="C272" s="88" t="s">
        <v>128</v>
      </c>
      <c r="D272" s="116">
        <f t="shared" si="11"/>
        <v>90.395502013768834</v>
      </c>
      <c r="E272" s="116">
        <f t="shared" si="11"/>
        <v>90.534988791876231</v>
      </c>
      <c r="F272" s="116">
        <f t="shared" si="11"/>
        <v>74.576350554023335</v>
      </c>
      <c r="G272" s="116">
        <f t="shared" si="11"/>
        <v>71.907055436076988</v>
      </c>
      <c r="H272" s="116">
        <f t="shared" si="11"/>
        <v>65.410451217766166</v>
      </c>
      <c r="I272" s="116">
        <f t="shared" si="11"/>
        <v>54.466932117023561</v>
      </c>
      <c r="J272" s="116">
        <f t="shared" si="11"/>
        <v>54.150820935141077</v>
      </c>
      <c r="K272" s="116">
        <f t="shared" si="11"/>
        <v>1.6444132346840117</v>
      </c>
    </row>
    <row r="273" spans="3:11" x14ac:dyDescent="0.2">
      <c r="C273" s="87" t="s">
        <v>129</v>
      </c>
      <c r="D273" s="47">
        <f t="shared" si="11"/>
        <v>62.251221497742868</v>
      </c>
      <c r="E273" s="47">
        <f t="shared" si="11"/>
        <v>73.685350417669852</v>
      </c>
      <c r="F273" s="47">
        <f t="shared" si="11"/>
        <v>70.784662450372608</v>
      </c>
      <c r="G273" s="47">
        <f t="shared" si="11"/>
        <v>64.467980543914337</v>
      </c>
      <c r="H273" s="47">
        <f t="shared" si="11"/>
        <v>67.471023255468182</v>
      </c>
      <c r="I273" s="47">
        <f t="shared" si="11"/>
        <v>35.163572729976792</v>
      </c>
      <c r="J273" s="47">
        <f t="shared" si="11"/>
        <v>39.139573440736733</v>
      </c>
      <c r="K273" s="47">
        <f t="shared" si="11"/>
        <v>3.9027977611261431</v>
      </c>
    </row>
    <row r="274" spans="3:11" x14ac:dyDescent="0.2">
      <c r="C274" s="88" t="s">
        <v>130</v>
      </c>
      <c r="D274" s="116">
        <f t="shared" si="11"/>
        <v>49.848998816833117</v>
      </c>
      <c r="E274" s="116">
        <f t="shared" si="11"/>
        <v>48.343622959020365</v>
      </c>
      <c r="F274" s="116">
        <f t="shared" si="11"/>
        <v>87.347860989701559</v>
      </c>
      <c r="G274" s="116">
        <f t="shared" si="11"/>
        <v>60.024088483070983</v>
      </c>
      <c r="H274" s="116">
        <f t="shared" si="11"/>
        <v>57.506390153402975</v>
      </c>
      <c r="I274" s="116">
        <f t="shared" si="11"/>
        <v>32.297065731908866</v>
      </c>
      <c r="J274" s="116">
        <f t="shared" si="11"/>
        <v>64.744425410607505</v>
      </c>
      <c r="K274" s="116">
        <f t="shared" si="11"/>
        <v>1.6150510462356296</v>
      </c>
    </row>
    <row r="275" spans="3:11" x14ac:dyDescent="0.2">
      <c r="C275" s="87" t="s">
        <v>131</v>
      </c>
      <c r="D275" s="47">
        <f t="shared" si="11"/>
        <v>89.214974959269824</v>
      </c>
      <c r="E275" s="47">
        <f t="shared" si="11"/>
        <v>99.183581277330461</v>
      </c>
      <c r="F275" s="47">
        <f t="shared" si="11"/>
        <v>99.315469814289216</v>
      </c>
      <c r="G275" s="47">
        <f t="shared" si="11"/>
        <v>98.817690944733684</v>
      </c>
      <c r="H275" s="47">
        <f t="shared" si="11"/>
        <v>91.122801700993136</v>
      </c>
      <c r="I275" s="47">
        <f t="shared" si="11"/>
        <v>69.848094729288093</v>
      </c>
      <c r="J275" s="47">
        <f t="shared" si="11"/>
        <v>90.362345150748794</v>
      </c>
      <c r="K275" s="47">
        <f t="shared" si="11"/>
        <v>0.79590386210846542</v>
      </c>
    </row>
    <row r="276" spans="3:11" x14ac:dyDescent="0.2">
      <c r="C276" s="88" t="s">
        <v>132</v>
      </c>
      <c r="D276" s="116">
        <f t="shared" si="11"/>
        <v>87.006402144240639</v>
      </c>
      <c r="E276" s="116">
        <f t="shared" si="11"/>
        <v>87.215560036868027</v>
      </c>
      <c r="F276" s="116">
        <f t="shared" si="11"/>
        <v>91.887866749782191</v>
      </c>
      <c r="G276" s="116">
        <f t="shared" si="11"/>
        <v>82.826578520765935</v>
      </c>
      <c r="H276" s="116">
        <f t="shared" si="11"/>
        <v>78.700998203278999</v>
      </c>
      <c r="I276" s="116">
        <f t="shared" si="11"/>
        <v>88.589268906237862</v>
      </c>
      <c r="J276" s="116">
        <f t="shared" si="11"/>
        <v>91.86781577652286</v>
      </c>
      <c r="K276" s="116">
        <f t="shared" si="11"/>
        <v>9.1238525199999998</v>
      </c>
    </row>
    <row r="277" spans="3:11" x14ac:dyDescent="0.2">
      <c r="C277" s="87" t="s">
        <v>133</v>
      </c>
      <c r="D277" s="47">
        <f t="shared" ref="D277:K286" si="12">+IFERROR(IF(D235&gt;0,+((D235/D25)*100)," "),"")</f>
        <v>63.327830078501165</v>
      </c>
      <c r="E277" s="47">
        <f t="shared" si="12"/>
        <v>67.179491177873672</v>
      </c>
      <c r="F277" s="47">
        <f t="shared" si="12"/>
        <v>85.763502102745264</v>
      </c>
      <c r="G277" s="47">
        <f t="shared" si="12"/>
        <v>82.118531966447492</v>
      </c>
      <c r="H277" s="47">
        <f t="shared" si="12"/>
        <v>72.17580669206211</v>
      </c>
      <c r="I277" s="47">
        <f t="shared" si="12"/>
        <v>67.601813938667405</v>
      </c>
      <c r="J277" s="47">
        <f t="shared" si="12"/>
        <v>59.544962143906368</v>
      </c>
      <c r="K277" s="47">
        <f t="shared" si="12"/>
        <v>1.3878240648899114</v>
      </c>
    </row>
    <row r="278" spans="3:11" x14ac:dyDescent="0.2">
      <c r="C278" s="88" t="s">
        <v>134</v>
      </c>
      <c r="D278" s="116">
        <f t="shared" si="12"/>
        <v>28.302922624633602</v>
      </c>
      <c r="E278" s="116">
        <f t="shared" si="12"/>
        <v>28.965289418083195</v>
      </c>
      <c r="F278" s="116">
        <f t="shared" si="12"/>
        <v>34.863476678449743</v>
      </c>
      <c r="G278" s="116">
        <f t="shared" si="12"/>
        <v>37.618440903191235</v>
      </c>
      <c r="H278" s="116">
        <f t="shared" si="12"/>
        <v>21.737746883161403</v>
      </c>
      <c r="I278" s="116">
        <f t="shared" si="12"/>
        <v>29.161929692422099</v>
      </c>
      <c r="J278" s="116">
        <f t="shared" si="12"/>
        <v>23.27023962965621</v>
      </c>
      <c r="K278" s="116">
        <f t="shared" si="12"/>
        <v>10.712509087525506</v>
      </c>
    </row>
    <row r="279" spans="3:11" x14ac:dyDescent="0.2">
      <c r="C279" s="87" t="s">
        <v>135</v>
      </c>
      <c r="D279" s="47" t="str">
        <f t="shared" si="12"/>
        <v xml:space="preserve"> </v>
      </c>
      <c r="E279" s="47" t="str">
        <f t="shared" si="12"/>
        <v xml:space="preserve"> </v>
      </c>
      <c r="F279" s="47" t="str">
        <f t="shared" si="12"/>
        <v xml:space="preserve"> </v>
      </c>
      <c r="G279" s="47" t="str">
        <f t="shared" si="12"/>
        <v xml:space="preserve"> </v>
      </c>
      <c r="H279" s="47" t="str">
        <f t="shared" si="12"/>
        <v xml:space="preserve"> </v>
      </c>
      <c r="I279" s="47">
        <f t="shared" si="12"/>
        <v>90.905842465813734</v>
      </c>
      <c r="J279" s="47">
        <f t="shared" si="12"/>
        <v>93.333672087077801</v>
      </c>
      <c r="K279" s="47">
        <f t="shared" si="12"/>
        <v>12.243944634190171</v>
      </c>
    </row>
    <row r="280" spans="3:11" x14ac:dyDescent="0.2">
      <c r="C280" s="88" t="s">
        <v>136</v>
      </c>
      <c r="D280" s="116">
        <f t="shared" si="12"/>
        <v>87.068605113396131</v>
      </c>
      <c r="E280" s="116">
        <f t="shared" si="12"/>
        <v>96.284817996707233</v>
      </c>
      <c r="F280" s="116">
        <f t="shared" si="12"/>
        <v>88.88552871760173</v>
      </c>
      <c r="G280" s="116">
        <f t="shared" si="12"/>
        <v>96.769790675138793</v>
      </c>
      <c r="H280" s="116">
        <f t="shared" si="12"/>
        <v>87.903394424832143</v>
      </c>
      <c r="I280" s="116">
        <f t="shared" si="12"/>
        <v>75.376124026061561</v>
      </c>
      <c r="J280" s="116">
        <f t="shared" si="12"/>
        <v>77.110985832072927</v>
      </c>
      <c r="K280" s="116">
        <f t="shared" si="12"/>
        <v>11.86127204973025</v>
      </c>
    </row>
    <row r="281" spans="3:11" x14ac:dyDescent="0.2">
      <c r="C281" s="87" t="s">
        <v>137</v>
      </c>
      <c r="D281" s="47">
        <f t="shared" si="12"/>
        <v>85.154749256157032</v>
      </c>
      <c r="E281" s="47">
        <f t="shared" si="12"/>
        <v>83.87922311842479</v>
      </c>
      <c r="F281" s="47">
        <f t="shared" si="12"/>
        <v>58.214490884281958</v>
      </c>
      <c r="G281" s="47">
        <f t="shared" si="12"/>
        <v>50.957257639664086</v>
      </c>
      <c r="H281" s="47">
        <f t="shared" si="12"/>
        <v>45.400322288579069</v>
      </c>
      <c r="I281" s="47">
        <f t="shared" si="12"/>
        <v>54.434222755224425</v>
      </c>
      <c r="J281" s="47">
        <f t="shared" si="12"/>
        <v>62.419318843383522</v>
      </c>
      <c r="K281" s="47">
        <f t="shared" si="12"/>
        <v>3.2091739419931606</v>
      </c>
    </row>
    <row r="282" spans="3:11" x14ac:dyDescent="0.2">
      <c r="C282" s="88" t="s">
        <v>138</v>
      </c>
      <c r="D282" s="116">
        <f t="shared" si="12"/>
        <v>65.780091142444846</v>
      </c>
      <c r="E282" s="116">
        <f t="shared" si="12"/>
        <v>96.787518520749089</v>
      </c>
      <c r="F282" s="116">
        <f t="shared" si="12"/>
        <v>95.896709671133394</v>
      </c>
      <c r="G282" s="116">
        <f t="shared" si="12"/>
        <v>86.521347843124985</v>
      </c>
      <c r="H282" s="116">
        <f t="shared" si="12"/>
        <v>67.524149584137945</v>
      </c>
      <c r="I282" s="116">
        <f t="shared" si="12"/>
        <v>40.323998133990543</v>
      </c>
      <c r="J282" s="116">
        <f t="shared" si="12"/>
        <v>43.415105868937658</v>
      </c>
      <c r="K282" s="116" t="str">
        <f t="shared" si="12"/>
        <v xml:space="preserve"> </v>
      </c>
    </row>
    <row r="283" spans="3:11" x14ac:dyDescent="0.2">
      <c r="C283" s="87" t="s">
        <v>160</v>
      </c>
      <c r="D283" s="47">
        <f t="shared" si="12"/>
        <v>56.835505153051557</v>
      </c>
      <c r="E283" s="47">
        <f t="shared" si="12"/>
        <v>83.77608800614766</v>
      </c>
      <c r="F283" s="47">
        <f t="shared" si="12"/>
        <v>84.94506324597188</v>
      </c>
      <c r="G283" s="47">
        <f t="shared" si="12"/>
        <v>67.238967150732606</v>
      </c>
      <c r="H283" s="47">
        <f t="shared" si="12"/>
        <v>46.549927422718604</v>
      </c>
      <c r="I283" s="47">
        <f t="shared" si="12"/>
        <v>38.510090335302401</v>
      </c>
      <c r="J283" s="47">
        <f t="shared" si="12"/>
        <v>48.494477660270462</v>
      </c>
      <c r="K283" s="47">
        <f t="shared" si="12"/>
        <v>0.14847027517368502</v>
      </c>
    </row>
    <row r="284" spans="3:11" x14ac:dyDescent="0.2">
      <c r="C284" s="88" t="s">
        <v>161</v>
      </c>
      <c r="D284" s="116">
        <f t="shared" si="12"/>
        <v>13.906610065708813</v>
      </c>
      <c r="E284" s="116">
        <f t="shared" si="12"/>
        <v>22.350720180879076</v>
      </c>
      <c r="F284" s="116">
        <f t="shared" si="12"/>
        <v>15.097566072576951</v>
      </c>
      <c r="G284" s="116">
        <f t="shared" si="12"/>
        <v>12.722444788632631</v>
      </c>
      <c r="H284" s="116">
        <f t="shared" si="12"/>
        <v>39.418266798576255</v>
      </c>
      <c r="I284" s="116">
        <f t="shared" si="12"/>
        <v>29.377057211685774</v>
      </c>
      <c r="J284" s="116">
        <f t="shared" si="12"/>
        <v>39.45323838789335</v>
      </c>
      <c r="K284" s="116">
        <f t="shared" si="12"/>
        <v>0.187419879704636</v>
      </c>
    </row>
    <row r="285" spans="3:11" x14ac:dyDescent="0.2">
      <c r="C285" s="87" t="s">
        <v>140</v>
      </c>
      <c r="D285" s="47">
        <f t="shared" si="12"/>
        <v>82.542360530420865</v>
      </c>
      <c r="E285" s="47">
        <f t="shared" si="12"/>
        <v>87.426408273286</v>
      </c>
      <c r="F285" s="47">
        <f t="shared" si="12"/>
        <v>92.436079449290958</v>
      </c>
      <c r="G285" s="47">
        <f t="shared" si="12"/>
        <v>83.812571696720866</v>
      </c>
      <c r="H285" s="47">
        <f t="shared" si="12"/>
        <v>89.261125705001959</v>
      </c>
      <c r="I285" s="47">
        <f t="shared" si="12"/>
        <v>58.289397876446749</v>
      </c>
      <c r="J285" s="47">
        <f t="shared" si="12"/>
        <v>66.707968392251843</v>
      </c>
      <c r="K285" s="47">
        <f t="shared" si="12"/>
        <v>0.11587734844633836</v>
      </c>
    </row>
    <row r="286" spans="3:11" x14ac:dyDescent="0.2">
      <c r="C286" s="88" t="s">
        <v>141</v>
      </c>
      <c r="D286" s="116">
        <f t="shared" si="12"/>
        <v>54.90394046317293</v>
      </c>
      <c r="E286" s="116">
        <f t="shared" si="12"/>
        <v>62.135277209440495</v>
      </c>
      <c r="F286" s="116">
        <f t="shared" si="12"/>
        <v>41.482779756104478</v>
      </c>
      <c r="G286" s="116">
        <f t="shared" si="12"/>
        <v>39.365620770265444</v>
      </c>
      <c r="H286" s="116">
        <f t="shared" si="12"/>
        <v>51.103650345418153</v>
      </c>
      <c r="I286" s="116">
        <f t="shared" si="12"/>
        <v>66.915125248114876</v>
      </c>
      <c r="J286" s="116">
        <f t="shared" si="12"/>
        <v>60.255445725605568</v>
      </c>
      <c r="K286" s="116">
        <f t="shared" si="12"/>
        <v>0.5825002410606408</v>
      </c>
    </row>
    <row r="287" spans="3:11" x14ac:dyDescent="0.2">
      <c r="C287" s="87" t="s">
        <v>142</v>
      </c>
      <c r="D287" s="47">
        <f t="shared" ref="D287:K296" si="13">+IFERROR(IF(D245&gt;0,+((D245/D35)*100)," "),"")</f>
        <v>50.930220218244493</v>
      </c>
      <c r="E287" s="47">
        <f t="shared" si="13"/>
        <v>60.398709651208982</v>
      </c>
      <c r="F287" s="47">
        <f t="shared" si="13"/>
        <v>65.360918415580585</v>
      </c>
      <c r="G287" s="47">
        <f t="shared" si="13"/>
        <v>21.258421596421233</v>
      </c>
      <c r="H287" s="47">
        <f t="shared" si="13"/>
        <v>25.627968575011717</v>
      </c>
      <c r="I287" s="47">
        <f t="shared" si="13"/>
        <v>38.12850214095743</v>
      </c>
      <c r="J287" s="47">
        <f t="shared" si="13"/>
        <v>40.021137777574076</v>
      </c>
      <c r="K287" s="47">
        <f t="shared" si="13"/>
        <v>0.51136223365122491</v>
      </c>
    </row>
    <row r="288" spans="3:11" x14ac:dyDescent="0.2">
      <c r="C288" s="88" t="s">
        <v>143</v>
      </c>
      <c r="D288" s="116">
        <f t="shared" si="13"/>
        <v>31.906379668820676</v>
      </c>
      <c r="E288" s="116">
        <f t="shared" si="13"/>
        <v>13.991069978264321</v>
      </c>
      <c r="F288" s="116">
        <f t="shared" si="13"/>
        <v>13.993197569815202</v>
      </c>
      <c r="G288" s="116">
        <f t="shared" si="13"/>
        <v>17.4152863947557</v>
      </c>
      <c r="H288" s="116">
        <f t="shared" si="13"/>
        <v>5.9866652831915887</v>
      </c>
      <c r="I288" s="116">
        <f t="shared" si="13"/>
        <v>11.760368077390481</v>
      </c>
      <c r="J288" s="116">
        <f t="shared" si="13"/>
        <v>68.986665237701644</v>
      </c>
      <c r="K288" s="116">
        <f t="shared" si="13"/>
        <v>0.35407983919342062</v>
      </c>
    </row>
    <row r="289" spans="1:11" x14ac:dyDescent="0.2">
      <c r="C289" s="87" t="s">
        <v>144</v>
      </c>
      <c r="D289" s="47">
        <f t="shared" si="13"/>
        <v>24.927490100548255</v>
      </c>
      <c r="E289" s="47">
        <f t="shared" si="13"/>
        <v>42.51007764840957</v>
      </c>
      <c r="F289" s="47">
        <f t="shared" si="13"/>
        <v>27.990080037847402</v>
      </c>
      <c r="G289" s="47">
        <f t="shared" si="13"/>
        <v>33.989349671051443</v>
      </c>
      <c r="H289" s="47">
        <f t="shared" si="13"/>
        <v>43.476709810820431</v>
      </c>
      <c r="I289" s="47">
        <f t="shared" si="13"/>
        <v>24.070865412934786</v>
      </c>
      <c r="J289" s="47">
        <f t="shared" si="13"/>
        <v>33.115923985172103</v>
      </c>
      <c r="K289" s="47">
        <f t="shared" si="13"/>
        <v>5.5818474921167247E-2</v>
      </c>
    </row>
    <row r="290" spans="1:11" x14ac:dyDescent="0.2">
      <c r="C290" s="88" t="s">
        <v>145</v>
      </c>
      <c r="D290" s="116">
        <f t="shared" si="13"/>
        <v>77.593573499428175</v>
      </c>
      <c r="E290" s="116">
        <f t="shared" si="13"/>
        <v>66.827689842476218</v>
      </c>
      <c r="F290" s="116">
        <f t="shared" si="13"/>
        <v>73.091321721059472</v>
      </c>
      <c r="G290" s="116">
        <f t="shared" si="13"/>
        <v>69.195736311600726</v>
      </c>
      <c r="H290" s="116">
        <f t="shared" si="13"/>
        <v>49.208243214048068</v>
      </c>
      <c r="I290" s="116">
        <f t="shared" si="13"/>
        <v>52.527247887626316</v>
      </c>
      <c r="J290" s="116">
        <f t="shared" si="13"/>
        <v>84.5154906177398</v>
      </c>
      <c r="K290" s="116" t="str">
        <f t="shared" si="13"/>
        <v xml:space="preserve"> </v>
      </c>
    </row>
    <row r="291" spans="1:11" x14ac:dyDescent="0.2">
      <c r="C291" s="87" t="s">
        <v>146</v>
      </c>
      <c r="D291" s="47">
        <f t="shared" si="13"/>
        <v>83.296354752902431</v>
      </c>
      <c r="E291" s="47">
        <f t="shared" si="13"/>
        <v>87.881182597579567</v>
      </c>
      <c r="F291" s="47">
        <f t="shared" si="13"/>
        <v>75.023032743336998</v>
      </c>
      <c r="G291" s="47">
        <f t="shared" si="13"/>
        <v>64.721299523473306</v>
      </c>
      <c r="H291" s="47">
        <f t="shared" si="13"/>
        <v>75.329438675977443</v>
      </c>
      <c r="I291" s="47">
        <f t="shared" si="13"/>
        <v>77.753661946909247</v>
      </c>
      <c r="J291" s="47">
        <f t="shared" si="13"/>
        <v>80.191549628747666</v>
      </c>
      <c r="K291" s="47" t="str">
        <f t="shared" si="13"/>
        <v xml:space="preserve"> </v>
      </c>
    </row>
    <row r="292" spans="1:11" x14ac:dyDescent="0.2">
      <c r="C292" s="88" t="s">
        <v>162</v>
      </c>
      <c r="D292" s="116">
        <f t="shared" si="13"/>
        <v>93.324512226477623</v>
      </c>
      <c r="E292" s="116">
        <f t="shared" si="13"/>
        <v>92.752002378373305</v>
      </c>
      <c r="F292" s="116">
        <f t="shared" si="13"/>
        <v>91.359087711646794</v>
      </c>
      <c r="G292" s="116">
        <f t="shared" si="13"/>
        <v>91.197299391529086</v>
      </c>
      <c r="H292" s="116">
        <f t="shared" si="13"/>
        <v>65.000696294133746</v>
      </c>
      <c r="I292" s="116">
        <f t="shared" si="13"/>
        <v>42.607854101413601</v>
      </c>
      <c r="J292" s="116">
        <f t="shared" si="13"/>
        <v>39.979790212916335</v>
      </c>
      <c r="K292" s="116">
        <f t="shared" si="13"/>
        <v>0.33433552559611873</v>
      </c>
    </row>
    <row r="293" spans="1:11" x14ac:dyDescent="0.2">
      <c r="C293" s="87" t="s">
        <v>148</v>
      </c>
      <c r="D293" s="47">
        <f t="shared" si="13"/>
        <v>61.503990634634</v>
      </c>
      <c r="E293" s="47">
        <f t="shared" si="13"/>
        <v>77.892443986985597</v>
      </c>
      <c r="F293" s="47">
        <f t="shared" si="13"/>
        <v>83.457287076111314</v>
      </c>
      <c r="G293" s="47">
        <f t="shared" si="13"/>
        <v>85.684745548631653</v>
      </c>
      <c r="H293" s="47">
        <f t="shared" si="13"/>
        <v>82.745670948322044</v>
      </c>
      <c r="I293" s="47">
        <f t="shared" si="13"/>
        <v>76.199741432760277</v>
      </c>
      <c r="J293" s="47">
        <f t="shared" si="13"/>
        <v>78.260160187165098</v>
      </c>
      <c r="K293" s="47">
        <f t="shared" si="13"/>
        <v>8.1491832394142172</v>
      </c>
    </row>
    <row r="294" spans="1:11" x14ac:dyDescent="0.2">
      <c r="C294" s="88" t="s">
        <v>149</v>
      </c>
      <c r="D294" s="116">
        <f t="shared" si="13"/>
        <v>93.272441969752322</v>
      </c>
      <c r="E294" s="116" t="str">
        <f t="shared" si="13"/>
        <v xml:space="preserve"> </v>
      </c>
      <c r="F294" s="116" t="str">
        <f t="shared" si="13"/>
        <v xml:space="preserve"> </v>
      </c>
      <c r="G294" s="116" t="str">
        <f t="shared" si="13"/>
        <v xml:space="preserve"> </v>
      </c>
      <c r="H294" s="116" t="str">
        <f t="shared" si="13"/>
        <v xml:space="preserve"> </v>
      </c>
      <c r="I294" s="116">
        <f t="shared" si="13"/>
        <v>21.068993660244516</v>
      </c>
      <c r="J294" s="116">
        <f t="shared" si="13"/>
        <v>68.253558733810962</v>
      </c>
      <c r="K294" s="116" t="str">
        <f t="shared" si="13"/>
        <v xml:space="preserve"> </v>
      </c>
    </row>
    <row r="295" spans="1:11" x14ac:dyDescent="0.2">
      <c r="C295" s="87" t="s">
        <v>163</v>
      </c>
      <c r="D295" s="47">
        <f t="shared" si="13"/>
        <v>93.178431604728033</v>
      </c>
      <c r="E295" s="47">
        <f t="shared" si="13"/>
        <v>86.054060786404079</v>
      </c>
      <c r="F295" s="47">
        <f t="shared" si="13"/>
        <v>87.418899957082459</v>
      </c>
      <c r="G295" s="47">
        <f t="shared" si="13"/>
        <v>92.689758734790345</v>
      </c>
      <c r="H295" s="47">
        <f t="shared" si="13"/>
        <v>86.625995802440485</v>
      </c>
      <c r="I295" s="47">
        <f t="shared" si="13"/>
        <v>79.063428266112453</v>
      </c>
      <c r="J295" s="47">
        <f t="shared" si="13"/>
        <v>76.277756617073294</v>
      </c>
      <c r="K295" s="47">
        <f t="shared" si="13"/>
        <v>4.8675482683040787</v>
      </c>
    </row>
    <row r="296" spans="1:11" x14ac:dyDescent="0.2">
      <c r="C296" s="88" t="s">
        <v>150</v>
      </c>
      <c r="D296" s="116">
        <f t="shared" si="13"/>
        <v>78.478986484195786</v>
      </c>
      <c r="E296" s="116">
        <f t="shared" si="13"/>
        <v>82.361918643258477</v>
      </c>
      <c r="F296" s="116">
        <f t="shared" si="13"/>
        <v>82.962088922490594</v>
      </c>
      <c r="G296" s="116">
        <f t="shared" si="13"/>
        <v>78.877450138099874</v>
      </c>
      <c r="H296" s="116">
        <f t="shared" si="13"/>
        <v>87.383356332558051</v>
      </c>
      <c r="I296" s="116">
        <f t="shared" si="13"/>
        <v>34.377882436805194</v>
      </c>
      <c r="J296" s="116">
        <f t="shared" si="13"/>
        <v>28.858089711567807</v>
      </c>
      <c r="K296" s="116">
        <f t="shared" si="13"/>
        <v>9.3846759429294071</v>
      </c>
    </row>
    <row r="297" spans="1:11" x14ac:dyDescent="0.2">
      <c r="C297" s="87" t="s">
        <v>151</v>
      </c>
      <c r="D297" s="47">
        <f t="shared" ref="D297:K298" si="14">+IFERROR(IF(D255&gt;0,+((D255/D45)*100)," "),"")</f>
        <v>35.043130369733952</v>
      </c>
      <c r="E297" s="47">
        <f t="shared" si="14"/>
        <v>49.388868779629597</v>
      </c>
      <c r="F297" s="47">
        <f t="shared" si="14"/>
        <v>59.113463610007656</v>
      </c>
      <c r="G297" s="47">
        <f t="shared" si="14"/>
        <v>64.106687541363414</v>
      </c>
      <c r="H297" s="47">
        <f t="shared" si="14"/>
        <v>40.898056392847593</v>
      </c>
      <c r="I297" s="47">
        <f t="shared" si="14"/>
        <v>30.052897510864902</v>
      </c>
      <c r="J297" s="47">
        <f t="shared" si="14"/>
        <v>36.849709534697602</v>
      </c>
      <c r="K297" s="47">
        <f t="shared" si="14"/>
        <v>2.0537350849466973</v>
      </c>
    </row>
    <row r="298" spans="1:11" x14ac:dyDescent="0.2">
      <c r="C298" s="91" t="s">
        <v>202</v>
      </c>
      <c r="D298" s="64">
        <f t="shared" si="14"/>
        <v>74.418524862914367</v>
      </c>
      <c r="E298" s="64">
        <f t="shared" si="14"/>
        <v>79.866324059770861</v>
      </c>
      <c r="F298" s="64">
        <f t="shared" si="14"/>
        <v>76.89994450615157</v>
      </c>
      <c r="G298" s="64">
        <f t="shared" si="14"/>
        <v>79.379013118099195</v>
      </c>
      <c r="H298" s="64">
        <f t="shared" si="14"/>
        <v>70.686081040817143</v>
      </c>
      <c r="I298" s="64">
        <f t="shared" si="14"/>
        <v>53.249195593317232</v>
      </c>
      <c r="J298" s="64">
        <f t="shared" si="14"/>
        <v>61.336696037690508</v>
      </c>
      <c r="K298" s="64">
        <f t="shared" si="14"/>
        <v>5.689995258831078</v>
      </c>
    </row>
    <row r="299" spans="1:11" s="31" customFormat="1" x14ac:dyDescent="0.2">
      <c r="A299" s="5"/>
      <c r="B299" s="5"/>
      <c r="C299" s="72" t="str">
        <f>+'C1 Aprop Resumen 2000-2026'!B20</f>
        <v>* Información con corte a 28 de febrero</v>
      </c>
      <c r="D299" s="47"/>
      <c r="E299" s="47"/>
      <c r="F299" s="47"/>
      <c r="G299" s="47"/>
      <c r="H299" s="47"/>
      <c r="I299" s="47"/>
    </row>
    <row r="300" spans="1:11" x14ac:dyDescent="0.2">
      <c r="C300" s="1" t="s">
        <v>52</v>
      </c>
      <c r="D300" s="11"/>
    </row>
  </sheetData>
  <mergeCells count="79">
    <mergeCell ref="D2:K4"/>
    <mergeCell ref="K182:K183"/>
    <mergeCell ref="K223:K224"/>
    <mergeCell ref="I56:I57"/>
    <mergeCell ref="K56:K57"/>
    <mergeCell ref="D223:D224"/>
    <mergeCell ref="E223:E224"/>
    <mergeCell ref="G223:G224"/>
    <mergeCell ref="E8:E9"/>
    <mergeCell ref="G8:G9"/>
    <mergeCell ref="E140:E141"/>
    <mergeCell ref="H182:H183"/>
    <mergeCell ref="J182:J183"/>
    <mergeCell ref="J98:J99"/>
    <mergeCell ref="D6:K6"/>
    <mergeCell ref="F8:F9"/>
    <mergeCell ref="A7:C8"/>
    <mergeCell ref="F13:F14"/>
    <mergeCell ref="H13:H14"/>
    <mergeCell ref="J265:J266"/>
    <mergeCell ref="D8:D9"/>
    <mergeCell ref="H8:H9"/>
    <mergeCell ref="J8:J9"/>
    <mergeCell ref="D98:D99"/>
    <mergeCell ref="F98:F99"/>
    <mergeCell ref="J140:J141"/>
    <mergeCell ref="C98:C99"/>
    <mergeCell ref="C265:C266"/>
    <mergeCell ref="D140:D141"/>
    <mergeCell ref="E265:E266"/>
    <mergeCell ref="E13:E14"/>
    <mergeCell ref="G13:G14"/>
    <mergeCell ref="D13:D14"/>
    <mergeCell ref="D53:K53"/>
    <mergeCell ref="H140:H141"/>
    <mergeCell ref="J56:J57"/>
    <mergeCell ref="D265:D266"/>
    <mergeCell ref="E56:E57"/>
    <mergeCell ref="J223:J224"/>
    <mergeCell ref="G56:G57"/>
    <mergeCell ref="K265:K266"/>
    <mergeCell ref="I98:I99"/>
    <mergeCell ref="D182:D183"/>
    <mergeCell ref="F182:F183"/>
    <mergeCell ref="G140:G141"/>
    <mergeCell ref="I140:I141"/>
    <mergeCell ref="F223:F224"/>
    <mergeCell ref="H223:H224"/>
    <mergeCell ref="H265:H266"/>
    <mergeCell ref="E98:E99"/>
    <mergeCell ref="G98:G99"/>
    <mergeCell ref="D56:D57"/>
    <mergeCell ref="H98:H99"/>
    <mergeCell ref="F56:F57"/>
    <mergeCell ref="E182:E183"/>
    <mergeCell ref="F265:F266"/>
    <mergeCell ref="D138:K138"/>
    <mergeCell ref="F140:F141"/>
    <mergeCell ref="K98:K99"/>
    <mergeCell ref="K140:K141"/>
    <mergeCell ref="G265:G266"/>
    <mergeCell ref="I265:I266"/>
    <mergeCell ref="G182:G183"/>
    <mergeCell ref="A9:C9"/>
    <mergeCell ref="K13:K14"/>
    <mergeCell ref="D221:K221"/>
    <mergeCell ref="C13:C14"/>
    <mergeCell ref="C223:C224"/>
    <mergeCell ref="J13:J14"/>
    <mergeCell ref="I13:I14"/>
    <mergeCell ref="H56:H57"/>
    <mergeCell ref="I223:I224"/>
    <mergeCell ref="C56:C57"/>
    <mergeCell ref="C140:C141"/>
    <mergeCell ref="C182:C183"/>
    <mergeCell ref="I182:I183"/>
    <mergeCell ref="D11:K11"/>
    <mergeCell ref="I8:I9"/>
    <mergeCell ref="K8:K9"/>
  </mergeCells>
  <pageMargins left="0.7" right="0.7" top="0.75" bottom="0.75" header="0.3" footer="0.3"/>
  <pageSetup orientation="portrait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Hoja26"/>
  <dimension ref="A1:V277"/>
  <sheetViews>
    <sheetView showGridLines="0" zoomScaleNormal="100" workbookViewId="0">
      <pane xSplit="3" ySplit="7" topLeftCell="D8" activePane="bottomRight" state="frozen"/>
      <selection activeCell="N40" sqref="N40"/>
      <selection pane="topRight" activeCell="N40" sqref="N40"/>
      <selection pane="bottomLeft" activeCell="N40" sqref="N40"/>
      <selection pane="bottomRight" activeCell="A5" sqref="A5:C7"/>
    </sheetView>
  </sheetViews>
  <sheetFormatPr baseColWidth="10" defaultColWidth="11.42578125" defaultRowHeight="11.25" x14ac:dyDescent="0.2"/>
  <cols>
    <col min="1" max="2" width="2.7109375" style="3" customWidth="1"/>
    <col min="3" max="3" width="45.7109375" style="3" customWidth="1"/>
    <col min="4" max="22" width="10.7109375" style="3" customWidth="1"/>
    <col min="23" max="33" width="10.7109375" style="9" customWidth="1"/>
    <col min="34" max="34" width="11.42578125" style="9" customWidth="1"/>
    <col min="35" max="16384" width="11.42578125" style="9"/>
  </cols>
  <sheetData>
    <row r="1" spans="1:22" ht="16.5" customHeight="1" x14ac:dyDescent="0.2"/>
    <row r="2" spans="1:22" ht="16.5" customHeight="1" x14ac:dyDescent="0.2">
      <c r="D2" s="159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  <c r="Q2" s="158"/>
      <c r="R2" s="158"/>
      <c r="S2" s="158"/>
      <c r="T2" s="158"/>
      <c r="U2" s="158"/>
      <c r="V2" s="158"/>
    </row>
    <row r="3" spans="1:22" ht="16.5" customHeight="1" x14ac:dyDescent="0.2"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  <c r="R3" s="98"/>
      <c r="S3" s="98"/>
      <c r="T3" s="98"/>
      <c r="U3" s="98"/>
      <c r="V3" s="98"/>
    </row>
    <row r="4" spans="1:22" ht="16.5" customHeight="1" x14ac:dyDescent="0.2">
      <c r="D4" s="161"/>
      <c r="E4" s="158"/>
      <c r="F4" s="158"/>
      <c r="G4" s="158"/>
      <c r="H4" s="158"/>
      <c r="I4" s="158"/>
      <c r="J4" s="158"/>
      <c r="K4" s="158"/>
      <c r="L4" s="158"/>
      <c r="M4" s="158"/>
      <c r="N4" s="158"/>
      <c r="O4" s="158"/>
      <c r="P4" s="158"/>
      <c r="Q4" s="158"/>
      <c r="R4" s="158"/>
      <c r="S4" s="158"/>
      <c r="T4" s="158"/>
      <c r="U4" s="158"/>
      <c r="V4" s="158"/>
    </row>
    <row r="5" spans="1:22" ht="19.5" customHeight="1" x14ac:dyDescent="0.2">
      <c r="A5" s="165" t="s">
        <v>217</v>
      </c>
      <c r="B5" s="158"/>
      <c r="C5" s="158"/>
      <c r="D5" s="147"/>
      <c r="E5" s="147"/>
      <c r="F5" s="147"/>
      <c r="G5" s="147"/>
      <c r="H5" s="147"/>
      <c r="I5" s="147"/>
      <c r="J5" s="147"/>
      <c r="K5" s="147"/>
      <c r="L5" s="147"/>
      <c r="M5" s="147"/>
      <c r="N5" s="147"/>
      <c r="O5" s="147"/>
      <c r="P5" s="147"/>
      <c r="Q5" s="147"/>
      <c r="R5" s="147"/>
      <c r="S5" s="147"/>
      <c r="T5" s="147"/>
      <c r="U5" s="147"/>
      <c r="V5" s="147"/>
    </row>
    <row r="6" spans="1:22" s="102" customFormat="1" ht="19.5" customHeight="1" x14ac:dyDescent="0.25">
      <c r="A6" s="176"/>
      <c r="B6" s="176"/>
      <c r="C6" s="176"/>
      <c r="D6" s="151" t="s">
        <v>27</v>
      </c>
      <c r="E6" s="151" t="s">
        <v>28</v>
      </c>
      <c r="F6" s="151" t="s">
        <v>29</v>
      </c>
      <c r="G6" s="151" t="s">
        <v>30</v>
      </c>
      <c r="H6" s="151">
        <v>2004</v>
      </c>
      <c r="I6" s="151" t="s">
        <v>31</v>
      </c>
      <c r="J6" s="151" t="s">
        <v>32</v>
      </c>
      <c r="K6" s="151" t="s">
        <v>33</v>
      </c>
      <c r="L6" s="151" t="s">
        <v>34</v>
      </c>
      <c r="M6" s="151" t="s">
        <v>35</v>
      </c>
      <c r="N6" s="151">
        <v>2010</v>
      </c>
      <c r="O6" s="151">
        <v>2011</v>
      </c>
      <c r="P6" s="151">
        <v>2012</v>
      </c>
      <c r="Q6" s="151">
        <v>2013</v>
      </c>
      <c r="R6" s="151">
        <v>2014</v>
      </c>
      <c r="S6" s="151">
        <v>2015</v>
      </c>
      <c r="T6" s="151">
        <v>2016</v>
      </c>
      <c r="U6" s="151">
        <v>2017</v>
      </c>
      <c r="V6" s="151">
        <v>2018</v>
      </c>
    </row>
    <row r="7" spans="1:22" s="102" customFormat="1" ht="16.5" customHeight="1" x14ac:dyDescent="0.25">
      <c r="A7" s="162" t="s">
        <v>227</v>
      </c>
      <c r="B7" s="176"/>
      <c r="C7" s="176"/>
      <c r="D7" s="176"/>
      <c r="E7" s="176"/>
      <c r="F7" s="176"/>
      <c r="G7" s="176"/>
      <c r="H7" s="176"/>
      <c r="I7" s="176"/>
      <c r="J7" s="176"/>
      <c r="K7" s="176"/>
      <c r="L7" s="176"/>
      <c r="M7" s="176"/>
      <c r="N7" s="176"/>
      <c r="O7" s="176"/>
      <c r="P7" s="176"/>
      <c r="Q7" s="176"/>
      <c r="R7" s="176"/>
      <c r="S7" s="176"/>
      <c r="T7" s="176"/>
      <c r="U7" s="176"/>
      <c r="V7" s="176"/>
    </row>
    <row r="8" spans="1:22" s="102" customFormat="1" ht="16.5" customHeight="1" x14ac:dyDescent="0.25">
      <c r="A8" s="99"/>
      <c r="B8" s="98"/>
      <c r="C8" s="98"/>
      <c r="D8" s="132"/>
      <c r="E8" s="132"/>
      <c r="F8" s="132"/>
      <c r="G8" s="132"/>
      <c r="H8" s="132"/>
      <c r="I8" s="132"/>
      <c r="J8" s="132"/>
      <c r="K8" s="132"/>
      <c r="L8" s="132"/>
      <c r="M8" s="132"/>
      <c r="N8" s="132"/>
      <c r="O8" s="132"/>
      <c r="P8" s="132"/>
      <c r="Q8" s="132"/>
      <c r="R8" s="132"/>
      <c r="S8" s="132"/>
      <c r="T8" s="132"/>
      <c r="U8" s="132"/>
      <c r="V8" s="132"/>
    </row>
    <row r="9" spans="1:22" ht="18" customHeight="1" x14ac:dyDescent="0.2">
      <c r="C9" s="9"/>
      <c r="D9" s="160" t="s">
        <v>218</v>
      </c>
      <c r="E9" s="158"/>
      <c r="F9" s="158"/>
      <c r="G9" s="158"/>
      <c r="H9" s="158"/>
      <c r="I9" s="158"/>
      <c r="J9" s="158"/>
      <c r="K9" s="158"/>
      <c r="L9" s="158"/>
      <c r="M9" s="158"/>
      <c r="N9" s="158"/>
      <c r="O9" s="158"/>
      <c r="P9" s="158"/>
      <c r="Q9" s="158"/>
      <c r="R9" s="158"/>
      <c r="S9" s="158"/>
      <c r="T9" s="158"/>
      <c r="U9" s="158"/>
      <c r="V9" s="158"/>
    </row>
    <row r="10" spans="1:22" ht="15.75" customHeight="1" x14ac:dyDescent="0.2">
      <c r="C10" s="150"/>
      <c r="D10" s="150"/>
      <c r="E10" s="150"/>
      <c r="F10" s="150"/>
      <c r="G10" s="150"/>
      <c r="H10" s="150"/>
      <c r="I10" s="150"/>
      <c r="J10" s="150"/>
      <c r="K10" s="150"/>
      <c r="L10" s="150"/>
      <c r="M10" s="150"/>
      <c r="N10" s="150"/>
      <c r="O10" s="150"/>
      <c r="P10" s="150"/>
      <c r="Q10" s="150"/>
      <c r="R10" s="150"/>
      <c r="S10" s="150"/>
      <c r="T10" s="150"/>
      <c r="U10" s="150"/>
      <c r="V10" s="150"/>
    </row>
    <row r="11" spans="1:22" ht="9.9499999999999993" customHeight="1" x14ac:dyDescent="0.2">
      <c r="C11" s="177" t="s">
        <v>120</v>
      </c>
      <c r="D11" s="153" t="s">
        <v>27</v>
      </c>
      <c r="E11" s="153" t="s">
        <v>28</v>
      </c>
      <c r="F11" s="153" t="s">
        <v>29</v>
      </c>
      <c r="G11" s="153" t="s">
        <v>30</v>
      </c>
      <c r="H11" s="153" t="s">
        <v>121</v>
      </c>
      <c r="I11" s="153" t="s">
        <v>31</v>
      </c>
      <c r="J11" s="153" t="s">
        <v>32</v>
      </c>
      <c r="K11" s="153" t="s">
        <v>33</v>
      </c>
      <c r="L11" s="153" t="s">
        <v>34</v>
      </c>
      <c r="M11" s="153" t="s">
        <v>122</v>
      </c>
      <c r="N11" s="153">
        <v>2010</v>
      </c>
      <c r="O11" s="153">
        <v>2011</v>
      </c>
      <c r="P11" s="153">
        <v>2012</v>
      </c>
      <c r="Q11" s="153">
        <v>2013</v>
      </c>
      <c r="R11" s="153">
        <v>2014</v>
      </c>
      <c r="S11" s="153">
        <v>2015</v>
      </c>
      <c r="T11" s="153">
        <v>2016</v>
      </c>
      <c r="U11" s="153">
        <v>2017</v>
      </c>
      <c r="V11" s="153">
        <v>2018</v>
      </c>
    </row>
    <row r="12" spans="1:22" ht="9.9499999999999993" customHeight="1" thickBot="1" x14ac:dyDescent="0.25">
      <c r="C12" s="156"/>
      <c r="D12" s="154"/>
      <c r="E12" s="154"/>
      <c r="F12" s="154"/>
      <c r="G12" s="154"/>
      <c r="H12" s="154"/>
      <c r="I12" s="154"/>
      <c r="J12" s="154"/>
      <c r="K12" s="154"/>
      <c r="L12" s="154"/>
      <c r="M12" s="154"/>
      <c r="N12" s="154"/>
      <c r="O12" s="154"/>
      <c r="P12" s="154"/>
      <c r="Q12" s="154"/>
      <c r="R12" s="154"/>
      <c r="S12" s="154"/>
      <c r="T12" s="154"/>
      <c r="U12" s="154"/>
      <c r="V12" s="154"/>
    </row>
    <row r="13" spans="1:22" x14ac:dyDescent="0.2">
      <c r="C13" s="87" t="s">
        <v>123</v>
      </c>
      <c r="D13" s="56">
        <f>33.331471*Deflactores!$A$5</f>
        <v>121.01187630673941</v>
      </c>
      <c r="E13" s="56">
        <f>34.613984*Deflactores!$B$5</f>
        <v>116.7395220411161</v>
      </c>
      <c r="F13" s="56">
        <f>27.844483848*Deflactores!$C$5</f>
        <v>87.771765884862873</v>
      </c>
      <c r="G13" s="56">
        <f>23.411860299*Deflactores!$D$5</f>
        <v>69.300633944177704</v>
      </c>
      <c r="H13" s="56">
        <f>47.861377*Deflactores!$E$5</f>
        <v>134.29085339056314</v>
      </c>
      <c r="I13" s="56">
        <f>40.4865*Deflactores!$F$5</f>
        <v>108.33820828098169</v>
      </c>
      <c r="J13" s="56">
        <f>54.201210496*Deflactores!$G$5</f>
        <v>138.82119059318063</v>
      </c>
      <c r="K13" s="56">
        <f>57.4483*Deflactores!$H$5</f>
        <v>139.21041598820253</v>
      </c>
      <c r="L13" s="56">
        <f>57.189145*Deflactores!$I$5</f>
        <v>128.70511540129124</v>
      </c>
      <c r="M13" s="56">
        <f>63.021*Deflactores!$J$5</f>
        <v>139.04636023910507</v>
      </c>
      <c r="N13" s="56">
        <f>78.46622*Deflactores!$K$5</f>
        <v>167.80252477097733</v>
      </c>
      <c r="O13" s="56">
        <f>52.70064*Deflactores!$L$5</f>
        <v>108.65285674741259</v>
      </c>
      <c r="P13" s="56">
        <f>42.634344*Deflactores!$M$5</f>
        <v>85.8055294398076</v>
      </c>
      <c r="Q13" s="56">
        <f>58.195504556*Deflactores!$N$5</f>
        <v>114.89483319146257</v>
      </c>
      <c r="R13" s="56">
        <f>86.179999999*Deflactores!$O$5</f>
        <v>164.1369451735851</v>
      </c>
      <c r="S13" s="56">
        <f>66.1917*Deflactores!$P$5</f>
        <v>118.07396545549361</v>
      </c>
      <c r="T13" s="56">
        <f>35.208*Deflactores!$Q$5</f>
        <v>59.38976315850244</v>
      </c>
      <c r="U13" s="56">
        <f>43.457466664*Deflactores!$R$5</f>
        <v>70.424802051541747</v>
      </c>
      <c r="V13" s="56">
        <f>58.9141*Deflactores!$S$5</f>
        <v>92.530509451559894</v>
      </c>
    </row>
    <row r="14" spans="1:22" x14ac:dyDescent="0.2">
      <c r="C14" s="88" t="s">
        <v>124</v>
      </c>
      <c r="D14" s="57">
        <f>5.7083*Deflactores!$A$5</f>
        <v>20.724320673448844</v>
      </c>
      <c r="E14" s="57">
        <f>3.08*Deflactores!$B$5</f>
        <v>10.387643557200395</v>
      </c>
      <c r="F14" s="57">
        <f>8.724*Deflactores!$C$5</f>
        <v>27.499913080074695</v>
      </c>
      <c r="G14" s="57">
        <f>10.92674909*Deflactores!$D$5</f>
        <v>32.343890199887731</v>
      </c>
      <c r="H14" s="57">
        <f>14.9951*Deflactores!$E$5</f>
        <v>42.073690769006369</v>
      </c>
      <c r="I14" s="57">
        <f>11.939*Deflactores!$F$5</f>
        <v>31.947683021912006</v>
      </c>
      <c r="J14" s="57">
        <f>14.61965052*Deflactores!$G$5</f>
        <v>37.444132200560155</v>
      </c>
      <c r="K14" s="57">
        <f>24.214802963*Deflactores!$H$5</f>
        <v>58.678025173096316</v>
      </c>
      <c r="L14" s="57">
        <f>22.269*Deflactores!$I$5</f>
        <v>50.116752311498175</v>
      </c>
      <c r="M14" s="57">
        <f>25.026*Deflactores!$J$5</f>
        <v>55.21610592253127</v>
      </c>
      <c r="N14" s="57">
        <f>29.688*Deflactores!$K$5</f>
        <v>63.488738917215258</v>
      </c>
      <c r="O14" s="57">
        <f>43.024*Deflactores!$L$5</f>
        <v>88.702537743387552</v>
      </c>
      <c r="P14" s="57">
        <f>37.332*Deflactores!$M$5</f>
        <v>75.134075595179738</v>
      </c>
      <c r="Q14" s="57">
        <f>46.52*Deflactores!$N$5</f>
        <v>91.843995182197872</v>
      </c>
      <c r="R14" s="57">
        <f>41.743689985*Deflactores!$O$5</f>
        <v>79.504313697964534</v>
      </c>
      <c r="S14" s="57">
        <f>43.541125728*Deflactores!$P$5</f>
        <v>77.669456670567101</v>
      </c>
      <c r="T14" s="57">
        <f>59.258585483*Deflactores!$Q$5</f>
        <v>99.958911524177495</v>
      </c>
      <c r="U14" s="57">
        <f>71.188861712*Deflactores!$R$5</f>
        <v>115.36478951027561</v>
      </c>
      <c r="V14" s="57">
        <f>83.555011021*Deflactores!$S$5</f>
        <v>131.23153433564855</v>
      </c>
    </row>
    <row r="15" spans="1:22" x14ac:dyDescent="0.2">
      <c r="C15" s="87" t="s">
        <v>125</v>
      </c>
      <c r="D15" s="56">
        <f>5.0034*Deflactores!$A$5</f>
        <v>18.165139543740509</v>
      </c>
      <c r="E15" s="56">
        <f>5.9847*Deflactores!$B$5</f>
        <v>20.184068310641951</v>
      </c>
      <c r="F15" s="56">
        <f>20.892379358*Deflactores!$C$5</f>
        <v>65.857246260998011</v>
      </c>
      <c r="G15" s="56">
        <f>26.16672092*Deflactores!$D$5</f>
        <v>77.455201117607558</v>
      </c>
      <c r="H15" s="56">
        <f>26.507757*Deflactores!$E$5</f>
        <v>74.376240971915095</v>
      </c>
      <c r="I15" s="56">
        <f>40.045592*Deflactores!$F$5</f>
        <v>107.15837839356857</v>
      </c>
      <c r="J15" s="56">
        <f>45.478942157*Deflactores!$G$5</f>
        <v>116.48154790969218</v>
      </c>
      <c r="K15" s="56">
        <f>54.51484678*Deflactores!$H$5</f>
        <v>132.1019855727136</v>
      </c>
      <c r="L15" s="56">
        <f>61.134410275*Deflactores!$I$5</f>
        <v>137.58400006563764</v>
      </c>
      <c r="M15" s="56">
        <f>46.93399793*Deflactores!$J$5</f>
        <v>103.55280912134353</v>
      </c>
      <c r="N15" s="56">
        <f>0*Deflactores!$K$5</f>
        <v>0</v>
      </c>
      <c r="O15" s="56">
        <f>0*Deflactores!$L$5</f>
        <v>0</v>
      </c>
      <c r="P15" s="56">
        <f>0*Deflactores!$M$5</f>
        <v>0</v>
      </c>
      <c r="Q15" s="56">
        <f>0*Deflactores!$N$5</f>
        <v>0</v>
      </c>
      <c r="R15" s="56">
        <f>0*Deflactores!$O$5</f>
        <v>0</v>
      </c>
      <c r="S15" s="56">
        <f>0*Deflactores!$P$5</f>
        <v>0</v>
      </c>
      <c r="T15" s="56">
        <f>0*Deflactores!$Q$5</f>
        <v>0</v>
      </c>
      <c r="U15" s="56">
        <f>0*Deflactores!$R$5</f>
        <v>0</v>
      </c>
      <c r="V15" s="56">
        <f>0*Deflactores!$S$5</f>
        <v>0</v>
      </c>
    </row>
    <row r="16" spans="1:22" x14ac:dyDescent="0.2">
      <c r="C16" s="88" t="s">
        <v>126</v>
      </c>
      <c r="D16" s="57">
        <f>0.767576*Deflactores!$A$5</f>
        <v>2.786730053648752</v>
      </c>
      <c r="E16" s="57">
        <f>2*Deflactores!$B$5</f>
        <v>6.7452230890911657</v>
      </c>
      <c r="F16" s="57">
        <f>5.826169*Deflactores!$C$5</f>
        <v>18.365330248719133</v>
      </c>
      <c r="G16" s="57">
        <f>0.127919356*Deflactores!$D$5</f>
        <v>0.37864963959782394</v>
      </c>
      <c r="H16" s="57">
        <f>4.842*Deflactores!$E$5</f>
        <v>13.58582541653799</v>
      </c>
      <c r="I16" s="57">
        <f>4.883*Deflactores!$F$5</f>
        <v>13.066465884579641</v>
      </c>
      <c r="J16" s="57">
        <f>5.02949*Deflactores!$G$5</f>
        <v>12.881627245724015</v>
      </c>
      <c r="K16" s="57">
        <f>4.955805825*Deflactores!$H$5</f>
        <v>12.009054932086888</v>
      </c>
      <c r="L16" s="57">
        <f>11.24195483*Deflactores!$I$5</f>
        <v>25.300205025468617</v>
      </c>
      <c r="M16" s="57">
        <f>14.315155568*Deflactores!$J$5</f>
        <v>31.584238237840697</v>
      </c>
      <c r="N16" s="57">
        <f>16.39882231*Deflactores!$K$5</f>
        <v>35.069406770055068</v>
      </c>
      <c r="O16" s="57">
        <f>22.1429376*Deflactores!$L$5</f>
        <v>45.652072290197914</v>
      </c>
      <c r="P16" s="57">
        <f>19.140053*Deflactores!$M$5</f>
        <v>38.521112959331049</v>
      </c>
      <c r="Q16" s="57">
        <f>45.33360717*Deflactores!$N$5</f>
        <v>89.501711060041501</v>
      </c>
      <c r="R16" s="57">
        <f>53.237720336*Deflactores!$O$5</f>
        <v>101.39564613666842</v>
      </c>
      <c r="S16" s="57">
        <f>82.831512655*Deflactores!$P$5</f>
        <v>147.75636769946613</v>
      </c>
      <c r="T16" s="57">
        <f>81.175450023*Deflactores!$Q$5</f>
        <v>136.92884432943711</v>
      </c>
      <c r="U16" s="57">
        <f>115.356283703*Deflactores!$R$5</f>
        <v>186.94010647231559</v>
      </c>
      <c r="V16" s="57">
        <f>119.044773569*Deflactores!$S$5</f>
        <v>186.97176984601586</v>
      </c>
    </row>
    <row r="17" spans="3:22" x14ac:dyDescent="0.2">
      <c r="C17" s="87" t="s">
        <v>127</v>
      </c>
      <c r="D17" s="56">
        <f>0*Deflactores!$A$5</f>
        <v>0</v>
      </c>
      <c r="E17" s="56">
        <f>0*Deflactores!$B$5</f>
        <v>0</v>
      </c>
      <c r="F17" s="56">
        <f>0*Deflactores!$C$5</f>
        <v>0</v>
      </c>
      <c r="G17" s="56">
        <f>0*Deflactores!$D$5</f>
        <v>0</v>
      </c>
      <c r="H17" s="56">
        <f>0*Deflactores!$E$5</f>
        <v>0</v>
      </c>
      <c r="I17" s="56">
        <f>0*Deflactores!$F$5</f>
        <v>0</v>
      </c>
      <c r="J17" s="56">
        <f>0*Deflactores!$G$5</f>
        <v>0</v>
      </c>
      <c r="K17" s="56">
        <f>0*Deflactores!$H$5</f>
        <v>0</v>
      </c>
      <c r="L17" s="56">
        <f>0*Deflactores!$I$5</f>
        <v>0</v>
      </c>
      <c r="M17" s="56">
        <f>0*Deflactores!$J$5</f>
        <v>0</v>
      </c>
      <c r="N17" s="56">
        <f>0*Deflactores!$K$5</f>
        <v>0</v>
      </c>
      <c r="O17" s="56">
        <f>0*Deflactores!$L$5</f>
        <v>0</v>
      </c>
      <c r="P17" s="56">
        <f>0*Deflactores!$M$5</f>
        <v>0</v>
      </c>
      <c r="Q17" s="56">
        <f>0*Deflactores!$N$5</f>
        <v>0</v>
      </c>
      <c r="R17" s="56">
        <f>0*Deflactores!$O$5</f>
        <v>0</v>
      </c>
      <c r="S17" s="56">
        <f>0*Deflactores!$P$5</f>
        <v>0</v>
      </c>
      <c r="T17" s="56">
        <f>0*Deflactores!$Q$5</f>
        <v>0</v>
      </c>
      <c r="U17" s="56">
        <f>0*Deflactores!$R$5</f>
        <v>0</v>
      </c>
      <c r="V17" s="56">
        <f>0*Deflactores!$S$5</f>
        <v>0</v>
      </c>
    </row>
    <row r="18" spans="3:22" x14ac:dyDescent="0.2">
      <c r="C18" s="88" t="s">
        <v>128</v>
      </c>
      <c r="D18" s="57">
        <f>0.123*Deflactores!$A$5</f>
        <v>0.44655877281050538</v>
      </c>
      <c r="E18" s="57">
        <f>0.163*Deflactores!$B$5</f>
        <v>0.54973568176093002</v>
      </c>
      <c r="F18" s="57">
        <f>0.252*Deflactores!$C$5</f>
        <v>0.79435787439005301</v>
      </c>
      <c r="G18" s="57">
        <f>0.397355894*Deflactores!$D$5</f>
        <v>1.1761993709159317</v>
      </c>
      <c r="H18" s="57">
        <f>0.61157*Deflactores!$E$5</f>
        <v>1.7159610181726845</v>
      </c>
      <c r="I18" s="57">
        <f>0.46408*Deflactores!$F$5</f>
        <v>1.2418360613794224</v>
      </c>
      <c r="J18" s="57">
        <f>6.565123628*Deflactores!$G$5</f>
        <v>16.814721850126215</v>
      </c>
      <c r="K18" s="57">
        <f>5.448536332*Deflactores!$H$5</f>
        <v>13.203054038231857</v>
      </c>
      <c r="L18" s="57">
        <f>3.027950532*Deflactores!$I$5</f>
        <v>6.8144526841669206</v>
      </c>
      <c r="M18" s="57">
        <f>11.521*Deflactores!$J$5</f>
        <v>25.41935412504926</v>
      </c>
      <c r="N18" s="57">
        <f>6.1620778*Deflactores!$K$5</f>
        <v>13.177800748846947</v>
      </c>
      <c r="O18" s="57">
        <f>8.083267943*Deflactores!$L$5</f>
        <v>16.665265428687988</v>
      </c>
      <c r="P18" s="57">
        <f>8.389*Deflactores!$M$5</f>
        <v>16.883632277080327</v>
      </c>
      <c r="Q18" s="57">
        <f>7.84800016*Deflactores!$N$5</f>
        <v>15.494232349203097</v>
      </c>
      <c r="R18" s="57">
        <f>8.169890072*Deflactores!$O$5</f>
        <v>15.560232058919022</v>
      </c>
      <c r="S18" s="57">
        <f>14.6958917*Deflactores!$P$5</f>
        <v>26.214800479870974</v>
      </c>
      <c r="T18" s="57">
        <f>16.201587145*Deflactores!$Q$5</f>
        <v>27.329255377567254</v>
      </c>
      <c r="U18" s="57">
        <f>8.721629691*Deflactores!$R$5</f>
        <v>14.133797749981154</v>
      </c>
      <c r="V18" s="57">
        <f>10.740904898*Deflactores!$S$5</f>
        <v>16.869669606812206</v>
      </c>
    </row>
    <row r="19" spans="3:22" x14ac:dyDescent="0.2">
      <c r="C19" s="87" t="s">
        <v>129</v>
      </c>
      <c r="D19" s="56">
        <f>7.474*Deflactores!$A$5</f>
        <v>27.134798926713149</v>
      </c>
      <c r="E19" s="56">
        <f>9.59817*Deflactores!$B$5</f>
        <v>32.370898948511076</v>
      </c>
      <c r="F19" s="56">
        <f>9.63517*Deflactores!$C$5</f>
        <v>30.372115716614317</v>
      </c>
      <c r="G19" s="56">
        <f>9.408160079*Deflactores!$D$5</f>
        <v>27.848767650080919</v>
      </c>
      <c r="H19" s="56">
        <f>16.9332*Deflactores!$E$5</f>
        <v>47.511668513697046</v>
      </c>
      <c r="I19" s="56">
        <f>16.245*Deflactores!$F$5</f>
        <v>43.470149149087909</v>
      </c>
      <c r="J19" s="56">
        <f>21.781292*Deflactores!$G$5</f>
        <v>55.786667132108931</v>
      </c>
      <c r="K19" s="56">
        <f>14.87*Deflactores!$H$5</f>
        <v>36.033422847056769</v>
      </c>
      <c r="L19" s="56">
        <f>23.243*Deflactores!$I$5</f>
        <v>52.308755398812345</v>
      </c>
      <c r="M19" s="56">
        <f>23.293*Deflactores!$J$5</f>
        <v>51.39250200805246</v>
      </c>
      <c r="N19" s="56">
        <f>37.544*Deflactores!$K$5</f>
        <v>80.289046547693658</v>
      </c>
      <c r="O19" s="56">
        <f>66.455458382*Deflactores!$L$5</f>
        <v>137.01115204033738</v>
      </c>
      <c r="P19" s="56">
        <f>47.0974*Deflactores!$M$5</f>
        <v>94.787839171124446</v>
      </c>
      <c r="Q19" s="56">
        <f>44.506*Deflactores!$N$5</f>
        <v>87.867774066614331</v>
      </c>
      <c r="R19" s="56">
        <f>51.22936919*Deflactores!$O$5</f>
        <v>97.570575099953004</v>
      </c>
      <c r="S19" s="56">
        <f>95.82534965*Deflactores!$P$5</f>
        <v>170.93501185699563</v>
      </c>
      <c r="T19" s="56">
        <f>68.690954*Deflactores!$Q$5</f>
        <v>115.86967419880671</v>
      </c>
      <c r="U19" s="56">
        <f>75.680605627*Deflactores!$R$5</f>
        <v>122.64386489968709</v>
      </c>
      <c r="V19" s="56">
        <f>62.258012497*Deflactores!$S$5</f>
        <v>97.782459781087937</v>
      </c>
    </row>
    <row r="20" spans="3:22" x14ac:dyDescent="0.2">
      <c r="C20" s="88" t="s">
        <v>130</v>
      </c>
      <c r="D20" s="57">
        <f>7.9412*Deflactores!$A$5</f>
        <v>28.830996151567359</v>
      </c>
      <c r="E20" s="57">
        <f>12.685856*Deflactores!$B$5</f>
        <v>42.78446439804285</v>
      </c>
      <c r="F20" s="57">
        <f>14.0452*Deflactores!$C$5</f>
        <v>44.273473084853862</v>
      </c>
      <c r="G20" s="57">
        <f>12.3905955265*Deflactores!$D$5</f>
        <v>36.676971157606786</v>
      </c>
      <c r="H20" s="57">
        <f>13.308254642*Deflactores!$E$5</f>
        <v>37.34069065779498</v>
      </c>
      <c r="I20" s="57">
        <f>11.707*Deflactores!$F$5</f>
        <v>31.326872027600626</v>
      </c>
      <c r="J20" s="57">
        <f>19.90821*Deflactores!$G$5</f>
        <v>50.989293218516252</v>
      </c>
      <c r="K20" s="57">
        <f>15.099354449*Deflactores!$H$5</f>
        <v>36.589201316637855</v>
      </c>
      <c r="L20" s="57">
        <f>15.19399925*Deflactores!$I$5</f>
        <v>34.194346267606946</v>
      </c>
      <c r="M20" s="57">
        <f>14.892*Deflactores!$J$5</f>
        <v>32.85695873884503</v>
      </c>
      <c r="N20" s="57">
        <f>0*Deflactores!$K$5</f>
        <v>0</v>
      </c>
      <c r="O20" s="57">
        <f>3.380814*Deflactores!$L$5</f>
        <v>6.9702208404233224</v>
      </c>
      <c r="P20" s="57">
        <f>0*Deflactores!$M$5</f>
        <v>0</v>
      </c>
      <c r="Q20" s="57">
        <f>0*Deflactores!$N$5</f>
        <v>0</v>
      </c>
      <c r="R20" s="57">
        <f>0*Deflactores!$O$5</f>
        <v>0</v>
      </c>
      <c r="S20" s="57">
        <f>0*Deflactores!$P$5</f>
        <v>0</v>
      </c>
      <c r="T20" s="57">
        <f>0*Deflactores!$Q$5</f>
        <v>0</v>
      </c>
      <c r="U20" s="57">
        <f>0*Deflactores!$R$5</f>
        <v>0</v>
      </c>
      <c r="V20" s="57">
        <f>0*Deflactores!$S$5</f>
        <v>0</v>
      </c>
    </row>
    <row r="21" spans="3:22" x14ac:dyDescent="0.2">
      <c r="C21" s="87" t="s">
        <v>131</v>
      </c>
      <c r="D21" s="56">
        <f>91.216217126*Deflactores!$A$5</f>
        <v>331.16586975774931</v>
      </c>
      <c r="E21" s="56">
        <f>102.836083923*Deflactores!$B$5</f>
        <v>346.82616383456821</v>
      </c>
      <c r="F21" s="56">
        <f>143.796637523*Deflactores!$C$5</f>
        <v>453.27774336193335</v>
      </c>
      <c r="G21" s="56">
        <f>138.035095872*Deflactores!$D$5</f>
        <v>408.59288959978716</v>
      </c>
      <c r="H21" s="56">
        <f>147.143470962*Deflactores!$E$5</f>
        <v>412.85946048598919</v>
      </c>
      <c r="I21" s="56">
        <f>151.406784946*Deflactores!$F$5</f>
        <v>405.15084787851629</v>
      </c>
      <c r="J21" s="56">
        <f>172.207613293*Deflactores!$G$5</f>
        <v>441.06147607733868</v>
      </c>
      <c r="K21" s="56">
        <f>17.825910604*Deflactores!$H$5</f>
        <v>43.196272658222277</v>
      </c>
      <c r="L21" s="56">
        <f>18.174535269*Deflactores!$I$5</f>
        <v>40.902091807133729</v>
      </c>
      <c r="M21" s="56">
        <f>30.434424904*Deflactores!$J$5</f>
        <v>67.148982226108345</v>
      </c>
      <c r="N21" s="56">
        <f>4.414*Deflactores!$K$5</f>
        <v>9.4394803819923236</v>
      </c>
      <c r="O21" s="56">
        <f>4.589138186*Deflactores!$L$5</f>
        <v>9.4614216054594173</v>
      </c>
      <c r="P21" s="56">
        <f>5.997993114*Deflactores!$M$5</f>
        <v>12.071511519517932</v>
      </c>
      <c r="Q21" s="56">
        <f>16.172081914*Deflactores!$N$5</f>
        <v>31.928388078149727</v>
      </c>
      <c r="R21" s="56">
        <f>6.871371819*Deflactores!$O$5</f>
        <v>13.087096536732512</v>
      </c>
      <c r="S21" s="56">
        <f>10.288599167*Deflactores!$P$5</f>
        <v>18.352991426867391</v>
      </c>
      <c r="T21" s="56">
        <f>12.434971369*Deflactores!$Q$5</f>
        <v>20.975630665975597</v>
      </c>
      <c r="U21" s="56">
        <f>14.656377492*Deflactores!$R$5</f>
        <v>23.75132659359133</v>
      </c>
      <c r="V21" s="56">
        <f>10.273978355*Deflactores!$S$5</f>
        <v>16.136314588230142</v>
      </c>
    </row>
    <row r="22" spans="3:22" x14ac:dyDescent="0.2">
      <c r="C22" s="88" t="s">
        <v>132</v>
      </c>
      <c r="D22" s="57">
        <f>11.4*Deflactores!$A$5</f>
        <v>41.388374065363912</v>
      </c>
      <c r="E22" s="57">
        <f>21.291231*Deflactores!$B$5</f>
        <v>71.807051468186799</v>
      </c>
      <c r="F22" s="57">
        <f>19.406*Deflactores!$C$5</f>
        <v>61.171860755608606</v>
      </c>
      <c r="G22" s="57">
        <f>5.04883192584*Deflactores!$D$5</f>
        <v>14.944871901241461</v>
      </c>
      <c r="H22" s="57">
        <f>10.66781*Deflactores!$E$5</f>
        <v>29.93205374572452</v>
      </c>
      <c r="I22" s="57">
        <f>8.401981856*Deflactores!$F$5</f>
        <v>22.482942716420467</v>
      </c>
      <c r="J22" s="57">
        <f>17.931*Deflactores!$G$5</f>
        <v>45.925224653608481</v>
      </c>
      <c r="K22" s="57">
        <f>42.3754775*Deflactores!$H$5</f>
        <v>102.6855076733988</v>
      </c>
      <c r="L22" s="57">
        <f>40.680937*Deflactores!$I$5</f>
        <v>91.553120635352371</v>
      </c>
      <c r="M22" s="57">
        <f>65.498774*Deflactores!$J$5</f>
        <v>144.51319599536231</v>
      </c>
      <c r="N22" s="57">
        <f>83.586368999*Deflactores!$K$5</f>
        <v>178.75212740553511</v>
      </c>
      <c r="O22" s="57">
        <f>90.8669*Deflactores!$L$5</f>
        <v>187.34019679422232</v>
      </c>
      <c r="P22" s="57">
        <f>102.32939*Deflactores!$M$5</f>
        <v>205.94728714959362</v>
      </c>
      <c r="Q22" s="57">
        <f>113.803772*Deflactores!$N$5</f>
        <v>224.68170866904438</v>
      </c>
      <c r="R22" s="57">
        <f>127.1610685*Deflactores!$O$5</f>
        <v>242.18878311488962</v>
      </c>
      <c r="S22" s="57">
        <f>153.522832*Deflactores!$P$5</f>
        <v>273.85683646435353</v>
      </c>
      <c r="T22" s="57">
        <f>197.688789446*Deflactores!$Q$5</f>
        <v>333.46655260988973</v>
      </c>
      <c r="U22" s="57">
        <f>264.916585428*Deflactores!$R$5</f>
        <v>429.30938043823863</v>
      </c>
      <c r="V22" s="57">
        <f>350.238551568*Deflactores!$S$5</f>
        <v>550.08481172017343</v>
      </c>
    </row>
    <row r="23" spans="3:22" x14ac:dyDescent="0.2">
      <c r="C23" s="87" t="s">
        <v>133</v>
      </c>
      <c r="D23" s="56">
        <f>0*Deflactores!$A$5</f>
        <v>0</v>
      </c>
      <c r="E23" s="56">
        <f>0*Deflactores!$B$5</f>
        <v>0</v>
      </c>
      <c r="F23" s="56">
        <f>0*Deflactores!$C$5</f>
        <v>0</v>
      </c>
      <c r="G23" s="56">
        <f>0*Deflactores!$D$5</f>
        <v>0</v>
      </c>
      <c r="H23" s="56">
        <f>1.0222*Deflactores!$E$5</f>
        <v>2.8681186990469092</v>
      </c>
      <c r="I23" s="56">
        <f>2.60854*Deflactores!$F$5</f>
        <v>6.9802168581940149</v>
      </c>
      <c r="J23" s="56">
        <f>5.9*Deflactores!$G$5</f>
        <v>15.11119432582065</v>
      </c>
      <c r="K23" s="56">
        <f>1.1*Deflactores!$H$5</f>
        <v>2.6655524634675491</v>
      </c>
      <c r="L23" s="56">
        <f>5*Deflactores!$I$5</f>
        <v>11.2525825837483</v>
      </c>
      <c r="M23" s="56">
        <f>4.502234*Deflactores!$J$5</f>
        <v>9.9335023348526192</v>
      </c>
      <c r="N23" s="56">
        <f>3.4892*Deflactores!$K$5</f>
        <v>7.4617659603188988</v>
      </c>
      <c r="O23" s="56">
        <f>5.387*Deflactores!$L$5</f>
        <v>11.106372508916619</v>
      </c>
      <c r="P23" s="56">
        <f>4.5*Deflactores!$M$5</f>
        <v>9.0566629213090319</v>
      </c>
      <c r="Q23" s="56">
        <f>5.5*Deflactores!$N$5</f>
        <v>10.858597882676015</v>
      </c>
      <c r="R23" s="56">
        <f>4*Deflactores!$O$5</f>
        <v>7.6183311754694678</v>
      </c>
      <c r="S23" s="56">
        <f>5*Deflactores!$P$5</f>
        <v>8.91909147638553</v>
      </c>
      <c r="T23" s="56">
        <f>8.896924682*Deflactores!$Q$5</f>
        <v>15.007562193337158</v>
      </c>
      <c r="U23" s="56">
        <f>7.8*Deflactores!$R$5</f>
        <v>12.640254901399366</v>
      </c>
      <c r="V23" s="56">
        <f>25.63*Deflactores!$S$5</f>
        <v>40.25448843729226</v>
      </c>
    </row>
    <row r="24" spans="3:22" x14ac:dyDescent="0.2">
      <c r="C24" s="88" t="s">
        <v>134</v>
      </c>
      <c r="D24" s="57">
        <f>8.38355015*Deflactores!$A$5</f>
        <v>30.436974526661203</v>
      </c>
      <c r="E24" s="57">
        <f>13.220052616*Deflactores!$B$5</f>
        <v>44.586102072221635</v>
      </c>
      <c r="F24" s="57">
        <f>21.941779323*Deflactores!$C$5</f>
        <v>69.165179299023393</v>
      </c>
      <c r="G24" s="57">
        <f>15.21971209854*Deflactores!$D$5</f>
        <v>45.051340790793311</v>
      </c>
      <c r="H24" s="57">
        <f>22.220180073*Deflactores!$E$5</f>
        <v>62.346032052006279</v>
      </c>
      <c r="I24" s="57">
        <f>28.621019*Deflactores!$F$5</f>
        <v>76.587255446529937</v>
      </c>
      <c r="J24" s="57">
        <f>12.406098991*Deflactores!$G$5</f>
        <v>31.774741131926859</v>
      </c>
      <c r="K24" s="57">
        <f>15.624225567*Deflactores!$H$5</f>
        <v>37.861084499899555</v>
      </c>
      <c r="L24" s="57">
        <f>14.2065*Deflactores!$I$5</f>
        <v>31.971962895204047</v>
      </c>
      <c r="M24" s="57">
        <f>12.280845*Deflactores!$J$5</f>
        <v>27.095837862150905</v>
      </c>
      <c r="N24" s="57">
        <f>13.157981822*Deflactores!$K$5</f>
        <v>28.138765581191805</v>
      </c>
      <c r="O24" s="57">
        <f>12.521*Deflactores!$L$5</f>
        <v>25.814533169509005</v>
      </c>
      <c r="P24" s="57">
        <f>17.185015*Deflactores!$M$5</f>
        <v>34.586419589475454</v>
      </c>
      <c r="Q24" s="57">
        <f>18.938359*Deflactores!$N$5</f>
        <v>37.389822716137864</v>
      </c>
      <c r="R24" s="57">
        <f>22.6385625*Deflactores!$O$5</f>
        <v>43.117016615391002</v>
      </c>
      <c r="S24" s="57">
        <f>29.53707284*Deflactores!$P$5</f>
        <v>52.688770920924512</v>
      </c>
      <c r="T24" s="57">
        <f>19.774412426*Deflactores!$Q$5</f>
        <v>33.355989280239939</v>
      </c>
      <c r="U24" s="57">
        <f>26.504951691*Deflactores!$R$5</f>
        <v>42.952480195322586</v>
      </c>
      <c r="V24" s="57">
        <f>32.079040924*Deflactores!$S$5</f>
        <v>50.383354738766414</v>
      </c>
    </row>
    <row r="25" spans="3:22" x14ac:dyDescent="0.2">
      <c r="C25" s="87" t="s">
        <v>135</v>
      </c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</row>
    <row r="26" spans="3:22" x14ac:dyDescent="0.2">
      <c r="C26" s="88" t="s">
        <v>136</v>
      </c>
      <c r="D26" s="57">
        <f>988.594003*Deflactores!$A$5</f>
        <v>3589.1489820122365</v>
      </c>
      <c r="E26" s="57">
        <f>1024.548958*Deflactores!$B$5</f>
        <v>3455.4056437029476</v>
      </c>
      <c r="F26" s="57">
        <f>993.124687057*Deflactores!$C$5</f>
        <v>3130.5413310114486</v>
      </c>
      <c r="G26" s="57">
        <f>1024.616947386*Deflactores!$D$5</f>
        <v>3032.9330133082549</v>
      </c>
      <c r="H26" s="57">
        <f>1062.63267616*Deflactores!$E$5</f>
        <v>2981.5658860426092</v>
      </c>
      <c r="I26" s="57">
        <f>1166.38396927993*Deflactores!$F$5</f>
        <v>3121.1378953341782</v>
      </c>
      <c r="J26" s="57">
        <f>1517.321493426*Deflactores!$G$5</f>
        <v>3886.1932104923189</v>
      </c>
      <c r="K26" s="57">
        <f>2129.364813466*Deflactores!$H$5</f>
        <v>5159.9396583231037</v>
      </c>
      <c r="L26" s="57">
        <f>2632.925978623*Deflactores!$I$5</f>
        <v>5925.4434022703244</v>
      </c>
      <c r="M26" s="57">
        <f>3406.847781799*Deflactores!$J$5</f>
        <v>7516.6973540219888</v>
      </c>
      <c r="N26" s="57">
        <f>2829.717202915*Deflactores!$K$5</f>
        <v>6051.4408752837198</v>
      </c>
      <c r="O26" s="57">
        <f>3117.587245224*Deflactores!$L$5</f>
        <v>6427.5265035279253</v>
      </c>
      <c r="P26" s="57">
        <f>2940.600159318*Deflactores!$M$5</f>
        <v>5918.2276509535031</v>
      </c>
      <c r="Q26" s="57">
        <f>3392.522776858*Deflactores!$N$5</f>
        <v>6697.8255712218979</v>
      </c>
      <c r="R26" s="57">
        <f>1193.84*Deflactores!$O$5</f>
        <v>2273.767122630617</v>
      </c>
      <c r="S26" s="57">
        <f>1294.527102667*Deflactores!$P$5</f>
        <v>2309.2011294694589</v>
      </c>
      <c r="T26" s="57">
        <f>2290.350040749*Deflactores!$Q$5</f>
        <v>3863.4215652735043</v>
      </c>
      <c r="U26" s="57">
        <f>2482.024403433*Deflactores!$R$5</f>
        <v>4022.2334783188226</v>
      </c>
      <c r="V26" s="57">
        <f>2346.272648031*Deflactores!$S$5</f>
        <v>3685.0567764689422</v>
      </c>
    </row>
    <row r="27" spans="3:22" x14ac:dyDescent="0.2">
      <c r="C27" s="87" t="s">
        <v>137</v>
      </c>
      <c r="D27" s="56">
        <f>12.5216*Deflactores!$A$5</f>
        <v>45.460409183935148</v>
      </c>
      <c r="E27" s="56">
        <f>17.126446*Deflactores!$B$5</f>
        <v>57.760849496636524</v>
      </c>
      <c r="F27" s="56">
        <f>20.181628*Deflactores!$C$5</f>
        <v>63.61680603099515</v>
      </c>
      <c r="G27" s="56">
        <f>23.73953577378*Deflactores!$D$5</f>
        <v>70.270574728045418</v>
      </c>
      <c r="H27" s="56">
        <f>28.879663798*Deflactores!$E$5</f>
        <v>81.031406536129793</v>
      </c>
      <c r="I27" s="56">
        <f>77.180038748*Deflactores!$F$5</f>
        <v>206.52679567300365</v>
      </c>
      <c r="J27" s="56">
        <f>50.427613018*Deflactores!$G$5</f>
        <v>129.15617961055611</v>
      </c>
      <c r="K27" s="56">
        <f>30.96912093*Deflactores!$H$5</f>
        <v>75.045287805805387</v>
      </c>
      <c r="L27" s="56">
        <f>54.24768273232*Deflactores!$I$5</f>
        <v>122.08530598448149</v>
      </c>
      <c r="M27" s="56">
        <f>55.84288298*Deflactores!$J$5</f>
        <v>123.2089243843682</v>
      </c>
      <c r="N27" s="56">
        <f>63.828*Deflactores!$K$5</f>
        <v>136.49822243357639</v>
      </c>
      <c r="O27" s="56">
        <f>53.826*Deflactores!$L$5</f>
        <v>110.97301033319957</v>
      </c>
      <c r="P27" s="56">
        <f>49.842873529*Deflactores!$M$5</f>
        <v>100.31335657368662</v>
      </c>
      <c r="Q27" s="56">
        <f>55.268*Deflactores!$N$5</f>
        <v>109.11508868722511</v>
      </c>
      <c r="R27" s="56">
        <f>58.133461075*Deflactores!$O$5</f>
        <v>110.71998971140333</v>
      </c>
      <c r="S27" s="56">
        <f>44.073*Deflactores!$P$5</f>
        <v>78.618223727747889</v>
      </c>
      <c r="T27" s="56">
        <f>38.23511959177*Deflactores!$Q$5</f>
        <v>64.495986619297796</v>
      </c>
      <c r="U27" s="56">
        <f>66.45947275*Deflactores!$R$5</f>
        <v>107.70059950930836</v>
      </c>
      <c r="V27" s="56">
        <f>51.951*Deflactores!$S$5</f>
        <v>81.594261755980114</v>
      </c>
    </row>
    <row r="28" spans="3:22" x14ac:dyDescent="0.2">
      <c r="C28" s="88" t="s">
        <v>138</v>
      </c>
      <c r="D28" s="57">
        <f>4.11*Deflactores!$A$5</f>
        <v>14.921598018302253</v>
      </c>
      <c r="E28" s="57">
        <f>4.225*Deflactores!$B$5</f>
        <v>14.249283775705086</v>
      </c>
      <c r="F28" s="57">
        <f>6.1477*Deflactores!$C$5</f>
        <v>19.378864699951308</v>
      </c>
      <c r="G28" s="57">
        <f>17.8601930205999*Deflactores!$D$5</f>
        <v>52.867336592889998</v>
      </c>
      <c r="H28" s="57">
        <f>27*Deflactores!$E$5</f>
        <v>75.757390798538978</v>
      </c>
      <c r="I28" s="57">
        <f>22.905*Deflactores!$F$5</f>
        <v>61.291706140957743</v>
      </c>
      <c r="J28" s="57">
        <f>45.01422*Deflactores!$G$5</f>
        <v>115.29129251614278</v>
      </c>
      <c r="K28" s="57">
        <f>44.1*Deflactores!$H$5</f>
        <v>106.86442148992627</v>
      </c>
      <c r="L28" s="57">
        <f>57.726176236*Deflactores!$I$5</f>
        <v>129.91371306791973</v>
      </c>
      <c r="M28" s="57">
        <f>65.90292803*Deflactores!$J$5</f>
        <v>145.40490109124252</v>
      </c>
      <c r="N28" s="57">
        <f>62.142977326*Deflactores!$K$5</f>
        <v>132.89474747335089</v>
      </c>
      <c r="O28" s="57">
        <f>50.842*Deflactores!$L$5</f>
        <v>104.82090051946145</v>
      </c>
      <c r="P28" s="57">
        <f>10*Deflactores!$M$5</f>
        <v>20.125917602908959</v>
      </c>
      <c r="Q28" s="57">
        <f>5*Deflactores!$N$5</f>
        <v>9.8714526206145603</v>
      </c>
      <c r="R28" s="57">
        <f>0*Deflactores!$O$5</f>
        <v>0</v>
      </c>
      <c r="S28" s="57">
        <f>0*Deflactores!$P$5</f>
        <v>0</v>
      </c>
      <c r="T28" s="57">
        <f>0*Deflactores!$Q$5</f>
        <v>0</v>
      </c>
      <c r="U28" s="57">
        <f>0*Deflactores!$R$5</f>
        <v>0</v>
      </c>
      <c r="V28" s="57">
        <f>0*Deflactores!$S$5</f>
        <v>0</v>
      </c>
    </row>
    <row r="29" spans="3:22" x14ac:dyDescent="0.2">
      <c r="C29" s="87" t="s">
        <v>139</v>
      </c>
      <c r="D29" s="56">
        <f>97.230458*Deflactores!$A$5</f>
        <v>353.00092686409255</v>
      </c>
      <c r="E29" s="56">
        <f>55.835044269*Deflactores!$B$5</f>
        <v>188.30991489184308</v>
      </c>
      <c r="F29" s="56">
        <f>79.633278*Deflactores!$C$5</f>
        <v>251.02111683647689</v>
      </c>
      <c r="G29" s="56">
        <f>68.1467361221499*Deflactores!$D$5</f>
        <v>201.71878501655425</v>
      </c>
      <c r="H29" s="56">
        <f>161.931129821*Deflactores!$E$5</f>
        <v>454.35110682586844</v>
      </c>
      <c r="I29" s="56">
        <f>104.73659*Deflactores!$F$5</f>
        <v>280.26563180467031</v>
      </c>
      <c r="J29" s="56">
        <f>115.30867*Deflactores!$G$5</f>
        <v>295.33079996981792</v>
      </c>
      <c r="K29" s="56">
        <f>212.5*Deflactores!$H$5</f>
        <v>514.9362713516856</v>
      </c>
      <c r="L29" s="56">
        <f>290.7856852*Deflactores!$I$5</f>
        <v>654.41798737696718</v>
      </c>
      <c r="M29" s="56">
        <f>355.700560146*Deflactores!$J$5</f>
        <v>784.79980043655564</v>
      </c>
      <c r="N29" s="56">
        <f>318.582487162*Deflactores!$K$5</f>
        <v>681.2988531064841</v>
      </c>
      <c r="O29" s="56">
        <f>249.573873425*Deflactores!$L$5</f>
        <v>514.54620507727054</v>
      </c>
      <c r="P29" s="56">
        <f>266.965383098*Deflactores!$M$5</f>
        <v>537.2923303059373</v>
      </c>
      <c r="Q29" s="56">
        <f>376.371994363*Deflactores!$N$5</f>
        <v>743.06766201611299</v>
      </c>
      <c r="R29" s="56">
        <f>379.635709703*Deflactores!$O$5</f>
        <v>723.0476406379604</v>
      </c>
      <c r="S29" s="56">
        <f>458.915141732*Deflactores!$P$5</f>
        <v>818.62122580122775</v>
      </c>
      <c r="T29" s="56">
        <f>545.75880368*Deflactores!$Q$5</f>
        <v>920.60003670253445</v>
      </c>
      <c r="U29" s="56">
        <f>586.76978419*Deflactores!$R$5</f>
        <v>950.88713341034565</v>
      </c>
      <c r="V29" s="56">
        <f>38.031706034*Deflactores!$S$5</f>
        <v>59.732612984633306</v>
      </c>
    </row>
    <row r="30" spans="3:22" x14ac:dyDescent="0.2">
      <c r="C30" s="88" t="s">
        <v>140</v>
      </c>
      <c r="D30" s="57">
        <f>19.214099*Deflactores!$A$5</f>
        <v>69.757922521134617</v>
      </c>
      <c r="E30" s="57">
        <f>40.170842355*Deflactores!$B$5</f>
        <v>135.48064668059365</v>
      </c>
      <c r="F30" s="57">
        <f>16.07973095*Deflactores!$C$5</f>
        <v>50.686749596055343</v>
      </c>
      <c r="G30" s="57">
        <f>7.61225894106999*Deflactores!$D$5</f>
        <v>22.532783111896407</v>
      </c>
      <c r="H30" s="57">
        <f>35.752420038*Deflactores!$E$5</f>
        <v>100.31518728934377</v>
      </c>
      <c r="I30" s="57">
        <f>237.425797222*Deflactores!$F$5</f>
        <v>635.32993641621681</v>
      </c>
      <c r="J30" s="57">
        <f>231.7134*Deflactores!$G$5</f>
        <v>593.46885005027298</v>
      </c>
      <c r="K30" s="57">
        <f>137.81*Deflactores!$H$5</f>
        <v>333.94525908223898</v>
      </c>
      <c r="L30" s="57">
        <f>248.933277614*Deflactores!$I$5</f>
        <v>560.22845283893537</v>
      </c>
      <c r="M30" s="57">
        <f>339.220730743*Deflactores!$J$5</f>
        <v>748.43953487668614</v>
      </c>
      <c r="N30" s="57">
        <f>332.850024345*Deflactores!$K$5</f>
        <v>711.81043836662786</v>
      </c>
      <c r="O30" s="57">
        <f>533.1659*Deflactores!$L$5</f>
        <v>1099.2276024599569</v>
      </c>
      <c r="P30" s="57">
        <f>539.5974*Deflactores!$M$5</f>
        <v>1085.9892811143907</v>
      </c>
      <c r="Q30" s="57">
        <f>475.00096*Deflactores!$N$5</f>
        <v>937.78989427728641</v>
      </c>
      <c r="R30" s="57">
        <f>288.902116034*Deflactores!$O$5</f>
        <v>550.23799931022995</v>
      </c>
      <c r="S30" s="57">
        <f>190.337998364*Deflactores!$P$5</f>
        <v>339.52840376812702</v>
      </c>
      <c r="T30" s="57">
        <f>245.778159809*Deflactores!$Q$5</f>
        <v>414.5849437795124</v>
      </c>
      <c r="U30" s="57">
        <f>183.930402349*Deflactores!$R$5</f>
        <v>298.06758587285958</v>
      </c>
      <c r="V30" s="57">
        <f>235.528096031*Deflactores!$S$5</f>
        <v>369.92052354027902</v>
      </c>
    </row>
    <row r="31" spans="3:22" x14ac:dyDescent="0.2">
      <c r="C31" s="87" t="s">
        <v>141</v>
      </c>
      <c r="D31" s="56">
        <f>0*Deflactores!$A$5</f>
        <v>0</v>
      </c>
      <c r="E31" s="56">
        <f>0*Deflactores!$B$5</f>
        <v>0</v>
      </c>
      <c r="F31" s="56">
        <f>0*Deflactores!$C$5</f>
        <v>0</v>
      </c>
      <c r="G31" s="56">
        <f>0*Deflactores!$D$5</f>
        <v>0</v>
      </c>
      <c r="H31" s="56">
        <f>0*Deflactores!$E$5</f>
        <v>0</v>
      </c>
      <c r="I31" s="56">
        <f>0*Deflactores!$F$5</f>
        <v>0</v>
      </c>
      <c r="J31" s="56">
        <f>0*Deflactores!$G$5</f>
        <v>0</v>
      </c>
      <c r="K31" s="56">
        <f>1.44575*Deflactores!$H$5</f>
        <v>3.5033840673256442</v>
      </c>
      <c r="L31" s="56">
        <f>3.259*Deflactores!$I$5</f>
        <v>7.3344333280871421</v>
      </c>
      <c r="M31" s="56">
        <f>1.75*Deflactores!$J$5</f>
        <v>3.8611118582446147</v>
      </c>
      <c r="N31" s="56">
        <f>4.724*Deflactores!$K$5</f>
        <v>10.102425311402751</v>
      </c>
      <c r="O31" s="56">
        <f>5.463*Deflactores!$L$5</f>
        <v>11.263061632859012</v>
      </c>
      <c r="P31" s="56">
        <f>5.008997988*Deflactores!$M$5</f>
        <v>10.081068077962476</v>
      </c>
      <c r="Q31" s="56">
        <f>6.2*Deflactores!$N$5</f>
        <v>12.240601249562054</v>
      </c>
      <c r="R31" s="56">
        <f>3.442*Deflactores!$O$5</f>
        <v>6.5555739764914778</v>
      </c>
      <c r="S31" s="56">
        <f>0*Deflactores!$P$5</f>
        <v>0</v>
      </c>
      <c r="T31" s="56">
        <f>3.1807*Deflactores!$Q$5</f>
        <v>5.365286857482638</v>
      </c>
      <c r="U31" s="56">
        <f>0*Deflactores!$R$5</f>
        <v>0</v>
      </c>
      <c r="V31" s="56">
        <f>0*Deflactores!$S$5</f>
        <v>0</v>
      </c>
    </row>
    <row r="32" spans="3:22" x14ac:dyDescent="0.2">
      <c r="C32" s="88" t="s">
        <v>142</v>
      </c>
      <c r="D32" s="57">
        <f>2.25181*Deflactores!$A$5</f>
        <v>8.1753293512392204</v>
      </c>
      <c r="E32" s="57">
        <f>4.04*Deflactores!$B$5</f>
        <v>13.625350639964156</v>
      </c>
      <c r="F32" s="57">
        <f>4.866476*Deflactores!$C$5</f>
        <v>15.340172742580188</v>
      </c>
      <c r="G32" s="57">
        <f>5.415345017*Deflactores!$D$5</f>
        <v>16.029774563475144</v>
      </c>
      <c r="H32" s="57">
        <f>7.23*Deflactores!$E$5</f>
        <v>20.286145758275438</v>
      </c>
      <c r="I32" s="57">
        <f>7.05*Deflactores!$F$5</f>
        <v>18.865161680582933</v>
      </c>
      <c r="J32" s="57">
        <f>7.2615*Deflactores!$G$5</f>
        <v>18.598294507957057</v>
      </c>
      <c r="K32" s="57">
        <f>9.556*Deflactores!$H$5</f>
        <v>23.156381218996266</v>
      </c>
      <c r="L32" s="57">
        <f>13.85145986*Deflactores!$I$5</f>
        <v>31.172939196024934</v>
      </c>
      <c r="M32" s="57">
        <f>15.952*Deflactores!$J$5</f>
        <v>35.195689350124624</v>
      </c>
      <c r="N32" s="57">
        <f>25.4373*Deflactores!$K$5</f>
        <v>54.398480815780104</v>
      </c>
      <c r="O32" s="57">
        <f>29.177*Deflactores!$L$5</f>
        <v>60.154191700883651</v>
      </c>
      <c r="P32" s="57">
        <f>30.05231*Deflactores!$M$5</f>
        <v>60.483031483707698</v>
      </c>
      <c r="Q32" s="57">
        <f>41.4124*Deflactores!$N$5</f>
        <v>81.760108901187678</v>
      </c>
      <c r="R32" s="57">
        <f>18.74*Deflactores!$O$5</f>
        <v>35.691881557074453</v>
      </c>
      <c r="S32" s="57">
        <f>19.439*Deflactores!$P$5</f>
        <v>34.675643841891663</v>
      </c>
      <c r="T32" s="57">
        <f>17.67908812*Deflactores!$Q$5</f>
        <v>29.821542158176953</v>
      </c>
      <c r="U32" s="57">
        <f>17.279816551*Deflactores!$R$5</f>
        <v>28.002728955648674</v>
      </c>
      <c r="V32" s="57">
        <f>18.038236*Deflactores!$S$5</f>
        <v>28.330860807301956</v>
      </c>
    </row>
    <row r="33" spans="3:22" x14ac:dyDescent="0.2">
      <c r="C33" s="87" t="s">
        <v>143</v>
      </c>
      <c r="D33" s="56">
        <f>0.0585*Deflactores!$A$5</f>
        <v>0.21238770901963061</v>
      </c>
      <c r="E33" s="56">
        <f>0*Deflactores!$B$5</f>
        <v>0</v>
      </c>
      <c r="F33" s="56">
        <f>0*Deflactores!$C$5</f>
        <v>0</v>
      </c>
      <c r="G33" s="56">
        <f>0*Deflactores!$D$5</f>
        <v>0</v>
      </c>
      <c r="H33" s="56">
        <f>66.591601911*Deflactores!$E$5</f>
        <v>186.8446670323097</v>
      </c>
      <c r="I33" s="56">
        <f>8.86793114152*Deflactores!$F$5</f>
        <v>23.729780816603004</v>
      </c>
      <c r="J33" s="56">
        <f>0*Deflactores!$G$5</f>
        <v>0</v>
      </c>
      <c r="K33" s="56">
        <f>0*Deflactores!$H$5</f>
        <v>0</v>
      </c>
      <c r="L33" s="56">
        <f>0*Deflactores!$I$5</f>
        <v>0</v>
      </c>
      <c r="M33" s="56">
        <f>0*Deflactores!$J$5</f>
        <v>0</v>
      </c>
      <c r="N33" s="56">
        <f>0*Deflactores!$K$5</f>
        <v>0</v>
      </c>
      <c r="O33" s="56">
        <f>0*Deflactores!$L$5</f>
        <v>0</v>
      </c>
      <c r="P33" s="56">
        <f>48.02174751*Deflactores!$M$5</f>
        <v>96.648173353395848</v>
      </c>
      <c r="Q33" s="56">
        <f>6.856473429*Deflactores!$N$5</f>
        <v>13.53667051977523</v>
      </c>
      <c r="R33" s="56">
        <f>12.826001183*Deflactores!$O$5</f>
        <v>24.428181167264295</v>
      </c>
      <c r="S33" s="56">
        <f>3.309*Deflactores!$P$5</f>
        <v>5.9026547390719442</v>
      </c>
      <c r="T33" s="56">
        <f>11.880739274*Deflactores!$Q$5</f>
        <v>20.040737662769207</v>
      </c>
      <c r="U33" s="56">
        <f>20.546765788*Deflactores!$R$5</f>
        <v>33.296968840983567</v>
      </c>
      <c r="V33" s="56">
        <f>152.863819794*Deflactores!$S$5</f>
        <v>240.08797761911435</v>
      </c>
    </row>
    <row r="34" spans="3:22" x14ac:dyDescent="0.2">
      <c r="C34" s="88" t="s">
        <v>144</v>
      </c>
      <c r="D34" s="57">
        <f>0*Deflactores!$A$5</f>
        <v>0</v>
      </c>
      <c r="E34" s="57">
        <f>0*Deflactores!$B$5</f>
        <v>0</v>
      </c>
      <c r="F34" s="57">
        <f>0*Deflactores!$C$5</f>
        <v>0</v>
      </c>
      <c r="G34" s="57">
        <f>0*Deflactores!$D$5</f>
        <v>0</v>
      </c>
      <c r="H34" s="57">
        <f>0*Deflactores!$E$5</f>
        <v>0</v>
      </c>
      <c r="I34" s="57">
        <f>0*Deflactores!$F$5</f>
        <v>0</v>
      </c>
      <c r="J34" s="57">
        <f>0*Deflactores!$G$5</f>
        <v>0</v>
      </c>
      <c r="K34" s="57">
        <f>0*Deflactores!$H$5</f>
        <v>0</v>
      </c>
      <c r="L34" s="57">
        <f>0*Deflactores!$I$5</f>
        <v>0</v>
      </c>
      <c r="M34" s="57">
        <f>0*Deflactores!$J$5</f>
        <v>0</v>
      </c>
      <c r="N34" s="57">
        <f>0*Deflactores!$K$5</f>
        <v>0</v>
      </c>
      <c r="O34" s="57">
        <f>0*Deflactores!$L$5</f>
        <v>0</v>
      </c>
      <c r="P34" s="57">
        <f>0*Deflactores!$M$5</f>
        <v>0</v>
      </c>
      <c r="Q34" s="57">
        <f>0*Deflactores!$N$5</f>
        <v>0</v>
      </c>
      <c r="R34" s="57">
        <f>0*Deflactores!$O$5</f>
        <v>0</v>
      </c>
      <c r="S34" s="57">
        <f>0*Deflactores!$P$5</f>
        <v>0</v>
      </c>
      <c r="T34" s="57">
        <f>0*Deflactores!$Q$5</f>
        <v>0</v>
      </c>
      <c r="U34" s="57">
        <f>0*Deflactores!$R$5</f>
        <v>0</v>
      </c>
      <c r="V34" s="57">
        <f>0*Deflactores!$S$5</f>
        <v>0</v>
      </c>
    </row>
    <row r="35" spans="3:22" x14ac:dyDescent="0.2">
      <c r="C35" s="87" t="s">
        <v>145</v>
      </c>
      <c r="D35" s="56">
        <f>5.03*Deflactores!$A$5</f>
        <v>18.261712416559693</v>
      </c>
      <c r="E35" s="56">
        <f>5*Deflactores!$B$5</f>
        <v>16.863057722727916</v>
      </c>
      <c r="F35" s="56">
        <f>4*Deflactores!$C$5</f>
        <v>12.608855149048461</v>
      </c>
      <c r="G35" s="56">
        <f>9.870944804*Deflactores!$D$5</f>
        <v>29.218640629527659</v>
      </c>
      <c r="H35" s="56">
        <f>13.053568989*Deflactores!$E$5</f>
        <v>36.626086193161569</v>
      </c>
      <c r="I35" s="56">
        <f>1.5396*Deflactores!$F$5</f>
        <v>4.1198302019043238</v>
      </c>
      <c r="J35" s="56">
        <f>22.066488055*Deflactores!$G$5</f>
        <v>56.517116794492395</v>
      </c>
      <c r="K35" s="56">
        <f>19.4*Deflactores!$H$5</f>
        <v>47.010652537518581</v>
      </c>
      <c r="L35" s="56">
        <f>11.026*Deflactores!$I$5</f>
        <v>24.814195113681752</v>
      </c>
      <c r="M35" s="56">
        <f>15.871*Deflactores!$J$5</f>
        <v>35.016975029828728</v>
      </c>
      <c r="N35" s="56">
        <f>22.845*Deflactores!$K$5</f>
        <v>48.854764233487685</v>
      </c>
      <c r="O35" s="56">
        <f>25.472150113*Deflactores!$L$5</f>
        <v>52.515906396513941</v>
      </c>
      <c r="P35" s="56">
        <f>31.308241876*Deflactores!$M$5</f>
        <v>63.010709628831982</v>
      </c>
      <c r="Q35" s="56">
        <f>27.399250201*Deflactores!$N$5</f>
        <v>54.094080039907098</v>
      </c>
      <c r="R35" s="56">
        <f>27.046943088*Deflactores!$O$5</f>
        <v>51.513142432114705</v>
      </c>
      <c r="S35" s="56">
        <f>39.292229095*Deflactores!$P$5</f>
        <v>70.090197121880408</v>
      </c>
      <c r="T35" s="56">
        <f>49.447810288*Deflactores!$Q$5</f>
        <v>83.40984269799138</v>
      </c>
      <c r="U35" s="56">
        <f>46.155453971*Deflactores!$R$5</f>
        <v>74.797013241441746</v>
      </c>
      <c r="V35" s="56">
        <f>50.652121353*Deflactores!$S$5</f>
        <v>79.554242424060206</v>
      </c>
    </row>
    <row r="36" spans="3:22" x14ac:dyDescent="0.2">
      <c r="C36" s="88" t="s">
        <v>146</v>
      </c>
      <c r="D36" s="57">
        <f>5*Deflactores!$A$5</f>
        <v>18.15279564270347</v>
      </c>
      <c r="E36" s="57">
        <f>7.56*Deflactores!$B$5</f>
        <v>25.496943276764604</v>
      </c>
      <c r="F36" s="57">
        <f>7.306698*Deflactores!$C$5</f>
        <v>23.032274174960524</v>
      </c>
      <c r="G36" s="57">
        <f>2.735757955*Deflactores!$D$5</f>
        <v>8.0980220357553225</v>
      </c>
      <c r="H36" s="57">
        <f>1.38248944*Deflactores!$E$5</f>
        <v>3.8790293622567895</v>
      </c>
      <c r="I36" s="57">
        <f>4.105*Deflactores!$F$5</f>
        <v>10.984608326069923</v>
      </c>
      <c r="J36" s="57">
        <f>4.78005*Deflactores!$G$5</f>
        <v>12.242756684260845</v>
      </c>
      <c r="K36" s="57">
        <f>4.483202125*Deflactores!$H$5</f>
        <v>10.863827698651544</v>
      </c>
      <c r="L36" s="57">
        <f>3.203*Deflactores!$I$5</f>
        <v>7.208404403149161</v>
      </c>
      <c r="M36" s="57">
        <f>4.6368*Deflactores!$J$5</f>
        <v>10.230401979604931</v>
      </c>
      <c r="N36" s="57">
        <f>8.174*Deflactores!$K$5</f>
        <v>17.480360816131686</v>
      </c>
      <c r="O36" s="57">
        <f>9.328*Deflactores!$L$5</f>
        <v>19.231528264929317</v>
      </c>
      <c r="P36" s="57">
        <f>56.3293*Deflactores!$M$5</f>
        <v>113.36788504295397</v>
      </c>
      <c r="Q36" s="57">
        <f>45.655*Deflactores!$N$5</f>
        <v>90.136233878831547</v>
      </c>
      <c r="R36" s="57">
        <f>12.141666222*Deflactores!$O$5</f>
        <v>23.124808575301799</v>
      </c>
      <c r="S36" s="57">
        <f>38.738*Deflactores!$P$5</f>
        <v>69.101553122444528</v>
      </c>
      <c r="T36" s="57">
        <f>24.26004861*Deflactores!$Q$5</f>
        <v>40.922476174780058</v>
      </c>
      <c r="U36" s="57">
        <f>44.462062667*Deflactores!$R$5</f>
        <v>72.052795583701609</v>
      </c>
      <c r="V36" s="57">
        <f>14.957*Deflactores!$S$5</f>
        <v>23.491470290931737</v>
      </c>
    </row>
    <row r="37" spans="3:22" x14ac:dyDescent="0.2">
      <c r="C37" s="90" t="s">
        <v>147</v>
      </c>
      <c r="D37" s="58">
        <f>549.613135133*Deflactores!$A$5</f>
        <v>1995.4029849229833</v>
      </c>
      <c r="E37" s="58">
        <f>642.371092*Deflactores!$B$5</f>
        <v>2166.4681607615526</v>
      </c>
      <c r="F37" s="58">
        <f>580.045982*Deflactores!$C$5</f>
        <v>1828.4289417063926</v>
      </c>
      <c r="G37" s="58">
        <f>638.436806401*Deflactores!$D$5</f>
        <v>1889.8146004559649</v>
      </c>
      <c r="H37" s="58">
        <f>820.390154884*Deflactores!$E$5</f>
        <v>2301.8747248452264</v>
      </c>
      <c r="I37" s="58">
        <f>858.925877516*Deflactores!$F$5</f>
        <v>2298.4078795710516</v>
      </c>
      <c r="J37" s="58">
        <f>1032.322967055*Deflactores!$G$5</f>
        <v>2644.0055868094664</v>
      </c>
      <c r="K37" s="58">
        <f>1107.985667955*Deflactores!$H$5</f>
        <v>2684.9035697310801</v>
      </c>
      <c r="L37" s="58">
        <f>1278.2622989*Deflactores!$I$5</f>
        <v>2876.7504164128409</v>
      </c>
      <c r="M37" s="58">
        <f>1473.08851871*Deflactores!$J$5</f>
        <v>3250.1483130486713</v>
      </c>
      <c r="N37" s="58">
        <f>1932.011065536*Deflactores!$K$5</f>
        <v>4131.6675466513725</v>
      </c>
      <c r="O37" s="58">
        <f>2055.251411328*Deflactores!$L$5</f>
        <v>4237.3097779256332</v>
      </c>
      <c r="P37" s="58">
        <f>2291.387265689*Deflactores!$M$5</f>
        <v>4611.6271305611672</v>
      </c>
      <c r="Q37" s="58">
        <f>2288.003081879*Deflactores!$N$5</f>
        <v>4517.1828037177293</v>
      </c>
      <c r="R37" s="58">
        <f>940.228365931*Deflactores!$O$5</f>
        <v>1790.742768058213</v>
      </c>
      <c r="S37" s="58">
        <f>1467.019163975*Deflactores!$P$5</f>
        <v>2616.89562422073</v>
      </c>
      <c r="T37" s="58">
        <f>1740.513954108*Deflactores!$Q$5</f>
        <v>2935.9438624330469</v>
      </c>
      <c r="U37" s="58">
        <f>1802.42724173*Deflactores!$R$5</f>
        <v>2920.9153559863303</v>
      </c>
      <c r="V37" s="58">
        <f>1622.051876834*Deflactores!$S$5</f>
        <v>2547.5953383028668</v>
      </c>
    </row>
    <row r="38" spans="3:22" ht="22.5" customHeight="1" x14ac:dyDescent="0.2">
      <c r="C38" s="89" t="s">
        <v>148</v>
      </c>
      <c r="D38" s="59">
        <f>0*Deflactores!$A$5</f>
        <v>0</v>
      </c>
      <c r="E38" s="59">
        <f>0*Deflactores!$B$5</f>
        <v>0</v>
      </c>
      <c r="F38" s="59">
        <f>0*Deflactores!$C$5</f>
        <v>0</v>
      </c>
      <c r="G38" s="59">
        <f>0*Deflactores!$D$5</f>
        <v>0</v>
      </c>
      <c r="H38" s="59">
        <f>0*Deflactores!$E$5</f>
        <v>0</v>
      </c>
      <c r="I38" s="59">
        <f>0*Deflactores!$F$5</f>
        <v>0</v>
      </c>
      <c r="J38" s="59">
        <f>0*Deflactores!$G$5</f>
        <v>0</v>
      </c>
      <c r="K38" s="59">
        <f>0*Deflactores!$H$5</f>
        <v>0</v>
      </c>
      <c r="L38" s="59">
        <f>0*Deflactores!$I$5</f>
        <v>0</v>
      </c>
      <c r="M38" s="59">
        <f>0*Deflactores!$J$5</f>
        <v>0</v>
      </c>
      <c r="N38" s="59">
        <f>0*Deflactores!$K$5</f>
        <v>0</v>
      </c>
      <c r="O38" s="59">
        <f>0*Deflactores!$L$5</f>
        <v>0</v>
      </c>
      <c r="P38" s="59">
        <f>0*Deflactores!$M$5</f>
        <v>0</v>
      </c>
      <c r="Q38" s="59">
        <f>0*Deflactores!$N$5</f>
        <v>0</v>
      </c>
      <c r="R38" s="59">
        <f>0*Deflactores!$O$5</f>
        <v>0</v>
      </c>
      <c r="S38" s="59">
        <f>0*Deflactores!$P$5</f>
        <v>0</v>
      </c>
      <c r="T38" s="59">
        <f>0*Deflactores!$Q$5</f>
        <v>0</v>
      </c>
      <c r="U38" s="59">
        <f>0*Deflactores!$R$5</f>
        <v>0</v>
      </c>
      <c r="V38" s="59">
        <f>0*Deflactores!$S$5</f>
        <v>0</v>
      </c>
    </row>
    <row r="39" spans="3:22" x14ac:dyDescent="0.2">
      <c r="C39" s="87" t="s">
        <v>149</v>
      </c>
      <c r="D39" s="56">
        <f>98.9015*Deflactores!$A$5</f>
        <v>359.06774365136744</v>
      </c>
      <c r="E39" s="56">
        <f>116.756338*Deflactores!$B$5</f>
        <v>393.77377343766614</v>
      </c>
      <c r="F39" s="56">
        <f>125.9008*Deflactores!$C$5</f>
        <v>396.86623758733015</v>
      </c>
      <c r="G39" s="56">
        <f>62.866223244*Deflactores!$D$5</f>
        <v>186.08812238092364</v>
      </c>
      <c r="H39" s="56">
        <f>114.18489*Deflactores!$E$5</f>
        <v>320.38330870437721</v>
      </c>
      <c r="I39" s="56">
        <f>133.85148*Deflactores!$F$5</f>
        <v>358.17444133125008</v>
      </c>
      <c r="J39" s="56">
        <f>184.069098926*Deflactores!$G$5</f>
        <v>471.44134292364254</v>
      </c>
      <c r="K39" s="56">
        <f>293.277434559*Deflactores!$H$5</f>
        <v>710.67853469835029</v>
      </c>
      <c r="L39" s="56">
        <f>398.50953025*Deflactores!$I$5</f>
        <v>896.8522799097733</v>
      </c>
      <c r="M39" s="56">
        <f>655.382887867*Deflactores!$J$5</f>
        <v>1446.0037943050711</v>
      </c>
      <c r="N39" s="56">
        <f>668.020921168*Deflactores!$K$5</f>
        <v>1428.5841368658307</v>
      </c>
      <c r="O39" s="56">
        <f>743.603854668*Deflactores!$L$5</f>
        <v>1533.0873230015047</v>
      </c>
      <c r="P39" s="56">
        <f>793.0351*Deflactores!$M$5</f>
        <v>1596.055907881467</v>
      </c>
      <c r="Q39" s="56">
        <f>1040.1088*Deflactores!$N$5</f>
        <v>2053.4769478968533</v>
      </c>
      <c r="R39" s="56">
        <f>1486.473636772*Deflactores!$O$5</f>
        <v>2831.1121121334013</v>
      </c>
      <c r="S39" s="56">
        <f>1117.427383892*Deflactores!$P$5</f>
        <v>1993.2874110301839</v>
      </c>
      <c r="T39" s="56">
        <f>1072.059561046*Deflactores!$Q$5</f>
        <v>1808.3777386483196</v>
      </c>
      <c r="U39" s="56">
        <f>1124.874949997*Deflactores!$R$5</f>
        <v>1822.9110384821727</v>
      </c>
      <c r="V39" s="56">
        <f>1017.342893346*Deflactores!$S$5</f>
        <v>1597.8391625812724</v>
      </c>
    </row>
    <row r="40" spans="3:22" x14ac:dyDescent="0.2">
      <c r="C40" s="88" t="s">
        <v>150</v>
      </c>
      <c r="D40" s="57">
        <f>374.49705638*Deflactores!$A$5</f>
        <v>1359.633706652028</v>
      </c>
      <c r="E40" s="57">
        <f>620.729310222169*Deflactores!$B$5</f>
        <v>2093.4788376931037</v>
      </c>
      <c r="F40" s="57">
        <f>819.568153999999*Deflactores!$C$5</f>
        <v>2583.4540346397575</v>
      </c>
      <c r="G40" s="57">
        <f>589.5477118503*Deflactores!$D$5</f>
        <v>1745.0996909165008</v>
      </c>
      <c r="H40" s="57">
        <f>556.45745207805*Deflactores!$E$5</f>
        <v>1561.3246170309671</v>
      </c>
      <c r="I40" s="57">
        <f>414.93196229092*Deflactores!$F$5</f>
        <v>1110.3203624198222</v>
      </c>
      <c r="J40" s="57">
        <f>626.344717247169*Deflactores!$G$5</f>
        <v>1604.2062266564676</v>
      </c>
      <c r="K40" s="57">
        <f>622.014583239*Deflactores!$H$5</f>
        <v>1507.2840951504156</v>
      </c>
      <c r="L40" s="57">
        <f>607.0412298412*Deflactores!$I$5</f>
        <v>1366.1563141056472</v>
      </c>
      <c r="M40" s="57">
        <f>789.275460401*Deflactores!$J$5</f>
        <v>1741.4176226147308</v>
      </c>
      <c r="N40" s="57">
        <f>940.380620588*Deflactores!$K$5</f>
        <v>2011.0340778536915</v>
      </c>
      <c r="O40" s="57">
        <f>640.692251700999*Deflactores!$L$5</f>
        <v>1320.9145741540492</v>
      </c>
      <c r="P40" s="57">
        <f>885.32743819*Deflactores!$M$5</f>
        <v>1781.8027072606415</v>
      </c>
      <c r="Q40" s="57">
        <f>805.128064220929*Deflactores!$N$5</f>
        <v>1589.5567078968036</v>
      </c>
      <c r="R40" s="57">
        <f>1083.207089551*Deflactores!$O$5</f>
        <v>2063.0575849539828</v>
      </c>
      <c r="S40" s="57">
        <f>1185.408594855*Deflactores!$P$5</f>
        <v>2114.5535388810758</v>
      </c>
      <c r="T40" s="57">
        <f>1194.542338375*Deflactores!$Q$5</f>
        <v>2014.9848488665912</v>
      </c>
      <c r="U40" s="57">
        <f>1713.156958357*Deflactores!$R$5</f>
        <v>2776.2487999664741</v>
      </c>
      <c r="V40" s="57">
        <f>1370.173098558*Deflactores!$S$5</f>
        <v>2151.9944265701101</v>
      </c>
    </row>
    <row r="41" spans="3:22" x14ac:dyDescent="0.2">
      <c r="C41" s="87" t="s">
        <v>151</v>
      </c>
      <c r="D41" s="56">
        <f>10*Deflactores!$A$5</f>
        <v>36.30559128540694</v>
      </c>
      <c r="E41" s="56">
        <f>39.85905156*Deflactores!$B$5</f>
        <v>134.4290974458936</v>
      </c>
      <c r="F41" s="56">
        <f>12.104*Deflactores!$C$5</f>
        <v>38.154395681020638</v>
      </c>
      <c r="G41" s="56">
        <f>0*Deflactores!$D$5</f>
        <v>0</v>
      </c>
      <c r="H41" s="56">
        <f>10*Deflactores!$E$5</f>
        <v>28.058292888347772</v>
      </c>
      <c r="I41" s="56">
        <f>80*Deflactores!$F$5</f>
        <v>214.07275665909711</v>
      </c>
      <c r="J41" s="56">
        <f>20*Deflactores!$G$5</f>
        <v>51.224387545154741</v>
      </c>
      <c r="K41" s="56">
        <f>0*Deflactores!$H$5</f>
        <v>0</v>
      </c>
      <c r="L41" s="56">
        <f>0*Deflactores!$I$5</f>
        <v>0</v>
      </c>
      <c r="M41" s="56">
        <f>0*Deflactores!$J$5</f>
        <v>0</v>
      </c>
      <c r="N41" s="56">
        <f>0*Deflactores!$K$5</f>
        <v>0</v>
      </c>
      <c r="O41" s="56">
        <f>0*Deflactores!$L$5</f>
        <v>0</v>
      </c>
      <c r="P41" s="56">
        <f>0*Deflactores!$M$5</f>
        <v>0</v>
      </c>
      <c r="Q41" s="56">
        <f>0*Deflactores!$N$5</f>
        <v>0</v>
      </c>
      <c r="R41" s="56">
        <f>0*Deflactores!$O$5</f>
        <v>0</v>
      </c>
      <c r="S41" s="56">
        <f>0*Deflactores!$P$5</f>
        <v>0</v>
      </c>
      <c r="T41" s="56">
        <f>0*Deflactores!$Q$5</f>
        <v>0</v>
      </c>
      <c r="U41" s="56">
        <f>0*Deflactores!$R$5</f>
        <v>0</v>
      </c>
      <c r="V41" s="56">
        <f>0*Deflactores!$S$5</f>
        <v>0</v>
      </c>
    </row>
    <row r="42" spans="3:22" ht="21.75" customHeight="1" x14ac:dyDescent="0.2">
      <c r="C42" s="79" t="s">
        <v>202</v>
      </c>
      <c r="D42" s="44">
        <f t="shared" ref="D42:V42" si="0">+SUM(D13:D41)</f>
        <v>8489.5937290094535</v>
      </c>
      <c r="E42" s="44">
        <f t="shared" si="0"/>
        <v>9388.3224329267396</v>
      </c>
      <c r="F42" s="44">
        <f t="shared" si="0"/>
        <v>9271.6787654230957</v>
      </c>
      <c r="G42" s="44">
        <f t="shared" si="0"/>
        <v>7968.440759111485</v>
      </c>
      <c r="H42" s="44">
        <f t="shared" si="0"/>
        <v>9011.1984450278687</v>
      </c>
      <c r="I42" s="44">
        <f t="shared" si="0"/>
        <v>9190.977642094178</v>
      </c>
      <c r="J42" s="44">
        <f t="shared" si="0"/>
        <v>10840.767860899155</v>
      </c>
      <c r="K42" s="44">
        <f t="shared" si="0"/>
        <v>11792.36492031811</v>
      </c>
      <c r="L42" s="44">
        <f t="shared" si="0"/>
        <v>13213.081229083753</v>
      </c>
      <c r="M42" s="44">
        <f t="shared" si="0"/>
        <v>16528.18426980836</v>
      </c>
      <c r="N42" s="44">
        <f t="shared" si="0"/>
        <v>15999.684586295281</v>
      </c>
      <c r="O42" s="44">
        <f t="shared" si="0"/>
        <v>16128.947214162739</v>
      </c>
      <c r="P42" s="44">
        <f t="shared" si="0"/>
        <v>16567.81922046297</v>
      </c>
      <c r="Q42" s="44">
        <f t="shared" si="0"/>
        <v>17614.114886119314</v>
      </c>
      <c r="R42" s="44">
        <f t="shared" si="0"/>
        <v>11248.177744753626</v>
      </c>
      <c r="S42" s="44">
        <f t="shared" si="0"/>
        <v>11344.942898174762</v>
      </c>
      <c r="T42" s="44">
        <f t="shared" si="0"/>
        <v>13044.251051211941</v>
      </c>
      <c r="U42" s="44">
        <f t="shared" si="0"/>
        <v>14125.274300980442</v>
      </c>
      <c r="V42" s="44">
        <f t="shared" si="0"/>
        <v>12047.442565851079</v>
      </c>
    </row>
    <row r="43" spans="3:22" x14ac:dyDescent="0.2">
      <c r="C43" s="1" t="s">
        <v>52</v>
      </c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</row>
    <row r="44" spans="3:22" x14ac:dyDescent="0.2"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</row>
    <row r="45" spans="3:22" x14ac:dyDescent="0.2"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</row>
    <row r="46" spans="3:22" x14ac:dyDescent="0.2"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</row>
    <row r="48" spans="3:22" ht="14.25" customHeight="1" x14ac:dyDescent="0.2">
      <c r="C48" s="9"/>
      <c r="D48" s="160" t="s">
        <v>219</v>
      </c>
      <c r="E48" s="158"/>
      <c r="F48" s="158"/>
      <c r="G48" s="158"/>
      <c r="H48" s="158"/>
      <c r="I48" s="158"/>
      <c r="J48" s="158"/>
      <c r="K48" s="158"/>
      <c r="L48" s="158"/>
      <c r="M48" s="158"/>
      <c r="N48" s="158"/>
      <c r="O48" s="158"/>
      <c r="P48" s="158"/>
      <c r="Q48" s="158"/>
      <c r="R48" s="158"/>
      <c r="S48" s="158"/>
      <c r="T48" s="158"/>
      <c r="U48" s="158"/>
      <c r="V48" s="158"/>
    </row>
    <row r="49" spans="3:22" ht="11.25" hidden="1" customHeight="1" x14ac:dyDescent="0.2">
      <c r="H49" s="27"/>
      <c r="I49" s="27"/>
      <c r="J49" s="27"/>
      <c r="L49" s="27"/>
      <c r="M49" s="27"/>
      <c r="N49" s="27"/>
      <c r="O49" s="27"/>
      <c r="P49" s="27"/>
      <c r="Q49" s="98"/>
      <c r="R49" s="28"/>
      <c r="S49" s="28"/>
      <c r="T49" s="28"/>
      <c r="U49" s="28"/>
      <c r="V49" s="28"/>
    </row>
    <row r="50" spans="3:22" ht="15.75" customHeight="1" x14ac:dyDescent="0.2">
      <c r="C50" s="150"/>
      <c r="D50" s="150"/>
      <c r="E50" s="150"/>
      <c r="F50" s="150"/>
      <c r="G50" s="150"/>
      <c r="H50" s="150"/>
      <c r="I50" s="150"/>
      <c r="J50" s="150"/>
      <c r="K50" s="150"/>
      <c r="L50" s="150"/>
      <c r="M50" s="150"/>
      <c r="N50" s="150"/>
      <c r="O50" s="150"/>
      <c r="P50" s="150"/>
      <c r="Q50" s="150"/>
      <c r="R50" s="150"/>
      <c r="S50" s="150"/>
      <c r="T50" s="150"/>
      <c r="U50" s="150"/>
      <c r="V50" s="150"/>
    </row>
    <row r="51" spans="3:22" ht="12" thickBot="1" x14ac:dyDescent="0.25">
      <c r="C51" s="177" t="s">
        <v>120</v>
      </c>
      <c r="D51" s="153">
        <v>2000</v>
      </c>
      <c r="E51" s="153">
        <v>2001</v>
      </c>
      <c r="F51" s="153">
        <v>2002</v>
      </c>
      <c r="G51" s="153">
        <v>2003</v>
      </c>
      <c r="H51" s="153">
        <v>2004</v>
      </c>
      <c r="I51" s="153">
        <v>2005</v>
      </c>
      <c r="J51" s="153">
        <v>2006</v>
      </c>
      <c r="K51" s="153">
        <v>2007</v>
      </c>
      <c r="L51" s="153">
        <v>2008</v>
      </c>
      <c r="M51" s="153">
        <v>2009</v>
      </c>
      <c r="N51" s="153">
        <v>2010</v>
      </c>
      <c r="O51" s="153">
        <v>2011</v>
      </c>
      <c r="P51" s="153">
        <v>2012</v>
      </c>
      <c r="Q51" s="153">
        <v>2013</v>
      </c>
      <c r="R51" s="153">
        <v>2014</v>
      </c>
      <c r="S51" s="153">
        <v>2015</v>
      </c>
      <c r="T51" s="153">
        <v>2016</v>
      </c>
      <c r="U51" s="153">
        <v>2017</v>
      </c>
      <c r="V51" s="153">
        <v>2018</v>
      </c>
    </row>
    <row r="52" spans="3:22" ht="12" customHeight="1" thickBot="1" x14ac:dyDescent="0.25">
      <c r="C52" s="156"/>
      <c r="D52" s="154"/>
      <c r="E52" s="154"/>
      <c r="F52" s="154"/>
      <c r="G52" s="154"/>
      <c r="H52" s="154"/>
      <c r="I52" s="154"/>
      <c r="J52" s="154"/>
      <c r="K52" s="154"/>
      <c r="L52" s="154"/>
      <c r="M52" s="154"/>
      <c r="N52" s="154"/>
      <c r="O52" s="154"/>
      <c r="P52" s="154"/>
      <c r="Q52" s="154"/>
      <c r="R52" s="154"/>
      <c r="S52" s="154"/>
      <c r="T52" s="154"/>
      <c r="U52" s="154"/>
      <c r="V52" s="154"/>
    </row>
    <row r="53" spans="3:22" x14ac:dyDescent="0.2">
      <c r="C53" s="87" t="s">
        <v>123</v>
      </c>
      <c r="D53" s="56">
        <f>23.209210128*Deflactores!$A$5</f>
        <v>84.262409696429529</v>
      </c>
      <c r="E53" s="56">
        <f>29.664868468*Deflactores!$B$5</f>
        <v>100.04807786260305</v>
      </c>
      <c r="F53" s="56">
        <f>26.319890102*Deflactores!$C$5</f>
        <v>82.965920458748073</v>
      </c>
      <c r="G53" s="56">
        <f>22.536835683*Deflactores!$D$5</f>
        <v>66.710503991618964</v>
      </c>
      <c r="H53" s="56">
        <f>46.100004489*Deflactores!$E$5</f>
        <v>129.34874281065089</v>
      </c>
      <c r="I53" s="56">
        <f>38.55687265*Deflactores!$F$5</f>
        <v>103.17470020424059</v>
      </c>
      <c r="J53" s="56">
        <f>50.741952299*Deflactores!$G$5</f>
        <v>129.96127146808658</v>
      </c>
      <c r="K53" s="56">
        <f>53.790639818*Deflactores!$H$5</f>
        <v>130.34706588942319</v>
      </c>
      <c r="L53" s="56">
        <f>54.784359999*Deflactores!$I$5</f>
        <v>123.2931070373089</v>
      </c>
      <c r="M53" s="56">
        <f>48.550830098*Deflactores!$J$5</f>
        <v>107.1201061822899</v>
      </c>
      <c r="N53" s="56">
        <f>64.67939378*Deflactores!$K$5</f>
        <v>138.31895530255241</v>
      </c>
      <c r="O53" s="56">
        <f>46.0673355751299*Deflactores!$L$5</f>
        <v>94.976979652990423</v>
      </c>
      <c r="P53" s="56">
        <f>38.72166458843*Deflactores!$M$5</f>
        <v>77.930903095421996</v>
      </c>
      <c r="Q53" s="56">
        <f>46.31395061091*Deflactores!$N$5</f>
        <v>91.437193825816166</v>
      </c>
      <c r="R53" s="56">
        <f>81.65292511278*Deflactores!$O$5</f>
        <v>155.51475623874143</v>
      </c>
      <c r="S53" s="56">
        <f>52.59631935204*Deflactores!$P$5</f>
        <v>93.822276724406251</v>
      </c>
      <c r="T53" s="56">
        <f>34.51405773565*Deflactores!$Q$5</f>
        <v>58.219203435558185</v>
      </c>
      <c r="U53" s="56">
        <f>41.83505273063*Deflactores!$R$5</f>
        <v>67.795606452390615</v>
      </c>
      <c r="V53" s="56">
        <f>51.71735349469*Deflactores!$S$5</f>
        <v>81.22729645959248</v>
      </c>
    </row>
    <row r="54" spans="3:22" x14ac:dyDescent="0.2">
      <c r="C54" s="88" t="s">
        <v>124</v>
      </c>
      <c r="D54" s="57">
        <f>3.04604505296*Deflactores!$A$5</f>
        <v>11.05884667297015</v>
      </c>
      <c r="E54" s="57">
        <f>1.062717388*Deflactores!$B$5</f>
        <v>3.5841329313581278</v>
      </c>
      <c r="F54" s="57">
        <f>7.36757275538999*Deflactores!$C$5</f>
        <v>23.224164418197056</v>
      </c>
      <c r="G54" s="57">
        <f>8.58197371639*Deflactores!$D$5</f>
        <v>25.403202113908943</v>
      </c>
      <c r="H54" s="57">
        <f>11.4031171549599*Deflactores!$E$5</f>
        <v>31.995200097400787</v>
      </c>
      <c r="I54" s="57">
        <f>8.77429770821999*Deflactores!$F$5</f>
        <v>23.479226226828143</v>
      </c>
      <c r="J54" s="57">
        <f>11.65714183993*Deflactores!$G$5</f>
        <v>29.856497563870626</v>
      </c>
      <c r="K54" s="57">
        <f>20.93919499082*Deflactores!$H$5</f>
        <v>50.740475264370552</v>
      </c>
      <c r="L54" s="57">
        <f>17.04992551237*Deflactores!$I$5</f>
        <v>38.371138974940095</v>
      </c>
      <c r="M54" s="57">
        <f>20.7066014237699*Deflactores!$J$5</f>
        <v>45.686002457864447</v>
      </c>
      <c r="N54" s="57">
        <f>24.02984087722*Deflactores!$K$5</f>
        <v>51.388584400298015</v>
      </c>
      <c r="O54" s="57">
        <f>38.07912427073*Deflactores!$L$5</f>
        <v>78.507692400975557</v>
      </c>
      <c r="P54" s="57">
        <f>33.42179785151*Deflactores!$M$5</f>
        <v>67.264434970056996</v>
      </c>
      <c r="Q54" s="57">
        <f>35.14800508274*Deflactores!$N$5</f>
        <v>69.392373376677526</v>
      </c>
      <c r="R54" s="57">
        <f>39.0767289976999*Deflactores!$O$5</f>
        <v>74.42486568963723</v>
      </c>
      <c r="S54" s="57">
        <f>37.11706677972*Deflactores!$P$5</f>
        <v>66.210102788686626</v>
      </c>
      <c r="T54" s="57">
        <f>52.77448568989*Deflactores!$Q$5</f>
        <v>89.021364631173128</v>
      </c>
      <c r="U54" s="57">
        <f>68.91064596491*Deflactores!$R$5</f>
        <v>111.67283723289104</v>
      </c>
      <c r="V54" s="57">
        <f>81.46567146615*Deflactores!$S$5</f>
        <v>127.95001677996042</v>
      </c>
    </row>
    <row r="55" spans="3:22" x14ac:dyDescent="0.2">
      <c r="C55" s="87" t="s">
        <v>125</v>
      </c>
      <c r="D55" s="56">
        <f>5.0011216421*Deflactores!$A$5</f>
        <v>18.156867830668581</v>
      </c>
      <c r="E55" s="56">
        <f>5.94429947522999*Deflactores!$B$5</f>
        <v>20.047813034396913</v>
      </c>
      <c r="F55" s="56">
        <f>20.7327861223699*Deflactores!$C$5</f>
        <v>65.354174263291057</v>
      </c>
      <c r="G55" s="56">
        <f>26.06584200239*Deflactores!$D$5</f>
        <v>77.156592939842454</v>
      </c>
      <c r="H55" s="56">
        <f>26.506704538*Deflactores!$E$5</f>
        <v>74.373287943210102</v>
      </c>
      <c r="I55" s="56">
        <f>39.99792735841*Deflactores!$F$5</f>
        <v>107.03083212831434</v>
      </c>
      <c r="J55" s="56">
        <f>45.03790471065*Deflactores!$G$5</f>
        <v>115.35195425600428</v>
      </c>
      <c r="K55" s="56">
        <f>52.3041580905*Deflactores!$H$5</f>
        <v>126.74497949793491</v>
      </c>
      <c r="L55" s="56">
        <f>59.2253059354*Deflactores!$I$5</f>
        <v>133.28752921716938</v>
      </c>
      <c r="M55" s="56">
        <f>46.141062034*Deflactores!$J$5</f>
        <v>101.8033152979873</v>
      </c>
      <c r="N55" s="56">
        <f>0*Deflactores!$K$5</f>
        <v>0</v>
      </c>
      <c r="O55" s="56">
        <f>0*Deflactores!$L$5</f>
        <v>0</v>
      </c>
      <c r="P55" s="56">
        <f>0*Deflactores!$M$5</f>
        <v>0</v>
      </c>
      <c r="Q55" s="56">
        <f>0*Deflactores!$N$5</f>
        <v>0</v>
      </c>
      <c r="R55" s="56">
        <f>0*Deflactores!$O$5</f>
        <v>0</v>
      </c>
      <c r="S55" s="56">
        <f>0*Deflactores!$P$5</f>
        <v>0</v>
      </c>
      <c r="T55" s="56">
        <f>0*Deflactores!$Q$5</f>
        <v>0</v>
      </c>
      <c r="U55" s="56">
        <f>0*Deflactores!$R$5</f>
        <v>0</v>
      </c>
      <c r="V55" s="56">
        <f>0*Deflactores!$S$5</f>
        <v>0</v>
      </c>
    </row>
    <row r="56" spans="3:22" x14ac:dyDescent="0.2">
      <c r="C56" s="88" t="s">
        <v>126</v>
      </c>
      <c r="D56" s="57">
        <f>0.767423013*Deflactores!$A$5</f>
        <v>2.786174625299354</v>
      </c>
      <c r="E56" s="57">
        <f>0.290857026*Deflactores!$B$5</f>
        <v>0.98094776369979486</v>
      </c>
      <c r="F56" s="57">
        <f>1.028965653*Deflactores!$C$5</f>
        <v>3.2435197180057656</v>
      </c>
      <c r="G56" s="57">
        <f>0.127919356*Deflactores!$D$5</f>
        <v>0.37864963959782394</v>
      </c>
      <c r="H56" s="57">
        <f>2.272435411*Deflactores!$E$5</f>
        <v>6.3760658331690943</v>
      </c>
      <c r="I56" s="57">
        <f>3.10901975*Deflactores!$F$5</f>
        <v>8.3194553548759611</v>
      </c>
      <c r="J56" s="57">
        <f>2.175061771*Deflactores!$G$5</f>
        <v>5.5708103546177306</v>
      </c>
      <c r="K56" s="57">
        <f>4.920850719*Deflactores!$H$5</f>
        <v>11.924350687624099</v>
      </c>
      <c r="L56" s="57">
        <f>10.4884077636*Deflactores!$I$5</f>
        <v>23.604334906387166</v>
      </c>
      <c r="M56" s="57">
        <f>13.6273551686*Deflactores!$J$5</f>
        <v>30.066710078852854</v>
      </c>
      <c r="N56" s="57">
        <f>14.3642611669*Deflactores!$K$5</f>
        <v>30.718432597817568</v>
      </c>
      <c r="O56" s="57">
        <f>18.07443329359*Deflactores!$L$5</f>
        <v>37.264041033260682</v>
      </c>
      <c r="P56" s="57">
        <f>16.76340375216*Deflactores!$M$5</f>
        <v>33.737888266026701</v>
      </c>
      <c r="Q56" s="57">
        <f>42.9016047916999*Deflactores!$N$5</f>
        <v>84.700231809919231</v>
      </c>
      <c r="R56" s="57">
        <f>52.273225058*Deflactores!$O$5</f>
        <v>99.558685025423301</v>
      </c>
      <c r="S56" s="57">
        <f>79.09879771742*Deflactores!$P$5</f>
        <v>141.09788250275679</v>
      </c>
      <c r="T56" s="57">
        <f>79.17216206013*Deflactores!$Q$5</f>
        <v>133.54964648652847</v>
      </c>
      <c r="U56" s="57">
        <f>114.446524580219*Deflactores!$R$5</f>
        <v>185.46580041964569</v>
      </c>
      <c r="V56" s="57">
        <f>116.476834320699*Deflactores!$S$5</f>
        <v>182.93856341689366</v>
      </c>
    </row>
    <row r="57" spans="3:22" x14ac:dyDescent="0.2">
      <c r="C57" s="87" t="s">
        <v>127</v>
      </c>
      <c r="D57" s="56">
        <f>0*Deflactores!$A$5</f>
        <v>0</v>
      </c>
      <c r="E57" s="56">
        <f>0*Deflactores!$B$5</f>
        <v>0</v>
      </c>
      <c r="F57" s="56">
        <f>0*Deflactores!$C$5</f>
        <v>0</v>
      </c>
      <c r="G57" s="56">
        <f>0*Deflactores!$D$5</f>
        <v>0</v>
      </c>
      <c r="H57" s="56">
        <f>0*Deflactores!$E$5</f>
        <v>0</v>
      </c>
      <c r="I57" s="56">
        <f>0*Deflactores!$F$5</f>
        <v>0</v>
      </c>
      <c r="J57" s="56">
        <f>0*Deflactores!$G$5</f>
        <v>0</v>
      </c>
      <c r="K57" s="56">
        <f>0*Deflactores!$H$5</f>
        <v>0</v>
      </c>
      <c r="L57" s="56">
        <f>0*Deflactores!$I$5</f>
        <v>0</v>
      </c>
      <c r="M57" s="56">
        <f>0*Deflactores!$J$5</f>
        <v>0</v>
      </c>
      <c r="N57" s="56">
        <f>0*Deflactores!$K$5</f>
        <v>0</v>
      </c>
      <c r="O57" s="56">
        <f>0*Deflactores!$L$5</f>
        <v>0</v>
      </c>
      <c r="P57" s="56">
        <f>0*Deflactores!$M$5</f>
        <v>0</v>
      </c>
      <c r="Q57" s="56">
        <f>0*Deflactores!$N$5</f>
        <v>0</v>
      </c>
      <c r="R57" s="56">
        <f>0*Deflactores!$O$5</f>
        <v>0</v>
      </c>
      <c r="S57" s="56">
        <f>0*Deflactores!$P$5</f>
        <v>0</v>
      </c>
      <c r="T57" s="56">
        <f>0*Deflactores!$Q$5</f>
        <v>0</v>
      </c>
      <c r="U57" s="56">
        <f>0*Deflactores!$R$5</f>
        <v>0</v>
      </c>
      <c r="V57" s="56">
        <f>0*Deflactores!$S$5</f>
        <v>0</v>
      </c>
    </row>
    <row r="58" spans="3:22" x14ac:dyDescent="0.2">
      <c r="C58" s="88" t="s">
        <v>128</v>
      </c>
      <c r="D58" s="57">
        <f>0.110112825*Deflactores!$A$5</f>
        <v>0.39977112197315395</v>
      </c>
      <c r="E58" s="57">
        <f>0.134241411*Deflactores!$B$5</f>
        <v>0.45274413249468842</v>
      </c>
      <c r="F58" s="57">
        <f>0.235194906*Deflactores!$C$5</f>
        <v>0.74138462538701722</v>
      </c>
      <c r="G58" s="57">
        <f>0.393911981*Deflactores!$D$5</f>
        <v>1.166005163744843</v>
      </c>
      <c r="H58" s="57">
        <f>0.589622361*Deflactores!$E$5</f>
        <v>1.6543796898457122</v>
      </c>
      <c r="I58" s="57">
        <f>0.461787985*Deflactores!$F$5</f>
        <v>1.2357028367624974</v>
      </c>
      <c r="J58" s="57">
        <f>2.305815455*Deflactores!$G$5</f>
        <v>5.9056992237263648</v>
      </c>
      <c r="K58" s="57">
        <f>2.97763172*Deflactores!$H$5</f>
        <v>7.2154850604955589</v>
      </c>
      <c r="L58" s="57">
        <f>2.603315972*Deflactores!$I$5</f>
        <v>5.8588055933041954</v>
      </c>
      <c r="M58" s="57">
        <f>3.093967776*Deflactores!$J$5</f>
        <v>6.8263746679658954</v>
      </c>
      <c r="N58" s="57">
        <f>6.042086124*Deflactores!$K$5</f>
        <v>12.921194706344822</v>
      </c>
      <c r="O58" s="57">
        <f>6.5263708449*Deflactores!$L$5</f>
        <v>13.455412239612455</v>
      </c>
      <c r="P58" s="57">
        <f>8.07377242931*Deflactores!$M$5</f>
        <v>16.249207865693119</v>
      </c>
      <c r="Q58" s="57">
        <f>7.18527594852*Deflactores!$N$5</f>
        <v>14.185822218371305</v>
      </c>
      <c r="R58" s="57">
        <f>7.99685104244999*Deflactores!$O$5</f>
        <v>15.230664900570567</v>
      </c>
      <c r="S58" s="57">
        <f>14.10024263784*Deflactores!$P$5</f>
        <v>25.152270785225312</v>
      </c>
      <c r="T58" s="57">
        <f>15.92549632639*Deflactores!$Q$5</f>
        <v>26.86353825851803</v>
      </c>
      <c r="U58" s="57">
        <f>8.599866694*Deflactores!$R$5</f>
        <v>13.936475273104444</v>
      </c>
      <c r="V58" s="57">
        <f>10.63036282977*Deflactores!$S$5</f>
        <v>16.696052189434177</v>
      </c>
    </row>
    <row r="59" spans="3:22" x14ac:dyDescent="0.2">
      <c r="C59" s="87" t="s">
        <v>129</v>
      </c>
      <c r="D59" s="56">
        <f>7.21262575329*Deflactores!$A$5</f>
        <v>26.18586426935471</v>
      </c>
      <c r="E59" s="56">
        <f>8.75865134876*Deflactores!$B$5</f>
        <v>29.539528653477721</v>
      </c>
      <c r="F59" s="56">
        <f>9.52102413243*Deflactores!$C$5</f>
        <v>30.012303539101165</v>
      </c>
      <c r="G59" s="56">
        <f>9.17939615728999*Deflactores!$D$5</f>
        <v>27.171611516583184</v>
      </c>
      <c r="H59" s="56">
        <f>16.81115388476*Deflactores!$E$5</f>
        <v>47.16922794896815</v>
      </c>
      <c r="I59" s="56">
        <f>15.9709902885*Deflactores!$F$5</f>
        <v>42.736923970435797</v>
      </c>
      <c r="J59" s="56">
        <f>21.24512186586*Deflactores!$G$5</f>
        <v>54.413417795042676</v>
      </c>
      <c r="K59" s="56">
        <f>14.667663945*Deflactores!$H$5</f>
        <v>35.543116147189899</v>
      </c>
      <c r="L59" s="56">
        <f>22.75498075126*Deflactores!$I$5</f>
        <v>51.210460019031217</v>
      </c>
      <c r="M59" s="56">
        <f>23.20263890351*Deflactores!$J$5</f>
        <v>51.193133835948728</v>
      </c>
      <c r="N59" s="56">
        <f>35.82100586768*Deflactores!$K$5</f>
        <v>76.604368407611531</v>
      </c>
      <c r="O59" s="56">
        <f>43.69068769902*Deflactores!$L$5</f>
        <v>90.077047105264029</v>
      </c>
      <c r="P59" s="56">
        <f>41.17788786357*Deflactores!$M$5</f>
        <v>82.874277820403464</v>
      </c>
      <c r="Q59" s="56">
        <f>33.33100086114*Deflactores!$N$5</f>
        <v>65.805079159681313</v>
      </c>
      <c r="R59" s="56">
        <f>48.37344954376*Deflactores!$O$5</f>
        <v>92.131239681056528</v>
      </c>
      <c r="S59" s="56">
        <f>87.2204518721999*Deflactores!$P$5</f>
        <v>155.5854377719665</v>
      </c>
      <c r="T59" s="56">
        <f>66.8094183374999*Deflactores!$Q$5</f>
        <v>112.69585127872726</v>
      </c>
      <c r="U59" s="56">
        <f>75.2055244444199*Deflactores!$R$5</f>
        <v>121.87397422703698</v>
      </c>
      <c r="V59" s="56">
        <f>60.69539856807*Deflactores!$S$5</f>
        <v>95.32821770796798</v>
      </c>
    </row>
    <row r="60" spans="3:22" x14ac:dyDescent="0.2">
      <c r="C60" s="88" t="s">
        <v>130</v>
      </c>
      <c r="D60" s="57">
        <f>6.917689511*Deflactores!$A$5</f>
        <v>25.11508080257126</v>
      </c>
      <c r="E60" s="57">
        <f>12.03410639055*Deflactores!$B$5</f>
        <v>40.586366141058704</v>
      </c>
      <c r="F60" s="57">
        <f>13.7299584874699*Deflactores!$C$5</f>
        <v>43.279764442739122</v>
      </c>
      <c r="G60" s="57">
        <f>11.69979258176*Deflactores!$D$5</f>
        <v>34.632149371145346</v>
      </c>
      <c r="H60" s="57">
        <f>12.86607683206*Deflactores!$E$5</f>
        <v>36.100015207792509</v>
      </c>
      <c r="I60" s="57">
        <f>11.40206241893*Deflactores!$F$5</f>
        <v>30.510886670242979</v>
      </c>
      <c r="J60" s="57">
        <f>18.66318358301*Deflactores!$G$5</f>
        <v>47.800507434123688</v>
      </c>
      <c r="K60" s="57">
        <f>14.46829588636*Deflactores!$H$5</f>
        <v>35.06000158369482</v>
      </c>
      <c r="L60" s="57">
        <f>14.48993519508*Deflactores!$I$5</f>
        <v>32.609838483159749</v>
      </c>
      <c r="M60" s="57">
        <f>8.16160844437*Deflactores!$J$5</f>
        <v>18.007361798232221</v>
      </c>
      <c r="N60" s="57">
        <f>0*Deflactores!$K$5</f>
        <v>0</v>
      </c>
      <c r="O60" s="57">
        <f>3.172530085*Deflactores!$L$5</f>
        <v>6.5408021013096178</v>
      </c>
      <c r="P60" s="57">
        <f>0*Deflactores!$M$5</f>
        <v>0</v>
      </c>
      <c r="Q60" s="57">
        <f>0*Deflactores!$N$5</f>
        <v>0</v>
      </c>
      <c r="R60" s="57">
        <f>0*Deflactores!$O$5</f>
        <v>0</v>
      </c>
      <c r="S60" s="57">
        <f>0*Deflactores!$P$5</f>
        <v>0</v>
      </c>
      <c r="T60" s="57">
        <f>0*Deflactores!$Q$5</f>
        <v>0</v>
      </c>
      <c r="U60" s="57">
        <f>0*Deflactores!$R$5</f>
        <v>0</v>
      </c>
      <c r="V60" s="57">
        <f>0*Deflactores!$S$5</f>
        <v>0</v>
      </c>
    </row>
    <row r="61" spans="3:22" x14ac:dyDescent="0.2">
      <c r="C61" s="87" t="s">
        <v>131</v>
      </c>
      <c r="D61" s="56">
        <f>88.85655027866*Deflactores!$A$5</f>
        <v>322.59895974482419</v>
      </c>
      <c r="E61" s="56">
        <f>99.17929733453*Deflactores!$B$5</f>
        <v>334.49324317035484</v>
      </c>
      <c r="F61" s="56">
        <f>130.63248999904*Deflactores!$C$5</f>
        <v>411.78153603935425</v>
      </c>
      <c r="G61" s="56">
        <f>134.54748541064*Deflactores!$D$5</f>
        <v>398.26933509212091</v>
      </c>
      <c r="H61" s="56">
        <f>138.42184262557*Deflactores!$E$5</f>
        <v>388.38806025330251</v>
      </c>
      <c r="I61" s="56">
        <f>149.40221290245*Deflactores!$F$5</f>
        <v>399.78679458746001</v>
      </c>
      <c r="J61" s="56">
        <f>68.11224037019*Deflactores!$G$5</f>
        <v>174.45038986456731</v>
      </c>
      <c r="K61" s="56">
        <f>16.03621764636*Deflactores!$H$5</f>
        <v>38.859435865415158</v>
      </c>
      <c r="L61" s="56">
        <f>17.13660215002*Deflactores!$I$5</f>
        <v>38.566206179587745</v>
      </c>
      <c r="M61" s="56">
        <f>27.59628116223*Deflactores!$J$5</f>
        <v>60.887044822250701</v>
      </c>
      <c r="N61" s="56">
        <f>3.900918542*Deflactores!$K$5</f>
        <v>8.3422392498774585</v>
      </c>
      <c r="O61" s="56">
        <f>4.43949667109*Deflactores!$L$5</f>
        <v>9.1529058439244153</v>
      </c>
      <c r="P61" s="56">
        <f>5.46275456291999*Deflactores!$M$5</f>
        <v>10.994294821824267</v>
      </c>
      <c r="Q61" s="56">
        <f>15.76222204436*Deflactores!$N$5</f>
        <v>31.119205621301223</v>
      </c>
      <c r="R61" s="56">
        <f>6.03571215*Deflactores!$O$5</f>
        <v>11.495513509626212</v>
      </c>
      <c r="S61" s="56">
        <f>9.06207895043*Deflactores!$P$5</f>
        <v>16.165102225022586</v>
      </c>
      <c r="T61" s="56">
        <f>10.7161556452699*Deflactores!$Q$5</f>
        <v>18.076287938599986</v>
      </c>
      <c r="U61" s="56">
        <f>13.6330621061699*Deflactores!$R$5</f>
        <v>22.092997449820007</v>
      </c>
      <c r="V61" s="56">
        <f>10.03837515781*Deflactores!$S$5</f>
        <v>15.766276110778952</v>
      </c>
    </row>
    <row r="62" spans="3:22" x14ac:dyDescent="0.2">
      <c r="C62" s="88" t="s">
        <v>132</v>
      </c>
      <c r="D62" s="57">
        <f>10.7303846523199*Deflactores!$A$5</f>
        <v>38.957295952232975</v>
      </c>
      <c r="E62" s="57">
        <f>14.35896077104*Deflactores!$B$5</f>
        <v>48.427196864086646</v>
      </c>
      <c r="F62" s="57">
        <f>13.98099950814*Deflactores!$C$5</f>
        <v>44.071099409263759</v>
      </c>
      <c r="G62" s="57">
        <f>4.93750024996999*Deflactores!$D$5</f>
        <v>14.615322877057809</v>
      </c>
      <c r="H62" s="57">
        <f>9.23444872430999*Deflactores!$E$5</f>
        <v>25.910286696911914</v>
      </c>
      <c r="I62" s="57">
        <f>7.83337265804999*Deflactores!$F$5</f>
        <v>20.961395985584502</v>
      </c>
      <c r="J62" s="57">
        <f>16.65211071796*Deflactores!$G$5</f>
        <v>42.649708643080395</v>
      </c>
      <c r="K62" s="57">
        <f>16.14065559263*Deflactores!$H$5</f>
        <v>39.112512979014696</v>
      </c>
      <c r="L62" s="57">
        <f>25.27236688397*Deflactores!$I$5</f>
        <v>56.875879089731626</v>
      </c>
      <c r="M62" s="57">
        <f>60.24449437957*Deflactores!$J$5</f>
        <v>132.92041808166215</v>
      </c>
      <c r="N62" s="57">
        <f>63.1095737997599*Deflactores!$K$5</f>
        <v>134.96184499291581</v>
      </c>
      <c r="O62" s="57">
        <f>66.15572337629*Deflactores!$L$5</f>
        <v>136.39318867902728</v>
      </c>
      <c r="P62" s="57">
        <f>76.0819283712*Deflactores!$M$5</f>
        <v>153.12186214691926</v>
      </c>
      <c r="Q62" s="57">
        <f>98.69501671383*Deflactores!$N$5</f>
        <v>194.85263627626699</v>
      </c>
      <c r="R62" s="57">
        <f>102.08940218641*Deflactores!$O$5</f>
        <v>194.43771884044205</v>
      </c>
      <c r="S62" s="57">
        <f>129.40824410987*Deflactores!$P$5</f>
        <v>230.8407934028719</v>
      </c>
      <c r="T62" s="57">
        <f>189.79637944675*Deflactores!$Q$5</f>
        <v>320.15343171108111</v>
      </c>
      <c r="U62" s="57">
        <f>256.027164765629*Deflactores!$R$5</f>
        <v>414.9036697846314</v>
      </c>
      <c r="V62" s="57">
        <f>333.99729948606*Deflactores!$S$5</f>
        <v>524.57629458636143</v>
      </c>
    </row>
    <row r="63" spans="3:22" x14ac:dyDescent="0.2">
      <c r="C63" s="87" t="s">
        <v>133</v>
      </c>
      <c r="D63" s="56">
        <f>0*Deflactores!$A$5</f>
        <v>0</v>
      </c>
      <c r="E63" s="56">
        <f>0*Deflactores!$B$5</f>
        <v>0</v>
      </c>
      <c r="F63" s="56">
        <f>0*Deflactores!$C$5</f>
        <v>0</v>
      </c>
      <c r="G63" s="56">
        <f>0*Deflactores!$D$5</f>
        <v>0</v>
      </c>
      <c r="H63" s="56">
        <f>0.917822978*Deflactores!$E$5</f>
        <v>2.5752545936379572</v>
      </c>
      <c r="I63" s="56">
        <f>2.6084096012*Deflactores!$F$5</f>
        <v>6.9798679228117519</v>
      </c>
      <c r="J63" s="56">
        <f>5.9*Deflactores!$G$5</f>
        <v>15.11119432582065</v>
      </c>
      <c r="K63" s="56">
        <f>1.09751816106*Deflactores!$H$5</f>
        <v>2.6595383981035061</v>
      </c>
      <c r="L63" s="56">
        <f>4.94609906*Deflactores!$I$5</f>
        <v>11.131277628009968</v>
      </c>
      <c r="M63" s="56">
        <f>4.502234*Deflactores!$J$5</f>
        <v>9.9335023348526192</v>
      </c>
      <c r="N63" s="56">
        <f>3.431674708*Deflactores!$K$5</f>
        <v>7.3387462808213053</v>
      </c>
      <c r="O63" s="56">
        <f>5.324889945*Deflactores!$L$5</f>
        <v>10.978320270680255</v>
      </c>
      <c r="P63" s="56">
        <f>4.41460858764999*Deflactores!$M$5</f>
        <v>8.8848048684138003</v>
      </c>
      <c r="Q63" s="56">
        <f>3.53564383299*Deflactores!$N$5</f>
        <v>6.980388116145769</v>
      </c>
      <c r="R63" s="56">
        <f>3.98813691490999*Deflactores!$O$5</f>
        <v>7.5957369477248502</v>
      </c>
      <c r="S63" s="56">
        <f>2.472103375*Deflactores!$P$5</f>
        <v>4.4097832281412801</v>
      </c>
      <c r="T63" s="56">
        <f>2.98089424655*Deflactores!$Q$5</f>
        <v>5.028249355349554</v>
      </c>
      <c r="U63" s="56">
        <f>7.78810775331*Deflactores!$R$5</f>
        <v>12.620982974538865</v>
      </c>
      <c r="V63" s="56">
        <f>25.22369865832*Deflactores!$S$5</f>
        <v>39.616351384591759</v>
      </c>
    </row>
    <row r="64" spans="3:22" x14ac:dyDescent="0.2">
      <c r="C64" s="88" t="s">
        <v>134</v>
      </c>
      <c r="D64" s="57">
        <f>7.4030269236*Deflactores!$A$5</f>
        <v>26.87712697630851</v>
      </c>
      <c r="E64" s="57">
        <f>11.08305770535*Deflactores!$B$5</f>
        <v>37.378848365928292</v>
      </c>
      <c r="F64" s="57">
        <f>17.4207050769599*Deflactores!$C$5</f>
        <v>54.913786727420131</v>
      </c>
      <c r="G64" s="57">
        <f>15.08373477376*Deflactores!$D$5</f>
        <v>44.648839037880926</v>
      </c>
      <c r="H64" s="57">
        <f>16.2718543383299*Deflactores!$E$5</f>
        <v>45.656045486139263</v>
      </c>
      <c r="I64" s="57">
        <f>23.0512667862999*Deflactores!$F$5</f>
        <v>61.683102817843832</v>
      </c>
      <c r="J64" s="57">
        <f>11.98074788608*Deflactores!$G$5</f>
        <v>30.685323639867764</v>
      </c>
      <c r="K64" s="57">
        <f>14.27582194667*Deflactores!$H$5</f>
        <v>34.593593052700285</v>
      </c>
      <c r="L64" s="57">
        <f>13.5422993706699*Deflactores!$I$5</f>
        <v>30.477168408461139</v>
      </c>
      <c r="M64" s="57">
        <f>10.0651656352*Deflactores!$J$5</f>
        <v>22.207274508152519</v>
      </c>
      <c r="N64" s="57">
        <f>11.1853314043*Deflactores!$K$5</f>
        <v>23.92018947824479</v>
      </c>
      <c r="O64" s="57">
        <f>10.40983253541*Deflactores!$L$5</f>
        <v>21.461941320531544</v>
      </c>
      <c r="P64" s="57">
        <f>14.77170839575*Deflactores!$M$5</f>
        <v>29.7294186027063</v>
      </c>
      <c r="Q64" s="57">
        <f>18.06433416822*Deflactores!$N$5</f>
        <v>35.664243772906495</v>
      </c>
      <c r="R64" s="57">
        <f>21.844530181036*Deflactores!$O$5</f>
        <v>41.604716322917561</v>
      </c>
      <c r="S64" s="57">
        <f>21.7296389743699*Deflactores!$P$5</f>
        <v>38.761727552247478</v>
      </c>
      <c r="T64" s="57">
        <f>18.0046768588199*Deflactores!$Q$5</f>
        <v>30.370753646633819</v>
      </c>
      <c r="U64" s="57">
        <f>25.91607595112*Deflactores!$R$5</f>
        <v>41.998180264895232</v>
      </c>
      <c r="V64" s="57">
        <f>26.75419579889*Deflactores!$S$5</f>
        <v>42.020150816834601</v>
      </c>
    </row>
    <row r="65" spans="3:22" x14ac:dyDescent="0.2">
      <c r="C65" s="87" t="s">
        <v>135</v>
      </c>
      <c r="D65" s="56"/>
      <c r="E65" s="56"/>
      <c r="F65" s="56"/>
      <c r="G65" s="56"/>
      <c r="H65" s="56"/>
      <c r="I65" s="56"/>
      <c r="J65" s="56"/>
      <c r="K65" s="56"/>
      <c r="L65" s="56"/>
      <c r="M65" s="56"/>
      <c r="N65" s="56"/>
      <c r="O65" s="56"/>
      <c r="P65" s="56"/>
      <c r="Q65" s="56"/>
      <c r="R65" s="56"/>
      <c r="S65" s="56"/>
      <c r="T65" s="56"/>
      <c r="U65" s="56"/>
      <c r="V65" s="56"/>
    </row>
    <row r="66" spans="3:22" x14ac:dyDescent="0.2">
      <c r="C66" s="88" t="s">
        <v>136</v>
      </c>
      <c r="D66" s="57">
        <f>783.75635207105*Deflactores!$A$5</f>
        <v>2845.4737785633042</v>
      </c>
      <c r="E66" s="57">
        <f>804.191050811169*Deflactores!$B$5</f>
        <v>2712.2240219859923</v>
      </c>
      <c r="F66" s="57">
        <f>897.48324592748*Deflactores!$C$5</f>
        <v>2829.0590616493578</v>
      </c>
      <c r="G66" s="57">
        <f>986.61322323573*Deflactores!$D$5</f>
        <v>2920.4395103478832</v>
      </c>
      <c r="H66" s="57">
        <f>1054.70162683411*Deflactores!$E$5</f>
        <v>2959.3127155528332</v>
      </c>
      <c r="I66" s="57">
        <f>1144.4134547831*Deflactores!$F$5</f>
        <v>3062.3467877897401</v>
      </c>
      <c r="J66" s="57">
        <f>1506.35720168513*Deflactores!$G$5</f>
        <v>3858.1112540276958</v>
      </c>
      <c r="K66" s="57">
        <f>2057.71292613796*Deflactores!$H$5</f>
        <v>4986.3106903418702</v>
      </c>
      <c r="L66" s="57">
        <f>2578.49651102968*Deflactores!$I$5</f>
        <v>5802.9489864536663</v>
      </c>
      <c r="M66" s="57">
        <f>3378.34592939794*Deflactores!$J$5</f>
        <v>7453.8123024290335</v>
      </c>
      <c r="N66" s="57">
        <f>2699.11896025672*Deflactores!$K$5</f>
        <v>5772.1523502507553</v>
      </c>
      <c r="O66" s="57">
        <f>2758.98269483588*Deflactores!$L$5</f>
        <v>5688.191860869113</v>
      </c>
      <c r="P66" s="57">
        <f>2851.41649076732*Deflactores!$M$5</f>
        <v>5738.7373344758898</v>
      </c>
      <c r="Q66" s="57">
        <f>3296.97782184062*Deflactores!$N$5</f>
        <v>6509.1920719033342</v>
      </c>
      <c r="R66" s="57">
        <f>1153.41833109045*Deflactores!$O$5</f>
        <v>2196.7807075260848</v>
      </c>
      <c r="S66" s="57">
        <f>1255.36784704984*Deflactores!$P$5</f>
        <v>2239.3481328701364</v>
      </c>
      <c r="T66" s="57">
        <f>2274.79825354112*Deflactores!$Q$5</f>
        <v>3837.1884092019463</v>
      </c>
      <c r="U66" s="57">
        <f>2469.56078951237*Deflactores!$R$5</f>
        <v>4002.0356248637722</v>
      </c>
      <c r="V66" s="57">
        <f>2317.27116193752*Deflactores!$S$5</f>
        <v>3639.5070306002617</v>
      </c>
    </row>
    <row r="67" spans="3:22" x14ac:dyDescent="0.2">
      <c r="C67" s="87" t="s">
        <v>137</v>
      </c>
      <c r="D67" s="56">
        <f>9.16418072909*Deflactores!$A$5</f>
        <v>33.271100001594412</v>
      </c>
      <c r="E67" s="56">
        <f>11.69453653486*Deflactores!$B$5</f>
        <v>39.44112892557893</v>
      </c>
      <c r="F67" s="56">
        <f>18.05998607355*Deflactores!$C$5</f>
        <v>56.928937098806102</v>
      </c>
      <c r="G67" s="56">
        <f>22.33358455534*Deflactores!$D$5</f>
        <v>66.108867393039546</v>
      </c>
      <c r="H67" s="56">
        <f>21.62871002702*Deflactores!$E$5</f>
        <v>60.686468073527138</v>
      </c>
      <c r="I67" s="56">
        <f>44.53138977466*Deflactores!$F$5</f>
        <v>119.16196708652744</v>
      </c>
      <c r="J67" s="56">
        <f>46.13845432529*Deflactores!$G$5</f>
        <v>118.17070325465379</v>
      </c>
      <c r="K67" s="56">
        <f>28.49453422167*Deflactores!$H$5</f>
        <v>69.048796263575312</v>
      </c>
      <c r="L67" s="56">
        <f>44.8560445389499*Deflactores!$I$5</f>
        <v>100.94926911096515</v>
      </c>
      <c r="M67" s="56">
        <f>44.18754418004*Deflactores!$J$5</f>
        <v>97.493171897291575</v>
      </c>
      <c r="N67" s="56">
        <f>35.22992994866*Deflactores!$K$5</f>
        <v>75.340333622415031</v>
      </c>
      <c r="O67" s="56">
        <f>37.00266176156*Deflactores!$L$5</f>
        <v>76.288350723098247</v>
      </c>
      <c r="P67" s="56">
        <f>42.4254209544599*Deflactores!$M$5</f>
        <v>85.385052639818724</v>
      </c>
      <c r="Q67" s="56">
        <f>44.96291783831*Deflactores!$N$5</f>
        <v>88.769862625092472</v>
      </c>
      <c r="R67" s="56">
        <f>54.6884594046*Deflactores!$O$5</f>
        <v>104.15869880511515</v>
      </c>
      <c r="S67" s="56">
        <f>41.2972567344199*Deflactores!$P$5</f>
        <v>73.666802107613904</v>
      </c>
      <c r="T67" s="56">
        <f>35.0278453277*Deflactores!$Q$5</f>
        <v>59.085873607269924</v>
      </c>
      <c r="U67" s="56">
        <f>64.05267357061*Deflactores!$R$5</f>
        <v>103.8002719293124</v>
      </c>
      <c r="V67" s="56">
        <f>41.36061043726*Deflactores!$S$5</f>
        <v>64.960991596021557</v>
      </c>
    </row>
    <row r="68" spans="3:22" x14ac:dyDescent="0.2">
      <c r="C68" s="88" t="s">
        <v>138</v>
      </c>
      <c r="D68" s="57">
        <f>3.91711488534*Deflactores!$A$5</f>
        <v>14.221317204513772</v>
      </c>
      <c r="E68" s="57">
        <f>4.09519986397*Deflactores!$B$5</f>
        <v>13.811518338446721</v>
      </c>
      <c r="F68" s="57">
        <f>5.52525726338*Deflactores!$C$5</f>
        <v>17.416792123796583</v>
      </c>
      <c r="G68" s="57">
        <f>17.00957829135*Deflactores!$D$5</f>
        <v>50.349461497684892</v>
      </c>
      <c r="H68" s="57">
        <f>25.34981986463*Deflactores!$E$5</f>
        <v>71.127267042864503</v>
      </c>
      <c r="I68" s="57">
        <f>17.8148936322399*Deflactores!$F$5</f>
        <v>47.671042368027386</v>
      </c>
      <c r="J68" s="57">
        <f>38.53041158853*Deflactores!$G$5</f>
        <v>98.684836774259097</v>
      </c>
      <c r="K68" s="57">
        <f>36.11206215059*Deflactores!$H$5</f>
        <v>87.507814751271269</v>
      </c>
      <c r="L68" s="57">
        <f>51.51198866141*Deflactores!$I$5</f>
        <v>115.92858129312442</v>
      </c>
      <c r="M68" s="57">
        <f>32.53208580133*Deflactores!$J$5</f>
        <v>71.777155577683715</v>
      </c>
      <c r="N68" s="57">
        <f>37.64325783754*Deflactores!$K$5</f>
        <v>80.50131261253685</v>
      </c>
      <c r="O68" s="57">
        <f>26.999793958*Deflactores!$L$5</f>
        <v>55.665448182948637</v>
      </c>
      <c r="P68" s="57">
        <f>10*Deflactores!$M$5</f>
        <v>20.125917602908959</v>
      </c>
      <c r="Q68" s="57">
        <f>5*Deflactores!$N$5</f>
        <v>9.8714526206145603</v>
      </c>
      <c r="R68" s="57">
        <f>0*Deflactores!$O$5</f>
        <v>0</v>
      </c>
      <c r="S68" s="57">
        <f>0*Deflactores!$P$5</f>
        <v>0</v>
      </c>
      <c r="T68" s="57">
        <f>0*Deflactores!$Q$5</f>
        <v>0</v>
      </c>
      <c r="U68" s="57">
        <f>0*Deflactores!$R$5</f>
        <v>0</v>
      </c>
      <c r="V68" s="57">
        <f>0*Deflactores!$S$5</f>
        <v>0</v>
      </c>
    </row>
    <row r="69" spans="3:22" x14ac:dyDescent="0.2">
      <c r="C69" s="87" t="s">
        <v>139</v>
      </c>
      <c r="D69" s="56">
        <f>64.36264744443*Deflactores!$A$5</f>
        <v>233.6723972164217</v>
      </c>
      <c r="E69" s="56">
        <f>55.61952653211*Deflactores!$B$5</f>
        <v>187.58305728435354</v>
      </c>
      <c r="F69" s="56">
        <f>79.56779913279*Deflactores!$C$5</f>
        <v>250.81471344848322</v>
      </c>
      <c r="G69" s="56">
        <f>67.48878974761*Deflactores!$D$5</f>
        <v>199.77122082154509</v>
      </c>
      <c r="H69" s="56">
        <f>108.46387496175*Deflactores!$E$5</f>
        <v>304.3311171481912</v>
      </c>
      <c r="I69" s="56">
        <f>103.75606151124*Deflactores!$F$5</f>
        <v>277.6418263475249</v>
      </c>
      <c r="J69" s="56">
        <f>114.12112459343*Deflactores!$G$5</f>
        <v>292.28923566313739</v>
      </c>
      <c r="K69" s="56">
        <f>149.89817971907*Deflactores!$H$5</f>
        <v>363.23769292678941</v>
      </c>
      <c r="L69" s="56">
        <f>272.27543562105*Deflactores!$I$5</f>
        <v>612.76036497038183</v>
      </c>
      <c r="M69" s="56">
        <f>306.74790240321*Deflactores!$J$5</f>
        <v>676.79312197754041</v>
      </c>
      <c r="N69" s="56">
        <f>259.9464065344*Deflactores!$K$5</f>
        <v>555.90371654981209</v>
      </c>
      <c r="O69" s="56">
        <f>200.30747241681*Deflactores!$L$5</f>
        <v>412.97371542243042</v>
      </c>
      <c r="P69" s="56">
        <f>253.80679463581*Deflactores!$M$5</f>
        <v>510.80946358987484</v>
      </c>
      <c r="Q69" s="56">
        <f>340.03298142215*Deflactores!$N$5</f>
        <v>671.32389311101292</v>
      </c>
      <c r="R69" s="56">
        <f>332.06259455702*Deflactores!$O$5</f>
        <v>632.44070408025595</v>
      </c>
      <c r="S69" s="56">
        <f>452.827952995599*Deflactores!$P$5</f>
        <v>807.76278716643083</v>
      </c>
      <c r="T69" s="56">
        <f>538.61542109368*Deflactores!$Q$5</f>
        <v>908.55039457710507</v>
      </c>
      <c r="U69" s="56">
        <f>574.6538301149*Deflactores!$R$5</f>
        <v>931.25267855356196</v>
      </c>
      <c r="V69" s="56">
        <f>33.53913998675*Deflactores!$S$5</f>
        <v>52.676586921316996</v>
      </c>
    </row>
    <row r="70" spans="3:22" x14ac:dyDescent="0.2">
      <c r="C70" s="88" t="s">
        <v>140</v>
      </c>
      <c r="D70" s="57">
        <f>7.76798867261*Deflactores!$A$5</f>
        <v>28.202142185744943</v>
      </c>
      <c r="E70" s="57">
        <f>32.89961187753*Deflactores!$B$5</f>
        <v>110.95761082922665</v>
      </c>
      <c r="F70" s="57">
        <f>9.8005457963*Deflactores!$C$5</f>
        <v>30.893415581790624</v>
      </c>
      <c r="G70" s="57">
        <f>7.18372860872999*Deflactores!$D$5</f>
        <v>21.264305369581347</v>
      </c>
      <c r="H70" s="57">
        <f>35.0357179659*Deflactores!$E$5</f>
        <v>98.304243624077017</v>
      </c>
      <c r="I70" s="57">
        <f>215.98553864273*Deflactores!$F$5</f>
        <v>577.95774569686444</v>
      </c>
      <c r="J70" s="57">
        <f>227.957002549829*Deflactores!$G$5</f>
        <v>583.84789211221346</v>
      </c>
      <c r="K70" s="57">
        <f>115.259678674589*Deflactores!$H$5</f>
        <v>279.30065493593526</v>
      </c>
      <c r="L70" s="57">
        <f>235.40005174949*Deflactores!$I$5</f>
        <v>529.7717045059519</v>
      </c>
      <c r="M70" s="57">
        <f>253.58308678879*Deflactores!$J$5</f>
        <v>559.49295054312597</v>
      </c>
      <c r="N70" s="57">
        <f>277.06831678735*Deflactores!$K$5</f>
        <v>592.51947004663009</v>
      </c>
      <c r="O70" s="57">
        <f>468.92564922068*Deflactores!$L$5</f>
        <v>966.7835417171782</v>
      </c>
      <c r="P70" s="57">
        <f>477.40073643226*Deflactores!$M$5</f>
        <v>960.81278850037222</v>
      </c>
      <c r="Q70" s="57">
        <f>449.53578397965*Deflactores!$N$5</f>
        <v>887.51423856518738</v>
      </c>
      <c r="R70" s="57">
        <f>286.1552494147*Deflactores!$O$5</f>
        <v>545.00636441006259</v>
      </c>
      <c r="S70" s="57">
        <f>177.81687981949*Deflactores!$P$5</f>
        <v>317.19300343109666</v>
      </c>
      <c r="T70" s="57">
        <f>235.95637273672*Deflactores!$Q$5</f>
        <v>398.01729983450139</v>
      </c>
      <c r="U70" s="57">
        <f>177.72026931991*Deflactores!$R$5</f>
        <v>288.00378273705229</v>
      </c>
      <c r="V70" s="57">
        <f>220.66633762977*Deflactores!$S$5</f>
        <v>346.57863974316064</v>
      </c>
    </row>
    <row r="71" spans="3:22" x14ac:dyDescent="0.2">
      <c r="C71" s="87" t="s">
        <v>141</v>
      </c>
      <c r="D71" s="56">
        <f>0*Deflactores!$A$5</f>
        <v>0</v>
      </c>
      <c r="E71" s="56">
        <f>0*Deflactores!$B$5</f>
        <v>0</v>
      </c>
      <c r="F71" s="56">
        <f>0*Deflactores!$C$5</f>
        <v>0</v>
      </c>
      <c r="G71" s="56">
        <f>0*Deflactores!$D$5</f>
        <v>0</v>
      </c>
      <c r="H71" s="56">
        <f>0*Deflactores!$E$5</f>
        <v>0</v>
      </c>
      <c r="I71" s="56">
        <f>0*Deflactores!$F$5</f>
        <v>0</v>
      </c>
      <c r="J71" s="56">
        <f>0*Deflactores!$G$5</f>
        <v>0</v>
      </c>
      <c r="K71" s="56">
        <f>1.033709844*Deflactores!$H$5</f>
        <v>2.5049162010771417</v>
      </c>
      <c r="L71" s="56">
        <f>0.786042999*Deflactores!$I$5</f>
        <v>1.7690027521249365</v>
      </c>
      <c r="M71" s="56">
        <f>0.094315157*Deflactores!$J$5</f>
        <v>0.20809221205994433</v>
      </c>
      <c r="N71" s="56">
        <f>0.301809918*Deflactores!$K$5</f>
        <v>0.64543017672218228</v>
      </c>
      <c r="O71" s="56">
        <f>5.441148*Deflactores!$L$5</f>
        <v>11.218009386327576</v>
      </c>
      <c r="P71" s="56">
        <f>0.16075268*Deflactores!$M$5</f>
        <v>0.32352951921267914</v>
      </c>
      <c r="Q71" s="56">
        <f>0.327883872*Deflactores!$N$5</f>
        <v>0.64733802150232989</v>
      </c>
      <c r="R71" s="56">
        <f>2.868343936*Deflactores!$O$5</f>
        <v>5.4629985073993996</v>
      </c>
      <c r="S71" s="56">
        <f>0*Deflactores!$P$5</f>
        <v>0</v>
      </c>
      <c r="T71" s="56">
        <f>0.473329598*Deflactores!$Q$5</f>
        <v>0.79842458308137843</v>
      </c>
      <c r="U71" s="56">
        <f>0*Deflactores!$R$5</f>
        <v>0</v>
      </c>
      <c r="V71" s="56">
        <f>0*Deflactores!$S$5</f>
        <v>0</v>
      </c>
    </row>
    <row r="72" spans="3:22" x14ac:dyDescent="0.2">
      <c r="C72" s="88" t="s">
        <v>142</v>
      </c>
      <c r="D72" s="57">
        <f>1.60707621494*Deflactores!$A$5</f>
        <v>5.834585222411043</v>
      </c>
      <c r="E72" s="57">
        <f>3.92720358312*Deflactores!$B$5</f>
        <v>13.24493214221129</v>
      </c>
      <c r="F72" s="57">
        <f>4.85115981739999*Deflactores!$C$5</f>
        <v>15.291892860620214</v>
      </c>
      <c r="G72" s="57">
        <f>4.712578767*Deflactores!$D$5</f>
        <v>13.949540612922625</v>
      </c>
      <c r="H72" s="57">
        <f>6.74760077899999*Deflactores!$E$5</f>
        <v>18.932615895082531</v>
      </c>
      <c r="I72" s="57">
        <f>6.88851664572*Deflactores!$F$5</f>
        <v>18.433046845516969</v>
      </c>
      <c r="J72" s="57">
        <f>6.99672734065*Deflactores!$G$5</f>
        <v>17.920153642261774</v>
      </c>
      <c r="K72" s="57">
        <f>8.93850071522*Deflactores!$H$5</f>
        <v>21.660038728328288</v>
      </c>
      <c r="L72" s="57">
        <f>12.90488368072*Deflactores!$I$5</f>
        <v>29.042653870193504</v>
      </c>
      <c r="M72" s="57">
        <f>15.35513065792*Deflactores!$J$5</f>
        <v>33.878786896108764</v>
      </c>
      <c r="N72" s="57">
        <f>22.71480381291*Deflactores!$K$5</f>
        <v>48.576335517165475</v>
      </c>
      <c r="O72" s="57">
        <f>25.4518601440199*Deflactores!$L$5</f>
        <v>52.474074587773018</v>
      </c>
      <c r="P72" s="57">
        <f>27.23400668907*Deflactores!$M$5</f>
        <v>54.810937462129431</v>
      </c>
      <c r="Q72" s="57">
        <f>38.2486069114*Deflactores!$N$5</f>
        <v>75.513862186079152</v>
      </c>
      <c r="R72" s="57">
        <f>16.84911320897*Deflactores!$O$5</f>
        <v>32.090531109727635</v>
      </c>
      <c r="S72" s="57">
        <f>19.13725023883*Deflactores!$P$5</f>
        <v>34.137377097321121</v>
      </c>
      <c r="T72" s="57">
        <f>16.02984097178*Deflactores!$Q$5</f>
        <v>27.039549499615795</v>
      </c>
      <c r="U72" s="57">
        <f>16.43177132524*Deflactores!$R$5</f>
        <v>26.628433081094677</v>
      </c>
      <c r="V72" s="57">
        <f>17.58606328075*Deflactores!$S$5</f>
        <v>27.620678150309832</v>
      </c>
    </row>
    <row r="73" spans="3:22" x14ac:dyDescent="0.2">
      <c r="C73" s="87" t="s">
        <v>143</v>
      </c>
      <c r="D73" s="56">
        <f>0.0585*Deflactores!$A$5</f>
        <v>0.21238770901963061</v>
      </c>
      <c r="E73" s="56">
        <f>0*Deflactores!$B$5</f>
        <v>0</v>
      </c>
      <c r="F73" s="56">
        <f>0*Deflactores!$C$5</f>
        <v>0</v>
      </c>
      <c r="G73" s="56">
        <f>0*Deflactores!$D$5</f>
        <v>0</v>
      </c>
      <c r="H73" s="56">
        <f>51.62513713616*Deflactores!$E$5</f>
        <v>144.85132181674965</v>
      </c>
      <c r="I73" s="56">
        <f>8.41141910152*Deflactores!$F$5</f>
        <v>22.508195930967155</v>
      </c>
      <c r="J73" s="56">
        <f>0*Deflactores!$G$5</f>
        <v>0</v>
      </c>
      <c r="K73" s="56">
        <f>0*Deflactores!$H$5</f>
        <v>0</v>
      </c>
      <c r="L73" s="56">
        <f>0*Deflactores!$I$5</f>
        <v>0</v>
      </c>
      <c r="M73" s="56">
        <f>0*Deflactores!$J$5</f>
        <v>0</v>
      </c>
      <c r="N73" s="56">
        <f>0*Deflactores!$K$5</f>
        <v>0</v>
      </c>
      <c r="O73" s="56">
        <f>0*Deflactores!$L$5</f>
        <v>0</v>
      </c>
      <c r="P73" s="56">
        <f>1.837994*Deflactores!$M$5</f>
        <v>3.6991315798641051</v>
      </c>
      <c r="Q73" s="56">
        <f>3.565116884*Deflactores!$N$5</f>
        <v>7.0385764814718028</v>
      </c>
      <c r="R73" s="56">
        <f>11.10531429688*Deflactores!$O$5</f>
        <v>21.150990530326922</v>
      </c>
      <c r="S73" s="56">
        <f>0.260502065*Deflactores!$P$5</f>
        <v>0.46468834950446586</v>
      </c>
      <c r="T73" s="56">
        <f>11.80826940417*Deflactores!$Q$5</f>
        <v>19.918493615810245</v>
      </c>
      <c r="U73" s="56">
        <f>20.3188699500599*Deflactores!$R$5</f>
        <v>32.927653266300119</v>
      </c>
      <c r="V73" s="56">
        <f>56.06953242524*Deflactores!$S$5</f>
        <v>88.062830460249984</v>
      </c>
    </row>
    <row r="74" spans="3:22" x14ac:dyDescent="0.2">
      <c r="C74" s="88" t="s">
        <v>144</v>
      </c>
      <c r="D74" s="57">
        <f>0*Deflactores!$A$5</f>
        <v>0</v>
      </c>
      <c r="E74" s="57">
        <f>0*Deflactores!$B$5</f>
        <v>0</v>
      </c>
      <c r="F74" s="57">
        <f>0*Deflactores!$C$5</f>
        <v>0</v>
      </c>
      <c r="G74" s="57">
        <f>0*Deflactores!$D$5</f>
        <v>0</v>
      </c>
      <c r="H74" s="57">
        <f>0*Deflactores!$E$5</f>
        <v>0</v>
      </c>
      <c r="I74" s="57">
        <f>0*Deflactores!$F$5</f>
        <v>0</v>
      </c>
      <c r="J74" s="57">
        <f>0*Deflactores!$G$5</f>
        <v>0</v>
      </c>
      <c r="K74" s="57">
        <f>0*Deflactores!$H$5</f>
        <v>0</v>
      </c>
      <c r="L74" s="57">
        <f>0*Deflactores!$I$5</f>
        <v>0</v>
      </c>
      <c r="M74" s="57">
        <f>0*Deflactores!$J$5</f>
        <v>0</v>
      </c>
      <c r="N74" s="57">
        <f>0*Deflactores!$K$5</f>
        <v>0</v>
      </c>
      <c r="O74" s="57">
        <f>0*Deflactores!$L$5</f>
        <v>0</v>
      </c>
      <c r="P74" s="57">
        <f>0*Deflactores!$M$5</f>
        <v>0</v>
      </c>
      <c r="Q74" s="57">
        <f>0*Deflactores!$N$5</f>
        <v>0</v>
      </c>
      <c r="R74" s="57">
        <f>0*Deflactores!$O$5</f>
        <v>0</v>
      </c>
      <c r="S74" s="57">
        <f>0*Deflactores!$P$5</f>
        <v>0</v>
      </c>
      <c r="T74" s="57">
        <f>0*Deflactores!$Q$5</f>
        <v>0</v>
      </c>
      <c r="U74" s="57">
        <f>0*Deflactores!$R$5</f>
        <v>0</v>
      </c>
      <c r="V74" s="57">
        <f>0*Deflactores!$S$5</f>
        <v>0</v>
      </c>
    </row>
    <row r="75" spans="3:22" x14ac:dyDescent="0.2">
      <c r="C75" s="87" t="s">
        <v>145</v>
      </c>
      <c r="D75" s="56">
        <f>1.76845274115*Deflactores!$A$5</f>
        <v>6.4204722427749452</v>
      </c>
      <c r="E75" s="56">
        <f>0.326138672*Deflactores!$B$5</f>
        <v>1.0999390503099653</v>
      </c>
      <c r="F75" s="56">
        <f>3.759734354*Deflactores!$C$5</f>
        <v>11.851486467121822</v>
      </c>
      <c r="G75" s="56">
        <f>9.785214233*Deflactores!$D$5</f>
        <v>28.964872546051176</v>
      </c>
      <c r="H75" s="56">
        <f>12.930728134*Deflactores!$E$5</f>
        <v>36.281415724337066</v>
      </c>
      <c r="I75" s="56">
        <f>1.490787856*Deflactores!$F$5</f>
        <v>3.9892133240978143</v>
      </c>
      <c r="J75" s="56">
        <f>13.85200792581*Deflactores!$G$5</f>
        <v>35.478031113512323</v>
      </c>
      <c r="K75" s="56">
        <f>15.71872646964*Deflactores!$H$5</f>
        <v>38.090081876110425</v>
      </c>
      <c r="L75" s="56">
        <f>10.802639176*Deflactores!$I$5</f>
        <v>24.311517890074938</v>
      </c>
      <c r="M75" s="56">
        <f>15.474536848*Deflactores!$J$5</f>
        <v>34.14223869980345</v>
      </c>
      <c r="N75" s="56">
        <f>15.636954889*Deflactores!$K$5</f>
        <v>33.440128887361688</v>
      </c>
      <c r="O75" s="56">
        <f>18.55610505966*Deflactores!$L$5</f>
        <v>38.257103231330319</v>
      </c>
      <c r="P75" s="56">
        <f>19.9258681739199*Deflactores!$M$5</f>
        <v>40.102638103473794</v>
      </c>
      <c r="Q75" s="56">
        <f>14.1210694408299*Deflactores!$N$5</f>
        <v>27.879093587512099</v>
      </c>
      <c r="R75" s="56">
        <f>21.09960034907*Deflactores!$O$5</f>
        <v>40.185935782316605</v>
      </c>
      <c r="S75" s="56">
        <f>30.03196868271*Deflactores!$P$5</f>
        <v>53.571575179407191</v>
      </c>
      <c r="T75" s="56">
        <f>47.216400572*Deflactores!$Q$5</f>
        <v>79.645843193821264</v>
      </c>
      <c r="U75" s="56">
        <f>43.530558076*Deflactores!$R$5</f>
        <v>70.543250010360097</v>
      </c>
      <c r="V75" s="56">
        <f>47.9328995984*Deflactores!$S$5</f>
        <v>75.283431628938118</v>
      </c>
    </row>
    <row r="76" spans="3:22" x14ac:dyDescent="0.2">
      <c r="C76" s="88" t="s">
        <v>146</v>
      </c>
      <c r="D76" s="57">
        <f>3.22159064087999*Deflactores!$A$5</f>
        <v>11.696175309668112</v>
      </c>
      <c r="E76" s="57">
        <f>4.51765405322999*Deflactores!$B$5</f>
        <v>15.236292214186609</v>
      </c>
      <c r="F76" s="57">
        <f>1.57433331087*Deflactores!$C$5</f>
        <v>4.9626351682704275</v>
      </c>
      <c r="G76" s="57">
        <f>2.73446456904*Deflactores!$D$5</f>
        <v>8.0941935289293898</v>
      </c>
      <c r="H76" s="57">
        <f>0.95751653006*Deflactores!$E$5</f>
        <v>2.6866279245857934</v>
      </c>
      <c r="I76" s="57">
        <f>3.37464939781*Deflactores!$F$5</f>
        <v>9.0302562418393588</v>
      </c>
      <c r="J76" s="57">
        <f>3.90773503727*Deflactores!$G$5</f>
        <v>10.008566698644909</v>
      </c>
      <c r="K76" s="57">
        <f>4.07851416467*Deflactores!$H$5</f>
        <v>9.8831758899303725</v>
      </c>
      <c r="L76" s="57">
        <f>2.74858777098*Deflactores!$I$5</f>
        <v>6.185742176326622</v>
      </c>
      <c r="M76" s="57">
        <f>3.44213520779*Deflactores!$J$5</f>
        <v>7.5945537534167196</v>
      </c>
      <c r="N76" s="57">
        <f>8.01837743081*Deflactores!$K$5</f>
        <v>17.147556967272546</v>
      </c>
      <c r="O76" s="57">
        <f>9.11835063947728*Deflactores!$L$5</f>
        <v>18.799294388147903</v>
      </c>
      <c r="P76" s="57">
        <f>56.0279819934679*Deflactores!$M$5</f>
        <v>112.76145490578018</v>
      </c>
      <c r="Q76" s="57">
        <f>44.4904725145049*Deflactores!$N$5</f>
        <v>87.837118299137899</v>
      </c>
      <c r="R76" s="57">
        <f>11.6096626035154*Deflactores!$O$5</f>
        <v>22.111563637260851</v>
      </c>
      <c r="S76" s="57">
        <f>38.2573618978981*Deflactores!$P$5</f>
        <v>68.244182082507905</v>
      </c>
      <c r="T76" s="57">
        <f>23.93139742884*Deflactores!$Q$5</f>
        <v>40.368098879538799</v>
      </c>
      <c r="U76" s="57">
        <f>44.34971060323*Deflactores!$R$5</f>
        <v>71.870723952323274</v>
      </c>
      <c r="V76" s="57">
        <f>14.92384023755*Deflactores!$S$5</f>
        <v>23.43938955452413</v>
      </c>
    </row>
    <row r="77" spans="3:22" x14ac:dyDescent="0.2">
      <c r="C77" s="90" t="s">
        <v>147</v>
      </c>
      <c r="D77" s="58">
        <f>392.71643165858*Deflactores!$A$5</f>
        <v>1425.7802258859851</v>
      </c>
      <c r="E77" s="58">
        <f>622.1630436247*Deflactores!$B$5</f>
        <v>2098.3142635182803</v>
      </c>
      <c r="F77" s="58">
        <f>540.48506314996*Deflactores!$C$5</f>
        <v>1703.7244678705388</v>
      </c>
      <c r="G77" s="58">
        <f>601.932012280869*Deflactores!$D$5</f>
        <v>1781.7580281794412</v>
      </c>
      <c r="H77" s="58">
        <f>787.98172753258*Deflactores!$E$5</f>
        <v>2210.9422101775381</v>
      </c>
      <c r="I77" s="58">
        <f>813.61997882011*Deflactores!$F$5</f>
        <v>2177.1733967367145</v>
      </c>
      <c r="J77" s="58">
        <f>998.49381883022*Deflactores!$G$5</f>
        <v>2557.3617168600358</v>
      </c>
      <c r="K77" s="58">
        <f>1079.94963227449*Deflactores!$H$5</f>
        <v>2616.9658206637641</v>
      </c>
      <c r="L77" s="58">
        <f>1248.53457846822*Deflactores!$I$5</f>
        <v>2809.8476905758034</v>
      </c>
      <c r="M77" s="58">
        <f>1449.33358765908*Deflactores!$J$5</f>
        <v>3197.7366296358196</v>
      </c>
      <c r="N77" s="58">
        <f>1895.90294676126*Deflactores!$K$5</f>
        <v>4054.4491780956846</v>
      </c>
      <c r="O77" s="58">
        <f>1748.19022975657*Deflactores!$L$5</f>
        <v>3604.2420471737519</v>
      </c>
      <c r="P77" s="58">
        <f>2088.11680896278*Deflactores!$M$5</f>
        <v>4202.5266842434103</v>
      </c>
      <c r="Q77" s="58">
        <f>2240.35116434672*Deflactores!$N$5</f>
        <v>4423.1040744774618</v>
      </c>
      <c r="R77" s="58">
        <f>919.666933867093*Deflactores!$O$5</f>
        <v>1751.581818332023</v>
      </c>
      <c r="S77" s="58">
        <f>1436.31079481222*Deflactores!$P$5</f>
        <v>2562.1174734900392</v>
      </c>
      <c r="T77" s="58">
        <f>1710.49589793522*Deflactores!$Q$5</f>
        <v>2885.3086304806488</v>
      </c>
      <c r="U77" s="58">
        <f>1758.58825164283*Deflactores!$R$5</f>
        <v>2849.8722778681572</v>
      </c>
      <c r="V77" s="58">
        <f>1551.01281285828*Deflactores!$S$5</f>
        <v>2436.021355493398</v>
      </c>
    </row>
    <row r="78" spans="3:22" ht="22.5" customHeight="1" x14ac:dyDescent="0.2">
      <c r="C78" s="89" t="s">
        <v>148</v>
      </c>
      <c r="D78" s="59">
        <f>0*Deflactores!$A$5</f>
        <v>0</v>
      </c>
      <c r="E78" s="59">
        <f>0*Deflactores!$B$5</f>
        <v>0</v>
      </c>
      <c r="F78" s="59">
        <f>0*Deflactores!$C$5</f>
        <v>0</v>
      </c>
      <c r="G78" s="59">
        <f>0*Deflactores!$D$5</f>
        <v>0</v>
      </c>
      <c r="H78" s="59">
        <f>0*Deflactores!$E$5</f>
        <v>0</v>
      </c>
      <c r="I78" s="59">
        <f>0*Deflactores!$F$5</f>
        <v>0</v>
      </c>
      <c r="J78" s="59">
        <f>0*Deflactores!$G$5</f>
        <v>0</v>
      </c>
      <c r="K78" s="59">
        <f>0*Deflactores!$H$5</f>
        <v>0</v>
      </c>
      <c r="L78" s="59">
        <f>0*Deflactores!$I$5</f>
        <v>0</v>
      </c>
      <c r="M78" s="59">
        <f>0*Deflactores!$J$5</f>
        <v>0</v>
      </c>
      <c r="N78" s="59">
        <f>0*Deflactores!$K$5</f>
        <v>0</v>
      </c>
      <c r="O78" s="59">
        <f>0*Deflactores!$L$5</f>
        <v>0</v>
      </c>
      <c r="P78" s="59">
        <f>0*Deflactores!$M$5</f>
        <v>0</v>
      </c>
      <c r="Q78" s="59">
        <f>0*Deflactores!$N$5</f>
        <v>0</v>
      </c>
      <c r="R78" s="59">
        <f>0*Deflactores!$O$5</f>
        <v>0</v>
      </c>
      <c r="S78" s="59">
        <f>0*Deflactores!$P$5</f>
        <v>0</v>
      </c>
      <c r="T78" s="59">
        <f>0*Deflactores!$Q$5</f>
        <v>0</v>
      </c>
      <c r="U78" s="59">
        <f>0*Deflactores!$R$5</f>
        <v>0</v>
      </c>
      <c r="V78" s="59">
        <f>0*Deflactores!$S$5</f>
        <v>0</v>
      </c>
    </row>
    <row r="79" spans="3:22" x14ac:dyDescent="0.2">
      <c r="C79" s="87" t="s">
        <v>149</v>
      </c>
      <c r="D79" s="56">
        <f>93.52866373272*Deflactores!$A$5</f>
        <v>339.56134389503956</v>
      </c>
      <c r="E79" s="56">
        <f>115.96637658264*Deflactores!$B$5</f>
        <v>391.10954044173218</v>
      </c>
      <c r="F79" s="56">
        <f>125.12196392347*Deflactores!$C$5</f>
        <v>394.41117976887512</v>
      </c>
      <c r="G79" s="56">
        <f>62.0709848533*Deflactores!$D$5</f>
        <v>183.73416486074265</v>
      </c>
      <c r="H79" s="56">
        <f>114.00994420229*Deflactores!$E$5</f>
        <v>319.89244066120398</v>
      </c>
      <c r="I79" s="56">
        <f>131.9639349544*Deflactores!$F$5</f>
        <v>353.1235416908774</v>
      </c>
      <c r="J79" s="56">
        <f>168.87974848564*Deflactores!$G$5</f>
        <v>432.53808424783409</v>
      </c>
      <c r="K79" s="56">
        <f>289.82214956312*Deflactores!$H$5</f>
        <v>702.30558612312257</v>
      </c>
      <c r="L79" s="56">
        <f>380.62791087475*Deflactores!$I$5</f>
        <v>856.60940015954247</v>
      </c>
      <c r="M79" s="56">
        <f>552.24022622899*Deflactores!$J$5</f>
        <v>1218.4350206242525</v>
      </c>
      <c r="N79" s="56">
        <f>615.30212216*Deflactores!$K$5</f>
        <v>1315.8432965853115</v>
      </c>
      <c r="O79" s="56">
        <f>706.63294722487*Deflactores!$L$5</f>
        <v>1456.8644401249351</v>
      </c>
      <c r="P79" s="56">
        <f>777.95317929196*Deflactores!$M$5</f>
        <v>1565.7021585351049</v>
      </c>
      <c r="Q79" s="56">
        <f>985.797221949282*Deflactores!$N$5</f>
        <v>1946.2501140011586</v>
      </c>
      <c r="R79" s="56">
        <f>1438.40911885927*Deflactores!$O$5</f>
        <v>2739.5692583212858</v>
      </c>
      <c r="S79" s="56">
        <f>1074.98519337358*Deflactores!$P$5</f>
        <v>1917.5782550917895</v>
      </c>
      <c r="T79" s="56">
        <f>1053.64491435101*Deflactores!$Q$5</f>
        <v>1777.3154373002462</v>
      </c>
      <c r="U79" s="56">
        <f>1107.18191374212*Deflactores!$R$5</f>
        <v>1794.238668194816</v>
      </c>
      <c r="V79" s="56">
        <f>953.58440473304*Deflactores!$S$5</f>
        <v>1497.7000544014195</v>
      </c>
    </row>
    <row r="80" spans="3:22" x14ac:dyDescent="0.2">
      <c r="C80" s="88" t="s">
        <v>150</v>
      </c>
      <c r="D80" s="57">
        <f>298.70572025942*Deflactores!$A$5</f>
        <v>1084.4687794351601</v>
      </c>
      <c r="E80" s="57">
        <f>587.121851577179*Deflactores!$B$5</f>
        <v>1980.1339346841721</v>
      </c>
      <c r="F80" s="57">
        <f>679.63517038258*Deflactores!$C$5</f>
        <v>2142.3553543882053</v>
      </c>
      <c r="G80" s="57">
        <f>578.35788781344*Deflactores!$D$5</f>
        <v>1711.9770817101185</v>
      </c>
      <c r="H80" s="57">
        <f>527.75736763164*Deflactores!$E$5</f>
        <v>1480.7970794991986</v>
      </c>
      <c r="I80" s="57">
        <f>409.918353258159*Deflactores!$F$5</f>
        <v>1096.904398589146</v>
      </c>
      <c r="J80" s="57">
        <f>617.20371751977*Deflactores!$G$5</f>
        <v>1580.7941210271454</v>
      </c>
      <c r="K80" s="57">
        <f>580.67927455963*Deflactores!$H$5</f>
        <v>1407.1191552608827</v>
      </c>
      <c r="L80" s="57">
        <f>586.86608809909*Deflactores!$I$5</f>
        <v>1320.7518243872632</v>
      </c>
      <c r="M80" s="57">
        <f>668.63008800732*Deflactores!$J$5</f>
        <v>1475.2317494766876</v>
      </c>
      <c r="N80" s="57">
        <f>678.17253983387*Deflactores!$K$5</f>
        <v>1450.2936985427559</v>
      </c>
      <c r="O80" s="57">
        <f>522.794461012339*Deflactores!$L$5</f>
        <v>1077.8448170783968</v>
      </c>
      <c r="P80" s="57">
        <f>767.06311900422*Deflactores!$M$5</f>
        <v>1543.7849129309282</v>
      </c>
      <c r="Q80" s="57">
        <f>773.220525703551*Deflactores!$N$5</f>
        <v>1526.5619569538571</v>
      </c>
      <c r="R80" s="57">
        <f>1051.37426015401*Deflactores!$O$5</f>
        <v>2002.4293258043604</v>
      </c>
      <c r="S80" s="57">
        <f>1149.5680926332*Deflactores!$P$5</f>
        <v>2050.6205953059089</v>
      </c>
      <c r="T80" s="57">
        <f>1185.76604587685*Deflactores!$Q$5</f>
        <v>2000.1807721546259</v>
      </c>
      <c r="U80" s="57">
        <f>1687.66088474946*Deflactores!$R$5</f>
        <v>2734.9312526095323</v>
      </c>
      <c r="V80" s="57">
        <f>1341.12715366985*Deflactores!$S$5</f>
        <v>2106.3748537004162</v>
      </c>
    </row>
    <row r="81" spans="3:22" x14ac:dyDescent="0.2">
      <c r="C81" s="87" t="s">
        <v>151</v>
      </c>
      <c r="D81" s="56">
        <f>3.071935497*Deflactores!$A$5</f>
        <v>11.152843460921543</v>
      </c>
      <c r="E81" s="56">
        <f>19.390758745*Deflactores!$B$5</f>
        <v>65.397496800885222</v>
      </c>
      <c r="F81" s="56">
        <f>4.212960129*Deflactores!$C$5</f>
        <v>13.280151003819379</v>
      </c>
      <c r="G81" s="56">
        <f>0*Deflactores!$D$5</f>
        <v>0</v>
      </c>
      <c r="H81" s="56">
        <f>0*Deflactores!$E$5</f>
        <v>0</v>
      </c>
      <c r="I81" s="56">
        <f>79.6222639375899*Deflactores!$F$5</f>
        <v>213.06196915697609</v>
      </c>
      <c r="J81" s="56">
        <f>0.12052760618*Deflactores!$G$5</f>
        <v>0.30869764044270537</v>
      </c>
      <c r="K81" s="56">
        <f>0*Deflactores!$H$5</f>
        <v>0</v>
      </c>
      <c r="L81" s="56">
        <f>0*Deflactores!$I$5</f>
        <v>0</v>
      </c>
      <c r="M81" s="56">
        <f>0*Deflactores!$J$5</f>
        <v>0</v>
      </c>
      <c r="N81" s="56">
        <f>0*Deflactores!$K$5</f>
        <v>0</v>
      </c>
      <c r="O81" s="56">
        <f>0*Deflactores!$L$5</f>
        <v>0</v>
      </c>
      <c r="P81" s="56">
        <f>0*Deflactores!$M$5</f>
        <v>0</v>
      </c>
      <c r="Q81" s="56">
        <f>0*Deflactores!$N$5</f>
        <v>0</v>
      </c>
      <c r="R81" s="56">
        <f>0*Deflactores!$O$5</f>
        <v>0</v>
      </c>
      <c r="S81" s="56">
        <f>0*Deflactores!$P$5</f>
        <v>0</v>
      </c>
      <c r="T81" s="56">
        <f>0*Deflactores!$Q$5</f>
        <v>0</v>
      </c>
      <c r="U81" s="56">
        <f>0*Deflactores!$R$5</f>
        <v>0</v>
      </c>
      <c r="V81" s="56">
        <f>0*Deflactores!$S$5</f>
        <v>0</v>
      </c>
    </row>
    <row r="82" spans="3:22" x14ac:dyDescent="0.2">
      <c r="C82" s="79" t="s">
        <v>202</v>
      </c>
      <c r="D82" s="44">
        <f t="shared" ref="D82:V82" si="1">+SUM(D53:D81)</f>
        <v>6596.365946025192</v>
      </c>
      <c r="E82" s="44">
        <f t="shared" si="1"/>
        <v>8244.0926351348353</v>
      </c>
      <c r="F82" s="44">
        <f t="shared" si="1"/>
        <v>8230.5777410711926</v>
      </c>
      <c r="G82" s="44">
        <f t="shared" si="1"/>
        <v>7676.5634586114411</v>
      </c>
      <c r="H82" s="44">
        <f t="shared" si="1"/>
        <v>8497.6920897012187</v>
      </c>
      <c r="I82" s="44">
        <f t="shared" si="1"/>
        <v>8784.90227651022</v>
      </c>
      <c r="J82" s="44">
        <f t="shared" si="1"/>
        <v>10237.270067630643</v>
      </c>
      <c r="K82" s="44">
        <f t="shared" si="1"/>
        <v>11096.734978388624</v>
      </c>
      <c r="L82" s="44">
        <f t="shared" si="1"/>
        <v>12756.16248368251</v>
      </c>
      <c r="M82" s="44">
        <f t="shared" si="1"/>
        <v>15413.247017788883</v>
      </c>
      <c r="N82" s="44">
        <f t="shared" si="1"/>
        <v>14481.327363270906</v>
      </c>
      <c r="O82" s="44">
        <f t="shared" si="1"/>
        <v>13958.411033533008</v>
      </c>
      <c r="P82" s="44">
        <f t="shared" si="1"/>
        <v>15320.369096546236</v>
      </c>
      <c r="Q82" s="44">
        <f t="shared" si="1"/>
        <v>16855.640827010506</v>
      </c>
      <c r="R82" s="44">
        <f t="shared" si="1"/>
        <v>10784.96279400236</v>
      </c>
      <c r="S82" s="44">
        <f t="shared" si="1"/>
        <v>10896.750249153081</v>
      </c>
      <c r="T82" s="44">
        <f t="shared" si="1"/>
        <v>12827.395553670382</v>
      </c>
      <c r="U82" s="44">
        <f t="shared" si="1"/>
        <v>13898.465141145238</v>
      </c>
      <c r="V82" s="44">
        <f t="shared" si="1"/>
        <v>11484.345061702432</v>
      </c>
    </row>
    <row r="83" spans="3:22" x14ac:dyDescent="0.2">
      <c r="C83" s="1" t="s">
        <v>52</v>
      </c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</row>
    <row r="84" spans="3:22" x14ac:dyDescent="0.2"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</row>
    <row r="85" spans="3:22" x14ac:dyDescent="0.2"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</row>
    <row r="86" spans="3:22" x14ac:dyDescent="0.2"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</row>
    <row r="87" spans="3:22" ht="18" customHeight="1" x14ac:dyDescent="0.2">
      <c r="C87" s="9"/>
      <c r="D87" s="160" t="s">
        <v>220</v>
      </c>
      <c r="E87" s="158"/>
      <c r="F87" s="158"/>
      <c r="G87" s="158"/>
      <c r="H87" s="158"/>
      <c r="I87" s="158"/>
      <c r="J87" s="158"/>
      <c r="K87" s="158"/>
      <c r="L87" s="158"/>
      <c r="M87" s="158"/>
      <c r="N87" s="158"/>
      <c r="O87" s="158"/>
      <c r="P87" s="158"/>
      <c r="Q87" s="158"/>
      <c r="R87" s="158"/>
      <c r="S87" s="158"/>
      <c r="T87" s="158"/>
      <c r="U87" s="158"/>
      <c r="V87" s="158"/>
    </row>
    <row r="88" spans="3:22" ht="1.5" customHeight="1" x14ac:dyDescent="0.2">
      <c r="H88" s="27"/>
      <c r="I88" s="27"/>
      <c r="J88" s="27"/>
      <c r="L88" s="175"/>
      <c r="M88" s="158"/>
      <c r="N88" s="158"/>
      <c r="O88" s="158"/>
      <c r="P88" s="158"/>
      <c r="Q88" s="158"/>
      <c r="R88" s="28"/>
      <c r="S88" s="28"/>
      <c r="T88" s="28"/>
      <c r="U88" s="28"/>
      <c r="V88" s="28"/>
    </row>
    <row r="89" spans="3:22" x14ac:dyDescent="0.2"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</row>
    <row r="90" spans="3:22" x14ac:dyDescent="0.2">
      <c r="C90" s="177" t="s">
        <v>120</v>
      </c>
      <c r="D90" s="153">
        <v>2000</v>
      </c>
      <c r="E90" s="153">
        <v>2001</v>
      </c>
      <c r="F90" s="153">
        <v>2002</v>
      </c>
      <c r="G90" s="153">
        <v>2003</v>
      </c>
      <c r="H90" s="153">
        <v>2004</v>
      </c>
      <c r="I90" s="153">
        <v>2005</v>
      </c>
      <c r="J90" s="153">
        <v>2006</v>
      </c>
      <c r="K90" s="153">
        <v>2007</v>
      </c>
      <c r="L90" s="153">
        <v>2008</v>
      </c>
      <c r="M90" s="153">
        <v>2009</v>
      </c>
      <c r="N90" s="153">
        <v>2010</v>
      </c>
      <c r="O90" s="153">
        <v>2011</v>
      </c>
      <c r="P90" s="153">
        <v>2012</v>
      </c>
      <c r="Q90" s="153">
        <v>2013</v>
      </c>
      <c r="R90" s="153">
        <v>2014</v>
      </c>
      <c r="S90" s="153">
        <v>2015</v>
      </c>
      <c r="T90" s="153">
        <v>2016</v>
      </c>
      <c r="U90" s="153">
        <v>2017</v>
      </c>
      <c r="V90" s="153">
        <v>2018</v>
      </c>
    </row>
    <row r="91" spans="3:22" ht="12" customHeight="1" thickBot="1" x14ac:dyDescent="0.25">
      <c r="C91" s="156"/>
      <c r="D91" s="154"/>
      <c r="E91" s="154"/>
      <c r="F91" s="154"/>
      <c r="G91" s="154"/>
      <c r="H91" s="154"/>
      <c r="I91" s="154"/>
      <c r="J91" s="154"/>
      <c r="K91" s="154"/>
      <c r="L91" s="154"/>
      <c r="M91" s="154"/>
      <c r="N91" s="154"/>
      <c r="O91" s="154"/>
      <c r="P91" s="154"/>
      <c r="Q91" s="154"/>
      <c r="R91" s="154"/>
      <c r="S91" s="154"/>
      <c r="T91" s="154"/>
      <c r="U91" s="154"/>
      <c r="V91" s="154"/>
    </row>
    <row r="92" spans="3:22" x14ac:dyDescent="0.2">
      <c r="C92" s="87" t="s">
        <v>123</v>
      </c>
      <c r="D92" s="60">
        <f t="shared" ref="D92:V92" si="2">+IFERROR(IF(D53&gt;0,+((D53/D13)*100)," "),"")</f>
        <v>69.631520697061347</v>
      </c>
      <c r="E92" s="60">
        <f t="shared" si="2"/>
        <v>85.701976599977627</v>
      </c>
      <c r="F92" s="60">
        <f t="shared" si="2"/>
        <v>94.524611214477545</v>
      </c>
      <c r="G92" s="60">
        <f t="shared" si="2"/>
        <v>96.262472931134923</v>
      </c>
      <c r="H92" s="60">
        <f t="shared" si="2"/>
        <v>96.319845726544813</v>
      </c>
      <c r="I92" s="60">
        <f t="shared" si="2"/>
        <v>95.233899324466194</v>
      </c>
      <c r="J92" s="60">
        <f t="shared" si="2"/>
        <v>93.61774734301315</v>
      </c>
      <c r="K92" s="60">
        <f t="shared" si="2"/>
        <v>93.633127208289878</v>
      </c>
      <c r="L92" s="60">
        <f t="shared" si="2"/>
        <v>95.795032429668254</v>
      </c>
      <c r="M92" s="60">
        <f t="shared" si="2"/>
        <v>77.039129969375281</v>
      </c>
      <c r="N92" s="60">
        <f t="shared" si="2"/>
        <v>82.429603184657026</v>
      </c>
      <c r="O92" s="60">
        <f t="shared" si="2"/>
        <v>87.413237439108713</v>
      </c>
      <c r="P92" s="60">
        <f t="shared" si="2"/>
        <v>90.822705254782392</v>
      </c>
      <c r="Q92" s="60">
        <f t="shared" si="2"/>
        <v>79.583381850986967</v>
      </c>
      <c r="R92" s="60">
        <f t="shared" si="2"/>
        <v>94.746954181628539</v>
      </c>
      <c r="S92" s="60">
        <f t="shared" si="2"/>
        <v>79.460596044579617</v>
      </c>
      <c r="T92" s="60">
        <f t="shared" si="2"/>
        <v>98.029021062400588</v>
      </c>
      <c r="U92" s="60">
        <f t="shared" si="2"/>
        <v>96.266662422101092</v>
      </c>
      <c r="V92" s="60">
        <f t="shared" si="2"/>
        <v>87.784339393608661</v>
      </c>
    </row>
    <row r="93" spans="3:22" x14ac:dyDescent="0.2">
      <c r="C93" s="88" t="s">
        <v>124</v>
      </c>
      <c r="D93" s="62">
        <f t="shared" ref="D93:V93" si="3">+IFERROR(IF(D54&gt;0,+((D54/D14)*100)," "),"")</f>
        <v>53.361684791619226</v>
      </c>
      <c r="E93" s="62">
        <f t="shared" si="3"/>
        <v>34.503811298701301</v>
      </c>
      <c r="F93" s="62">
        <f t="shared" si="3"/>
        <v>84.451773904057646</v>
      </c>
      <c r="G93" s="62">
        <f t="shared" si="3"/>
        <v>78.540960771617748</v>
      </c>
      <c r="H93" s="62">
        <f t="shared" si="3"/>
        <v>76.045622603116357</v>
      </c>
      <c r="I93" s="62">
        <f t="shared" si="3"/>
        <v>73.492735641343415</v>
      </c>
      <c r="J93" s="62">
        <f t="shared" si="3"/>
        <v>79.736118342793318</v>
      </c>
      <c r="K93" s="62">
        <f t="shared" si="3"/>
        <v>86.472704414794947</v>
      </c>
      <c r="L93" s="62">
        <f t="shared" si="3"/>
        <v>76.563498641025646</v>
      </c>
      <c r="M93" s="62">
        <f t="shared" si="3"/>
        <v>82.740355725125468</v>
      </c>
      <c r="N93" s="62">
        <f t="shared" si="3"/>
        <v>80.94125868101591</v>
      </c>
      <c r="O93" s="62">
        <f t="shared" si="3"/>
        <v>88.506703864656927</v>
      </c>
      <c r="P93" s="62">
        <f t="shared" si="3"/>
        <v>89.525870169050677</v>
      </c>
      <c r="Q93" s="62">
        <f t="shared" si="3"/>
        <v>75.554611097893371</v>
      </c>
      <c r="R93" s="62">
        <f t="shared" si="3"/>
        <v>93.611103885980285</v>
      </c>
      <c r="S93" s="62">
        <f t="shared" si="3"/>
        <v>85.245997109925696</v>
      </c>
      <c r="T93" s="62">
        <f t="shared" si="3"/>
        <v>89.057957188380485</v>
      </c>
      <c r="U93" s="62">
        <f t="shared" si="3"/>
        <v>96.799758147128827</v>
      </c>
      <c r="V93" s="62">
        <f t="shared" si="3"/>
        <v>97.499444342931284</v>
      </c>
    </row>
    <row r="94" spans="3:22" x14ac:dyDescent="0.2">
      <c r="C94" s="87" t="s">
        <v>125</v>
      </c>
      <c r="D94" s="60">
        <f t="shared" ref="D94:V94" si="4">+IFERROR(IF(D55&gt;0,+((D55/D15)*100)," "),"")</f>
        <v>99.9544638066115</v>
      </c>
      <c r="E94" s="60">
        <f t="shared" si="4"/>
        <v>99.324936508596736</v>
      </c>
      <c r="F94" s="60">
        <f t="shared" si="4"/>
        <v>99.236117471852324</v>
      </c>
      <c r="G94" s="60">
        <f t="shared" si="4"/>
        <v>99.614476273437475</v>
      </c>
      <c r="H94" s="60">
        <f t="shared" si="4"/>
        <v>99.996029607484317</v>
      </c>
      <c r="I94" s="60">
        <f t="shared" si="4"/>
        <v>99.880974061789388</v>
      </c>
      <c r="J94" s="60">
        <f t="shared" si="4"/>
        <v>99.030238115857045</v>
      </c>
      <c r="K94" s="60">
        <f t="shared" si="4"/>
        <v>95.944795188691529</v>
      </c>
      <c r="L94" s="60">
        <f t="shared" si="4"/>
        <v>96.877201675762777</v>
      </c>
      <c r="M94" s="60">
        <f t="shared" si="4"/>
        <v>98.310529827050686</v>
      </c>
      <c r="N94" s="60" t="str">
        <f t="shared" si="4"/>
        <v xml:space="preserve"> </v>
      </c>
      <c r="O94" s="60" t="str">
        <f t="shared" si="4"/>
        <v xml:space="preserve"> </v>
      </c>
      <c r="P94" s="60" t="str">
        <f t="shared" si="4"/>
        <v xml:space="preserve"> </v>
      </c>
      <c r="Q94" s="60" t="str">
        <f t="shared" si="4"/>
        <v xml:space="preserve"> </v>
      </c>
      <c r="R94" s="60" t="str">
        <f t="shared" si="4"/>
        <v xml:space="preserve"> </v>
      </c>
      <c r="S94" s="60" t="str">
        <f t="shared" si="4"/>
        <v xml:space="preserve"> </v>
      </c>
      <c r="T94" s="60" t="str">
        <f t="shared" si="4"/>
        <v xml:space="preserve"> </v>
      </c>
      <c r="U94" s="60" t="str">
        <f t="shared" si="4"/>
        <v xml:space="preserve"> </v>
      </c>
      <c r="V94" s="60" t="str">
        <f t="shared" si="4"/>
        <v xml:space="preserve"> </v>
      </c>
    </row>
    <row r="95" spans="3:22" x14ac:dyDescent="0.2">
      <c r="C95" s="88" t="s">
        <v>126</v>
      </c>
      <c r="D95" s="62">
        <f t="shared" ref="D95:V95" si="5">+IFERROR(IF(D56&gt;0,+((D56/D16)*100)," "),"")</f>
        <v>99.980068814032748</v>
      </c>
      <c r="E95" s="62">
        <f t="shared" si="5"/>
        <v>14.542851300000001</v>
      </c>
      <c r="F95" s="62">
        <f t="shared" si="5"/>
        <v>17.661102055227026</v>
      </c>
      <c r="G95" s="62">
        <f t="shared" si="5"/>
        <v>100</v>
      </c>
      <c r="H95" s="62">
        <f t="shared" si="5"/>
        <v>46.931751569599342</v>
      </c>
      <c r="I95" s="62">
        <f t="shared" si="5"/>
        <v>63.670279541265607</v>
      </c>
      <c r="J95" s="62">
        <f t="shared" si="5"/>
        <v>43.246169512216944</v>
      </c>
      <c r="K95" s="62">
        <f t="shared" si="5"/>
        <v>99.294663527298312</v>
      </c>
      <c r="L95" s="62">
        <f t="shared" si="5"/>
        <v>93.297010370570945</v>
      </c>
      <c r="M95" s="62">
        <f t="shared" si="5"/>
        <v>95.19529916295491</v>
      </c>
      <c r="N95" s="62">
        <f t="shared" si="5"/>
        <v>87.593248437972747</v>
      </c>
      <c r="O95" s="62">
        <f t="shared" si="5"/>
        <v>81.626176346132155</v>
      </c>
      <c r="P95" s="62">
        <f t="shared" si="5"/>
        <v>87.582849181034121</v>
      </c>
      <c r="Q95" s="62">
        <f t="shared" si="5"/>
        <v>94.635321276817564</v>
      </c>
      <c r="R95" s="62">
        <f t="shared" si="5"/>
        <v>98.188323482086076</v>
      </c>
      <c r="S95" s="62">
        <f t="shared" si="5"/>
        <v>95.49360525006098</v>
      </c>
      <c r="T95" s="62">
        <f t="shared" si="5"/>
        <v>97.53215046876565</v>
      </c>
      <c r="U95" s="62">
        <f t="shared" si="5"/>
        <v>99.21134844710906</v>
      </c>
      <c r="V95" s="62">
        <f t="shared" si="5"/>
        <v>97.842879471888281</v>
      </c>
    </row>
    <row r="96" spans="3:22" x14ac:dyDescent="0.2">
      <c r="C96" s="87" t="s">
        <v>127</v>
      </c>
      <c r="D96" s="60" t="str">
        <f t="shared" ref="D96:V96" si="6">+IFERROR(IF(D57&gt;0,+((D57/D17)*100)," "),"")</f>
        <v xml:space="preserve"> </v>
      </c>
      <c r="E96" s="60" t="str">
        <f t="shared" si="6"/>
        <v xml:space="preserve"> </v>
      </c>
      <c r="F96" s="60" t="str">
        <f t="shared" si="6"/>
        <v xml:space="preserve"> </v>
      </c>
      <c r="G96" s="60" t="str">
        <f t="shared" si="6"/>
        <v xml:space="preserve"> </v>
      </c>
      <c r="H96" s="60" t="str">
        <f t="shared" si="6"/>
        <v xml:space="preserve"> </v>
      </c>
      <c r="I96" s="60" t="str">
        <f t="shared" si="6"/>
        <v xml:space="preserve"> </v>
      </c>
      <c r="J96" s="60" t="str">
        <f t="shared" si="6"/>
        <v xml:space="preserve"> </v>
      </c>
      <c r="K96" s="60" t="str">
        <f t="shared" si="6"/>
        <v xml:space="preserve"> </v>
      </c>
      <c r="L96" s="60" t="str">
        <f t="shared" si="6"/>
        <v xml:space="preserve"> </v>
      </c>
      <c r="M96" s="60" t="str">
        <f t="shared" si="6"/>
        <v xml:space="preserve"> </v>
      </c>
      <c r="N96" s="60" t="str">
        <f t="shared" si="6"/>
        <v xml:space="preserve"> </v>
      </c>
      <c r="O96" s="60" t="str">
        <f t="shared" si="6"/>
        <v xml:space="preserve"> </v>
      </c>
      <c r="P96" s="60" t="str">
        <f t="shared" si="6"/>
        <v xml:space="preserve"> </v>
      </c>
      <c r="Q96" s="60" t="str">
        <f t="shared" si="6"/>
        <v xml:space="preserve"> </v>
      </c>
      <c r="R96" s="60" t="str">
        <f t="shared" si="6"/>
        <v xml:space="preserve"> </v>
      </c>
      <c r="S96" s="60" t="str">
        <f t="shared" si="6"/>
        <v xml:space="preserve"> </v>
      </c>
      <c r="T96" s="60" t="str">
        <f t="shared" si="6"/>
        <v xml:space="preserve"> </v>
      </c>
      <c r="U96" s="60" t="str">
        <f t="shared" si="6"/>
        <v xml:space="preserve"> </v>
      </c>
      <c r="V96" s="60" t="str">
        <f t="shared" si="6"/>
        <v xml:space="preserve"> </v>
      </c>
    </row>
    <row r="97" spans="3:22" x14ac:dyDescent="0.2">
      <c r="C97" s="88" t="s">
        <v>128</v>
      </c>
      <c r="D97" s="62">
        <f t="shared" ref="D97:V97" si="7">+IFERROR(IF(D58&gt;0,+((D58/D18)*100)," "),"")</f>
        <v>89.52262195121952</v>
      </c>
      <c r="E97" s="62">
        <f t="shared" si="7"/>
        <v>82.356693865030678</v>
      </c>
      <c r="F97" s="62">
        <f t="shared" si="7"/>
        <v>93.331311904761918</v>
      </c>
      <c r="G97" s="62">
        <f t="shared" si="7"/>
        <v>99.133292584304783</v>
      </c>
      <c r="H97" s="62">
        <f t="shared" si="7"/>
        <v>96.411262978890406</v>
      </c>
      <c r="I97" s="62">
        <f t="shared" si="7"/>
        <v>99.506116402344418</v>
      </c>
      <c r="J97" s="62">
        <f t="shared" si="7"/>
        <v>35.1221939700539</v>
      </c>
      <c r="K97" s="62">
        <f t="shared" si="7"/>
        <v>54.650121400713822</v>
      </c>
      <c r="L97" s="62">
        <f t="shared" si="7"/>
        <v>85.976172479953846</v>
      </c>
      <c r="M97" s="62">
        <f t="shared" si="7"/>
        <v>26.855028001041575</v>
      </c>
      <c r="N97" s="62">
        <f t="shared" si="7"/>
        <v>98.0527400027309</v>
      </c>
      <c r="O97" s="62">
        <f t="shared" si="7"/>
        <v>80.739261532852552</v>
      </c>
      <c r="P97" s="62">
        <f t="shared" si="7"/>
        <v>96.242370119322942</v>
      </c>
      <c r="Q97" s="62">
        <f t="shared" si="7"/>
        <v>91.555502064617698</v>
      </c>
      <c r="R97" s="62">
        <f t="shared" si="7"/>
        <v>97.881990724170791</v>
      </c>
      <c r="S97" s="62">
        <f t="shared" si="7"/>
        <v>95.946832799808931</v>
      </c>
      <c r="T97" s="62">
        <f t="shared" si="7"/>
        <v>98.295902641271752</v>
      </c>
      <c r="U97" s="62">
        <f t="shared" si="7"/>
        <v>98.603896274962793</v>
      </c>
      <c r="V97" s="62">
        <f t="shared" si="7"/>
        <v>98.97083095623924</v>
      </c>
    </row>
    <row r="98" spans="3:22" x14ac:dyDescent="0.2">
      <c r="C98" s="87" t="s">
        <v>129</v>
      </c>
      <c r="D98" s="60">
        <f t="shared" ref="D98:V98" si="8">+IFERROR(IF(D59&gt;0,+((D59/D19)*100)," "),"")</f>
        <v>96.502886717821781</v>
      </c>
      <c r="E98" s="60">
        <f t="shared" si="8"/>
        <v>91.253346718801623</v>
      </c>
      <c r="F98" s="60">
        <f t="shared" si="8"/>
        <v>98.815320668239366</v>
      </c>
      <c r="G98" s="60">
        <f t="shared" si="8"/>
        <v>97.568452069383511</v>
      </c>
      <c r="H98" s="60">
        <f t="shared" si="8"/>
        <v>99.279249549760223</v>
      </c>
      <c r="I98" s="60">
        <f t="shared" si="8"/>
        <v>98.313267396121887</v>
      </c>
      <c r="J98" s="60">
        <f t="shared" si="8"/>
        <v>97.538391505242188</v>
      </c>
      <c r="K98" s="60">
        <f t="shared" si="8"/>
        <v>98.639300235373227</v>
      </c>
      <c r="L98" s="60">
        <f t="shared" si="8"/>
        <v>97.900360328959252</v>
      </c>
      <c r="M98" s="60">
        <f t="shared" si="8"/>
        <v>99.612067589018153</v>
      </c>
      <c r="N98" s="60">
        <f t="shared" si="8"/>
        <v>95.410733719582367</v>
      </c>
      <c r="O98" s="60">
        <f t="shared" si="8"/>
        <v>65.744317717104153</v>
      </c>
      <c r="P98" s="60">
        <f t="shared" si="8"/>
        <v>87.431339869228438</v>
      </c>
      <c r="Q98" s="60">
        <f t="shared" si="8"/>
        <v>74.891027863973378</v>
      </c>
      <c r="R98" s="60">
        <f t="shared" si="8"/>
        <v>94.425229723895427</v>
      </c>
      <c r="S98" s="60">
        <f t="shared" si="8"/>
        <v>91.020228145027076</v>
      </c>
      <c r="T98" s="60">
        <f t="shared" si="8"/>
        <v>97.260868348836581</v>
      </c>
      <c r="U98" s="60">
        <f t="shared" si="8"/>
        <v>99.372255046528565</v>
      </c>
      <c r="V98" s="60">
        <f t="shared" si="8"/>
        <v>97.490099882315874</v>
      </c>
    </row>
    <row r="99" spans="3:22" x14ac:dyDescent="0.2">
      <c r="C99" s="88" t="s">
        <v>130</v>
      </c>
      <c r="D99" s="62">
        <f t="shared" ref="D99:V99" si="9">+IFERROR(IF(D60&gt;0,+((D60/D20)*100)," "),"")</f>
        <v>87.111387586258999</v>
      </c>
      <c r="E99" s="62">
        <f t="shared" si="9"/>
        <v>94.862391552844358</v>
      </c>
      <c r="F99" s="62">
        <f t="shared" si="9"/>
        <v>97.755521370075911</v>
      </c>
      <c r="G99" s="62">
        <f t="shared" si="9"/>
        <v>94.424780122452006</v>
      </c>
      <c r="H99" s="62">
        <f t="shared" si="9"/>
        <v>96.677416972887514</v>
      </c>
      <c r="I99" s="62">
        <f t="shared" si="9"/>
        <v>97.395254283163922</v>
      </c>
      <c r="J99" s="62">
        <f t="shared" si="9"/>
        <v>93.746165943648364</v>
      </c>
      <c r="K99" s="62">
        <f t="shared" si="9"/>
        <v>95.820625545472964</v>
      </c>
      <c r="L99" s="62">
        <f t="shared" si="9"/>
        <v>95.366170266725533</v>
      </c>
      <c r="M99" s="62">
        <f t="shared" si="9"/>
        <v>54.805321275651352</v>
      </c>
      <c r="N99" s="62" t="str">
        <f t="shared" si="9"/>
        <v xml:space="preserve"> </v>
      </c>
      <c r="O99" s="62">
        <f t="shared" si="9"/>
        <v>93.839237680629566</v>
      </c>
      <c r="P99" s="62" t="str">
        <f t="shared" si="9"/>
        <v xml:space="preserve"> </v>
      </c>
      <c r="Q99" s="62" t="str">
        <f t="shared" si="9"/>
        <v xml:space="preserve"> </v>
      </c>
      <c r="R99" s="62" t="str">
        <f t="shared" si="9"/>
        <v xml:space="preserve"> </v>
      </c>
      <c r="S99" s="62" t="str">
        <f t="shared" si="9"/>
        <v xml:space="preserve"> </v>
      </c>
      <c r="T99" s="62" t="str">
        <f t="shared" si="9"/>
        <v xml:space="preserve"> </v>
      </c>
      <c r="U99" s="62" t="str">
        <f t="shared" si="9"/>
        <v xml:space="preserve"> </v>
      </c>
      <c r="V99" s="62" t="str">
        <f t="shared" si="9"/>
        <v xml:space="preserve"> </v>
      </c>
    </row>
    <row r="100" spans="3:22" x14ac:dyDescent="0.2">
      <c r="C100" s="87" t="s">
        <v>131</v>
      </c>
      <c r="D100" s="60">
        <f t="shared" ref="D100:V100" si="10">+IFERROR(IF(D61&gt;0,+((D61/D21)*100)," "),"")</f>
        <v>97.413106000569471</v>
      </c>
      <c r="E100" s="60">
        <f t="shared" si="10"/>
        <v>96.444062775466961</v>
      </c>
      <c r="F100" s="60">
        <f t="shared" si="10"/>
        <v>90.845302261080747</v>
      </c>
      <c r="G100" s="60">
        <f t="shared" si="10"/>
        <v>97.473388605029797</v>
      </c>
      <c r="H100" s="60">
        <f t="shared" si="10"/>
        <v>94.072704497583587</v>
      </c>
      <c r="I100" s="60">
        <f t="shared" si="10"/>
        <v>98.676035526238195</v>
      </c>
      <c r="J100" s="60">
        <f t="shared" si="10"/>
        <v>39.552397868903427</v>
      </c>
      <c r="K100" s="60">
        <f t="shared" si="10"/>
        <v>89.960159694515639</v>
      </c>
      <c r="L100" s="60">
        <f t="shared" si="10"/>
        <v>94.289080278435577</v>
      </c>
      <c r="M100" s="60">
        <f t="shared" si="10"/>
        <v>90.674560959431886</v>
      </c>
      <c r="N100" s="60">
        <f t="shared" si="10"/>
        <v>88.376043090167656</v>
      </c>
      <c r="O100" s="60">
        <f t="shared" si="10"/>
        <v>96.739224036301451</v>
      </c>
      <c r="P100" s="60">
        <f t="shared" si="10"/>
        <v>91.076372698216318</v>
      </c>
      <c r="Q100" s="60">
        <f t="shared" si="10"/>
        <v>97.465633232507997</v>
      </c>
      <c r="R100" s="60">
        <f t="shared" si="10"/>
        <v>87.838532231812565</v>
      </c>
      <c r="S100" s="60">
        <f t="shared" si="10"/>
        <v>88.078841476262554</v>
      </c>
      <c r="T100" s="60">
        <f t="shared" si="10"/>
        <v>86.177565892792856</v>
      </c>
      <c r="U100" s="60">
        <f t="shared" si="10"/>
        <v>93.017951493207207</v>
      </c>
      <c r="V100" s="60">
        <f t="shared" si="10"/>
        <v>97.706796831284521</v>
      </c>
    </row>
    <row r="101" spans="3:22" x14ac:dyDescent="0.2">
      <c r="C101" s="88" t="s">
        <v>132</v>
      </c>
      <c r="D101" s="62">
        <f t="shared" ref="D101:V101" si="11">+IFERROR(IF(D62&gt;0,+((D62/D22)*100)," "),"")</f>
        <v>94.126181160700881</v>
      </c>
      <c r="E101" s="62">
        <f t="shared" si="11"/>
        <v>67.44072604839053</v>
      </c>
      <c r="F101" s="62">
        <f t="shared" si="11"/>
        <v>72.044725899927869</v>
      </c>
      <c r="G101" s="62">
        <f t="shared" si="11"/>
        <v>97.794902315915621</v>
      </c>
      <c r="H101" s="62">
        <f t="shared" si="11"/>
        <v>86.563678246144164</v>
      </c>
      <c r="I101" s="62">
        <f t="shared" si="11"/>
        <v>93.232439587524723</v>
      </c>
      <c r="J101" s="62">
        <f t="shared" si="11"/>
        <v>92.867719134236793</v>
      </c>
      <c r="K101" s="62">
        <f t="shared" si="11"/>
        <v>38.089613486078122</v>
      </c>
      <c r="L101" s="62">
        <f t="shared" si="11"/>
        <v>62.123364769031738</v>
      </c>
      <c r="M101" s="62">
        <f t="shared" si="11"/>
        <v>91.978048901449668</v>
      </c>
      <c r="N101" s="62">
        <f t="shared" si="11"/>
        <v>75.502231470917138</v>
      </c>
      <c r="O101" s="62">
        <f t="shared" si="11"/>
        <v>72.805084553660365</v>
      </c>
      <c r="P101" s="62">
        <f t="shared" si="11"/>
        <v>74.35002629371678</v>
      </c>
      <c r="Q101" s="62">
        <f t="shared" si="11"/>
        <v>86.723853681958801</v>
      </c>
      <c r="R101" s="62">
        <f t="shared" si="11"/>
        <v>80.283535983664692</v>
      </c>
      <c r="S101" s="62">
        <f t="shared" si="11"/>
        <v>84.292507130059974</v>
      </c>
      <c r="T101" s="62">
        <f t="shared" si="11"/>
        <v>96.007659300576648</v>
      </c>
      <c r="U101" s="62">
        <f t="shared" si="11"/>
        <v>96.644445402310595</v>
      </c>
      <c r="V101" s="62">
        <f t="shared" si="11"/>
        <v>95.362802864153949</v>
      </c>
    </row>
    <row r="102" spans="3:22" x14ac:dyDescent="0.2">
      <c r="C102" s="87" t="s">
        <v>133</v>
      </c>
      <c r="D102" s="60" t="str">
        <f t="shared" ref="D102:V102" si="12">+IFERROR(IF(D63&gt;0,+((D63/D23)*100)," "),"")</f>
        <v xml:space="preserve"> </v>
      </c>
      <c r="E102" s="60" t="str">
        <f t="shared" si="12"/>
        <v xml:space="preserve"> </v>
      </c>
      <c r="F102" s="60" t="str">
        <f t="shared" si="12"/>
        <v xml:space="preserve"> </v>
      </c>
      <c r="G102" s="60" t="str">
        <f t="shared" si="12"/>
        <v xml:space="preserve"> </v>
      </c>
      <c r="H102" s="60">
        <f t="shared" si="12"/>
        <v>89.788982390921532</v>
      </c>
      <c r="I102" s="60">
        <f t="shared" si="12"/>
        <v>99.995001081064501</v>
      </c>
      <c r="J102" s="60">
        <f t="shared" si="12"/>
        <v>100</v>
      </c>
      <c r="K102" s="60">
        <f t="shared" si="12"/>
        <v>99.7743782781818</v>
      </c>
      <c r="L102" s="60">
        <f t="shared" si="12"/>
        <v>98.921981200000005</v>
      </c>
      <c r="M102" s="60">
        <f t="shared" si="12"/>
        <v>100</v>
      </c>
      <c r="N102" s="60">
        <f t="shared" si="12"/>
        <v>98.351332912988653</v>
      </c>
      <c r="O102" s="60">
        <f t="shared" si="12"/>
        <v>98.847038147391871</v>
      </c>
      <c r="P102" s="60">
        <f t="shared" si="12"/>
        <v>98.102413058888672</v>
      </c>
      <c r="Q102" s="60">
        <f t="shared" si="12"/>
        <v>64.284433327090923</v>
      </c>
      <c r="R102" s="60">
        <f t="shared" si="12"/>
        <v>99.703422872749741</v>
      </c>
      <c r="S102" s="60">
        <f t="shared" si="12"/>
        <v>49.4420675</v>
      </c>
      <c r="T102" s="60">
        <f t="shared" si="12"/>
        <v>33.504771065229527</v>
      </c>
      <c r="U102" s="60">
        <f t="shared" si="12"/>
        <v>99.847535298846168</v>
      </c>
      <c r="V102" s="60">
        <f t="shared" si="12"/>
        <v>98.41474310698402</v>
      </c>
    </row>
    <row r="103" spans="3:22" x14ac:dyDescent="0.2">
      <c r="C103" s="88" t="s">
        <v>134</v>
      </c>
      <c r="D103" s="62">
        <f t="shared" ref="D103:V103" si="13">+IFERROR(IF(D64&gt;0,+((D64/D24)*100)," "),"")</f>
        <v>88.304200382221126</v>
      </c>
      <c r="E103" s="62">
        <f t="shared" si="13"/>
        <v>83.83520116959572</v>
      </c>
      <c r="F103" s="62">
        <f t="shared" si="13"/>
        <v>79.395133915593718</v>
      </c>
      <c r="G103" s="62">
        <f t="shared" si="13"/>
        <v>99.106570979138013</v>
      </c>
      <c r="H103" s="62">
        <f t="shared" si="13"/>
        <v>73.230074125735896</v>
      </c>
      <c r="I103" s="62">
        <f t="shared" si="13"/>
        <v>80.539643911000866</v>
      </c>
      <c r="J103" s="62">
        <f t="shared" si="13"/>
        <v>96.571435507417988</v>
      </c>
      <c r="K103" s="62">
        <f t="shared" si="13"/>
        <v>91.369789084599688</v>
      </c>
      <c r="L103" s="62">
        <f t="shared" si="13"/>
        <v>95.324670894800974</v>
      </c>
      <c r="M103" s="62">
        <f t="shared" si="13"/>
        <v>81.958249902185059</v>
      </c>
      <c r="N103" s="62">
        <f t="shared" si="13"/>
        <v>85.0079560499031</v>
      </c>
      <c r="O103" s="62">
        <f t="shared" si="13"/>
        <v>83.138986785480398</v>
      </c>
      <c r="P103" s="62">
        <f t="shared" si="13"/>
        <v>85.956913018405857</v>
      </c>
      <c r="Q103" s="62">
        <f t="shared" si="13"/>
        <v>95.384896696804631</v>
      </c>
      <c r="R103" s="62">
        <f t="shared" si="13"/>
        <v>96.492567410302669</v>
      </c>
      <c r="S103" s="62">
        <f t="shared" si="13"/>
        <v>73.567340582723432</v>
      </c>
      <c r="T103" s="62">
        <f t="shared" si="13"/>
        <v>91.050375965390501</v>
      </c>
      <c r="U103" s="62">
        <f t="shared" si="13"/>
        <v>97.778242545976951</v>
      </c>
      <c r="V103" s="62">
        <f t="shared" si="13"/>
        <v>83.400859340759766</v>
      </c>
    </row>
    <row r="104" spans="3:22" x14ac:dyDescent="0.2">
      <c r="C104" s="87" t="s">
        <v>135</v>
      </c>
      <c r="D104" s="60" t="str">
        <f t="shared" ref="D104:V104" si="14">+IFERROR(IF(D65&gt;0,+((D65/D25)*100)," "),"")</f>
        <v xml:space="preserve"> </v>
      </c>
      <c r="E104" s="60" t="str">
        <f t="shared" si="14"/>
        <v xml:space="preserve"> </v>
      </c>
      <c r="F104" s="60" t="str">
        <f t="shared" si="14"/>
        <v xml:space="preserve"> </v>
      </c>
      <c r="G104" s="60" t="str">
        <f t="shared" si="14"/>
        <v xml:space="preserve"> </v>
      </c>
      <c r="H104" s="60" t="str">
        <f t="shared" si="14"/>
        <v xml:space="preserve"> </v>
      </c>
      <c r="I104" s="60" t="str">
        <f t="shared" si="14"/>
        <v xml:space="preserve"> </v>
      </c>
      <c r="J104" s="60" t="str">
        <f t="shared" si="14"/>
        <v xml:space="preserve"> </v>
      </c>
      <c r="K104" s="60" t="str">
        <f t="shared" si="14"/>
        <v xml:space="preserve"> </v>
      </c>
      <c r="L104" s="60" t="str">
        <f t="shared" si="14"/>
        <v xml:space="preserve"> </v>
      </c>
      <c r="M104" s="60" t="str">
        <f t="shared" si="14"/>
        <v xml:space="preserve"> </v>
      </c>
      <c r="N104" s="60" t="str">
        <f t="shared" si="14"/>
        <v xml:space="preserve"> </v>
      </c>
      <c r="O104" s="60" t="str">
        <f t="shared" si="14"/>
        <v xml:space="preserve"> </v>
      </c>
      <c r="P104" s="60" t="str">
        <f t="shared" si="14"/>
        <v xml:space="preserve"> </v>
      </c>
      <c r="Q104" s="60" t="str">
        <f t="shared" si="14"/>
        <v xml:space="preserve"> </v>
      </c>
      <c r="R104" s="60" t="str">
        <f t="shared" si="14"/>
        <v xml:space="preserve"> </v>
      </c>
      <c r="S104" s="60" t="str">
        <f t="shared" si="14"/>
        <v xml:space="preserve"> </v>
      </c>
      <c r="T104" s="60" t="str">
        <f t="shared" si="14"/>
        <v xml:space="preserve"> </v>
      </c>
      <c r="U104" s="60" t="str">
        <f t="shared" si="14"/>
        <v xml:space="preserve"> </v>
      </c>
      <c r="V104" s="60" t="str">
        <f t="shared" si="14"/>
        <v xml:space="preserve"> </v>
      </c>
    </row>
    <row r="105" spans="3:22" x14ac:dyDescent="0.2">
      <c r="C105" s="88" t="s">
        <v>136</v>
      </c>
      <c r="D105" s="62">
        <f t="shared" ref="D105:V105" si="15">+IFERROR(IF(D66&gt;0,+((D66/D26)*100)," "),"")</f>
        <v>79.279901526071654</v>
      </c>
      <c r="E105" s="62">
        <f t="shared" si="15"/>
        <v>78.492203279481458</v>
      </c>
      <c r="F105" s="62">
        <f t="shared" si="15"/>
        <v>90.369644177012518</v>
      </c>
      <c r="G105" s="62">
        <f t="shared" si="15"/>
        <v>96.29093348033868</v>
      </c>
      <c r="H105" s="62">
        <f t="shared" si="15"/>
        <v>99.253641497779796</v>
      </c>
      <c r="I105" s="62">
        <f t="shared" si="15"/>
        <v>98.116356613646403</v>
      </c>
      <c r="J105" s="62">
        <f t="shared" si="15"/>
        <v>99.277391654413776</v>
      </c>
      <c r="K105" s="62">
        <f t="shared" si="15"/>
        <v>96.635058169698439</v>
      </c>
      <c r="L105" s="62">
        <f t="shared" si="15"/>
        <v>97.932738404526404</v>
      </c>
      <c r="M105" s="62">
        <f t="shared" si="15"/>
        <v>99.163395190318425</v>
      </c>
      <c r="N105" s="62">
        <f t="shared" si="15"/>
        <v>95.384759914391964</v>
      </c>
      <c r="O105" s="62">
        <f t="shared" si="15"/>
        <v>88.49736920955506</v>
      </c>
      <c r="P105" s="62">
        <f t="shared" si="15"/>
        <v>96.967160997115499</v>
      </c>
      <c r="Q105" s="62">
        <f t="shared" si="15"/>
        <v>97.183660617722666</v>
      </c>
      <c r="R105" s="62">
        <f t="shared" si="15"/>
        <v>96.614146878178829</v>
      </c>
      <c r="S105" s="62">
        <f t="shared" si="15"/>
        <v>96.975014618351096</v>
      </c>
      <c r="T105" s="62">
        <f t="shared" si="15"/>
        <v>99.320986446124451</v>
      </c>
      <c r="U105" s="62">
        <f t="shared" si="15"/>
        <v>99.497844827657971</v>
      </c>
      <c r="V105" s="62">
        <f t="shared" si="15"/>
        <v>98.763933675064649</v>
      </c>
    </row>
    <row r="106" spans="3:22" x14ac:dyDescent="0.2">
      <c r="C106" s="87" t="s">
        <v>137</v>
      </c>
      <c r="D106" s="60">
        <f t="shared" ref="D106:V106" si="16">+IFERROR(IF(D67&gt;0,+((D67/D27)*100)," "),"")</f>
        <v>73.186978733468578</v>
      </c>
      <c r="E106" s="60">
        <f t="shared" si="16"/>
        <v>68.283498718064436</v>
      </c>
      <c r="F106" s="60">
        <f t="shared" si="16"/>
        <v>89.487260757903172</v>
      </c>
      <c r="G106" s="60">
        <f t="shared" si="16"/>
        <v>94.077595990765516</v>
      </c>
      <c r="H106" s="60">
        <f t="shared" si="16"/>
        <v>74.892527067845748</v>
      </c>
      <c r="I106" s="60">
        <f t="shared" si="16"/>
        <v>57.698066102375414</v>
      </c>
      <c r="J106" s="60">
        <f t="shared" si="16"/>
        <v>91.494424510676325</v>
      </c>
      <c r="K106" s="60">
        <f t="shared" si="16"/>
        <v>92.009502904769732</v>
      </c>
      <c r="L106" s="60">
        <f t="shared" si="16"/>
        <v>82.687485030997109</v>
      </c>
      <c r="M106" s="60">
        <f t="shared" si="16"/>
        <v>79.128336185410902</v>
      </c>
      <c r="N106" s="60">
        <f t="shared" si="16"/>
        <v>55.195102382434037</v>
      </c>
      <c r="O106" s="60">
        <f t="shared" si="16"/>
        <v>68.744959241927688</v>
      </c>
      <c r="P106" s="60">
        <f t="shared" si="16"/>
        <v>85.118328761233215</v>
      </c>
      <c r="Q106" s="60">
        <f t="shared" si="16"/>
        <v>81.354342184102904</v>
      </c>
      <c r="R106" s="60">
        <f t="shared" si="16"/>
        <v>94.073978038301405</v>
      </c>
      <c r="S106" s="60">
        <f t="shared" si="16"/>
        <v>93.701941629614296</v>
      </c>
      <c r="T106" s="60">
        <f t="shared" si="16"/>
        <v>91.611705943871684</v>
      </c>
      <c r="U106" s="60">
        <f t="shared" si="16"/>
        <v>96.378546082597367</v>
      </c>
      <c r="V106" s="60">
        <f t="shared" si="16"/>
        <v>79.614656959943034</v>
      </c>
    </row>
    <row r="107" spans="3:22" x14ac:dyDescent="0.2">
      <c r="C107" s="88" t="s">
        <v>138</v>
      </c>
      <c r="D107" s="62">
        <f t="shared" ref="D107:V107" si="17">+IFERROR(IF(D68&gt;0,+((D68/D28)*100)," "),"")</f>
        <v>95.306931516788325</v>
      </c>
      <c r="E107" s="62">
        <f t="shared" si="17"/>
        <v>96.927807431242599</v>
      </c>
      <c r="F107" s="62">
        <f t="shared" si="17"/>
        <v>89.875193379312591</v>
      </c>
      <c r="G107" s="62">
        <f t="shared" si="17"/>
        <v>95.23737101682606</v>
      </c>
      <c r="H107" s="62">
        <f t="shared" si="17"/>
        <v>93.88822172085186</v>
      </c>
      <c r="I107" s="62">
        <f t="shared" si="17"/>
        <v>77.777313391136872</v>
      </c>
      <c r="J107" s="62">
        <f t="shared" si="17"/>
        <v>85.596088499434174</v>
      </c>
      <c r="K107" s="62">
        <f t="shared" si="17"/>
        <v>81.886762246235818</v>
      </c>
      <c r="L107" s="62">
        <f t="shared" si="17"/>
        <v>89.235061145944002</v>
      </c>
      <c r="M107" s="62">
        <f t="shared" si="17"/>
        <v>49.363642517553849</v>
      </c>
      <c r="N107" s="62">
        <f t="shared" si="17"/>
        <v>60.575240288318852</v>
      </c>
      <c r="O107" s="62">
        <f t="shared" si="17"/>
        <v>53.105294752370092</v>
      </c>
      <c r="P107" s="62">
        <f t="shared" si="17"/>
        <v>100</v>
      </c>
      <c r="Q107" s="62">
        <f t="shared" si="17"/>
        <v>100</v>
      </c>
      <c r="R107" s="62" t="str">
        <f t="shared" si="17"/>
        <v xml:space="preserve"> </v>
      </c>
      <c r="S107" s="62" t="str">
        <f t="shared" si="17"/>
        <v xml:space="preserve"> </v>
      </c>
      <c r="T107" s="62" t="str">
        <f t="shared" si="17"/>
        <v xml:space="preserve"> </v>
      </c>
      <c r="U107" s="62" t="str">
        <f t="shared" si="17"/>
        <v xml:space="preserve"> </v>
      </c>
      <c r="V107" s="62" t="str">
        <f t="shared" si="17"/>
        <v xml:space="preserve"> </v>
      </c>
    </row>
    <row r="108" spans="3:22" x14ac:dyDescent="0.2">
      <c r="C108" s="87" t="s">
        <v>139</v>
      </c>
      <c r="D108" s="60">
        <f t="shared" ref="D108:V108" si="18">+IFERROR(IF(D69&gt;0,+((D69/D29)*100)," "),"")</f>
        <v>66.195972710968817</v>
      </c>
      <c r="E108" s="60">
        <f t="shared" si="18"/>
        <v>99.614009911317197</v>
      </c>
      <c r="F108" s="60">
        <f t="shared" si="18"/>
        <v>99.917774492204131</v>
      </c>
      <c r="G108" s="60">
        <f t="shared" si="18"/>
        <v>99.034515206479483</v>
      </c>
      <c r="H108" s="60">
        <f t="shared" si="18"/>
        <v>66.981484709979384</v>
      </c>
      <c r="I108" s="60">
        <f t="shared" si="18"/>
        <v>99.063814767351118</v>
      </c>
      <c r="J108" s="60">
        <f t="shared" si="18"/>
        <v>98.970116118267597</v>
      </c>
      <c r="K108" s="60">
        <f t="shared" si="18"/>
        <v>70.540319867797635</v>
      </c>
      <c r="L108" s="60">
        <f t="shared" si="18"/>
        <v>93.634401374944304</v>
      </c>
      <c r="M108" s="60">
        <f t="shared" si="18"/>
        <v>86.237677634610122</v>
      </c>
      <c r="N108" s="60">
        <f t="shared" si="18"/>
        <v>81.594694312941513</v>
      </c>
      <c r="O108" s="60">
        <f t="shared" si="18"/>
        <v>80.259792288316106</v>
      </c>
      <c r="P108" s="60">
        <f t="shared" si="18"/>
        <v>95.071050669756815</v>
      </c>
      <c r="Q108" s="60">
        <f t="shared" si="18"/>
        <v>90.344921119236602</v>
      </c>
      <c r="R108" s="60">
        <f t="shared" si="18"/>
        <v>87.468745976715994</v>
      </c>
      <c r="S108" s="60">
        <f t="shared" si="18"/>
        <v>98.673569864479234</v>
      </c>
      <c r="T108" s="60">
        <f t="shared" si="18"/>
        <v>98.691109966865781</v>
      </c>
      <c r="U108" s="60">
        <f t="shared" si="18"/>
        <v>97.935143492123515</v>
      </c>
      <c r="V108" s="60">
        <f t="shared" si="18"/>
        <v>88.187313913202615</v>
      </c>
    </row>
    <row r="109" spans="3:22" x14ac:dyDescent="0.2">
      <c r="C109" s="88" t="s">
        <v>140</v>
      </c>
      <c r="D109" s="62">
        <f t="shared" ref="D109:V109" si="19">+IFERROR(IF(D70&gt;0,+((D70/D30)*100)," "),"")</f>
        <v>40.428586698809035</v>
      </c>
      <c r="E109" s="62">
        <f t="shared" si="19"/>
        <v>81.899233246810525</v>
      </c>
      <c r="F109" s="62">
        <f t="shared" si="19"/>
        <v>60.949687695489708</v>
      </c>
      <c r="G109" s="62">
        <f t="shared" si="19"/>
        <v>94.370523445701863</v>
      </c>
      <c r="H109" s="62">
        <f t="shared" si="19"/>
        <v>97.995374659007012</v>
      </c>
      <c r="I109" s="62">
        <f t="shared" si="19"/>
        <v>90.969701342427101</v>
      </c>
      <c r="J109" s="62">
        <f t="shared" si="19"/>
        <v>98.378860501735772</v>
      </c>
      <c r="K109" s="62">
        <f t="shared" si="19"/>
        <v>83.636658206653351</v>
      </c>
      <c r="L109" s="62">
        <f t="shared" si="19"/>
        <v>94.563512763651119</v>
      </c>
      <c r="M109" s="62">
        <f t="shared" si="19"/>
        <v>74.754595992221169</v>
      </c>
      <c r="N109" s="62">
        <f t="shared" si="19"/>
        <v>83.241188680271179</v>
      </c>
      <c r="O109" s="62">
        <f t="shared" si="19"/>
        <v>87.951170399434773</v>
      </c>
      <c r="P109" s="62">
        <f t="shared" si="19"/>
        <v>88.473505697444054</v>
      </c>
      <c r="Q109" s="62">
        <f t="shared" si="19"/>
        <v>94.638921146527792</v>
      </c>
      <c r="R109" s="62">
        <f t="shared" si="19"/>
        <v>99.049205088211707</v>
      </c>
      <c r="S109" s="62">
        <f t="shared" si="19"/>
        <v>93.421640107528731</v>
      </c>
      <c r="T109" s="62">
        <f t="shared" si="19"/>
        <v>96.003799898285223</v>
      </c>
      <c r="U109" s="62">
        <f t="shared" si="19"/>
        <v>96.623650603826476</v>
      </c>
      <c r="V109" s="62">
        <f t="shared" si="19"/>
        <v>93.690027367574061</v>
      </c>
    </row>
    <row r="110" spans="3:22" x14ac:dyDescent="0.2">
      <c r="C110" s="87" t="s">
        <v>141</v>
      </c>
      <c r="D110" s="60" t="str">
        <f t="shared" ref="D110:V110" si="20">+IFERROR(IF(D71&gt;0,+((D71/D31)*100)," "),"")</f>
        <v xml:space="preserve"> </v>
      </c>
      <c r="E110" s="60" t="str">
        <f t="shared" si="20"/>
        <v xml:space="preserve"> </v>
      </c>
      <c r="F110" s="60" t="str">
        <f t="shared" si="20"/>
        <v xml:space="preserve"> </v>
      </c>
      <c r="G110" s="60" t="str">
        <f t="shared" si="20"/>
        <v xml:space="preserve"> </v>
      </c>
      <c r="H110" s="60" t="str">
        <f t="shared" si="20"/>
        <v xml:space="preserve"> </v>
      </c>
      <c r="I110" s="60" t="str">
        <f t="shared" si="20"/>
        <v xml:space="preserve"> </v>
      </c>
      <c r="J110" s="60" t="str">
        <f t="shared" si="20"/>
        <v xml:space="preserve"> </v>
      </c>
      <c r="K110" s="60">
        <f t="shared" si="20"/>
        <v>71.499902749438021</v>
      </c>
      <c r="L110" s="60">
        <f t="shared" si="20"/>
        <v>24.119146946916231</v>
      </c>
      <c r="M110" s="60">
        <f t="shared" si="20"/>
        <v>5.3894375428571433</v>
      </c>
      <c r="N110" s="60">
        <f t="shared" si="20"/>
        <v>6.388863632514818</v>
      </c>
      <c r="O110" s="60">
        <f t="shared" si="20"/>
        <v>99.600000000000009</v>
      </c>
      <c r="P110" s="60">
        <f t="shared" si="20"/>
        <v>3.209278190670338</v>
      </c>
      <c r="Q110" s="60">
        <f t="shared" si="20"/>
        <v>5.2884495483870975</v>
      </c>
      <c r="R110" s="60">
        <f t="shared" si="20"/>
        <v>83.333641371295741</v>
      </c>
      <c r="S110" s="60" t="str">
        <f t="shared" si="20"/>
        <v xml:space="preserve"> </v>
      </c>
      <c r="T110" s="60">
        <f t="shared" si="20"/>
        <v>14.881302794982238</v>
      </c>
      <c r="U110" s="60" t="str">
        <f t="shared" si="20"/>
        <v xml:space="preserve"> </v>
      </c>
      <c r="V110" s="60" t="str">
        <f t="shared" si="20"/>
        <v xml:space="preserve"> </v>
      </c>
    </row>
    <row r="111" spans="3:22" x14ac:dyDescent="0.2">
      <c r="C111" s="88" t="s">
        <v>142</v>
      </c>
      <c r="D111" s="62">
        <f t="shared" ref="D111:V111" si="21">+IFERROR(IF(D72&gt;0,+((D72/D32)*100)," "),"")</f>
        <v>71.368197802656525</v>
      </c>
      <c r="E111" s="62">
        <f t="shared" si="21"/>
        <v>97.208009483168311</v>
      </c>
      <c r="F111" s="62">
        <f t="shared" si="21"/>
        <v>99.68527158872233</v>
      </c>
      <c r="G111" s="62">
        <f t="shared" si="21"/>
        <v>87.022687422613771</v>
      </c>
      <c r="H111" s="62">
        <f t="shared" si="21"/>
        <v>93.327811604425875</v>
      </c>
      <c r="I111" s="62">
        <f t="shared" si="21"/>
        <v>97.709455967659579</v>
      </c>
      <c r="J111" s="62">
        <f t="shared" si="21"/>
        <v>96.353747030916466</v>
      </c>
      <c r="K111" s="62">
        <f t="shared" si="21"/>
        <v>93.538098736082048</v>
      </c>
      <c r="L111" s="62">
        <f t="shared" si="21"/>
        <v>93.166235264388945</v>
      </c>
      <c r="M111" s="62">
        <f t="shared" si="21"/>
        <v>96.258341636910728</v>
      </c>
      <c r="N111" s="62">
        <f t="shared" si="21"/>
        <v>89.297228137066426</v>
      </c>
      <c r="O111" s="62">
        <f t="shared" si="21"/>
        <v>87.232615224388738</v>
      </c>
      <c r="P111" s="62">
        <f t="shared" si="21"/>
        <v>90.622007722767407</v>
      </c>
      <c r="Q111" s="62">
        <f t="shared" si="21"/>
        <v>92.360275935227136</v>
      </c>
      <c r="R111" s="62">
        <f t="shared" si="21"/>
        <v>89.90988905533618</v>
      </c>
      <c r="S111" s="62">
        <f t="shared" si="21"/>
        <v>98.447709444055761</v>
      </c>
      <c r="T111" s="62">
        <f t="shared" si="21"/>
        <v>90.671197874995386</v>
      </c>
      <c r="U111" s="62">
        <f t="shared" si="21"/>
        <v>95.092278767792109</v>
      </c>
      <c r="V111" s="62">
        <f t="shared" si="21"/>
        <v>97.493254222585847</v>
      </c>
    </row>
    <row r="112" spans="3:22" x14ac:dyDescent="0.2">
      <c r="C112" s="87" t="s">
        <v>143</v>
      </c>
      <c r="D112" s="60">
        <f t="shared" ref="D112:V112" si="22">+IFERROR(IF(D73&gt;0,+((D73/D33)*100)," "),"")</f>
        <v>100</v>
      </c>
      <c r="E112" s="60" t="str">
        <f t="shared" si="22"/>
        <v xml:space="preserve"> </v>
      </c>
      <c r="F112" s="60" t="str">
        <f t="shared" si="22"/>
        <v xml:space="preserve"> </v>
      </c>
      <c r="G112" s="60" t="str">
        <f t="shared" si="22"/>
        <v xml:space="preserve"> </v>
      </c>
      <c r="H112" s="60">
        <f t="shared" si="22"/>
        <v>77.524996628189314</v>
      </c>
      <c r="I112" s="60">
        <f t="shared" si="22"/>
        <v>94.852102111364033</v>
      </c>
      <c r="J112" s="60" t="str">
        <f t="shared" si="22"/>
        <v xml:space="preserve"> </v>
      </c>
      <c r="K112" s="60" t="str">
        <f t="shared" si="22"/>
        <v xml:space="preserve"> </v>
      </c>
      <c r="L112" s="60" t="str">
        <f t="shared" si="22"/>
        <v xml:space="preserve"> </v>
      </c>
      <c r="M112" s="60" t="str">
        <f t="shared" si="22"/>
        <v xml:space="preserve"> </v>
      </c>
      <c r="N112" s="60" t="str">
        <f t="shared" si="22"/>
        <v xml:space="preserve"> </v>
      </c>
      <c r="O112" s="60" t="str">
        <f t="shared" si="22"/>
        <v xml:space="preserve"> </v>
      </c>
      <c r="P112" s="60">
        <f t="shared" si="22"/>
        <v>3.8274200654969044</v>
      </c>
      <c r="Q112" s="60">
        <f t="shared" si="22"/>
        <v>51.996364033455656</v>
      </c>
      <c r="R112" s="60">
        <f t="shared" si="22"/>
        <v>86.584385409221269</v>
      </c>
      <c r="S112" s="60">
        <f t="shared" si="22"/>
        <v>7.8725314294348747</v>
      </c>
      <c r="T112" s="60">
        <f t="shared" si="22"/>
        <v>99.390022218662835</v>
      </c>
      <c r="U112" s="60">
        <f t="shared" si="22"/>
        <v>98.890843258294197</v>
      </c>
      <c r="V112" s="60">
        <f t="shared" si="22"/>
        <v>36.679400332138478</v>
      </c>
    </row>
    <row r="113" spans="3:22" x14ac:dyDescent="0.2">
      <c r="C113" s="88" t="s">
        <v>144</v>
      </c>
      <c r="D113" s="62" t="str">
        <f t="shared" ref="D113:V113" si="23">+IFERROR(IF(D74&gt;0,+((D74/D34)*100)," "),"")</f>
        <v xml:space="preserve"> </v>
      </c>
      <c r="E113" s="62" t="str">
        <f t="shared" si="23"/>
        <v xml:space="preserve"> </v>
      </c>
      <c r="F113" s="62" t="str">
        <f t="shared" si="23"/>
        <v xml:space="preserve"> </v>
      </c>
      <c r="G113" s="62" t="str">
        <f t="shared" si="23"/>
        <v xml:space="preserve"> </v>
      </c>
      <c r="H113" s="62" t="str">
        <f t="shared" si="23"/>
        <v xml:space="preserve"> </v>
      </c>
      <c r="I113" s="62" t="str">
        <f t="shared" si="23"/>
        <v xml:space="preserve"> </v>
      </c>
      <c r="J113" s="62" t="str">
        <f t="shared" si="23"/>
        <v xml:space="preserve"> </v>
      </c>
      <c r="K113" s="62" t="str">
        <f t="shared" si="23"/>
        <v xml:space="preserve"> </v>
      </c>
      <c r="L113" s="62" t="str">
        <f t="shared" si="23"/>
        <v xml:space="preserve"> </v>
      </c>
      <c r="M113" s="62" t="str">
        <f t="shared" si="23"/>
        <v xml:space="preserve"> </v>
      </c>
      <c r="N113" s="62" t="str">
        <f t="shared" si="23"/>
        <v xml:space="preserve"> </v>
      </c>
      <c r="O113" s="62" t="str">
        <f t="shared" si="23"/>
        <v xml:space="preserve"> </v>
      </c>
      <c r="P113" s="62" t="str">
        <f t="shared" si="23"/>
        <v xml:space="preserve"> </v>
      </c>
      <c r="Q113" s="62" t="str">
        <f t="shared" si="23"/>
        <v xml:space="preserve"> </v>
      </c>
      <c r="R113" s="62" t="str">
        <f t="shared" si="23"/>
        <v xml:space="preserve"> </v>
      </c>
      <c r="S113" s="62" t="str">
        <f t="shared" si="23"/>
        <v xml:space="preserve"> </v>
      </c>
      <c r="T113" s="62" t="str">
        <f t="shared" si="23"/>
        <v xml:space="preserve"> </v>
      </c>
      <c r="U113" s="62" t="str">
        <f t="shared" si="23"/>
        <v xml:space="preserve"> </v>
      </c>
      <c r="V113" s="62" t="str">
        <f t="shared" si="23"/>
        <v xml:space="preserve"> </v>
      </c>
    </row>
    <row r="114" spans="3:22" x14ac:dyDescent="0.2">
      <c r="C114" s="87" t="s">
        <v>145</v>
      </c>
      <c r="D114" s="60">
        <f t="shared" ref="D114:V114" si="24">+IFERROR(IF(D75&gt;0,+((D75/D35)*100)," "),"")</f>
        <v>35.158106185884684</v>
      </c>
      <c r="E114" s="60">
        <f t="shared" si="24"/>
        <v>6.5227734399999999</v>
      </c>
      <c r="F114" s="60">
        <f t="shared" si="24"/>
        <v>93.993358849999993</v>
      </c>
      <c r="G114" s="60">
        <f t="shared" si="24"/>
        <v>99.131485661177436</v>
      </c>
      <c r="H114" s="60">
        <f t="shared" si="24"/>
        <v>99.058948130557127</v>
      </c>
      <c r="I114" s="60">
        <f t="shared" si="24"/>
        <v>96.829556767991704</v>
      </c>
      <c r="J114" s="60">
        <f t="shared" si="24"/>
        <v>62.773957918832949</v>
      </c>
      <c r="K114" s="60">
        <f t="shared" si="24"/>
        <v>81.024363245567017</v>
      </c>
      <c r="L114" s="60">
        <f t="shared" si="24"/>
        <v>97.974235225829858</v>
      </c>
      <c r="M114" s="60">
        <f t="shared" si="24"/>
        <v>97.50196489194127</v>
      </c>
      <c r="N114" s="60">
        <f t="shared" si="24"/>
        <v>68.448040660976162</v>
      </c>
      <c r="O114" s="60">
        <f t="shared" si="24"/>
        <v>72.848601226598774</v>
      </c>
      <c r="P114" s="60">
        <f t="shared" si="24"/>
        <v>63.644161984050918</v>
      </c>
      <c r="Q114" s="60">
        <f t="shared" si="24"/>
        <v>51.538160122040551</v>
      </c>
      <c r="R114" s="60">
        <f t="shared" si="24"/>
        <v>78.011035407662476</v>
      </c>
      <c r="S114" s="60">
        <f t="shared" si="24"/>
        <v>76.432336302680312</v>
      </c>
      <c r="T114" s="60">
        <f t="shared" si="24"/>
        <v>95.487343720574174</v>
      </c>
      <c r="U114" s="60">
        <f t="shared" si="24"/>
        <v>94.312923676042146</v>
      </c>
      <c r="V114" s="60">
        <f t="shared" si="24"/>
        <v>94.631573797967022</v>
      </c>
    </row>
    <row r="115" spans="3:22" x14ac:dyDescent="0.2">
      <c r="C115" s="88" t="s">
        <v>146</v>
      </c>
      <c r="D115" s="62">
        <f t="shared" ref="D115:V115" si="25">+IFERROR(IF(D76&gt;0,+((D76/D36)*100)," "),"")</f>
        <v>64.431812817599791</v>
      </c>
      <c r="E115" s="62">
        <f t="shared" si="25"/>
        <v>59.757328746428442</v>
      </c>
      <c r="F115" s="62">
        <f t="shared" si="25"/>
        <v>21.546440141223847</v>
      </c>
      <c r="G115" s="62">
        <f t="shared" si="25"/>
        <v>99.952722938897566</v>
      </c>
      <c r="H115" s="62">
        <f t="shared" si="25"/>
        <v>69.260314209705641</v>
      </c>
      <c r="I115" s="62">
        <f t="shared" si="25"/>
        <v>82.208267912545651</v>
      </c>
      <c r="J115" s="62">
        <f t="shared" si="25"/>
        <v>81.750923887197828</v>
      </c>
      <c r="K115" s="62">
        <f t="shared" si="25"/>
        <v>90.973238568180776</v>
      </c>
      <c r="L115" s="62">
        <f t="shared" si="25"/>
        <v>85.812918232282243</v>
      </c>
      <c r="M115" s="62">
        <f t="shared" si="25"/>
        <v>74.23514509554002</v>
      </c>
      <c r="N115" s="62">
        <f t="shared" si="25"/>
        <v>98.096127120259368</v>
      </c>
      <c r="O115" s="62">
        <f t="shared" si="25"/>
        <v>97.752472550142372</v>
      </c>
      <c r="P115" s="62">
        <f t="shared" si="25"/>
        <v>99.465077665562845</v>
      </c>
      <c r="Q115" s="62">
        <f t="shared" si="25"/>
        <v>97.449288171076347</v>
      </c>
      <c r="R115" s="62">
        <f t="shared" si="25"/>
        <v>95.618363997515914</v>
      </c>
      <c r="S115" s="62">
        <f t="shared" si="25"/>
        <v>98.759259378125108</v>
      </c>
      <c r="T115" s="62">
        <f t="shared" si="25"/>
        <v>98.645298752515572</v>
      </c>
      <c r="U115" s="62">
        <f t="shared" si="25"/>
        <v>99.747308026144765</v>
      </c>
      <c r="V115" s="62">
        <f t="shared" si="25"/>
        <v>99.778299375208917</v>
      </c>
    </row>
    <row r="116" spans="3:22" x14ac:dyDescent="0.2">
      <c r="C116" s="90" t="s">
        <v>147</v>
      </c>
      <c r="D116" s="61">
        <f t="shared" ref="D116:V116" si="26">+IFERROR(IF(D77&gt;0,+((D77/D37)*100)," "),"")</f>
        <v>71.45324712145883</v>
      </c>
      <c r="E116" s="61">
        <f t="shared" si="26"/>
        <v>96.854147294769618</v>
      </c>
      <c r="F116" s="61">
        <f t="shared" si="26"/>
        <v>93.179692631671401</v>
      </c>
      <c r="G116" s="61">
        <f t="shared" si="26"/>
        <v>94.282160152088352</v>
      </c>
      <c r="H116" s="61">
        <f t="shared" si="26"/>
        <v>96.049632341577478</v>
      </c>
      <c r="I116" s="61">
        <f t="shared" si="26"/>
        <v>94.725284232102311</v>
      </c>
      <c r="J116" s="61">
        <f t="shared" si="26"/>
        <v>96.723007304459443</v>
      </c>
      <c r="K116" s="61">
        <f t="shared" si="26"/>
        <v>97.469639139623894</v>
      </c>
      <c r="L116" s="61">
        <f t="shared" si="26"/>
        <v>97.67436460753305</v>
      </c>
      <c r="M116" s="61">
        <f t="shared" si="26"/>
        <v>98.387406408426671</v>
      </c>
      <c r="N116" s="61">
        <f t="shared" si="26"/>
        <v>98.131060457217288</v>
      </c>
      <c r="O116" s="61">
        <f t="shared" si="26"/>
        <v>85.059677863302269</v>
      </c>
      <c r="P116" s="61">
        <f t="shared" si="26"/>
        <v>91.128934869719714</v>
      </c>
      <c r="Q116" s="61">
        <f t="shared" si="26"/>
        <v>97.917314101992091</v>
      </c>
      <c r="R116" s="61">
        <f t="shared" si="26"/>
        <v>97.813144890225971</v>
      </c>
      <c r="S116" s="61">
        <f t="shared" si="26"/>
        <v>97.906750646694093</v>
      </c>
      <c r="T116" s="61">
        <f t="shared" si="26"/>
        <v>98.275333782763951</v>
      </c>
      <c r="U116" s="61">
        <f t="shared" si="26"/>
        <v>97.567780320214609</v>
      </c>
      <c r="V116" s="61">
        <f t="shared" si="26"/>
        <v>95.620419729461588</v>
      </c>
    </row>
    <row r="117" spans="3:22" ht="22.5" customHeight="1" x14ac:dyDescent="0.2">
      <c r="C117" s="89" t="s">
        <v>148</v>
      </c>
      <c r="D117" s="63" t="str">
        <f t="shared" ref="D117:V117" si="27">+IFERROR(IF(D78&gt;0,+((D78/D38)*100)," "),"")</f>
        <v xml:space="preserve"> </v>
      </c>
      <c r="E117" s="63" t="str">
        <f t="shared" si="27"/>
        <v xml:space="preserve"> </v>
      </c>
      <c r="F117" s="63" t="str">
        <f t="shared" si="27"/>
        <v xml:space="preserve"> </v>
      </c>
      <c r="G117" s="63" t="str">
        <f t="shared" si="27"/>
        <v xml:space="preserve"> </v>
      </c>
      <c r="H117" s="63" t="str">
        <f t="shared" si="27"/>
        <v xml:space="preserve"> </v>
      </c>
      <c r="I117" s="63" t="str">
        <f t="shared" si="27"/>
        <v xml:space="preserve"> </v>
      </c>
      <c r="J117" s="63" t="str">
        <f t="shared" si="27"/>
        <v xml:space="preserve"> </v>
      </c>
      <c r="K117" s="63" t="str">
        <f t="shared" si="27"/>
        <v xml:space="preserve"> </v>
      </c>
      <c r="L117" s="63" t="str">
        <f t="shared" si="27"/>
        <v xml:space="preserve"> </v>
      </c>
      <c r="M117" s="63" t="str">
        <f t="shared" si="27"/>
        <v xml:space="preserve"> </v>
      </c>
      <c r="N117" s="63" t="str">
        <f t="shared" si="27"/>
        <v xml:space="preserve"> </v>
      </c>
      <c r="O117" s="63" t="str">
        <f t="shared" si="27"/>
        <v xml:space="preserve"> </v>
      </c>
      <c r="P117" s="63" t="str">
        <f t="shared" si="27"/>
        <v xml:space="preserve"> </v>
      </c>
      <c r="Q117" s="63" t="str">
        <f t="shared" si="27"/>
        <v xml:space="preserve"> </v>
      </c>
      <c r="R117" s="63" t="str">
        <f t="shared" si="27"/>
        <v xml:space="preserve"> </v>
      </c>
      <c r="S117" s="63" t="str">
        <f t="shared" si="27"/>
        <v xml:space="preserve"> </v>
      </c>
      <c r="T117" s="63" t="str">
        <f t="shared" si="27"/>
        <v xml:space="preserve"> </v>
      </c>
      <c r="U117" s="63" t="str">
        <f t="shared" si="27"/>
        <v xml:space="preserve"> </v>
      </c>
      <c r="V117" s="63" t="str">
        <f t="shared" si="27"/>
        <v xml:space="preserve"> </v>
      </c>
    </row>
    <row r="118" spans="3:22" x14ac:dyDescent="0.2">
      <c r="C118" s="87" t="s">
        <v>149</v>
      </c>
      <c r="D118" s="60">
        <f t="shared" ref="D118:V118" si="28">+IFERROR(IF(D79&gt;0,+((D79/D39)*100)," "),"")</f>
        <v>94.567487583828353</v>
      </c>
      <c r="E118" s="60">
        <f t="shared" si="28"/>
        <v>99.323410248307027</v>
      </c>
      <c r="F118" s="60">
        <f t="shared" si="28"/>
        <v>99.381389096391757</v>
      </c>
      <c r="G118" s="60">
        <f t="shared" si="28"/>
        <v>98.735030753138332</v>
      </c>
      <c r="H118" s="60">
        <f t="shared" si="28"/>
        <v>99.846787260810089</v>
      </c>
      <c r="I118" s="60">
        <f t="shared" si="28"/>
        <v>98.589821311202527</v>
      </c>
      <c r="J118" s="60">
        <f t="shared" si="28"/>
        <v>91.748017169103164</v>
      </c>
      <c r="K118" s="60">
        <f t="shared" si="28"/>
        <v>98.821837417844392</v>
      </c>
      <c r="L118" s="60">
        <f t="shared" si="28"/>
        <v>95.512875347289139</v>
      </c>
      <c r="M118" s="60">
        <f t="shared" si="28"/>
        <v>84.262228454927055</v>
      </c>
      <c r="N118" s="60">
        <f t="shared" si="28"/>
        <v>92.108211384184813</v>
      </c>
      <c r="O118" s="60">
        <f t="shared" si="28"/>
        <v>95.028144729072622</v>
      </c>
      <c r="P118" s="60">
        <f t="shared" si="28"/>
        <v>98.098202625830794</v>
      </c>
      <c r="Q118" s="60">
        <f t="shared" si="28"/>
        <v>94.778279152073509</v>
      </c>
      <c r="R118" s="60">
        <f t="shared" si="28"/>
        <v>96.766540843798211</v>
      </c>
      <c r="S118" s="60">
        <f t="shared" si="28"/>
        <v>96.201794306257824</v>
      </c>
      <c r="T118" s="60">
        <f t="shared" si="28"/>
        <v>98.282311229329167</v>
      </c>
      <c r="U118" s="60">
        <f t="shared" si="28"/>
        <v>98.427110830859291</v>
      </c>
      <c r="V118" s="60">
        <f t="shared" si="28"/>
        <v>93.732841795035213</v>
      </c>
    </row>
    <row r="119" spans="3:22" x14ac:dyDescent="0.2">
      <c r="C119" s="88" t="s">
        <v>150</v>
      </c>
      <c r="D119" s="62">
        <f t="shared" ref="D119:V119" si="29">+IFERROR(IF(D80&gt;0,+((D80/D40)*100)," "),"")</f>
        <v>79.761833950525101</v>
      </c>
      <c r="E119" s="62">
        <f t="shared" si="29"/>
        <v>94.585810901540739</v>
      </c>
      <c r="F119" s="62">
        <f t="shared" si="29"/>
        <v>82.926010126862579</v>
      </c>
      <c r="G119" s="62">
        <f t="shared" si="29"/>
        <v>98.101964639682748</v>
      </c>
      <c r="H119" s="62">
        <f t="shared" si="29"/>
        <v>94.842357786883511</v>
      </c>
      <c r="I119" s="62">
        <f t="shared" si="29"/>
        <v>98.791703342138334</v>
      </c>
      <c r="J119" s="62">
        <f t="shared" si="29"/>
        <v>98.540580055089393</v>
      </c>
      <c r="K119" s="62">
        <f t="shared" si="29"/>
        <v>93.354607786826207</v>
      </c>
      <c r="L119" s="62">
        <f t="shared" si="29"/>
        <v>96.676479166433609</v>
      </c>
      <c r="M119" s="62">
        <f t="shared" si="29"/>
        <v>84.714414872041644</v>
      </c>
      <c r="N119" s="62">
        <f t="shared" si="29"/>
        <v>72.116813658901563</v>
      </c>
      <c r="O119" s="62">
        <f t="shared" si="29"/>
        <v>81.598374199836428</v>
      </c>
      <c r="P119" s="62">
        <f t="shared" si="29"/>
        <v>86.641742469027676</v>
      </c>
      <c r="Q119" s="62">
        <f t="shared" si="29"/>
        <v>96.036961082923739</v>
      </c>
      <c r="R119" s="62">
        <f t="shared" si="29"/>
        <v>97.061242517330186</v>
      </c>
      <c r="S119" s="62">
        <f t="shared" si="29"/>
        <v>96.976527555362949</v>
      </c>
      <c r="T119" s="62">
        <f t="shared" si="29"/>
        <v>99.265300842321849</v>
      </c>
      <c r="U119" s="62">
        <f t="shared" si="29"/>
        <v>98.511749114220564</v>
      </c>
      <c r="V119" s="62">
        <f t="shared" si="29"/>
        <v>97.880125881998524</v>
      </c>
    </row>
    <row r="120" spans="3:22" x14ac:dyDescent="0.2">
      <c r="C120" s="87" t="s">
        <v>151</v>
      </c>
      <c r="D120" s="60">
        <f t="shared" ref="D120:V120" si="30">+IFERROR(IF(D81&gt;0,+((D81/D41)*100)," "),"")</f>
        <v>30.719354970000001</v>
      </c>
      <c r="E120" s="60">
        <f t="shared" si="30"/>
        <v>48.648319480986679</v>
      </c>
      <c r="F120" s="60">
        <f t="shared" si="30"/>
        <v>34.80634607567746</v>
      </c>
      <c r="G120" s="60" t="str">
        <f t="shared" si="30"/>
        <v xml:space="preserve"> </v>
      </c>
      <c r="H120" s="60" t="str">
        <f t="shared" si="30"/>
        <v xml:space="preserve"> </v>
      </c>
      <c r="I120" s="60">
        <f t="shared" si="30"/>
        <v>99.52782992198739</v>
      </c>
      <c r="J120" s="60">
        <f t="shared" si="30"/>
        <v>0.60263803090000001</v>
      </c>
      <c r="K120" s="60" t="str">
        <f t="shared" si="30"/>
        <v xml:space="preserve"> </v>
      </c>
      <c r="L120" s="60" t="str">
        <f t="shared" si="30"/>
        <v xml:space="preserve"> </v>
      </c>
      <c r="M120" s="60" t="str">
        <f t="shared" si="30"/>
        <v xml:space="preserve"> </v>
      </c>
      <c r="N120" s="60" t="str">
        <f t="shared" si="30"/>
        <v xml:space="preserve"> </v>
      </c>
      <c r="O120" s="60" t="str">
        <f t="shared" si="30"/>
        <v xml:space="preserve"> </v>
      </c>
      <c r="P120" s="60" t="str">
        <f t="shared" si="30"/>
        <v xml:space="preserve"> </v>
      </c>
      <c r="Q120" s="60" t="str">
        <f t="shared" si="30"/>
        <v xml:space="preserve"> </v>
      </c>
      <c r="R120" s="60" t="str">
        <f t="shared" si="30"/>
        <v xml:space="preserve"> </v>
      </c>
      <c r="S120" s="60" t="str">
        <f t="shared" si="30"/>
        <v xml:space="preserve"> </v>
      </c>
      <c r="T120" s="60" t="str">
        <f t="shared" si="30"/>
        <v xml:space="preserve"> </v>
      </c>
      <c r="U120" s="60" t="str">
        <f t="shared" si="30"/>
        <v xml:space="preserve"> </v>
      </c>
      <c r="V120" s="60" t="str">
        <f t="shared" si="30"/>
        <v xml:space="preserve"> </v>
      </c>
    </row>
    <row r="121" spans="3:22" x14ac:dyDescent="0.2">
      <c r="C121" s="91" t="s">
        <v>202</v>
      </c>
      <c r="D121" s="64">
        <f t="shared" ref="D121:V121" si="31">+IFERROR(IF(D82&gt;0,+((D82/D42)*100)," "),"")</f>
        <v>77.699430109181918</v>
      </c>
      <c r="E121" s="64">
        <f t="shared" si="31"/>
        <v>87.812201743531304</v>
      </c>
      <c r="F121" s="64">
        <f t="shared" si="31"/>
        <v>88.771170241202867</v>
      </c>
      <c r="G121" s="64">
        <f t="shared" si="31"/>
        <v>96.337083887254877</v>
      </c>
      <c r="H121" s="64">
        <f t="shared" si="31"/>
        <v>94.301464356164644</v>
      </c>
      <c r="I121" s="64">
        <f t="shared" si="31"/>
        <v>95.581804445653802</v>
      </c>
      <c r="J121" s="64">
        <f t="shared" si="31"/>
        <v>94.43307152212688</v>
      </c>
      <c r="K121" s="64">
        <f t="shared" si="31"/>
        <v>94.101014116931509</v>
      </c>
      <c r="L121" s="64">
        <f t="shared" si="31"/>
        <v>96.541921316615358</v>
      </c>
      <c r="M121" s="64">
        <f t="shared" si="31"/>
        <v>93.254327070541521</v>
      </c>
      <c r="N121" s="64">
        <f t="shared" si="31"/>
        <v>90.51008027792659</v>
      </c>
      <c r="O121" s="64">
        <f t="shared" si="31"/>
        <v>86.542604722992735</v>
      </c>
      <c r="P121" s="64">
        <f t="shared" si="31"/>
        <v>92.470643798575466</v>
      </c>
      <c r="Q121" s="64">
        <f t="shared" si="31"/>
        <v>95.693941682493971</v>
      </c>
      <c r="R121" s="64">
        <f t="shared" si="31"/>
        <v>95.881866723102604</v>
      </c>
      <c r="S121" s="64">
        <f t="shared" si="31"/>
        <v>96.04940586264398</v>
      </c>
      <c r="T121" s="64">
        <f t="shared" si="31"/>
        <v>98.337539681732736</v>
      </c>
      <c r="U121" s="64">
        <f t="shared" si="31"/>
        <v>98.394302616697075</v>
      </c>
      <c r="V121" s="64">
        <f t="shared" si="31"/>
        <v>95.325999679427667</v>
      </c>
    </row>
    <row r="122" spans="3:22" x14ac:dyDescent="0.2">
      <c r="C122" s="1" t="s">
        <v>52</v>
      </c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</row>
    <row r="123" spans="3:22" x14ac:dyDescent="0.2"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</row>
    <row r="127" spans="3:22" ht="18" customHeight="1" x14ac:dyDescent="0.2">
      <c r="C127" s="9"/>
      <c r="D127" s="160" t="s">
        <v>221</v>
      </c>
      <c r="E127" s="158"/>
      <c r="F127" s="158"/>
      <c r="G127" s="158"/>
      <c r="H127" s="158"/>
      <c r="I127" s="158"/>
      <c r="J127" s="158"/>
      <c r="K127" s="158"/>
      <c r="L127" s="158"/>
      <c r="M127" s="158"/>
      <c r="N127" s="158"/>
      <c r="O127" s="158"/>
      <c r="P127" s="158"/>
      <c r="Q127" s="158"/>
      <c r="R127" s="158"/>
      <c r="S127" s="158"/>
      <c r="T127" s="158"/>
      <c r="U127" s="158"/>
      <c r="V127" s="158"/>
    </row>
    <row r="128" spans="3:22" ht="15.75" customHeight="1" x14ac:dyDescent="0.2">
      <c r="C128" s="150"/>
      <c r="D128" s="150"/>
      <c r="E128" s="150"/>
      <c r="F128" s="150"/>
      <c r="G128" s="150"/>
      <c r="H128" s="150"/>
      <c r="I128" s="150"/>
      <c r="J128" s="150"/>
      <c r="K128" s="150"/>
      <c r="L128" s="150"/>
      <c r="M128" s="150"/>
      <c r="N128" s="150"/>
      <c r="O128" s="150"/>
      <c r="P128" s="150"/>
      <c r="Q128" s="150"/>
      <c r="R128" s="150"/>
      <c r="S128" s="150"/>
      <c r="T128" s="150"/>
      <c r="U128" s="150"/>
      <c r="V128" s="150"/>
    </row>
    <row r="129" spans="3:22" x14ac:dyDescent="0.2">
      <c r="C129" s="177" t="s">
        <v>120</v>
      </c>
      <c r="D129" s="153">
        <v>2000</v>
      </c>
      <c r="E129" s="153">
        <v>2001</v>
      </c>
      <c r="F129" s="153">
        <v>2002</v>
      </c>
      <c r="G129" s="153">
        <v>2003</v>
      </c>
      <c r="H129" s="153">
        <v>2004</v>
      </c>
      <c r="I129" s="153">
        <v>2005</v>
      </c>
      <c r="J129" s="153">
        <v>2006</v>
      </c>
      <c r="K129" s="153">
        <v>2007</v>
      </c>
      <c r="L129" s="153">
        <v>2008</v>
      </c>
      <c r="M129" s="153">
        <v>2009</v>
      </c>
      <c r="N129" s="153">
        <v>2010</v>
      </c>
      <c r="O129" s="153">
        <v>2011</v>
      </c>
      <c r="P129" s="153">
        <v>2012</v>
      </c>
      <c r="Q129" s="153">
        <v>2013</v>
      </c>
      <c r="R129" s="153">
        <v>2014</v>
      </c>
      <c r="S129" s="153">
        <v>2015</v>
      </c>
      <c r="T129" s="153">
        <v>2016</v>
      </c>
      <c r="U129" s="153">
        <v>2017</v>
      </c>
      <c r="V129" s="153">
        <v>2018</v>
      </c>
    </row>
    <row r="130" spans="3:22" ht="12" customHeight="1" thickBot="1" x14ac:dyDescent="0.25">
      <c r="C130" s="156"/>
      <c r="D130" s="154"/>
      <c r="E130" s="154"/>
      <c r="F130" s="154"/>
      <c r="G130" s="154"/>
      <c r="H130" s="154"/>
      <c r="I130" s="154"/>
      <c r="J130" s="154"/>
      <c r="K130" s="154"/>
      <c r="L130" s="154"/>
      <c r="M130" s="154"/>
      <c r="N130" s="154"/>
      <c r="O130" s="154"/>
      <c r="P130" s="154"/>
      <c r="Q130" s="154"/>
      <c r="R130" s="154"/>
      <c r="S130" s="154"/>
      <c r="T130" s="154"/>
      <c r="U130" s="154"/>
      <c r="V130" s="154"/>
    </row>
    <row r="131" spans="3:22" x14ac:dyDescent="0.2">
      <c r="C131" s="87" t="s">
        <v>123</v>
      </c>
      <c r="D131" s="56">
        <f>23.077433615*Deflactores!$A$5</f>
        <v>83.783987274230114</v>
      </c>
      <c r="E131" s="56">
        <f>21.211299942*Deflactores!$B$5</f>
        <v>71.537475059208248</v>
      </c>
      <c r="F131" s="56">
        <f>21.84614698*Deflactores!$C$5</f>
        <v>68.863725708910621</v>
      </c>
      <c r="G131" s="56">
        <f>18.218041379*Deflactores!$D$5</f>
        <v>53.926591080841533</v>
      </c>
      <c r="H131" s="56">
        <f>22.711814285*Deflactores!$E$5</f>
        <v>63.725473723429076</v>
      </c>
      <c r="I131" s="56">
        <f>32.754526313*Deflactores!$F$5</f>
        <v>87.648146761085528</v>
      </c>
      <c r="J131" s="56">
        <f>35.029585976*Deflactores!$G$5</f>
        <v>89.718454379047074</v>
      </c>
      <c r="K131" s="56">
        <f>52.812576228*Deflactores!$H$5</f>
        <v>127.97699333328464</v>
      </c>
      <c r="L131" s="56">
        <f>50.934666912*Deflactores!$I$5</f>
        <v>114.6293091605984</v>
      </c>
      <c r="M131" s="56">
        <f>46.112564375*Deflactores!$J$5</f>
        <v>101.74043949850324</v>
      </c>
      <c r="N131" s="56">
        <f>61.763061784*Deflactores!$K$5</f>
        <v>132.08228591795375</v>
      </c>
      <c r="O131" s="56">
        <f>28.4481358138199*Deflactores!$L$5</f>
        <v>58.651493137652807</v>
      </c>
      <c r="P131" s="56">
        <f>33.98453249143*Deflactores!$M$5</f>
        <v>68.39699006959026</v>
      </c>
      <c r="Q131" s="56">
        <f>42.14022429821*Deflactores!$N$5</f>
        <v>83.197045516370096</v>
      </c>
      <c r="R131" s="56">
        <f>76.02419811565*Deflactores!$O$5</f>
        <v>144.79437964863089</v>
      </c>
      <c r="S131" s="56">
        <f>47.25711028033*Deflactores!$P$5</f>
        <v>84.298097899980462</v>
      </c>
      <c r="T131" s="56">
        <f>34.24698659465*Deflactores!$Q$5</f>
        <v>57.768700941509643</v>
      </c>
      <c r="U131" s="56">
        <f>40.49881218389*Deflactores!$R$5</f>
        <v>65.630167847213841</v>
      </c>
      <c r="V131" s="56">
        <f>49.21389213069*Deflactores!$S$5</f>
        <v>77.295359021810739</v>
      </c>
    </row>
    <row r="132" spans="3:22" x14ac:dyDescent="0.2">
      <c r="C132" s="88" t="s">
        <v>124</v>
      </c>
      <c r="D132" s="57">
        <f>3.01430505282999*Deflactores!$A$5</f>
        <v>10.943612725758259</v>
      </c>
      <c r="E132" s="57">
        <f>0.843573121*Deflactores!$B$5</f>
        <v>2.8450444465529481</v>
      </c>
      <c r="F132" s="57">
        <f>3.90794659439*Deflactores!$C$5</f>
        <v>12.318683134720187</v>
      </c>
      <c r="G132" s="57">
        <f>3.73701674104*Deflactores!$D$5</f>
        <v>11.061813367523758</v>
      </c>
      <c r="H132" s="57">
        <f>5.99710552096*Deflactores!$E$5</f>
        <v>16.826854318942313</v>
      </c>
      <c r="I132" s="57">
        <f>6.67297877471999*Deflactores!$F$5</f>
        <v>17.856287017899405</v>
      </c>
      <c r="J132" s="57">
        <f>9.79567275493*Deflactores!$G$5</f>
        <v>25.088866873202392</v>
      </c>
      <c r="K132" s="57">
        <f>20.15385024482*Deflactores!$H$5</f>
        <v>48.83740469857819</v>
      </c>
      <c r="L132" s="57">
        <f>15.57408557358*Deflactores!$I$5</f>
        <v>35.049736816614391</v>
      </c>
      <c r="M132" s="57">
        <f>19.37375549537*Deflactores!$J$5</f>
        <v>42.745278332517067</v>
      </c>
      <c r="N132" s="57">
        <f>21.96021879805*Deflactores!$K$5</f>
        <v>46.96263129326055</v>
      </c>
      <c r="O132" s="57">
        <f>33.69185588369*Deflactores!$L$5</f>
        <v>69.462465558009157</v>
      </c>
      <c r="P132" s="57">
        <f>32.25186436811*Deflactores!$M$5</f>
        <v>64.909836481277736</v>
      </c>
      <c r="Q132" s="57">
        <f>33.7536602504099*Deflactores!$N$5</f>
        <v>66.639531586848463</v>
      </c>
      <c r="R132" s="57">
        <f>38.35569803931*Deflactores!$O$5</f>
        <v>73.051602532442132</v>
      </c>
      <c r="S132" s="57">
        <f>34.64797980311*Deflactores!$P$5</f>
        <v>61.805700267179276</v>
      </c>
      <c r="T132" s="57">
        <f>50.38022728224*Deflactores!$Q$5</f>
        <v>84.982667750617949</v>
      </c>
      <c r="U132" s="57">
        <f>66.31394564284*Deflactores!$R$5</f>
        <v>107.46476621064609</v>
      </c>
      <c r="V132" s="57">
        <f>80.26238605529*Deflactores!$S$5</f>
        <v>126.06013622365037</v>
      </c>
    </row>
    <row r="133" spans="3:22" x14ac:dyDescent="0.2">
      <c r="C133" s="87" t="s">
        <v>125</v>
      </c>
      <c r="D133" s="56">
        <f>1.8305855906*Deflactores!$A$5</f>
        <v>6.6460492265278877</v>
      </c>
      <c r="E133" s="56">
        <f>1.26807817502999*Deflactores!$B$5</f>
        <v>4.276735092492439</v>
      </c>
      <c r="F133" s="56">
        <f>7.54485813121*Deflactores!$C$5</f>
        <v>23.78300582413684</v>
      </c>
      <c r="G133" s="56">
        <f>2.30098930175*Deflactores!$D$5</f>
        <v>6.8110784565401188</v>
      </c>
      <c r="H133" s="56">
        <f>1.68856175246*Deflactores!$E$5</f>
        <v>4.737816021058447</v>
      </c>
      <c r="I133" s="56">
        <f>10.44788090142*Deflactores!$F$5</f>
        <v>27.957583322661396</v>
      </c>
      <c r="J133" s="56">
        <f>0.19184414*Deflactores!$G$5</f>
        <v>0.49135492878134612</v>
      </c>
      <c r="K133" s="56">
        <f>38.508649226*Deflactores!$H$5</f>
        <v>93.315295281065474</v>
      </c>
      <c r="L133" s="56">
        <f>48.2791127189*Deflactores!$I$5</f>
        <v>108.65294058790305</v>
      </c>
      <c r="M133" s="56">
        <f>43.2077947768*Deflactores!$J$5</f>
        <v>95.331502160744108</v>
      </c>
      <c r="N133" s="56">
        <f>0*Deflactores!$K$5</f>
        <v>0</v>
      </c>
      <c r="O133" s="56">
        <f>0*Deflactores!$L$5</f>
        <v>0</v>
      </c>
      <c r="P133" s="56">
        <f>0*Deflactores!$M$5</f>
        <v>0</v>
      </c>
      <c r="Q133" s="56">
        <f>0*Deflactores!$N$5</f>
        <v>0</v>
      </c>
      <c r="R133" s="56">
        <f>0*Deflactores!$O$5</f>
        <v>0</v>
      </c>
      <c r="S133" s="56">
        <f>0*Deflactores!$P$5</f>
        <v>0</v>
      </c>
      <c r="T133" s="56">
        <f>0*Deflactores!$Q$5</f>
        <v>0</v>
      </c>
      <c r="U133" s="56">
        <f>0*Deflactores!$R$5</f>
        <v>0</v>
      </c>
      <c r="V133" s="56">
        <f>0*Deflactores!$S$5</f>
        <v>0</v>
      </c>
    </row>
    <row r="134" spans="3:22" x14ac:dyDescent="0.2">
      <c r="C134" s="88" t="s">
        <v>126</v>
      </c>
      <c r="D134" s="57">
        <f>0.7674214138*Deflactores!$A$5</f>
        <v>2.7861688193091951</v>
      </c>
      <c r="E134" s="57">
        <f>0.145428513*Deflactores!$B$5</f>
        <v>0.49047388184989743</v>
      </c>
      <c r="F134" s="57">
        <f>0.095712293*Deflactores!$C$5</f>
        <v>0.30170560960507126</v>
      </c>
      <c r="G134" s="57">
        <f>0.042827433*Deflactores!$D$5</f>
        <v>0.12677199586863108</v>
      </c>
      <c r="H134" s="57">
        <f>0.842720955*Deflactores!$E$5</f>
        <v>2.3645311378538141</v>
      </c>
      <c r="I134" s="57">
        <f>1.145876573*Deflactores!$F$5</f>
        <v>3.0662619596648644</v>
      </c>
      <c r="J134" s="57">
        <f>1.83191089*Deflactores!$G$5</f>
        <v>4.6919256688774666</v>
      </c>
      <c r="K134" s="57">
        <f>4.178044641*Deflactores!$H$5</f>
        <v>10.124361077540854</v>
      </c>
      <c r="L134" s="57">
        <f>8.3675173791*Deflactores!$I$5</f>
        <v>18.83123606585438</v>
      </c>
      <c r="M134" s="57">
        <f>11.9876844816*Deflactores!$J$5</f>
        <v>26.449023259886118</v>
      </c>
      <c r="N134" s="57">
        <f>11.69091497652*Deflactores!$K$5</f>
        <v>25.001396141459178</v>
      </c>
      <c r="O134" s="57">
        <f>13.95271947394*Deflactores!$L$5</f>
        <v>28.766307776126379</v>
      </c>
      <c r="P134" s="57">
        <f>9.01579431634*Deflactores!$M$5</f>
        <v>18.145113353543376</v>
      </c>
      <c r="Q134" s="57">
        <f>36.81468615885*Deflactores!$N$5</f>
        <v>72.68288603197648</v>
      </c>
      <c r="R134" s="57">
        <f>48.55948925497*Deflactores!$O$5</f>
        <v>92.485567714003153</v>
      </c>
      <c r="S134" s="57">
        <f>77.79888412931*Deflactores!$P$5</f>
        <v>138.77907286200684</v>
      </c>
      <c r="T134" s="57">
        <f>77.63061166335*Deflactores!$Q$5</f>
        <v>130.94931948807184</v>
      </c>
      <c r="U134" s="57">
        <f>105.77233306416*Deflactores!$R$5</f>
        <v>171.40887839060187</v>
      </c>
      <c r="V134" s="57">
        <f>114.61259937304*Deflactores!$S$5</f>
        <v>180.01059524892895</v>
      </c>
    </row>
    <row r="135" spans="3:22" x14ac:dyDescent="0.2">
      <c r="C135" s="87" t="s">
        <v>127</v>
      </c>
      <c r="D135" s="56">
        <f>0*Deflactores!$A$5</f>
        <v>0</v>
      </c>
      <c r="E135" s="56">
        <f>0*Deflactores!$B$5</f>
        <v>0</v>
      </c>
      <c r="F135" s="56">
        <f>0*Deflactores!$C$5</f>
        <v>0</v>
      </c>
      <c r="G135" s="56">
        <f>0*Deflactores!$D$5</f>
        <v>0</v>
      </c>
      <c r="H135" s="56">
        <f>0*Deflactores!$E$5</f>
        <v>0</v>
      </c>
      <c r="I135" s="56">
        <f>0*Deflactores!$F$5</f>
        <v>0</v>
      </c>
      <c r="J135" s="56">
        <f>0*Deflactores!$G$5</f>
        <v>0</v>
      </c>
      <c r="K135" s="56">
        <f>0*Deflactores!$H$5</f>
        <v>0</v>
      </c>
      <c r="L135" s="56">
        <f>0*Deflactores!$I$5</f>
        <v>0</v>
      </c>
      <c r="M135" s="56">
        <f>0*Deflactores!$J$5</f>
        <v>0</v>
      </c>
      <c r="N135" s="56">
        <f>0*Deflactores!$K$5</f>
        <v>0</v>
      </c>
      <c r="O135" s="56">
        <f>0*Deflactores!$L$5</f>
        <v>0</v>
      </c>
      <c r="P135" s="56">
        <f>0*Deflactores!$M$5</f>
        <v>0</v>
      </c>
      <c r="Q135" s="56">
        <f>0*Deflactores!$N$5</f>
        <v>0</v>
      </c>
      <c r="R135" s="56">
        <f>0*Deflactores!$O$5</f>
        <v>0</v>
      </c>
      <c r="S135" s="56">
        <f>0*Deflactores!$P$5</f>
        <v>0</v>
      </c>
      <c r="T135" s="56">
        <f>0*Deflactores!$Q$5</f>
        <v>0</v>
      </c>
      <c r="U135" s="56">
        <f>0*Deflactores!$R$5</f>
        <v>0</v>
      </c>
      <c r="V135" s="56">
        <f>0*Deflactores!$S$5</f>
        <v>0</v>
      </c>
    </row>
    <row r="136" spans="3:22" x14ac:dyDescent="0.2">
      <c r="C136" s="88" t="s">
        <v>128</v>
      </c>
      <c r="D136" s="57">
        <f>0.110112825*Deflactores!$A$5</f>
        <v>0.39977112197315395</v>
      </c>
      <c r="E136" s="57">
        <f>0.112299592*Deflactores!$B$5</f>
        <v>0.3787429004269588</v>
      </c>
      <c r="F136" s="57">
        <f>0.20857598*Deflactores!$C$5</f>
        <v>0.65747607984770717</v>
      </c>
      <c r="G136" s="57">
        <f>0.282376425*Deflactores!$D$5</f>
        <v>0.83585264107467794</v>
      </c>
      <c r="H136" s="57">
        <f>0.271896842*Deflactores!$E$5</f>
        <v>0.76289612282528185</v>
      </c>
      <c r="I136" s="57">
        <f>0.216968825*Deflactores!$F$5</f>
        <v>0.5805889309604404</v>
      </c>
      <c r="J136" s="57">
        <f>0.63145317*Deflactores!$G$5</f>
        <v>1.6172900948348239</v>
      </c>
      <c r="K136" s="57">
        <f>2.812024066*Deflactores!$H$5</f>
        <v>6.8141797058693943</v>
      </c>
      <c r="L136" s="57">
        <f>2.254341037*Deflactores!$I$5</f>
        <v>5.0734317381550573</v>
      </c>
      <c r="M136" s="57">
        <f>2.768815025*Deflactores!$J$5</f>
        <v>6.1089740150362051</v>
      </c>
      <c r="N136" s="57">
        <f>4.996665641*Deflactores!$K$5</f>
        <v>10.685529518258859</v>
      </c>
      <c r="O136" s="57">
        <f>6.407821921*Deflactores!$L$5</f>
        <v>13.21100004184661</v>
      </c>
      <c r="P136" s="57">
        <f>8.00298096331*Deflactores!$M$5</f>
        <v>16.106733544522605</v>
      </c>
      <c r="Q136" s="57">
        <f>7.01764075052*Deflactores!$N$5</f>
        <v>13.854861635450437</v>
      </c>
      <c r="R136" s="57">
        <f>7.84716867105999*Deflactores!$O$5</f>
        <v>14.945582431475909</v>
      </c>
      <c r="S136" s="57">
        <f>13.49062755888*Deflactores!$P$5</f>
        <v>24.064828254299666</v>
      </c>
      <c r="T136" s="57">
        <f>15.16370095109*Deflactores!$Q$5</f>
        <v>25.578522156657389</v>
      </c>
      <c r="U136" s="57">
        <f>8.5372264518*Deflactores!$R$5</f>
        <v>13.834963910477088</v>
      </c>
      <c r="V136" s="57">
        <f>10.2725811806*Deflactores!$S$5</f>
        <v>16.134120185548529</v>
      </c>
    </row>
    <row r="137" spans="3:22" x14ac:dyDescent="0.2">
      <c r="C137" s="87" t="s">
        <v>129</v>
      </c>
      <c r="D137" s="56">
        <f>7.15548707555999*Deflactores!$A$5</f>
        <v>25.978418921329276</v>
      </c>
      <c r="E137" s="56">
        <f>7.73004184953*Deflactores!$B$5</f>
        <v>26.070428381545369</v>
      </c>
      <c r="F137" s="56">
        <f>7.21785278938*Deflactores!$C$5</f>
        <v>22.752215077111952</v>
      </c>
      <c r="G137" s="56">
        <f>5.48322530870999*Deflactores!$D$5</f>
        <v>16.230704655648083</v>
      </c>
      <c r="H137" s="56">
        <f>9.28423986664*Deflactores!$E$5</f>
        <v>26.049992142385996</v>
      </c>
      <c r="I137" s="56">
        <f>11.30400797711*Deflactores!$F$5</f>
        <v>30.248501861954523</v>
      </c>
      <c r="J137" s="56">
        <f>9.31360981072*Deflactores!$G$5</f>
        <v>23.854197919433826</v>
      </c>
      <c r="K137" s="56">
        <f>13.84112511384*Deflactores!$H$5</f>
        <v>33.540222858507974</v>
      </c>
      <c r="L137" s="56">
        <f>20.90903245712*Deflactores!$I$5</f>
        <v>47.056122894003288</v>
      </c>
      <c r="M137" s="56">
        <f>21.1710602664799*Deflactores!$J$5</f>
        <v>46.710761055152531</v>
      </c>
      <c r="N137" s="56">
        <f>32.25544068305*Deflactores!$K$5</f>
        <v>68.979293053957306</v>
      </c>
      <c r="O137" s="56">
        <f>29.60550699609*Deflactores!$L$5</f>
        <v>61.037644145890603</v>
      </c>
      <c r="P137" s="56">
        <f>25.48942596043*Deflactores!$M$5</f>
        <v>51.29980866250628</v>
      </c>
      <c r="Q137" s="56">
        <f>30.88608674264*Deflactores!$N$5</f>
        <v>60.978108383232453</v>
      </c>
      <c r="R137" s="56">
        <f>41.62694584702*Deflactores!$O$5</f>
        <v>79.28196482148293</v>
      </c>
      <c r="S137" s="56">
        <f>81.0754027053299*Deflactores!$P$5</f>
        <v>144.62378664272646</v>
      </c>
      <c r="T137" s="56">
        <f>52.50188619007*Deflactores!$Q$5</f>
        <v>88.561536758773798</v>
      </c>
      <c r="U137" s="56">
        <f>59.7548282930399*Deflactores!$R$5</f>
        <v>96.835418104278872</v>
      </c>
      <c r="V137" s="56">
        <f>53.69109714624*Deflactores!$S$5</f>
        <v>84.327259042483561</v>
      </c>
    </row>
    <row r="138" spans="3:22" x14ac:dyDescent="0.2">
      <c r="C138" s="88" t="s">
        <v>130</v>
      </c>
      <c r="D138" s="57">
        <f>6.917689511*Deflactores!$A$5</f>
        <v>25.11508080257126</v>
      </c>
      <c r="E138" s="57">
        <f>10.58805800255*Deflactores!$B$5</f>
        <v>35.709406653718375</v>
      </c>
      <c r="F138" s="57">
        <f>6.78868973347*Deflactores!$C$5</f>
        <v>21.399401375288907</v>
      </c>
      <c r="G138" s="57">
        <f>9.05216657376*Deflactores!$D$5</f>
        <v>26.795003648499389</v>
      </c>
      <c r="H138" s="57">
        <f>7.65447220906*Deflactores!$E$5</f>
        <v>21.477142314752385</v>
      </c>
      <c r="I138" s="57">
        <f>9.25941486977*Deflactores!$F$5</f>
        <v>24.777355827773732</v>
      </c>
      <c r="J138" s="57">
        <f>17.14984114313*Deflactores!$G$5</f>
        <v>43.924505452676534</v>
      </c>
      <c r="K138" s="57">
        <f>13.19055836036*Deflactores!$H$5</f>
        <v>31.963750301790974</v>
      </c>
      <c r="L138" s="57">
        <f>13.07906712923*Deflactores!$I$5</f>
        <v>29.434656598009674</v>
      </c>
      <c r="M138" s="57">
        <f>7.81069025136999*Deflactores!$J$5</f>
        <v>17.233113571794444</v>
      </c>
      <c r="N138" s="57">
        <f>0*Deflactores!$K$5</f>
        <v>0</v>
      </c>
      <c r="O138" s="57">
        <f>2.774702765*Deflactores!$L$5</f>
        <v>5.7206019137944928</v>
      </c>
      <c r="P138" s="57">
        <f>0*Deflactores!$M$5</f>
        <v>0</v>
      </c>
      <c r="Q138" s="57">
        <f>0*Deflactores!$N$5</f>
        <v>0</v>
      </c>
      <c r="R138" s="57">
        <f>0*Deflactores!$O$5</f>
        <v>0</v>
      </c>
      <c r="S138" s="57">
        <f>0*Deflactores!$P$5</f>
        <v>0</v>
      </c>
      <c r="T138" s="57">
        <f>0*Deflactores!$Q$5</f>
        <v>0</v>
      </c>
      <c r="U138" s="57">
        <f>0*Deflactores!$R$5</f>
        <v>0</v>
      </c>
      <c r="V138" s="57">
        <f>0*Deflactores!$S$5</f>
        <v>0</v>
      </c>
    </row>
    <row r="139" spans="3:22" x14ac:dyDescent="0.2">
      <c r="C139" s="87" t="s">
        <v>131</v>
      </c>
      <c r="D139" s="56">
        <f>82.83305206406*Deflactores!$A$5</f>
        <v>300.7302933160596</v>
      </c>
      <c r="E139" s="56">
        <f>90.7657380168*Deflactores!$B$5</f>
        <v>306.11757588465957</v>
      </c>
      <c r="F139" s="56">
        <f>122.92961895394*Deflactores!$C$5</f>
        <v>387.50043972948788</v>
      </c>
      <c r="G139" s="56">
        <f>115.55302604322*Deflactores!$D$5</f>
        <v>342.04449610974598</v>
      </c>
      <c r="H139" s="56">
        <f>98.51707497958*Deflactores!$E$5</f>
        <v>276.42209442803738</v>
      </c>
      <c r="I139" s="56">
        <f>87.0599500412*Deflactores!$F$5</f>
        <v>232.96454374903698</v>
      </c>
      <c r="J139" s="56">
        <f>59.52242052387*Deflactores!$G$5</f>
        <v>152.44997682701944</v>
      </c>
      <c r="K139" s="56">
        <f>12.70867973216*Deflactores!$H$5</f>
        <v>30.79604778861745</v>
      </c>
      <c r="L139" s="56">
        <f>13.20598286841*Deflactores!$I$5</f>
        <v>29.720282565269759</v>
      </c>
      <c r="M139" s="56">
        <f>25.49752187623*Deflactores!$J$5</f>
        <v>56.256448041236069</v>
      </c>
      <c r="N139" s="56">
        <f>2.435863173*Deflactores!$K$5</f>
        <v>5.209171417025618</v>
      </c>
      <c r="O139" s="56">
        <f>1.962347763*Deflactores!$L$5</f>
        <v>4.0457704191418653</v>
      </c>
      <c r="P139" s="56">
        <f>5.06584045391999*Deflactores!$M$5</f>
        <v>10.195468756507665</v>
      </c>
      <c r="Q139" s="56">
        <f>10.69443921111*Deflactores!$N$5</f>
        <v>21.113929995302982</v>
      </c>
      <c r="R139" s="56">
        <f>5.03658746848*Deflactores!$O$5</f>
        <v>9.5925978322750058</v>
      </c>
      <c r="S139" s="56">
        <f>8.35648120275*Deflactores!$P$5</f>
        <v>14.906444053604686</v>
      </c>
      <c r="T139" s="56">
        <f>9.02358539568999*Deflactores!$Q$5</f>
        <v>15.221216754446434</v>
      </c>
      <c r="U139" s="56">
        <f>10.3692412148399*Deflactores!$R$5</f>
        <v>16.803827190983636</v>
      </c>
      <c r="V139" s="56">
        <f>9.28239080907999*Deflactores!$S$5</f>
        <v>14.578926784804466</v>
      </c>
    </row>
    <row r="140" spans="3:22" x14ac:dyDescent="0.2">
      <c r="C140" s="88" t="s">
        <v>132</v>
      </c>
      <c r="D140" s="57">
        <f>10.71460767639*Deflactores!$A$5</f>
        <v>38.900016708249908</v>
      </c>
      <c r="E140" s="57">
        <f>13.4776209981599*Deflactores!$B$5</f>
        <v>45.454780171404039</v>
      </c>
      <c r="F140" s="57">
        <f>13.7587882372099*Deflactores!$C$5</f>
        <v>43.370641977352861</v>
      </c>
      <c r="G140" s="57">
        <f>4.77014016313*Deflactores!$D$5</f>
        <v>14.119926100943468</v>
      </c>
      <c r="H140" s="57">
        <f>6.95078813289*Deflactores!$E$5</f>
        <v>19.502724923747955</v>
      </c>
      <c r="I140" s="57">
        <f>6.72036937974*Deflactores!$F$5</f>
        <v>17.983099986104104</v>
      </c>
      <c r="J140" s="57">
        <f>13.73105068396*Deflactores!$G$5</f>
        <v>35.168233081866454</v>
      </c>
      <c r="K140" s="57">
        <f>15.81694141563*Deflactores!$H$5</f>
        <v>38.328079231776769</v>
      </c>
      <c r="L140" s="57">
        <f>23.70165187497*Deflactores!$I$5</f>
        <v>53.340959018870535</v>
      </c>
      <c r="M140" s="57">
        <f>54.33914941357*Deflactores!$J$5</f>
        <v>119.89116238152057</v>
      </c>
      <c r="N140" s="57">
        <f>53.07960727175*Deflactores!$K$5</f>
        <v>113.51244030936594</v>
      </c>
      <c r="O140" s="57">
        <f>53.39629742373*Deflactores!$L$5</f>
        <v>110.08709296173198</v>
      </c>
      <c r="P140" s="57">
        <f>70.9143642358499*Deflactores!$M$5</f>
        <v>142.72166514733891</v>
      </c>
      <c r="Q140" s="57">
        <f>95.90171423406*Deflactores!$N$5</f>
        <v>189.33784565944805</v>
      </c>
      <c r="R140" s="57">
        <f>95.89049975082*Deflactores!$O$5</f>
        <v>182.63139592075481</v>
      </c>
      <c r="S140" s="57">
        <f>120.97620626605*Deflactores!$P$5</f>
        <v>215.79957003059687</v>
      </c>
      <c r="T140" s="57">
        <f>179.99644331143*Deflactores!$Q$5</f>
        <v>303.62264649053168</v>
      </c>
      <c r="U140" s="57">
        <f>237.550072600159*Deflactores!$R$5</f>
        <v>384.96070121947889</v>
      </c>
      <c r="V140" s="57">
        <f>323.528602883189*Deflactores!$S$5</f>
        <v>508.13415543873015</v>
      </c>
    </row>
    <row r="141" spans="3:22" x14ac:dyDescent="0.2">
      <c r="C141" s="87" t="s">
        <v>133</v>
      </c>
      <c r="D141" s="56">
        <f>0*Deflactores!$A$5</f>
        <v>0</v>
      </c>
      <c r="E141" s="56">
        <f>0*Deflactores!$B$5</f>
        <v>0</v>
      </c>
      <c r="F141" s="56">
        <f>0*Deflactores!$C$5</f>
        <v>0</v>
      </c>
      <c r="G141" s="56">
        <f>0*Deflactores!$D$5</f>
        <v>0</v>
      </c>
      <c r="H141" s="56">
        <f>0.39934691372*Deflactores!$E$5</f>
        <v>1.1204992669213507</v>
      </c>
      <c r="I141" s="56">
        <f>2.2619094062*Deflactores!$F$5</f>
        <v>6.0526647737296937</v>
      </c>
      <c r="J141" s="56">
        <f>3.1442181175*Deflactores!$G$5</f>
        <v>8.0530323688658445</v>
      </c>
      <c r="K141" s="56">
        <f>1.014876764*Deflactores!$H$5</f>
        <v>2.4592793258147037</v>
      </c>
      <c r="L141" s="56">
        <f>4.688586616*Deflactores!$I$5</f>
        <v>10.551741619519397</v>
      </c>
      <c r="M141" s="56">
        <f>4.1183713014*Deflactores!$J$5</f>
        <v>9.0865670105656253</v>
      </c>
      <c r="N141" s="56">
        <f>3.030226824*Deflactores!$K$5</f>
        <v>6.48023712236858</v>
      </c>
      <c r="O141" s="56">
        <f>3.82780008*Deflactores!$L$5</f>
        <v>7.8917715942344238</v>
      </c>
      <c r="P141" s="56">
        <f>3.95238698644999*Deflactores!$M$5</f>
        <v>7.9545414824102147</v>
      </c>
      <c r="Q141" s="56">
        <f>2.96411675128*Deflactores!$N$5</f>
        <v>5.8520276144460945</v>
      </c>
      <c r="R141" s="56">
        <f>3.61813979521*Deflactores!$O$5</f>
        <v>6.8910467997637648</v>
      </c>
      <c r="S141" s="56">
        <f>2.279883043*Deflactores!$P$5</f>
        <v>4.0668970831954407</v>
      </c>
      <c r="T141" s="56">
        <f>2.62501856131*Deflactores!$Q$5</f>
        <v>4.4279490639307468</v>
      </c>
      <c r="U141" s="56">
        <f>5.53860942267*Deflactores!$R$5</f>
        <v>8.9755685771591249</v>
      </c>
      <c r="V141" s="56">
        <f>18.98072321384*Deflactores!$S$5</f>
        <v>29.811131609167663</v>
      </c>
    </row>
    <row r="142" spans="3:22" x14ac:dyDescent="0.2">
      <c r="C142" s="88" t="s">
        <v>134</v>
      </c>
      <c r="D142" s="57">
        <f>7.4030269236*Deflactores!$A$5</f>
        <v>26.87712697630851</v>
      </c>
      <c r="E142" s="57">
        <f>10.81719799985*Deflactores!$B$5</f>
        <v>36.482206853929497</v>
      </c>
      <c r="F142" s="57">
        <f>10.59890916643*Deflactores!$C$5</f>
        <v>33.410027604359456</v>
      </c>
      <c r="G142" s="57">
        <f>11.75564385491*Deflactores!$D$5</f>
        <v>34.797472783571898</v>
      </c>
      <c r="H142" s="57">
        <f>11.91065443524*Deflactores!$E$5</f>
        <v>33.419263063586229</v>
      </c>
      <c r="I142" s="57">
        <f>15.30590497115*Deflactores!$F$5</f>
        <v>40.957215879203233</v>
      </c>
      <c r="J142" s="57">
        <f>3.97691450175999*Deflactores!$G$5</f>
        <v>10.185750483604984</v>
      </c>
      <c r="K142" s="57">
        <f>10.96155859256*Deflactores!$H$5</f>
        <v>26.562372281674712</v>
      </c>
      <c r="L142" s="57">
        <f>11.00383566231*Deflactores!$I$5</f>
        <v>24.764313905627588</v>
      </c>
      <c r="M142" s="57">
        <f>8.25987423778*Deflactores!$J$5</f>
        <v>18.224170495486604</v>
      </c>
      <c r="N142" s="57">
        <f>9.6642093191*Deflactores!$K$5</f>
        <v>20.667221176962357</v>
      </c>
      <c r="O142" s="57">
        <f>8.89976164533*Deflactores!$L$5</f>
        <v>18.348629677669145</v>
      </c>
      <c r="P142" s="57">
        <f>13.83601100183*Deflactores!$M$5</f>
        <v>27.846241737577245</v>
      </c>
      <c r="Q142" s="57">
        <f>17.65362940051*Deflactores!$N$5</f>
        <v>34.853393241804532</v>
      </c>
      <c r="R142" s="57">
        <f>21.02718956429*Deflactores!$O$5</f>
        <v>40.048023447534192</v>
      </c>
      <c r="S142" s="57">
        <f>21.57136759837*Deflactores!$P$5</f>
        <v>38.479400176120173</v>
      </c>
      <c r="T142" s="57">
        <f>17.92924386382*Deflactores!$Q$5</f>
        <v>30.243511323656637</v>
      </c>
      <c r="U142" s="57">
        <f>24.4363558451199*Deflactores!$R$5</f>
        <v>39.600226505591777</v>
      </c>
      <c r="V142" s="57">
        <f>25.7772064285599*Deflactores!$S$5</f>
        <v>40.485690913935244</v>
      </c>
    </row>
    <row r="143" spans="3:22" x14ac:dyDescent="0.2">
      <c r="C143" s="87" t="s">
        <v>135</v>
      </c>
      <c r="D143" s="56"/>
      <c r="E143" s="56"/>
      <c r="F143" s="56"/>
      <c r="G143" s="56"/>
      <c r="H143" s="56"/>
      <c r="I143" s="56"/>
      <c r="J143" s="56"/>
      <c r="K143" s="56"/>
      <c r="L143" s="56"/>
      <c r="M143" s="56"/>
      <c r="N143" s="56"/>
      <c r="O143" s="56"/>
      <c r="P143" s="56"/>
      <c r="Q143" s="56"/>
      <c r="R143" s="56"/>
      <c r="S143" s="56"/>
      <c r="T143" s="56"/>
      <c r="U143" s="56"/>
      <c r="V143" s="56"/>
    </row>
    <row r="144" spans="3:22" x14ac:dyDescent="0.2">
      <c r="C144" s="88" t="s">
        <v>136</v>
      </c>
      <c r="D144" s="57">
        <f>783.57713911999*Deflactores!$A$5</f>
        <v>2844.8231353478809</v>
      </c>
      <c r="E144" s="57">
        <f>765.299627317699*Deflactores!$B$5</f>
        <v>2581.0583581281039</v>
      </c>
      <c r="F144" s="57">
        <f>802.26269081743*Deflactores!$C$5</f>
        <v>2528.9035150007062</v>
      </c>
      <c r="G144" s="57">
        <f>849.844334792*Deflactores!$D$5</f>
        <v>2515.5946773469</v>
      </c>
      <c r="H144" s="57">
        <f>961.11010692632*Deflactores!$E$5</f>
        <v>2696.710887808993</v>
      </c>
      <c r="I144" s="57">
        <f>1045.64131396771*Deflactores!$F$5</f>
        <v>2798.0414819713519</v>
      </c>
      <c r="J144" s="57">
        <f>1291.18901372544*Deflactores!$G$5</f>
        <v>3307.018321655903</v>
      </c>
      <c r="K144" s="57">
        <f>1926.98086368844*Deflactores!$H$5</f>
        <v>4669.516898417769</v>
      </c>
      <c r="L144" s="57">
        <f>2523.48931120904*Deflactores!$I$5</f>
        <v>5679.1543747171672</v>
      </c>
      <c r="M144" s="57">
        <f>3276.30029751248*Deflactores!$J$5</f>
        <v>7228.6639599404543</v>
      </c>
      <c r="N144" s="57">
        <f>2646.49650130986*Deflactores!$K$5</f>
        <v>5659.617536276789</v>
      </c>
      <c r="O144" s="57">
        <f>2566.30851570115*Deflactores!$L$5</f>
        <v>5290.955698567268</v>
      </c>
      <c r="P144" s="57">
        <f>2740.68405474909*Deflactores!$M$5</f>
        <v>5515.8781461486615</v>
      </c>
      <c r="Q144" s="57">
        <f>3179.46702676732*Deflactores!$N$5</f>
        <v>6277.1916227079691</v>
      </c>
      <c r="R144" s="57">
        <f>1128.62573969638*Deflactores!$O$5</f>
        <v>2149.5611645415547</v>
      </c>
      <c r="S144" s="57">
        <f>1178.48363839798*Deflactores!$P$5</f>
        <v>2102.2006748590461</v>
      </c>
      <c r="T144" s="57">
        <f>2223.4931578065*Deflactores!$Q$5</f>
        <v>3750.6456494739477</v>
      </c>
      <c r="U144" s="57">
        <f>2394.27542052389*Deflactores!$R$5</f>
        <v>3880.0322589201446</v>
      </c>
      <c r="V144" s="57">
        <f>2245.42343386969*Deflactores!$S$5</f>
        <v>3526.6629596384132</v>
      </c>
    </row>
    <row r="145" spans="3:22" x14ac:dyDescent="0.2">
      <c r="C145" s="87" t="s">
        <v>137</v>
      </c>
      <c r="D145" s="56">
        <f>9.16418072909*Deflactores!$A$5</f>
        <v>33.271100001594412</v>
      </c>
      <c r="E145" s="56">
        <f>10.95336060758*Deflactores!$B$5</f>
        <v>36.941430436695128</v>
      </c>
      <c r="F145" s="56">
        <f>15.18240514421*Deflactores!$C$5</f>
        <v>47.858186819378027</v>
      </c>
      <c r="G145" s="56">
        <f>14.30574985081*Deflactores!$D$5</f>
        <v>42.345952907907304</v>
      </c>
      <c r="H145" s="56">
        <f>13.63181257458*Deflactores!$E$5</f>
        <v>38.248538981662776</v>
      </c>
      <c r="I145" s="56">
        <f>29.99969757104*Deflactores!$F$5</f>
        <v>80.276474474646903</v>
      </c>
      <c r="J145" s="56">
        <f>32.43173325501*Deflactores!$G$5</f>
        <v>83.064783650785756</v>
      </c>
      <c r="K145" s="56">
        <f>28.37038777911*Deflactores!$H$5</f>
        <v>68.747960940123903</v>
      </c>
      <c r="L145" s="56">
        <f>39.6327051051*Deflactores!$I$5</f>
        <v>89.194057442496131</v>
      </c>
      <c r="M145" s="56">
        <f>42.58676799936*Deflactores!$J$5</f>
        <v>93.961299958080673</v>
      </c>
      <c r="N145" s="56">
        <f>33.7121970916*Deflactores!$K$5</f>
        <v>72.094613294068168</v>
      </c>
      <c r="O145" s="56">
        <f>34.17164066622*Deflactores!$L$5</f>
        <v>70.451637364002792</v>
      </c>
      <c r="P145" s="56">
        <f>36.87147231978*Deflactores!$M$5</f>
        <v>74.207221380583078</v>
      </c>
      <c r="Q145" s="56">
        <f>39.31169253677*Deflactores!$N$5</f>
        <v>77.612702062578421</v>
      </c>
      <c r="R145" s="56">
        <f>49.8075054841999*Deflactores!$O$5</f>
        <v>94.862517950661655</v>
      </c>
      <c r="S145" s="56">
        <f>37.72090027423*Deflactores!$P$5</f>
        <v>67.287232023494667</v>
      </c>
      <c r="T145" s="56">
        <f>32.6215992903*Deflactores!$Q$5</f>
        <v>55.026955683438089</v>
      </c>
      <c r="U145" s="56">
        <f>54.26278081597*Deflactores!$R$5</f>
        <v>87.935305278541577</v>
      </c>
      <c r="V145" s="56">
        <f>38.68025192483*Deflactores!$S$5</f>
        <v>60.751219424877924</v>
      </c>
    </row>
    <row r="146" spans="3:22" x14ac:dyDescent="0.2">
      <c r="C146" s="88" t="s">
        <v>138</v>
      </c>
      <c r="D146" s="57">
        <f>3.68231003063*Deflactores!$A$5</f>
        <v>13.368844295820709</v>
      </c>
      <c r="E146" s="57">
        <f>3.0711489301*Deflactores!$B$5</f>
        <v>10.357792336674075</v>
      </c>
      <c r="F146" s="57">
        <f>4.33166902610999*Deflactores!$C$5</f>
        <v>13.654346825960172</v>
      </c>
      <c r="G146" s="57">
        <f>2.28970573560999*Deflactores!$D$5</f>
        <v>6.7776783645923997</v>
      </c>
      <c r="H146" s="57">
        <f>7.12534524595*Deflactores!$E$5</f>
        <v>19.99250238414615</v>
      </c>
      <c r="I146" s="57">
        <f>3.16276031088*Deflactores!$F$5</f>
        <v>8.4632602300258064</v>
      </c>
      <c r="J146" s="57">
        <f>2.11638848706*Deflactores!$G$5</f>
        <v>5.4205352028632579</v>
      </c>
      <c r="K146" s="57">
        <f>30.79647868335*Deflactores!$H$5</f>
        <v>74.62693601866313</v>
      </c>
      <c r="L146" s="57">
        <f>37.47446724665*Deflactores!$I$5</f>
        <v>84.336907494979982</v>
      </c>
      <c r="M146" s="57">
        <f>24.1870316322599*Deflactores!$J$5</f>
        <v>53.365048372032163</v>
      </c>
      <c r="N146" s="57">
        <f>16.2385319855599*Deflactores!$K$5</f>
        <v>34.726620777083717</v>
      </c>
      <c r="O146" s="57">
        <f>20.1905176041299*Deflactores!$L$5</f>
        <v>41.626769938612476</v>
      </c>
      <c r="P146" s="57">
        <f>10*Deflactores!$M$5</f>
        <v>20.125917602908959</v>
      </c>
      <c r="Q146" s="57">
        <f>5*Deflactores!$N$5</f>
        <v>9.8714526206145603</v>
      </c>
      <c r="R146" s="57">
        <f>0*Deflactores!$O$5</f>
        <v>0</v>
      </c>
      <c r="S146" s="57">
        <f>0*Deflactores!$P$5</f>
        <v>0</v>
      </c>
      <c r="T146" s="57">
        <f>0*Deflactores!$Q$5</f>
        <v>0</v>
      </c>
      <c r="U146" s="57">
        <f>0*Deflactores!$R$5</f>
        <v>0</v>
      </c>
      <c r="V146" s="57">
        <f>0*Deflactores!$S$5</f>
        <v>0</v>
      </c>
    </row>
    <row r="147" spans="3:22" x14ac:dyDescent="0.2">
      <c r="C147" s="87" t="s">
        <v>139</v>
      </c>
      <c r="D147" s="56">
        <f>63.9077749680699*Deflactores!$A$5</f>
        <v>232.02095579505064</v>
      </c>
      <c r="E147" s="56">
        <f>54.14149429303*Deflactores!$B$5</f>
        <v>182.59822869162176</v>
      </c>
      <c r="F147" s="56">
        <f>69.83713236948*Deflactores!$C$5</f>
        <v>220.14157151792421</v>
      </c>
      <c r="G147" s="56">
        <f>57.56628212041*Deflactores!$D$5</f>
        <v>170.39995087123407</v>
      </c>
      <c r="H147" s="56">
        <f>59.43427963425*Deflactores!$E$5</f>
        <v>166.76244255857495</v>
      </c>
      <c r="I147" s="56">
        <f>88.0172801606*Deflactores!$F$5</f>
        <v>235.52627247019623</v>
      </c>
      <c r="J147" s="56">
        <f>99.39031207139*Deflactores!$G$5</f>
        <v>254.56039318893764</v>
      </c>
      <c r="K147" s="56">
        <f>139.278881134549*Deflactores!$H$5</f>
        <v>337.50469519745548</v>
      </c>
      <c r="L147" s="56">
        <f>256.70903758893*Deflactores!$I$5</f>
        <v>577.72792909279633</v>
      </c>
      <c r="M147" s="56">
        <f>274.00880976259*Deflactores!$J$5</f>
        <v>604.55923693590216</v>
      </c>
      <c r="N147" s="56">
        <f>220.18298777737*Deflactores!$K$5</f>
        <v>470.86837190143632</v>
      </c>
      <c r="O147" s="56">
        <f>143.376217244439*Deflactores!$L$5</f>
        <v>295.59860360796262</v>
      </c>
      <c r="P147" s="56">
        <f>200.153835556249*Deflactores!$M$5</f>
        <v>402.8279602311257</v>
      </c>
      <c r="Q147" s="56">
        <f>323.97555142036*Deflactores!$N$5</f>
        <v>639.62186121671198</v>
      </c>
      <c r="R147" s="56">
        <f>319.662671733629*Deflactores!$O$5</f>
        <v>608.82402442554212</v>
      </c>
      <c r="S147" s="56">
        <f>427.982619584749*Deflactores!$P$5</f>
        <v>763.44322687589715</v>
      </c>
      <c r="T147" s="56">
        <f>505.91584962441*Deflactores!$Q$5</f>
        <v>853.39191340962986</v>
      </c>
      <c r="U147" s="56">
        <f>553.04364946498*Deflactores!$R$5</f>
        <v>896.23239754327017</v>
      </c>
      <c r="V147" s="56">
        <f>23.2640940378099*Deflactores!$S$5</f>
        <v>36.538595569609775</v>
      </c>
    </row>
    <row r="148" spans="3:22" x14ac:dyDescent="0.2">
      <c r="C148" s="88" t="s">
        <v>140</v>
      </c>
      <c r="D148" s="57">
        <f>7.76798867241*Deflactores!$A$5</f>
        <v>28.202142185018829</v>
      </c>
      <c r="E148" s="57">
        <f>18.52817191125*Deflactores!$B$5</f>
        <v>62.48832648720694</v>
      </c>
      <c r="F148" s="57">
        <f>5.69090687473*Deflactores!$C$5</f>
        <v>17.938955112548658</v>
      </c>
      <c r="G148" s="57">
        <f>4.3189656136*Deflactores!$D$5</f>
        <v>12.784419998370179</v>
      </c>
      <c r="H148" s="57">
        <f>21.12542631476*Deflactores!$E$5</f>
        <v>59.274339893074533</v>
      </c>
      <c r="I148" s="57">
        <f>34.69824243275*Deflactores!$F$5</f>
        <v>92.849355110055612</v>
      </c>
      <c r="J148" s="57">
        <f>161.73307623844*Deflactores!$G$5</f>
        <v>414.2338888053954</v>
      </c>
      <c r="K148" s="57">
        <f>98.5850045946*Deflactores!$H$5</f>
        <v>238.89409259826874</v>
      </c>
      <c r="L148" s="57">
        <f>191.438776452239*Deflactores!$I$5</f>
        <v>430.83612835210982</v>
      </c>
      <c r="M148" s="57">
        <f>232.42589610577*Deflactores!$J$5</f>
        <v>512.81279063835393</v>
      </c>
      <c r="N148" s="57">
        <f>180.413187679119*Deflactores!$K$5</f>
        <v>385.81938055046294</v>
      </c>
      <c r="O148" s="57">
        <f>409.43725454712*Deflactores!$L$5</f>
        <v>844.13637795218676</v>
      </c>
      <c r="P148" s="57">
        <f>422.998195091*Deflactores!$M$5</f>
        <v>851.32268205806758</v>
      </c>
      <c r="Q148" s="57">
        <f>421.675510847389*Deflactores!$N$5</f>
        <v>832.50996532068825</v>
      </c>
      <c r="R148" s="57">
        <f>257.7251694483*Deflactores!$O$5</f>
        <v>490.85892327778379</v>
      </c>
      <c r="S148" s="57">
        <f>148.93771625255*Deflactores!$P$5</f>
        <v>265.67782310808906</v>
      </c>
      <c r="T148" s="57">
        <f>219.20016764461*Deflactores!$Q$5</f>
        <v>369.75250058842926</v>
      </c>
      <c r="U148" s="57">
        <f>146.98689679214*Deflactores!$R$5</f>
        <v>238.19895418183722</v>
      </c>
      <c r="V148" s="57">
        <f>193.25650484972*Deflactores!$S$5</f>
        <v>303.5287452167214</v>
      </c>
    </row>
    <row r="149" spans="3:22" x14ac:dyDescent="0.2">
      <c r="C149" s="87" t="s">
        <v>141</v>
      </c>
      <c r="D149" s="56">
        <f>0*Deflactores!$A$5</f>
        <v>0</v>
      </c>
      <c r="E149" s="56">
        <f>0*Deflactores!$B$5</f>
        <v>0</v>
      </c>
      <c r="F149" s="56">
        <f>0*Deflactores!$C$5</f>
        <v>0</v>
      </c>
      <c r="G149" s="56">
        <f>0*Deflactores!$D$5</f>
        <v>0</v>
      </c>
      <c r="H149" s="56">
        <f>0*Deflactores!$E$5</f>
        <v>0</v>
      </c>
      <c r="I149" s="56">
        <f>0*Deflactores!$F$5</f>
        <v>0</v>
      </c>
      <c r="J149" s="56">
        <f>0*Deflactores!$G$5</f>
        <v>0</v>
      </c>
      <c r="K149" s="56">
        <f>0.680159538*Deflactores!$H$5</f>
        <v>1.648182665515318</v>
      </c>
      <c r="L149" s="56">
        <f>0.45957962*Deflactores!$I$5</f>
        <v>1.0342915255715326</v>
      </c>
      <c r="M149" s="56">
        <f>0.089379995*Deflactores!$J$5</f>
        <v>0.19720351919105392</v>
      </c>
      <c r="N149" s="56">
        <f>0.124632853*Deflactores!$K$5</f>
        <v>0.26653134817517748</v>
      </c>
      <c r="O149" s="56">
        <f>0.007571296*Deflactores!$L$5</f>
        <v>1.5609733386164911E-2</v>
      </c>
      <c r="P149" s="56">
        <f>0.16075268*Deflactores!$M$5</f>
        <v>0.32352951921267914</v>
      </c>
      <c r="Q149" s="56">
        <f>0.205022981*Deflactores!$N$5</f>
        <v>0.40477492861573183</v>
      </c>
      <c r="R149" s="56">
        <f>0.8743483306*Deflactores!$O$5</f>
        <v>1.665268786307416</v>
      </c>
      <c r="S149" s="56">
        <f>0*Deflactores!$P$5</f>
        <v>0</v>
      </c>
      <c r="T149" s="56">
        <f>0.08209607*Deflactores!$Q$5</f>
        <v>0.13848176986888883</v>
      </c>
      <c r="U149" s="56">
        <f>0*Deflactores!$R$5</f>
        <v>0</v>
      </c>
      <c r="V149" s="56">
        <f>0*Deflactores!$S$5</f>
        <v>0</v>
      </c>
    </row>
    <row r="150" spans="3:22" x14ac:dyDescent="0.2">
      <c r="C150" s="88" t="s">
        <v>142</v>
      </c>
      <c r="D150" s="57">
        <f>1.60707621494*Deflactores!$A$5</f>
        <v>5.834585222411043</v>
      </c>
      <c r="E150" s="57">
        <f>2.95106539462*Deflactores!$B$5</f>
        <v>9.9527972186043776</v>
      </c>
      <c r="F150" s="57">
        <f>2.3994715564*Deflactores!$C$5</f>
        <v>7.5636473222273661</v>
      </c>
      <c r="G150" s="57">
        <f>2.504603623*Deflactores!$D$5</f>
        <v>7.4137901318417674</v>
      </c>
      <c r="H150" s="57">
        <f>2.73728262537*Deflactores!$E$5</f>
        <v>7.6803477620816993</v>
      </c>
      <c r="I150" s="57">
        <f>3.21155495529*Deflactores!$F$5</f>
        <v>8.5938302805139219</v>
      </c>
      <c r="J150" s="57">
        <f>4.85229468775*Deflactores!$G$5</f>
        <v>12.427791178430079</v>
      </c>
      <c r="K150" s="57">
        <f>8.53518116377999*Deflactores!$H$5</f>
        <v>20.682702888414155</v>
      </c>
      <c r="L150" s="57">
        <f>12.47645200306*Deflactores!$I$5</f>
        <v>28.078461303320911</v>
      </c>
      <c r="M150" s="57">
        <f>15.18189883867*Deflactores!$J$5</f>
        <v>33.496576935233641</v>
      </c>
      <c r="N150" s="57">
        <f>21.95834823791*Deflactores!$K$5</f>
        <v>46.958631040486445</v>
      </c>
      <c r="O150" s="57">
        <f>22.88254939469*Deflactores!$L$5</f>
        <v>47.176929187137866</v>
      </c>
      <c r="P150" s="57">
        <f>27.02501037937*Deflactores!$M$5</f>
        <v>54.390313211296004</v>
      </c>
      <c r="Q150" s="57">
        <f>36.45826939688*Deflactores!$N$5</f>
        <v>71.97921579618054</v>
      </c>
      <c r="R150" s="57">
        <f>15.48325981718*Deflactores!$O$5</f>
        <v>29.489150240779022</v>
      </c>
      <c r="S150" s="57">
        <f>17.53536064046*Deflactores!$P$5</f>
        <v>31.279897124734617</v>
      </c>
      <c r="T150" s="57">
        <f>12.4091540874299*Deflactores!$Q$5</f>
        <v>20.932081409049772</v>
      </c>
      <c r="U150" s="57">
        <f>14.9189133337799*Deflactores!$R$5</f>
        <v>24.176777870623557</v>
      </c>
      <c r="V150" s="57">
        <f>16.25960023973*Deflactores!$S$5</f>
        <v>25.537334757908926</v>
      </c>
    </row>
    <row r="151" spans="3:22" x14ac:dyDescent="0.2">
      <c r="C151" s="87" t="s">
        <v>143</v>
      </c>
      <c r="D151" s="56">
        <f>0.0585*Deflactores!$A$5</f>
        <v>0.21238770901963061</v>
      </c>
      <c r="E151" s="56">
        <f>0*Deflactores!$B$5</f>
        <v>0</v>
      </c>
      <c r="F151" s="56">
        <f>0*Deflactores!$C$5</f>
        <v>0</v>
      </c>
      <c r="G151" s="56">
        <f>0*Deflactores!$D$5</f>
        <v>0</v>
      </c>
      <c r="H151" s="56">
        <f>30.49931686711*Deflactores!$E$5</f>
        <v>85.57587655518978</v>
      </c>
      <c r="I151" s="56">
        <f>4.23428594992999*Deflactores!$F$5</f>
        <v>11.330565822304957</v>
      </c>
      <c r="J151" s="56">
        <f>0*Deflactores!$G$5</f>
        <v>0</v>
      </c>
      <c r="K151" s="56">
        <f>0*Deflactores!$H$5</f>
        <v>0</v>
      </c>
      <c r="L151" s="56">
        <f>0*Deflactores!$I$5</f>
        <v>0</v>
      </c>
      <c r="M151" s="56">
        <f>0*Deflactores!$J$5</f>
        <v>0</v>
      </c>
      <c r="N151" s="56">
        <f>0*Deflactores!$K$5</f>
        <v>0</v>
      </c>
      <c r="O151" s="56">
        <f>0*Deflactores!$L$5</f>
        <v>0</v>
      </c>
      <c r="P151" s="56">
        <f>0.117682621*Deflactores!$M$5</f>
        <v>0.23684707335403637</v>
      </c>
      <c r="Q151" s="56">
        <f>3.523321884*Deflactores!$N$5</f>
        <v>6.9560610090160857</v>
      </c>
      <c r="R151" s="56">
        <f>11.10531429688*Deflactores!$O$5</f>
        <v>21.150990530326922</v>
      </c>
      <c r="S151" s="56">
        <f>0.221295048*Deflactores!$P$5</f>
        <v>0.39475015527662533</v>
      </c>
      <c r="T151" s="56">
        <f>11.68452236617*Deflactores!$Q$5</f>
        <v>19.709753918060127</v>
      </c>
      <c r="U151" s="56">
        <f>19.22252670155*Deflactores!$R$5</f>
        <v>31.150979148275329</v>
      </c>
      <c r="V151" s="56">
        <f>55.42405192524*Deflactores!$S$5</f>
        <v>87.049038524091287</v>
      </c>
    </row>
    <row r="152" spans="3:22" x14ac:dyDescent="0.2">
      <c r="C152" s="88" t="s">
        <v>144</v>
      </c>
      <c r="D152" s="57">
        <f>0*Deflactores!$A$5</f>
        <v>0</v>
      </c>
      <c r="E152" s="57">
        <f>0*Deflactores!$B$5</f>
        <v>0</v>
      </c>
      <c r="F152" s="57">
        <f>0*Deflactores!$C$5</f>
        <v>0</v>
      </c>
      <c r="G152" s="57">
        <f>0*Deflactores!$D$5</f>
        <v>0</v>
      </c>
      <c r="H152" s="57">
        <f>0*Deflactores!$E$5</f>
        <v>0</v>
      </c>
      <c r="I152" s="57">
        <f>0*Deflactores!$F$5</f>
        <v>0</v>
      </c>
      <c r="J152" s="57">
        <f>0*Deflactores!$G$5</f>
        <v>0</v>
      </c>
      <c r="K152" s="57">
        <f>0*Deflactores!$H$5</f>
        <v>0</v>
      </c>
      <c r="L152" s="57">
        <f>0*Deflactores!$I$5</f>
        <v>0</v>
      </c>
      <c r="M152" s="57">
        <f>0*Deflactores!$J$5</f>
        <v>0</v>
      </c>
      <c r="N152" s="57">
        <f>0*Deflactores!$K$5</f>
        <v>0</v>
      </c>
      <c r="O152" s="57">
        <f>0*Deflactores!$L$5</f>
        <v>0</v>
      </c>
      <c r="P152" s="57">
        <f>0*Deflactores!$M$5</f>
        <v>0</v>
      </c>
      <c r="Q152" s="57">
        <f>0*Deflactores!$N$5</f>
        <v>0</v>
      </c>
      <c r="R152" s="57">
        <f>0*Deflactores!$O$5</f>
        <v>0</v>
      </c>
      <c r="S152" s="57">
        <f>0*Deflactores!$P$5</f>
        <v>0</v>
      </c>
      <c r="T152" s="57">
        <f>0*Deflactores!$Q$5</f>
        <v>0</v>
      </c>
      <c r="U152" s="57">
        <f>0*Deflactores!$R$5</f>
        <v>0</v>
      </c>
      <c r="V152" s="57">
        <f>0*Deflactores!$S$5</f>
        <v>0</v>
      </c>
    </row>
    <row r="153" spans="3:22" x14ac:dyDescent="0.2">
      <c r="C153" s="87" t="s">
        <v>145</v>
      </c>
      <c r="D153" s="56">
        <f>1.68320523514999*Deflactores!$A$5</f>
        <v>6.1109761316812818</v>
      </c>
      <c r="E153" s="56">
        <f>0.179651677*Deflactores!$B$5</f>
        <v>0.60589531984717415</v>
      </c>
      <c r="F153" s="56">
        <f>0.061303668*Deflactores!$C$5</f>
        <v>0.19324226747933934</v>
      </c>
      <c r="G153" s="56">
        <f>4.176308547*Deflactores!$D$5</f>
        <v>12.362145773864446</v>
      </c>
      <c r="H153" s="56">
        <f>0.425352765*Deflactores!$E$5</f>
        <v>1.1934672461238562</v>
      </c>
      <c r="I153" s="56">
        <f>0.639262009*Deflactores!$F$5</f>
        <v>1.7106072561757817</v>
      </c>
      <c r="J153" s="56">
        <f>11.16276901632*Deflactores!$G$5</f>
        <v>28.590300308451074</v>
      </c>
      <c r="K153" s="56">
        <f>9.925781046*Deflactores!$H$5</f>
        <v>24.052445562731641</v>
      </c>
      <c r="L153" s="56">
        <f>7.700338755*Deflactores!$I$5</f>
        <v>17.329739552695013</v>
      </c>
      <c r="M153" s="56">
        <f>13.015468138*Deflactores!$J$5</f>
        <v>28.716673353278143</v>
      </c>
      <c r="N153" s="56">
        <f>4.587482364*Deflactores!$K$5</f>
        <v>9.8104779741082417</v>
      </c>
      <c r="O153" s="56">
        <f>3.91799778920999*Deflactores!$L$5</f>
        <v>8.07773212104658</v>
      </c>
      <c r="P153" s="56">
        <f>12.4952467939399*Deflactores!$M$5</f>
        <v>25.147830740284679</v>
      </c>
      <c r="Q153" s="56">
        <f>11.0759586039699*Deflactores!$N$5</f>
        <v>21.867160117395411</v>
      </c>
      <c r="R153" s="56">
        <f>19.01630828078*Deflactores!$O$5</f>
        <v>36.218133554451114</v>
      </c>
      <c r="S153" s="56">
        <f>26.0817852916*Deflactores!$P$5</f>
        <v>46.525165776645409</v>
      </c>
      <c r="T153" s="56">
        <f>42.2722330687599*Deflactores!$Q$5</f>
        <v>71.305893834772363</v>
      </c>
      <c r="U153" s="56">
        <f>42.1494323556*Deflactores!$R$5</f>
        <v>68.305072938983841</v>
      </c>
      <c r="V153" s="56">
        <f>35.8016582574*Deflactores!$S$5</f>
        <v>56.230099038564084</v>
      </c>
    </row>
    <row r="154" spans="3:22" x14ac:dyDescent="0.2">
      <c r="C154" s="88" t="s">
        <v>146</v>
      </c>
      <c r="D154" s="57">
        <f>3.22159064087999*Deflactores!$A$5</f>
        <v>11.696175309668112</v>
      </c>
      <c r="E154" s="57">
        <f>4.15648078777*Deflactores!$B$5</f>
        <v>14.01819508951502</v>
      </c>
      <c r="F154" s="57">
        <f>1.22104400305*Deflactores!$C$5</f>
        <v>3.8489917412679344</v>
      </c>
      <c r="G154" s="57">
        <f>2.72121537173*Deflactores!$D$5</f>
        <v>8.0549750404748988</v>
      </c>
      <c r="H154" s="57">
        <f>0.87179643373*Deflactores!$E$5</f>
        <v>2.446111967661341</v>
      </c>
      <c r="I154" s="57">
        <f>3.06013280566*Deflactores!$F$5</f>
        <v>8.1886383181321669</v>
      </c>
      <c r="J154" s="57">
        <f>2.33851196832999*Deflactores!$G$5</f>
        <v>5.9894421672359019</v>
      </c>
      <c r="K154" s="57">
        <f>3.19042705934*Deflactores!$H$5</f>
        <v>7.7311370068520588</v>
      </c>
      <c r="L154" s="57">
        <f>2.74858777098*Deflactores!$I$5</f>
        <v>6.185742176326622</v>
      </c>
      <c r="M154" s="57">
        <f>2.86337556922*Deflactores!$J$5</f>
        <v>6.3176076370990089</v>
      </c>
      <c r="N154" s="57">
        <f>7.77171021288999*Deflactores!$K$5</f>
        <v>16.620051220911748</v>
      </c>
      <c r="O154" s="57">
        <f>8.6767875067292*Deflactores!$L$5</f>
        <v>17.888924119259027</v>
      </c>
      <c r="P154" s="57">
        <f>54.7842064012179*Deflactores!$M$5</f>
        <v>110.25824239716691</v>
      </c>
      <c r="Q154" s="57">
        <f>41.3121249558821*Deflactores!$N$5</f>
        <v>81.562136831779696</v>
      </c>
      <c r="R154" s="57">
        <f>11.3991915055155*Deflactores!$O$5</f>
        <v>21.710704005403869</v>
      </c>
      <c r="S154" s="57">
        <f>38.1164576621002*Deflactores!$P$5</f>
        <v>67.992834528809567</v>
      </c>
      <c r="T154" s="57">
        <f>23.42957702184*Deflactores!$Q$5</f>
        <v>39.521615264456052</v>
      </c>
      <c r="U154" s="57">
        <f>41.52071395877*Deflactores!$R$5</f>
        <v>67.286206170120977</v>
      </c>
      <c r="V154" s="57">
        <f>14.6717394157499*Deflactores!$S$5</f>
        <v>23.043439901142005</v>
      </c>
    </row>
    <row r="155" spans="3:22" x14ac:dyDescent="0.2">
      <c r="C155" s="90" t="s">
        <v>147</v>
      </c>
      <c r="D155" s="58">
        <f>392.31183163398*Deflactores!$A$5</f>
        <v>1424.3113015732658</v>
      </c>
      <c r="E155" s="58">
        <f>519.93021944916*Deflactores!$B$5</f>
        <v>1753.5226604723553</v>
      </c>
      <c r="F155" s="58">
        <f>442.54031696332*Deflactores!$C$5</f>
        <v>1394.9816885511239</v>
      </c>
      <c r="G155" s="58">
        <f>445.01635123046*Deflactores!$D$5</f>
        <v>1317.277433827546</v>
      </c>
      <c r="H155" s="58">
        <f>593.46437668379*Deflactores!$E$5</f>
        <v>1665.1597299794528</v>
      </c>
      <c r="I155" s="58">
        <f>637.823324630609*Deflactores!$F$5</f>
        <v>1706.7574670643085</v>
      </c>
      <c r="J155" s="58">
        <f>786.5515655935*Deflactores!$G$5</f>
        <v>2014.5311110104819</v>
      </c>
      <c r="K155" s="58">
        <f>969.511190601139*Deflactores!$H$5</f>
        <v>2349.3481295147476</v>
      </c>
      <c r="L155" s="58">
        <f>1183.45964614314*Deflactores!$I$5</f>
        <v>2663.3954805518447</v>
      </c>
      <c r="M155" s="58">
        <f>1310.63769115986*Deflactores!$J$5</f>
        <v>2891.7249892569589</v>
      </c>
      <c r="N155" s="58">
        <f>1709.18170755219*Deflactores!$K$5</f>
        <v>3655.1398272992842</v>
      </c>
      <c r="O155" s="58">
        <f>1618.06458182161*Deflactores!$L$5</f>
        <v>3335.9621290505288</v>
      </c>
      <c r="P155" s="58">
        <f>1983.5791342032*Deflactores!$M$5</f>
        <v>3992.1350213823098</v>
      </c>
      <c r="Q155" s="58">
        <f>2134.5248011267*Deflactores!$N$5</f>
        <v>4214.1720883697872</v>
      </c>
      <c r="R155" s="58">
        <f>852.72352442098*Deflactores!$O$5</f>
        <v>1624.0825525381379</v>
      </c>
      <c r="S155" s="58">
        <f>1348.8987262317*Deflactores!$P$5</f>
        <v>2406.1902263280908</v>
      </c>
      <c r="T155" s="58">
        <f>1577.50570542713*Deflactores!$Q$5</f>
        <v>2660.9773411299584</v>
      </c>
      <c r="U155" s="58">
        <f>1640.67546966594*Deflactores!$R$5</f>
        <v>2658.7892496218728</v>
      </c>
      <c r="V155" s="58">
        <f>1408.88149755143*Deflactores!$S$5</f>
        <v>2212.7898537923934</v>
      </c>
    </row>
    <row r="156" spans="3:22" ht="22.5" customHeight="1" x14ac:dyDescent="0.2">
      <c r="C156" s="89" t="s">
        <v>148</v>
      </c>
      <c r="D156" s="59">
        <f>0*Deflactores!$A$5</f>
        <v>0</v>
      </c>
      <c r="E156" s="59">
        <f>0*Deflactores!$B$5</f>
        <v>0</v>
      </c>
      <c r="F156" s="59">
        <f>0*Deflactores!$C$5</f>
        <v>0</v>
      </c>
      <c r="G156" s="59">
        <f>0*Deflactores!$D$5</f>
        <v>0</v>
      </c>
      <c r="H156" s="59">
        <f>0*Deflactores!$E$5</f>
        <v>0</v>
      </c>
      <c r="I156" s="59">
        <f>0*Deflactores!$F$5</f>
        <v>0</v>
      </c>
      <c r="J156" s="59">
        <f>0*Deflactores!$G$5</f>
        <v>0</v>
      </c>
      <c r="K156" s="59">
        <f>0*Deflactores!$H$5</f>
        <v>0</v>
      </c>
      <c r="L156" s="59">
        <f>0*Deflactores!$I$5</f>
        <v>0</v>
      </c>
      <c r="M156" s="59">
        <f>0*Deflactores!$J$5</f>
        <v>0</v>
      </c>
      <c r="N156" s="59">
        <f>0*Deflactores!$K$5</f>
        <v>0</v>
      </c>
      <c r="O156" s="59">
        <f>0*Deflactores!$L$5</f>
        <v>0</v>
      </c>
      <c r="P156" s="59">
        <f>0*Deflactores!$M$5</f>
        <v>0</v>
      </c>
      <c r="Q156" s="59">
        <f>0*Deflactores!$N$5</f>
        <v>0</v>
      </c>
      <c r="R156" s="59">
        <f>0*Deflactores!$O$5</f>
        <v>0</v>
      </c>
      <c r="S156" s="59">
        <f>0*Deflactores!$P$5</f>
        <v>0</v>
      </c>
      <c r="T156" s="59">
        <f>0*Deflactores!$Q$5</f>
        <v>0</v>
      </c>
      <c r="U156" s="59">
        <f>0*Deflactores!$R$5</f>
        <v>0</v>
      </c>
      <c r="V156" s="59">
        <f>0*Deflactores!$S$5</f>
        <v>0</v>
      </c>
    </row>
    <row r="157" spans="3:22" x14ac:dyDescent="0.2">
      <c r="C157" s="87" t="s">
        <v>149</v>
      </c>
      <c r="D157" s="56">
        <f>93.00266373272*Deflactores!$A$5</f>
        <v>337.65166979342712</v>
      </c>
      <c r="E157" s="56">
        <f>74.43017299833*Deflactores!$B$5</f>
        <v>251.02406071669265</v>
      </c>
      <c r="F157" s="56">
        <f>34.73744015984*Deflactores!$C$5</f>
        <v>109.49983780604033</v>
      </c>
      <c r="G157" s="56">
        <f>7.00895439508*Deflactores!$D$5</f>
        <v>20.746962294389803</v>
      </c>
      <c r="H157" s="56">
        <f>108.83351439529*Deflactores!$E$5</f>
        <v>305.36826229712602</v>
      </c>
      <c r="I157" s="56">
        <f>50.2270488783999*Deflactores!$F$5</f>
        <v>134.40303515312849</v>
      </c>
      <c r="J157" s="56">
        <f>163.20939076364*Deflactores!$G$5</f>
        <v>418.01505417426466</v>
      </c>
      <c r="K157" s="56">
        <f>289.82214956312*Deflactores!$H$5</f>
        <v>702.30558612312257</v>
      </c>
      <c r="L157" s="56">
        <f>378.34403677475*Deflactores!$I$5</f>
        <v>851.46950377531573</v>
      </c>
      <c r="M157" s="56">
        <f>552.06553022899*Deflactores!$J$5</f>
        <v>1218.0495801687166</v>
      </c>
      <c r="N157" s="56">
        <f>615.30212216*Deflactores!$K$5</f>
        <v>1315.8432965853115</v>
      </c>
      <c r="O157" s="56">
        <f>706.63294722487*Deflactores!$L$5</f>
        <v>1456.8644401249351</v>
      </c>
      <c r="P157" s="56">
        <f>777.95317929196*Deflactores!$M$5</f>
        <v>1565.7021585351049</v>
      </c>
      <c r="Q157" s="56">
        <f>976.38770757533*Deflactores!$N$5</f>
        <v>1927.6729989360667</v>
      </c>
      <c r="R157" s="56">
        <f>1438.16697649927*Deflactores!$O$5</f>
        <v>2739.1080781487635</v>
      </c>
      <c r="S157" s="56">
        <f>1021.46345015857*Deflactores!$P$5</f>
        <v>1822.1051903497316</v>
      </c>
      <c r="T157" s="56">
        <f>1037.94988225749*Deflactores!$Q$5</f>
        <v>1750.8406520582771</v>
      </c>
      <c r="U157" s="56">
        <f>1007.43122919489*Deflactores!$R$5</f>
        <v>1632.5881452119868</v>
      </c>
      <c r="V157" s="56">
        <f>930.72085981904*Deflactores!$S$5</f>
        <v>1461.7905614487811</v>
      </c>
    </row>
    <row r="158" spans="3:22" x14ac:dyDescent="0.2">
      <c r="C158" s="88" t="s">
        <v>150</v>
      </c>
      <c r="D158" s="57">
        <f>292.8164617506*Deflactores!$A$5</f>
        <v>1063.0874781956279</v>
      </c>
      <c r="E158" s="57">
        <f>494.652147767629*Deflactores!$B$5</f>
        <v>1668.2695440953732</v>
      </c>
      <c r="F158" s="57">
        <f>374.007472036319*Deflactores!$C$5</f>
        <v>1178.9515098919346</v>
      </c>
      <c r="G158" s="57">
        <f>372.09413135794*Deflactores!$D$5</f>
        <v>1101.4229053431861</v>
      </c>
      <c r="H158" s="57">
        <f>311.49194155419*Deflactores!$E$5</f>
        <v>873.99321284875691</v>
      </c>
      <c r="I158" s="57">
        <f>268.93529402455*Deflactores!$F$5</f>
        <v>719.64649693450281</v>
      </c>
      <c r="J158" s="57">
        <f>386.52316595608*Deflactores!$G$5</f>
        <v>989.97062240572006</v>
      </c>
      <c r="K158" s="57">
        <f>517.84005242931*Deflactores!$H$5</f>
        <v>1254.8452976682836</v>
      </c>
      <c r="L158" s="57">
        <f>487.312881432099*Deflactores!$I$5</f>
        <v>1096.7056884878075</v>
      </c>
      <c r="M158" s="57">
        <f>516.13214902942*Deflactores!$J$5</f>
        <v>1138.7679777364401</v>
      </c>
      <c r="N158" s="57">
        <f>488.634066285829*Deflactores!$K$5</f>
        <v>1044.9596018754464</v>
      </c>
      <c r="O158" s="57">
        <f>365.129365993759*Deflactores!$L$5</f>
        <v>752.78684846319663</v>
      </c>
      <c r="P158" s="57">
        <f>598.243766708464*Deflactores!$M$5</f>
        <v>1204.0204755228438</v>
      </c>
      <c r="Q158" s="57">
        <f>669.34169612156*Deflactores!$N$5</f>
        <v>1321.4749680531536</v>
      </c>
      <c r="R158" s="57">
        <f>842.941294787194*Deflactores!$O$5</f>
        <v>1605.4514862919698</v>
      </c>
      <c r="S158" s="57">
        <f>988.293936852869*Deflactores!$P$5</f>
        <v>1762.9368056695846</v>
      </c>
      <c r="T158" s="57">
        <f>981.23207153897*Deflactores!$Q$5</f>
        <v>1655.1675849871096</v>
      </c>
      <c r="U158" s="57">
        <f>1137.18257690063*Deflactores!$R$5</f>
        <v>1842.8561078787372</v>
      </c>
      <c r="V158" s="57">
        <f>995.60084016544*Deflactores!$S$5</f>
        <v>1563.6910850018794</v>
      </c>
    </row>
    <row r="159" spans="3:22" x14ac:dyDescent="0.2">
      <c r="C159" s="87" t="s">
        <v>151</v>
      </c>
      <c r="D159" s="56">
        <f>2.547212579*Deflactores!$A$5</f>
        <v>9.2478058810221331</v>
      </c>
      <c r="E159" s="56">
        <f>0.756774056*Deflactores!$B$5</f>
        <v>2.5523049178781854</v>
      </c>
      <c r="F159" s="56">
        <f>0.634796203*Deflactores!$C$5</f>
        <v>2.0010133431982404</v>
      </c>
      <c r="G159" s="56">
        <f>0*Deflactores!$D$5</f>
        <v>0</v>
      </c>
      <c r="H159" s="56">
        <f>0*Deflactores!$E$5</f>
        <v>0</v>
      </c>
      <c r="I159" s="56">
        <f>0*Deflactores!$F$5</f>
        <v>0</v>
      </c>
      <c r="J159" s="56">
        <f>0*Deflactores!$G$5</f>
        <v>0</v>
      </c>
      <c r="K159" s="56">
        <f>0*Deflactores!$H$5</f>
        <v>0</v>
      </c>
      <c r="L159" s="56">
        <f>0*Deflactores!$I$5</f>
        <v>0</v>
      </c>
      <c r="M159" s="56">
        <f>0*Deflactores!$J$5</f>
        <v>0</v>
      </c>
      <c r="N159" s="56">
        <f>0*Deflactores!$K$5</f>
        <v>0</v>
      </c>
      <c r="O159" s="56">
        <f>0*Deflactores!$L$5</f>
        <v>0</v>
      </c>
      <c r="P159" s="56">
        <f>0*Deflactores!$M$5</f>
        <v>0</v>
      </c>
      <c r="Q159" s="56">
        <f>0*Deflactores!$N$5</f>
        <v>0</v>
      </c>
      <c r="R159" s="56">
        <f>0*Deflactores!$O$5</f>
        <v>0</v>
      </c>
      <c r="S159" s="56">
        <f>0*Deflactores!$P$5</f>
        <v>0</v>
      </c>
      <c r="T159" s="56">
        <f>0*Deflactores!$Q$5</f>
        <v>0</v>
      </c>
      <c r="U159" s="56">
        <f>0*Deflactores!$R$5</f>
        <v>0</v>
      </c>
      <c r="V159" s="56">
        <f>0*Deflactores!$S$5</f>
        <v>0</v>
      </c>
    </row>
    <row r="160" spans="3:22" x14ac:dyDescent="0.2">
      <c r="C160" s="79" t="s">
        <v>202</v>
      </c>
      <c r="D160" s="44">
        <f t="shared" ref="D160:V160" si="32">+SUM(D131:D159)</f>
        <v>6531.9990833338061</v>
      </c>
      <c r="E160" s="44">
        <f t="shared" si="32"/>
        <v>7102.7524632363547</v>
      </c>
      <c r="F160" s="44">
        <f t="shared" si="32"/>
        <v>6139.8938283206098</v>
      </c>
      <c r="G160" s="44">
        <f t="shared" si="32"/>
        <v>5721.9306027405646</v>
      </c>
      <c r="H160" s="44">
        <f t="shared" si="32"/>
        <v>6388.8150077463843</v>
      </c>
      <c r="I160" s="44">
        <f t="shared" si="32"/>
        <v>6295.8797351554167</v>
      </c>
      <c r="J160" s="44">
        <f t="shared" si="32"/>
        <v>7929.0658318266796</v>
      </c>
      <c r="K160" s="44">
        <f t="shared" si="32"/>
        <v>10200.622050486469</v>
      </c>
      <c r="L160" s="44">
        <f t="shared" si="32"/>
        <v>12002.553035442857</v>
      </c>
      <c r="M160" s="44">
        <f t="shared" si="32"/>
        <v>14350.410384274182</v>
      </c>
      <c r="N160" s="44">
        <f t="shared" si="32"/>
        <v>13142.305146094175</v>
      </c>
      <c r="O160" s="44">
        <f t="shared" si="32"/>
        <v>12538.764477455621</v>
      </c>
      <c r="P160" s="44">
        <f t="shared" si="32"/>
        <v>14224.152745038195</v>
      </c>
      <c r="Q160" s="44">
        <f t="shared" si="32"/>
        <v>16031.406637635437</v>
      </c>
      <c r="R160" s="44">
        <f t="shared" si="32"/>
        <v>10066.705155440044</v>
      </c>
      <c r="S160" s="44">
        <f t="shared" si="32"/>
        <v>10062.857624069109</v>
      </c>
      <c r="T160" s="44">
        <f t="shared" si="32"/>
        <v>11988.766494255195</v>
      </c>
      <c r="U160" s="44">
        <f t="shared" si="32"/>
        <v>12333.065972720824</v>
      </c>
      <c r="V160" s="44">
        <f t="shared" si="32"/>
        <v>10434.450306783441</v>
      </c>
    </row>
    <row r="161" spans="2:22" x14ac:dyDescent="0.2">
      <c r="C161" s="1" t="s">
        <v>52</v>
      </c>
      <c r="D161" s="12"/>
      <c r="E161" s="12"/>
      <c r="F161" s="12"/>
      <c r="G161" s="12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</row>
    <row r="162" spans="2:22" x14ac:dyDescent="0.2">
      <c r="B162" s="9"/>
    </row>
    <row r="163" spans="2:22" x14ac:dyDescent="0.2"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</row>
    <row r="164" spans="2:22" x14ac:dyDescent="0.2">
      <c r="D164" s="11"/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</row>
    <row r="165" spans="2:22" ht="17.25" customHeight="1" x14ac:dyDescent="0.2">
      <c r="C165" s="9"/>
      <c r="D165" s="160" t="s">
        <v>222</v>
      </c>
      <c r="E165" s="158"/>
      <c r="F165" s="158"/>
      <c r="G165" s="158"/>
      <c r="H165" s="158"/>
      <c r="I165" s="158"/>
      <c r="J165" s="158"/>
      <c r="K165" s="158"/>
      <c r="L165" s="158"/>
      <c r="M165" s="158"/>
      <c r="N165" s="158"/>
      <c r="O165" s="158"/>
      <c r="P165" s="158"/>
      <c r="Q165" s="158"/>
      <c r="R165" s="158"/>
      <c r="S165" s="158"/>
      <c r="T165" s="158"/>
      <c r="U165" s="158"/>
      <c r="V165" s="158"/>
    </row>
    <row r="166" spans="2:22" hidden="1" x14ac:dyDescent="0.2">
      <c r="H166" s="27"/>
      <c r="I166" s="27"/>
      <c r="J166" s="27"/>
      <c r="L166" s="175"/>
      <c r="M166" s="158"/>
      <c r="N166" s="158"/>
      <c r="O166" s="158"/>
      <c r="P166" s="158"/>
      <c r="Q166" s="158"/>
      <c r="R166" s="28"/>
      <c r="S166" s="28"/>
      <c r="T166" s="28"/>
      <c r="U166" s="28"/>
      <c r="V166" s="28"/>
    </row>
    <row r="167" spans="2:22" x14ac:dyDescent="0.2"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</row>
    <row r="168" spans="2:22" ht="12" thickBot="1" x14ac:dyDescent="0.25">
      <c r="C168" s="177" t="s">
        <v>120</v>
      </c>
      <c r="D168" s="153">
        <v>2000</v>
      </c>
      <c r="E168" s="153">
        <v>2001</v>
      </c>
      <c r="F168" s="153">
        <v>2002</v>
      </c>
      <c r="G168" s="153">
        <v>2003</v>
      </c>
      <c r="H168" s="153">
        <v>2004</v>
      </c>
      <c r="I168" s="153">
        <v>2005</v>
      </c>
      <c r="J168" s="153">
        <v>2006</v>
      </c>
      <c r="K168" s="153">
        <v>2007</v>
      </c>
      <c r="L168" s="153">
        <v>2008</v>
      </c>
      <c r="M168" s="153">
        <v>2009</v>
      </c>
      <c r="N168" s="153">
        <v>2010</v>
      </c>
      <c r="O168" s="153">
        <v>2011</v>
      </c>
      <c r="P168" s="153">
        <v>2012</v>
      </c>
      <c r="Q168" s="153">
        <v>2013</v>
      </c>
      <c r="R168" s="153">
        <v>2014</v>
      </c>
      <c r="S168" s="153">
        <v>2015</v>
      </c>
      <c r="T168" s="153">
        <v>2016</v>
      </c>
      <c r="U168" s="153">
        <v>2017</v>
      </c>
      <c r="V168" s="153">
        <v>2018</v>
      </c>
    </row>
    <row r="169" spans="2:22" ht="12" customHeight="1" thickBot="1" x14ac:dyDescent="0.25">
      <c r="C169" s="156"/>
      <c r="D169" s="154"/>
      <c r="E169" s="154"/>
      <c r="F169" s="154"/>
      <c r="G169" s="154"/>
      <c r="H169" s="154"/>
      <c r="I169" s="154"/>
      <c r="J169" s="154"/>
      <c r="K169" s="154"/>
      <c r="L169" s="154"/>
      <c r="M169" s="154"/>
      <c r="N169" s="154"/>
      <c r="O169" s="154"/>
      <c r="P169" s="154"/>
      <c r="Q169" s="154"/>
      <c r="R169" s="154"/>
      <c r="S169" s="154"/>
      <c r="T169" s="154"/>
      <c r="U169" s="154"/>
      <c r="V169" s="154"/>
    </row>
    <row r="170" spans="2:22" x14ac:dyDescent="0.2">
      <c r="C170" s="87" t="s">
        <v>123</v>
      </c>
      <c r="D170" s="60">
        <f t="shared" ref="D170:V170" si="33">+IFERROR(IF(D131&gt;0,+((D131/D13)*100)," "),"")</f>
        <v>69.236169069765936</v>
      </c>
      <c r="E170" s="60">
        <f t="shared" si="33"/>
        <v>61.279568228840688</v>
      </c>
      <c r="F170" s="60">
        <f t="shared" si="33"/>
        <v>78.457719307191084</v>
      </c>
      <c r="G170" s="60">
        <f t="shared" si="33"/>
        <v>77.815436903910424</v>
      </c>
      <c r="H170" s="60">
        <f t="shared" si="33"/>
        <v>47.45332397143526</v>
      </c>
      <c r="I170" s="60">
        <f t="shared" si="33"/>
        <v>80.902341059365469</v>
      </c>
      <c r="J170" s="60">
        <f t="shared" si="33"/>
        <v>64.628789016778782</v>
      </c>
      <c r="K170" s="60">
        <f t="shared" si="33"/>
        <v>91.930616272370116</v>
      </c>
      <c r="L170" s="60">
        <f t="shared" si="33"/>
        <v>89.063522303052437</v>
      </c>
      <c r="M170" s="60">
        <f t="shared" si="33"/>
        <v>73.170156574792529</v>
      </c>
      <c r="N170" s="60">
        <f t="shared" si="33"/>
        <v>78.712931225691747</v>
      </c>
      <c r="O170" s="60">
        <f t="shared" si="33"/>
        <v>53.980626826960545</v>
      </c>
      <c r="P170" s="60">
        <f t="shared" si="33"/>
        <v>79.711634571954477</v>
      </c>
      <c r="Q170" s="60">
        <f t="shared" si="33"/>
        <v>72.411476830928706</v>
      </c>
      <c r="R170" s="60">
        <f t="shared" si="33"/>
        <v>88.215593080218326</v>
      </c>
      <c r="S170" s="60">
        <f t="shared" si="33"/>
        <v>71.394314212099104</v>
      </c>
      <c r="T170" s="60">
        <f t="shared" si="33"/>
        <v>97.270468628294708</v>
      </c>
      <c r="U170" s="60">
        <f t="shared" si="33"/>
        <v>93.19183857866031</v>
      </c>
      <c r="V170" s="60">
        <f t="shared" si="33"/>
        <v>83.53499778608176</v>
      </c>
    </row>
    <row r="171" spans="2:22" x14ac:dyDescent="0.2">
      <c r="C171" s="88" t="s">
        <v>124</v>
      </c>
      <c r="D171" s="62">
        <f t="shared" ref="D171:V171" si="34">+IFERROR(IF(D132&gt;0,+((D132/D14)*100)," "),"")</f>
        <v>52.805652345356577</v>
      </c>
      <c r="E171" s="62">
        <f t="shared" si="34"/>
        <v>27.388737694805197</v>
      </c>
      <c r="F171" s="62">
        <f t="shared" si="34"/>
        <v>44.7953529847547</v>
      </c>
      <c r="G171" s="62">
        <f t="shared" si="34"/>
        <v>34.200627380197311</v>
      </c>
      <c r="H171" s="62">
        <f t="shared" si="34"/>
        <v>39.993768103980628</v>
      </c>
      <c r="I171" s="62">
        <f t="shared" si="34"/>
        <v>55.892275523243065</v>
      </c>
      <c r="J171" s="62">
        <f t="shared" si="34"/>
        <v>67.003467295810552</v>
      </c>
      <c r="K171" s="62">
        <f t="shared" si="34"/>
        <v>83.229462059282085</v>
      </c>
      <c r="L171" s="62">
        <f t="shared" si="34"/>
        <v>69.936169444429481</v>
      </c>
      <c r="M171" s="62">
        <f t="shared" si="34"/>
        <v>77.414510890154233</v>
      </c>
      <c r="N171" s="62">
        <f t="shared" si="34"/>
        <v>73.970017508926162</v>
      </c>
      <c r="O171" s="62">
        <f t="shared" si="34"/>
        <v>78.309445620328191</v>
      </c>
      <c r="P171" s="62">
        <f t="shared" si="34"/>
        <v>86.392007843431912</v>
      </c>
      <c r="Q171" s="62">
        <f t="shared" si="34"/>
        <v>72.557309222721187</v>
      </c>
      <c r="R171" s="62">
        <f t="shared" si="34"/>
        <v>91.883822568375166</v>
      </c>
      <c r="S171" s="62">
        <f t="shared" si="34"/>
        <v>79.575296283230728</v>
      </c>
      <c r="T171" s="62">
        <f t="shared" si="34"/>
        <v>85.017600186715541</v>
      </c>
      <c r="U171" s="62">
        <f t="shared" si="34"/>
        <v>93.152136511352225</v>
      </c>
      <c r="V171" s="62">
        <f t="shared" si="34"/>
        <v>96.059332737228104</v>
      </c>
    </row>
    <row r="172" spans="2:22" x14ac:dyDescent="0.2">
      <c r="C172" s="87" t="s">
        <v>125</v>
      </c>
      <c r="D172" s="60">
        <f t="shared" ref="D172:V172" si="35">+IFERROR(IF(D133&gt;0,+((D133/D15)*100)," "),"")</f>
        <v>36.586832765719315</v>
      </c>
      <c r="E172" s="60">
        <f t="shared" si="35"/>
        <v>21.188667352248068</v>
      </c>
      <c r="F172" s="60">
        <f t="shared" si="35"/>
        <v>36.112967326150738</v>
      </c>
      <c r="G172" s="60">
        <f t="shared" si="35"/>
        <v>8.7935714558383413</v>
      </c>
      <c r="H172" s="60">
        <f t="shared" si="35"/>
        <v>6.3700665147186903</v>
      </c>
      <c r="I172" s="60">
        <f t="shared" si="35"/>
        <v>26.089964911543824</v>
      </c>
      <c r="J172" s="60">
        <f t="shared" si="35"/>
        <v>0.42183069988243305</v>
      </c>
      <c r="K172" s="60">
        <f t="shared" si="35"/>
        <v>70.638828687174765</v>
      </c>
      <c r="L172" s="60">
        <f t="shared" si="35"/>
        <v>78.972075630936473</v>
      </c>
      <c r="M172" s="60">
        <f t="shared" si="35"/>
        <v>92.060759113771923</v>
      </c>
      <c r="N172" s="60" t="str">
        <f t="shared" si="35"/>
        <v xml:space="preserve"> </v>
      </c>
      <c r="O172" s="60" t="str">
        <f t="shared" si="35"/>
        <v xml:space="preserve"> </v>
      </c>
      <c r="P172" s="60" t="str">
        <f t="shared" si="35"/>
        <v xml:space="preserve"> </v>
      </c>
      <c r="Q172" s="60" t="str">
        <f t="shared" si="35"/>
        <v xml:space="preserve"> </v>
      </c>
      <c r="R172" s="60" t="str">
        <f t="shared" si="35"/>
        <v xml:space="preserve"> </v>
      </c>
      <c r="S172" s="60" t="str">
        <f t="shared" si="35"/>
        <v xml:space="preserve"> </v>
      </c>
      <c r="T172" s="60" t="str">
        <f t="shared" si="35"/>
        <v xml:space="preserve"> </v>
      </c>
      <c r="U172" s="60" t="str">
        <f t="shared" si="35"/>
        <v xml:space="preserve"> </v>
      </c>
      <c r="V172" s="60" t="str">
        <f t="shared" si="35"/>
        <v xml:space="preserve"> </v>
      </c>
    </row>
    <row r="173" spans="2:22" x14ac:dyDescent="0.2">
      <c r="C173" s="88" t="s">
        <v>126</v>
      </c>
      <c r="D173" s="62">
        <f t="shared" ref="D173:V173" si="36">+IFERROR(IF(D134&gt;0,+((D134/D16)*100)," "),"")</f>
        <v>99.979860469842706</v>
      </c>
      <c r="E173" s="62">
        <f t="shared" si="36"/>
        <v>7.2714256500000003</v>
      </c>
      <c r="F173" s="62">
        <f t="shared" si="36"/>
        <v>1.6427998054982611</v>
      </c>
      <c r="G173" s="62">
        <f t="shared" si="36"/>
        <v>33.480025493561733</v>
      </c>
      <c r="H173" s="62">
        <f t="shared" si="36"/>
        <v>17.40439807930607</v>
      </c>
      <c r="I173" s="62">
        <f t="shared" si="36"/>
        <v>23.466651095637928</v>
      </c>
      <c r="J173" s="62">
        <f t="shared" si="36"/>
        <v>36.42339263026669</v>
      </c>
      <c r="K173" s="62">
        <f t="shared" si="36"/>
        <v>84.306060175390343</v>
      </c>
      <c r="L173" s="62">
        <f t="shared" si="36"/>
        <v>74.431159932885109</v>
      </c>
      <c r="M173" s="62">
        <f t="shared" si="36"/>
        <v>83.741209969084707</v>
      </c>
      <c r="N173" s="62">
        <f t="shared" si="36"/>
        <v>71.291186376175816</v>
      </c>
      <c r="O173" s="62">
        <f t="shared" si="36"/>
        <v>63.012052537871043</v>
      </c>
      <c r="P173" s="62">
        <f t="shared" si="36"/>
        <v>47.104333077552077</v>
      </c>
      <c r="Q173" s="62">
        <f t="shared" si="36"/>
        <v>81.208375986485621</v>
      </c>
      <c r="R173" s="62">
        <f t="shared" si="36"/>
        <v>91.212563100928804</v>
      </c>
      <c r="S173" s="62">
        <f t="shared" si="36"/>
        <v>93.924258576984684</v>
      </c>
      <c r="T173" s="62">
        <f t="shared" si="36"/>
        <v>95.633115235399828</v>
      </c>
      <c r="U173" s="62">
        <f t="shared" si="36"/>
        <v>91.691869457657674</v>
      </c>
      <c r="V173" s="62">
        <f t="shared" si="36"/>
        <v>96.276884685415382</v>
      </c>
    </row>
    <row r="174" spans="2:22" x14ac:dyDescent="0.2">
      <c r="C174" s="87" t="s">
        <v>127</v>
      </c>
      <c r="D174" s="60" t="str">
        <f t="shared" ref="D174:V174" si="37">+IFERROR(IF(D135&gt;0,+((D135/D17)*100)," "),"")</f>
        <v xml:space="preserve"> </v>
      </c>
      <c r="E174" s="60" t="str">
        <f t="shared" si="37"/>
        <v xml:space="preserve"> </v>
      </c>
      <c r="F174" s="60" t="str">
        <f t="shared" si="37"/>
        <v xml:space="preserve"> </v>
      </c>
      <c r="G174" s="60" t="str">
        <f t="shared" si="37"/>
        <v xml:space="preserve"> </v>
      </c>
      <c r="H174" s="60" t="str">
        <f t="shared" si="37"/>
        <v xml:space="preserve"> </v>
      </c>
      <c r="I174" s="60" t="str">
        <f t="shared" si="37"/>
        <v xml:space="preserve"> </v>
      </c>
      <c r="J174" s="60" t="str">
        <f t="shared" si="37"/>
        <v xml:space="preserve"> </v>
      </c>
      <c r="K174" s="60" t="str">
        <f t="shared" si="37"/>
        <v xml:space="preserve"> </v>
      </c>
      <c r="L174" s="60" t="str">
        <f t="shared" si="37"/>
        <v xml:space="preserve"> </v>
      </c>
      <c r="M174" s="60" t="str">
        <f t="shared" si="37"/>
        <v xml:space="preserve"> </v>
      </c>
      <c r="N174" s="60" t="str">
        <f t="shared" si="37"/>
        <v xml:space="preserve"> </v>
      </c>
      <c r="O174" s="60" t="str">
        <f t="shared" si="37"/>
        <v xml:space="preserve"> </v>
      </c>
      <c r="P174" s="60" t="str">
        <f t="shared" si="37"/>
        <v xml:space="preserve"> </v>
      </c>
      <c r="Q174" s="60" t="str">
        <f t="shared" si="37"/>
        <v xml:space="preserve"> </v>
      </c>
      <c r="R174" s="60" t="str">
        <f t="shared" si="37"/>
        <v xml:space="preserve"> </v>
      </c>
      <c r="S174" s="60" t="str">
        <f t="shared" si="37"/>
        <v xml:space="preserve"> </v>
      </c>
      <c r="T174" s="60" t="str">
        <f t="shared" si="37"/>
        <v xml:space="preserve"> </v>
      </c>
      <c r="U174" s="60" t="str">
        <f t="shared" si="37"/>
        <v xml:space="preserve"> </v>
      </c>
      <c r="V174" s="60" t="str">
        <f t="shared" si="37"/>
        <v xml:space="preserve"> </v>
      </c>
    </row>
    <row r="175" spans="2:22" x14ac:dyDescent="0.2">
      <c r="C175" s="88" t="s">
        <v>128</v>
      </c>
      <c r="D175" s="62">
        <f t="shared" ref="D175:V175" si="38">+IFERROR(IF(D136&gt;0,+((D136/D18)*100)," "),"")</f>
        <v>89.52262195121952</v>
      </c>
      <c r="E175" s="62">
        <f t="shared" si="38"/>
        <v>68.895455214723938</v>
      </c>
      <c r="F175" s="62">
        <f t="shared" si="38"/>
        <v>82.768246031746031</v>
      </c>
      <c r="G175" s="62">
        <f t="shared" si="38"/>
        <v>71.06385717786786</v>
      </c>
      <c r="H175" s="62">
        <f t="shared" si="38"/>
        <v>44.458825972497024</v>
      </c>
      <c r="I175" s="62">
        <f t="shared" si="38"/>
        <v>46.752461860024134</v>
      </c>
      <c r="J175" s="62">
        <f t="shared" si="38"/>
        <v>9.6182982344289218</v>
      </c>
      <c r="K175" s="62">
        <f t="shared" si="38"/>
        <v>51.610632556207761</v>
      </c>
      <c r="L175" s="62">
        <f t="shared" si="38"/>
        <v>74.451052392556079</v>
      </c>
      <c r="M175" s="62">
        <f t="shared" si="38"/>
        <v>24.032766469924486</v>
      </c>
      <c r="N175" s="62">
        <f t="shared" si="38"/>
        <v>81.087350779634747</v>
      </c>
      <c r="O175" s="62">
        <f t="shared" si="38"/>
        <v>79.27266504321544</v>
      </c>
      <c r="P175" s="62">
        <f t="shared" si="38"/>
        <v>95.398509516152103</v>
      </c>
      <c r="Q175" s="62">
        <f t="shared" si="38"/>
        <v>89.41947766881799</v>
      </c>
      <c r="R175" s="62">
        <f t="shared" si="38"/>
        <v>96.049868503787522</v>
      </c>
      <c r="S175" s="62">
        <f t="shared" si="38"/>
        <v>91.798632123017072</v>
      </c>
      <c r="T175" s="62">
        <f t="shared" si="38"/>
        <v>93.593922714971129</v>
      </c>
      <c r="U175" s="62">
        <f t="shared" si="38"/>
        <v>97.885679102034246</v>
      </c>
      <c r="V175" s="62">
        <f t="shared" si="38"/>
        <v>95.639811339478442</v>
      </c>
    </row>
    <row r="176" spans="2:22" x14ac:dyDescent="0.2">
      <c r="C176" s="87" t="s">
        <v>129</v>
      </c>
      <c r="D176" s="60">
        <f t="shared" ref="D176:V176" si="39">+IFERROR(IF(D137&gt;0,+((D137/D19)*100)," "),"")</f>
        <v>95.73838741717941</v>
      </c>
      <c r="E176" s="60">
        <f t="shared" si="39"/>
        <v>80.536621559422272</v>
      </c>
      <c r="F176" s="60">
        <f t="shared" si="39"/>
        <v>74.911525062661056</v>
      </c>
      <c r="G176" s="60">
        <f t="shared" si="39"/>
        <v>58.281590264914009</v>
      </c>
      <c r="H176" s="60">
        <f t="shared" si="39"/>
        <v>54.82861991023551</v>
      </c>
      <c r="I176" s="60">
        <f t="shared" si="39"/>
        <v>69.584536639642963</v>
      </c>
      <c r="J176" s="60">
        <f t="shared" si="39"/>
        <v>42.759675646054419</v>
      </c>
      <c r="K176" s="60">
        <f t="shared" si="39"/>
        <v>93.080868284061893</v>
      </c>
      <c r="L176" s="60">
        <f t="shared" si="39"/>
        <v>89.958406647678885</v>
      </c>
      <c r="M176" s="60">
        <f t="shared" si="39"/>
        <v>90.890225675009233</v>
      </c>
      <c r="N176" s="60">
        <f t="shared" si="39"/>
        <v>85.913703076523547</v>
      </c>
      <c r="O176" s="60">
        <f t="shared" si="39"/>
        <v>44.549398524815373</v>
      </c>
      <c r="P176" s="60">
        <f t="shared" si="39"/>
        <v>54.12066475098414</v>
      </c>
      <c r="Q176" s="60">
        <f t="shared" si="39"/>
        <v>69.397579523300223</v>
      </c>
      <c r="R176" s="60">
        <f t="shared" si="39"/>
        <v>81.256018774374454</v>
      </c>
      <c r="S176" s="60">
        <f t="shared" si="39"/>
        <v>84.607468693259193</v>
      </c>
      <c r="T176" s="60">
        <f t="shared" si="39"/>
        <v>76.432023625803765</v>
      </c>
      <c r="U176" s="60">
        <f t="shared" si="39"/>
        <v>78.956593697925726</v>
      </c>
      <c r="V176" s="60">
        <f t="shared" si="39"/>
        <v>86.239658146535263</v>
      </c>
    </row>
    <row r="177" spans="3:22" x14ac:dyDescent="0.2">
      <c r="C177" s="88" t="s">
        <v>130</v>
      </c>
      <c r="D177" s="62">
        <f t="shared" ref="D177:V177" si="40">+IFERROR(IF(D138&gt;0,+((D138/D20)*100)," "),"")</f>
        <v>87.111387586258999</v>
      </c>
      <c r="E177" s="62">
        <f t="shared" si="40"/>
        <v>83.46348880635253</v>
      </c>
      <c r="F177" s="62">
        <f t="shared" si="40"/>
        <v>48.334589279397939</v>
      </c>
      <c r="G177" s="62">
        <f t="shared" si="40"/>
        <v>73.056751424093861</v>
      </c>
      <c r="H177" s="62">
        <f t="shared" si="40"/>
        <v>57.516724882186843</v>
      </c>
      <c r="I177" s="62">
        <f t="shared" si="40"/>
        <v>79.092977447424616</v>
      </c>
      <c r="J177" s="62">
        <f t="shared" si="40"/>
        <v>86.144566202235168</v>
      </c>
      <c r="K177" s="62">
        <f t="shared" si="40"/>
        <v>87.358425851335554</v>
      </c>
      <c r="L177" s="62">
        <f t="shared" si="40"/>
        <v>86.080477654558265</v>
      </c>
      <c r="M177" s="62">
        <f t="shared" si="40"/>
        <v>52.448900425530418</v>
      </c>
      <c r="N177" s="62" t="str">
        <f t="shared" si="40"/>
        <v xml:space="preserve"> </v>
      </c>
      <c r="O177" s="62">
        <f t="shared" si="40"/>
        <v>82.072032504597985</v>
      </c>
      <c r="P177" s="62" t="str">
        <f t="shared" si="40"/>
        <v xml:space="preserve"> </v>
      </c>
      <c r="Q177" s="62" t="str">
        <f t="shared" si="40"/>
        <v xml:space="preserve"> </v>
      </c>
      <c r="R177" s="62" t="str">
        <f t="shared" si="40"/>
        <v xml:space="preserve"> </v>
      </c>
      <c r="S177" s="62" t="str">
        <f t="shared" si="40"/>
        <v xml:space="preserve"> </v>
      </c>
      <c r="T177" s="62" t="str">
        <f t="shared" si="40"/>
        <v xml:space="preserve"> </v>
      </c>
      <c r="U177" s="62" t="str">
        <f t="shared" si="40"/>
        <v xml:space="preserve"> </v>
      </c>
      <c r="V177" s="62" t="str">
        <f t="shared" si="40"/>
        <v xml:space="preserve"> </v>
      </c>
    </row>
    <row r="178" spans="3:22" x14ac:dyDescent="0.2">
      <c r="C178" s="87" t="s">
        <v>131</v>
      </c>
      <c r="D178" s="60">
        <f t="shared" ref="D178:V178" si="41">+IFERROR(IF(D139&gt;0,+((D139/D21)*100)," "),"")</f>
        <v>90.809567283019348</v>
      </c>
      <c r="E178" s="60">
        <f t="shared" si="41"/>
        <v>88.262538356441254</v>
      </c>
      <c r="F178" s="60">
        <f t="shared" si="41"/>
        <v>85.488521200141179</v>
      </c>
      <c r="G178" s="60">
        <f t="shared" si="41"/>
        <v>83.712787181581973</v>
      </c>
      <c r="H178" s="60">
        <f t="shared" si="41"/>
        <v>66.953072627342166</v>
      </c>
      <c r="I178" s="60">
        <f t="shared" si="41"/>
        <v>57.500692635571369</v>
      </c>
      <c r="J178" s="60">
        <f t="shared" si="41"/>
        <v>34.564337421363874</v>
      </c>
      <c r="K178" s="60">
        <f t="shared" si="41"/>
        <v>71.293298920214866</v>
      </c>
      <c r="L178" s="60">
        <f t="shared" si="41"/>
        <v>72.662011286391589</v>
      </c>
      <c r="M178" s="60">
        <f t="shared" si="41"/>
        <v>83.778556541342297</v>
      </c>
      <c r="N178" s="60">
        <f t="shared" si="41"/>
        <v>55.184938219302225</v>
      </c>
      <c r="O178" s="60">
        <f t="shared" si="41"/>
        <v>42.760703283821321</v>
      </c>
      <c r="P178" s="60">
        <f t="shared" si="41"/>
        <v>84.458924137404253</v>
      </c>
      <c r="Q178" s="60">
        <f t="shared" si="41"/>
        <v>66.129019553456118</v>
      </c>
      <c r="R178" s="60">
        <f t="shared" si="41"/>
        <v>73.298136109493498</v>
      </c>
      <c r="S178" s="60">
        <f t="shared" si="41"/>
        <v>81.220786883727186</v>
      </c>
      <c r="T178" s="60">
        <f t="shared" si="41"/>
        <v>72.566193583569572</v>
      </c>
      <c r="U178" s="60">
        <f t="shared" si="41"/>
        <v>70.749004796716093</v>
      </c>
      <c r="V178" s="60">
        <f t="shared" si="41"/>
        <v>90.348553290094884</v>
      </c>
    </row>
    <row r="179" spans="3:22" x14ac:dyDescent="0.2">
      <c r="C179" s="88" t="s">
        <v>132</v>
      </c>
      <c r="D179" s="62">
        <f t="shared" ref="D179:V179" si="42">+IFERROR(IF(D140&gt;0,+((D140/D22)*100)," "),"")</f>
        <v>93.987786634999992</v>
      </c>
      <c r="E179" s="62">
        <f t="shared" si="42"/>
        <v>63.301276465225989</v>
      </c>
      <c r="F179" s="62">
        <f t="shared" si="42"/>
        <v>70.899661121353702</v>
      </c>
      <c r="G179" s="62">
        <f t="shared" si="42"/>
        <v>94.480074464676647</v>
      </c>
      <c r="H179" s="62">
        <f t="shared" si="42"/>
        <v>65.156654766910933</v>
      </c>
      <c r="I179" s="62">
        <f t="shared" si="42"/>
        <v>79.985525973742341</v>
      </c>
      <c r="J179" s="62">
        <f t="shared" si="42"/>
        <v>76.577160693547484</v>
      </c>
      <c r="K179" s="62">
        <f t="shared" si="42"/>
        <v>37.325694832890086</v>
      </c>
      <c r="L179" s="62">
        <f t="shared" si="42"/>
        <v>58.262305696080695</v>
      </c>
      <c r="M179" s="62">
        <f t="shared" si="42"/>
        <v>82.962086303432187</v>
      </c>
      <c r="N179" s="62">
        <f t="shared" si="42"/>
        <v>63.502707328254715</v>
      </c>
      <c r="O179" s="62">
        <f t="shared" si="42"/>
        <v>58.763199166836323</v>
      </c>
      <c r="P179" s="62">
        <f t="shared" si="42"/>
        <v>69.300094758553627</v>
      </c>
      <c r="Q179" s="62">
        <f t="shared" si="42"/>
        <v>84.269363439078276</v>
      </c>
      <c r="R179" s="62">
        <f t="shared" si="42"/>
        <v>75.408692992242351</v>
      </c>
      <c r="S179" s="62">
        <f t="shared" si="42"/>
        <v>78.800139816369466</v>
      </c>
      <c r="T179" s="62">
        <f t="shared" si="42"/>
        <v>91.050404939930701</v>
      </c>
      <c r="U179" s="62">
        <f t="shared" si="42"/>
        <v>89.669762357978612</v>
      </c>
      <c r="V179" s="62">
        <f t="shared" si="42"/>
        <v>92.373783935197352</v>
      </c>
    </row>
    <row r="180" spans="3:22" x14ac:dyDescent="0.2">
      <c r="C180" s="87" t="s">
        <v>133</v>
      </c>
      <c r="D180" s="60" t="str">
        <f t="shared" ref="D180:V180" si="43">+IFERROR(IF(D141&gt;0,+((D141/D23)*100)," "),"")</f>
        <v xml:space="preserve"> </v>
      </c>
      <c r="E180" s="60" t="str">
        <f t="shared" si="43"/>
        <v xml:space="preserve"> </v>
      </c>
      <c r="F180" s="60" t="str">
        <f t="shared" si="43"/>
        <v xml:space="preserve"> </v>
      </c>
      <c r="G180" s="60" t="str">
        <f t="shared" si="43"/>
        <v xml:space="preserve"> </v>
      </c>
      <c r="H180" s="60">
        <f t="shared" si="43"/>
        <v>39.067395198591278</v>
      </c>
      <c r="I180" s="60">
        <f t="shared" si="43"/>
        <v>86.711701035828483</v>
      </c>
      <c r="J180" s="60">
        <f t="shared" si="43"/>
        <v>53.291832500000005</v>
      </c>
      <c r="K180" s="60">
        <f t="shared" si="43"/>
        <v>92.26152399999998</v>
      </c>
      <c r="L180" s="60">
        <f t="shared" si="43"/>
        <v>93.771732320000012</v>
      </c>
      <c r="M180" s="60">
        <f t="shared" si="43"/>
        <v>91.473950518786893</v>
      </c>
      <c r="N180" s="60">
        <f t="shared" si="43"/>
        <v>86.845890863235127</v>
      </c>
      <c r="O180" s="60">
        <f t="shared" si="43"/>
        <v>71.056248004455185</v>
      </c>
      <c r="P180" s="60">
        <f t="shared" si="43"/>
        <v>87.830821921110896</v>
      </c>
      <c r="Q180" s="60">
        <f t="shared" si="43"/>
        <v>53.893031841454551</v>
      </c>
      <c r="R180" s="60">
        <f t="shared" si="43"/>
        <v>90.453494880249991</v>
      </c>
      <c r="S180" s="60">
        <f t="shared" si="43"/>
        <v>45.597660859999998</v>
      </c>
      <c r="T180" s="60">
        <f t="shared" si="43"/>
        <v>29.504785699949348</v>
      </c>
      <c r="U180" s="60">
        <f t="shared" si="43"/>
        <v>71.007813111153837</v>
      </c>
      <c r="V180" s="60">
        <f t="shared" si="43"/>
        <v>74.056664899882961</v>
      </c>
    </row>
    <row r="181" spans="3:22" x14ac:dyDescent="0.2">
      <c r="C181" s="88" t="s">
        <v>134</v>
      </c>
      <c r="D181" s="62">
        <f t="shared" ref="D181:V181" si="44">+IFERROR(IF(D142&gt;0,+((D142/D24)*100)," "),"")</f>
        <v>88.304200382221126</v>
      </c>
      <c r="E181" s="62">
        <f t="shared" si="44"/>
        <v>81.824167528335948</v>
      </c>
      <c r="F181" s="62">
        <f t="shared" si="44"/>
        <v>48.304693117207322</v>
      </c>
      <c r="G181" s="62">
        <f t="shared" si="44"/>
        <v>77.23959414473876</v>
      </c>
      <c r="H181" s="62">
        <f t="shared" si="44"/>
        <v>53.602870886329015</v>
      </c>
      <c r="I181" s="62">
        <f t="shared" si="44"/>
        <v>53.47784777037463</v>
      </c>
      <c r="J181" s="62">
        <f t="shared" si="44"/>
        <v>32.056124206690924</v>
      </c>
      <c r="K181" s="62">
        <f t="shared" si="44"/>
        <v>70.157452256142278</v>
      </c>
      <c r="L181" s="62">
        <f t="shared" si="44"/>
        <v>77.456345069580806</v>
      </c>
      <c r="M181" s="62">
        <f t="shared" si="44"/>
        <v>67.25819141744725</v>
      </c>
      <c r="N181" s="62">
        <f t="shared" si="44"/>
        <v>73.447504714906557</v>
      </c>
      <c r="O181" s="62">
        <f t="shared" si="44"/>
        <v>71.078680978595969</v>
      </c>
      <c r="P181" s="62">
        <f t="shared" si="44"/>
        <v>80.512068228220926</v>
      </c>
      <c r="Q181" s="62">
        <f t="shared" si="44"/>
        <v>93.216257018414311</v>
      </c>
      <c r="R181" s="62">
        <f t="shared" si="44"/>
        <v>92.882176438057854</v>
      </c>
      <c r="S181" s="62">
        <f t="shared" si="44"/>
        <v>73.031500837000323</v>
      </c>
      <c r="T181" s="62">
        <f t="shared" si="44"/>
        <v>90.668908271813336</v>
      </c>
      <c r="U181" s="62">
        <f t="shared" si="44"/>
        <v>92.195436271696693</v>
      </c>
      <c r="V181" s="62">
        <f t="shared" si="44"/>
        <v>80.35529020219127</v>
      </c>
    </row>
    <row r="182" spans="3:22" x14ac:dyDescent="0.2">
      <c r="C182" s="87" t="s">
        <v>135</v>
      </c>
      <c r="D182" s="60" t="str">
        <f t="shared" ref="D182:V182" si="45">+IFERROR(IF(D143&gt;0,+((D143/D25)*100)," "),"")</f>
        <v xml:space="preserve"> </v>
      </c>
      <c r="E182" s="60" t="str">
        <f t="shared" si="45"/>
        <v xml:space="preserve"> </v>
      </c>
      <c r="F182" s="60" t="str">
        <f t="shared" si="45"/>
        <v xml:space="preserve"> </v>
      </c>
      <c r="G182" s="60" t="str">
        <f t="shared" si="45"/>
        <v xml:space="preserve"> </v>
      </c>
      <c r="H182" s="60" t="str">
        <f t="shared" si="45"/>
        <v xml:space="preserve"> </v>
      </c>
      <c r="I182" s="60" t="str">
        <f t="shared" si="45"/>
        <v xml:space="preserve"> </v>
      </c>
      <c r="J182" s="60" t="str">
        <f t="shared" si="45"/>
        <v xml:space="preserve"> </v>
      </c>
      <c r="K182" s="60" t="str">
        <f t="shared" si="45"/>
        <v xml:space="preserve"> </v>
      </c>
      <c r="L182" s="60" t="str">
        <f t="shared" si="45"/>
        <v xml:space="preserve"> </v>
      </c>
      <c r="M182" s="60" t="str">
        <f t="shared" si="45"/>
        <v xml:space="preserve"> </v>
      </c>
      <c r="N182" s="60" t="str">
        <f t="shared" si="45"/>
        <v xml:space="preserve"> </v>
      </c>
      <c r="O182" s="60" t="str">
        <f t="shared" si="45"/>
        <v xml:space="preserve"> </v>
      </c>
      <c r="P182" s="60" t="str">
        <f t="shared" si="45"/>
        <v xml:space="preserve"> </v>
      </c>
      <c r="Q182" s="60" t="str">
        <f t="shared" si="45"/>
        <v xml:space="preserve"> </v>
      </c>
      <c r="R182" s="60" t="str">
        <f t="shared" si="45"/>
        <v xml:space="preserve"> </v>
      </c>
      <c r="S182" s="60" t="str">
        <f t="shared" si="45"/>
        <v xml:space="preserve"> </v>
      </c>
      <c r="T182" s="60" t="str">
        <f t="shared" si="45"/>
        <v xml:space="preserve"> </v>
      </c>
      <c r="U182" s="60" t="str">
        <f t="shared" si="45"/>
        <v xml:space="preserve"> </v>
      </c>
      <c r="V182" s="60" t="str">
        <f t="shared" si="45"/>
        <v xml:space="preserve"> </v>
      </c>
    </row>
    <row r="183" spans="3:22" x14ac:dyDescent="0.2">
      <c r="C183" s="88" t="s">
        <v>136</v>
      </c>
      <c r="D183" s="62">
        <f t="shared" ref="D183:V183" si="46">+IFERROR(IF(D144&gt;0,+((D144/D26)*100)," "),"")</f>
        <v>79.261773462324953</v>
      </c>
      <c r="E183" s="62">
        <f t="shared" si="46"/>
        <v>74.696247684602994</v>
      </c>
      <c r="F183" s="62">
        <f t="shared" si="46"/>
        <v>80.781668331580249</v>
      </c>
      <c r="G183" s="62">
        <f t="shared" si="46"/>
        <v>82.942638901310445</v>
      </c>
      <c r="H183" s="62">
        <f t="shared" si="46"/>
        <v>90.446127668448057</v>
      </c>
      <c r="I183" s="62">
        <f t="shared" si="46"/>
        <v>89.648121159727467</v>
      </c>
      <c r="J183" s="62">
        <f t="shared" si="46"/>
        <v>85.096600774436439</v>
      </c>
      <c r="K183" s="62">
        <f t="shared" si="46"/>
        <v>90.495571801614545</v>
      </c>
      <c r="L183" s="62">
        <f t="shared" si="46"/>
        <v>95.843534216210855</v>
      </c>
      <c r="M183" s="62">
        <f t="shared" si="46"/>
        <v>96.168085789333858</v>
      </c>
      <c r="N183" s="62">
        <f t="shared" si="46"/>
        <v>93.52512323788406</v>
      </c>
      <c r="O183" s="62">
        <f t="shared" si="46"/>
        <v>82.317135458923133</v>
      </c>
      <c r="P183" s="62">
        <f t="shared" si="46"/>
        <v>93.201520310898857</v>
      </c>
      <c r="Q183" s="62">
        <f t="shared" si="46"/>
        <v>93.719843193270975</v>
      </c>
      <c r="R183" s="62">
        <f t="shared" si="46"/>
        <v>94.537437152079008</v>
      </c>
      <c r="S183" s="62">
        <f t="shared" si="46"/>
        <v>91.035841271307049</v>
      </c>
      <c r="T183" s="62">
        <f t="shared" si="46"/>
        <v>97.080931658785403</v>
      </c>
      <c r="U183" s="62">
        <f t="shared" si="46"/>
        <v>96.464620461114706</v>
      </c>
      <c r="V183" s="62">
        <f t="shared" si="46"/>
        <v>95.701726555694933</v>
      </c>
    </row>
    <row r="184" spans="3:22" x14ac:dyDescent="0.2">
      <c r="C184" s="87" t="s">
        <v>137</v>
      </c>
      <c r="D184" s="60">
        <f t="shared" ref="D184:V184" si="47">+IFERROR(IF(D145&gt;0,+((D145/D27)*100)," "),"")</f>
        <v>73.186978733468578</v>
      </c>
      <c r="E184" s="60">
        <f t="shared" si="47"/>
        <v>63.955829525752165</v>
      </c>
      <c r="F184" s="60">
        <f t="shared" si="47"/>
        <v>75.228842510673559</v>
      </c>
      <c r="G184" s="60">
        <f t="shared" si="47"/>
        <v>60.261287276773579</v>
      </c>
      <c r="H184" s="60">
        <f t="shared" si="47"/>
        <v>47.202116582548456</v>
      </c>
      <c r="I184" s="60">
        <f t="shared" si="47"/>
        <v>38.869762256782217</v>
      </c>
      <c r="J184" s="60">
        <f t="shared" si="47"/>
        <v>64.313441216092428</v>
      </c>
      <c r="K184" s="60">
        <f t="shared" si="47"/>
        <v>91.608631201499193</v>
      </c>
      <c r="L184" s="60">
        <f t="shared" si="47"/>
        <v>73.058798291281477</v>
      </c>
      <c r="M184" s="60">
        <f t="shared" si="47"/>
        <v>76.261764663211167</v>
      </c>
      <c r="N184" s="60">
        <f t="shared" si="47"/>
        <v>52.817254326627804</v>
      </c>
      <c r="O184" s="60">
        <f t="shared" si="47"/>
        <v>63.48538005094192</v>
      </c>
      <c r="P184" s="60">
        <f t="shared" si="47"/>
        <v>73.975414556159421</v>
      </c>
      <c r="Q184" s="60">
        <f t="shared" si="47"/>
        <v>71.129211364207137</v>
      </c>
      <c r="R184" s="60">
        <f t="shared" si="47"/>
        <v>85.677860156892265</v>
      </c>
      <c r="S184" s="60">
        <f t="shared" si="47"/>
        <v>85.587321657772321</v>
      </c>
      <c r="T184" s="60">
        <f t="shared" si="47"/>
        <v>85.318418350969935</v>
      </c>
      <c r="U184" s="60">
        <f t="shared" si="47"/>
        <v>81.647925526116964</v>
      </c>
      <c r="V184" s="60">
        <f t="shared" si="47"/>
        <v>74.455259619314361</v>
      </c>
    </row>
    <row r="185" spans="3:22" x14ac:dyDescent="0.2">
      <c r="C185" s="88" t="s">
        <v>138</v>
      </c>
      <c r="D185" s="62">
        <f t="shared" ref="D185:V185" si="48">+IFERROR(IF(D146&gt;0,+((D146/D28)*100)," "),"")</f>
        <v>89.593918020194636</v>
      </c>
      <c r="E185" s="62">
        <f t="shared" si="48"/>
        <v>72.689915505325459</v>
      </c>
      <c r="F185" s="62">
        <f t="shared" si="48"/>
        <v>70.459993592888239</v>
      </c>
      <c r="G185" s="62">
        <f t="shared" si="48"/>
        <v>12.820162318341405</v>
      </c>
      <c r="H185" s="62">
        <f t="shared" si="48"/>
        <v>26.390167577592592</v>
      </c>
      <c r="I185" s="62">
        <f t="shared" si="48"/>
        <v>13.80816551355599</v>
      </c>
      <c r="J185" s="62">
        <f t="shared" si="48"/>
        <v>4.7015998212564831</v>
      </c>
      <c r="K185" s="62">
        <f t="shared" si="48"/>
        <v>69.833284996258499</v>
      </c>
      <c r="L185" s="62">
        <f t="shared" si="48"/>
        <v>64.917633022226156</v>
      </c>
      <c r="M185" s="62">
        <f t="shared" si="48"/>
        <v>36.700996989465473</v>
      </c>
      <c r="N185" s="62">
        <f t="shared" si="48"/>
        <v>26.130920474526185</v>
      </c>
      <c r="O185" s="62">
        <f t="shared" si="48"/>
        <v>39.712280406219072</v>
      </c>
      <c r="P185" s="62">
        <f t="shared" si="48"/>
        <v>100</v>
      </c>
      <c r="Q185" s="62">
        <f t="shared" si="48"/>
        <v>100</v>
      </c>
      <c r="R185" s="62" t="str">
        <f t="shared" si="48"/>
        <v xml:space="preserve"> </v>
      </c>
      <c r="S185" s="62" t="str">
        <f t="shared" si="48"/>
        <v xml:space="preserve"> </v>
      </c>
      <c r="T185" s="62" t="str">
        <f t="shared" si="48"/>
        <v xml:space="preserve"> </v>
      </c>
      <c r="U185" s="62" t="str">
        <f t="shared" si="48"/>
        <v xml:space="preserve"> </v>
      </c>
      <c r="V185" s="62" t="str">
        <f t="shared" si="48"/>
        <v xml:space="preserve"> </v>
      </c>
    </row>
    <row r="186" spans="3:22" x14ac:dyDescent="0.2">
      <c r="C186" s="87" t="s">
        <v>139</v>
      </c>
      <c r="D186" s="60">
        <f t="shared" ref="D186:V186" si="49">+IFERROR(IF(D147&gt;0,+((D147/D29)*100)," "),"")</f>
        <v>65.728143508354037</v>
      </c>
      <c r="E186" s="60">
        <f t="shared" si="49"/>
        <v>96.966869108563998</v>
      </c>
      <c r="F186" s="60">
        <f t="shared" si="49"/>
        <v>87.698427244800854</v>
      </c>
      <c r="G186" s="60">
        <f t="shared" si="49"/>
        <v>84.474012104152834</v>
      </c>
      <c r="H186" s="60">
        <f t="shared" si="49"/>
        <v>36.703430464512373</v>
      </c>
      <c r="I186" s="60">
        <f t="shared" si="49"/>
        <v>84.036801427848644</v>
      </c>
      <c r="J186" s="60">
        <f t="shared" si="49"/>
        <v>86.195003438501189</v>
      </c>
      <c r="K186" s="60">
        <f t="shared" si="49"/>
        <v>65.543002886846594</v>
      </c>
      <c r="L186" s="60">
        <f t="shared" si="49"/>
        <v>88.281181177253501</v>
      </c>
      <c r="M186" s="60">
        <f t="shared" si="49"/>
        <v>77.033561501877017</v>
      </c>
      <c r="N186" s="60">
        <f t="shared" si="49"/>
        <v>69.113336937885848</v>
      </c>
      <c r="O186" s="60">
        <f t="shared" si="49"/>
        <v>57.448408071258037</v>
      </c>
      <c r="P186" s="60">
        <f t="shared" si="49"/>
        <v>74.973703793938981</v>
      </c>
      <c r="Q186" s="60">
        <f t="shared" si="49"/>
        <v>86.078548954919015</v>
      </c>
      <c r="R186" s="60">
        <f t="shared" si="49"/>
        <v>84.202477154667648</v>
      </c>
      <c r="S186" s="60">
        <f t="shared" si="49"/>
        <v>93.259642288003832</v>
      </c>
      <c r="T186" s="60">
        <f t="shared" si="49"/>
        <v>92.69953067418561</v>
      </c>
      <c r="U186" s="60">
        <f t="shared" si="49"/>
        <v>94.252237311166795</v>
      </c>
      <c r="V186" s="60">
        <f t="shared" si="49"/>
        <v>61.170261510256751</v>
      </c>
    </row>
    <row r="187" spans="3:22" x14ac:dyDescent="0.2">
      <c r="C187" s="88" t="s">
        <v>140</v>
      </c>
      <c r="D187" s="62">
        <f t="shared" ref="D187:V187" si="50">+IFERROR(IF(D148&gt;0,+((D148/D30)*100)," "),"")</f>
        <v>40.428586697768132</v>
      </c>
      <c r="E187" s="62">
        <f t="shared" si="50"/>
        <v>46.123433876521212</v>
      </c>
      <c r="F187" s="62">
        <f t="shared" si="50"/>
        <v>35.39180408195822</v>
      </c>
      <c r="G187" s="62">
        <f t="shared" si="50"/>
        <v>56.736977118554513</v>
      </c>
      <c r="H187" s="62">
        <f t="shared" si="50"/>
        <v>59.088101706979614</v>
      </c>
      <c r="I187" s="62">
        <f t="shared" si="50"/>
        <v>14.614352289741344</v>
      </c>
      <c r="J187" s="62">
        <f t="shared" si="50"/>
        <v>69.798758396553666</v>
      </c>
      <c r="K187" s="62">
        <f t="shared" si="50"/>
        <v>71.536901962557138</v>
      </c>
      <c r="L187" s="62">
        <f t="shared" si="50"/>
        <v>76.903649960808835</v>
      </c>
      <c r="M187" s="62">
        <f t="shared" si="50"/>
        <v>68.517597847479507</v>
      </c>
      <c r="N187" s="62">
        <f t="shared" si="50"/>
        <v>54.202546036806119</v>
      </c>
      <c r="O187" s="62">
        <f t="shared" si="50"/>
        <v>76.793593616380946</v>
      </c>
      <c r="P187" s="62">
        <f t="shared" si="50"/>
        <v>78.39144426770774</v>
      </c>
      <c r="Q187" s="62">
        <f t="shared" si="50"/>
        <v>88.773612341202195</v>
      </c>
      <c r="R187" s="62">
        <f t="shared" si="50"/>
        <v>89.208474131760639</v>
      </c>
      <c r="S187" s="62">
        <f t="shared" si="50"/>
        <v>78.249071405975073</v>
      </c>
      <c r="T187" s="62">
        <f t="shared" si="50"/>
        <v>89.186186362106227</v>
      </c>
      <c r="U187" s="62">
        <f t="shared" si="50"/>
        <v>79.914410513406438</v>
      </c>
      <c r="V187" s="62">
        <f t="shared" si="50"/>
        <v>82.05242096649215</v>
      </c>
    </row>
    <row r="188" spans="3:22" x14ac:dyDescent="0.2">
      <c r="C188" s="87" t="s">
        <v>141</v>
      </c>
      <c r="D188" s="60" t="str">
        <f t="shared" ref="D188:V188" si="51">+IFERROR(IF(D149&gt;0,+((D149/D31)*100)," "),"")</f>
        <v xml:space="preserve"> </v>
      </c>
      <c r="E188" s="60" t="str">
        <f t="shared" si="51"/>
        <v xml:space="preserve"> </v>
      </c>
      <c r="F188" s="60" t="str">
        <f t="shared" si="51"/>
        <v xml:space="preserve"> </v>
      </c>
      <c r="G188" s="60" t="str">
        <f t="shared" si="51"/>
        <v xml:space="preserve"> </v>
      </c>
      <c r="H188" s="60" t="str">
        <f t="shared" si="51"/>
        <v xml:space="preserve"> </v>
      </c>
      <c r="I188" s="60" t="str">
        <f t="shared" si="51"/>
        <v xml:space="preserve"> </v>
      </c>
      <c r="J188" s="60" t="str">
        <f t="shared" si="51"/>
        <v xml:space="preserve"> </v>
      </c>
      <c r="K188" s="60">
        <f t="shared" si="51"/>
        <v>47.045446169808059</v>
      </c>
      <c r="L188" s="60">
        <f t="shared" si="51"/>
        <v>14.101860079779078</v>
      </c>
      <c r="M188" s="60">
        <f t="shared" si="51"/>
        <v>5.1074282857142856</v>
      </c>
      <c r="N188" s="60">
        <f t="shared" si="51"/>
        <v>2.6382907070279429</v>
      </c>
      <c r="O188" s="60">
        <f t="shared" si="51"/>
        <v>0.13859227530660809</v>
      </c>
      <c r="P188" s="60">
        <f t="shared" si="51"/>
        <v>3.209278190670338</v>
      </c>
      <c r="Q188" s="60">
        <f t="shared" si="51"/>
        <v>3.3068222741935487</v>
      </c>
      <c r="R188" s="60">
        <f t="shared" si="51"/>
        <v>25.402333834979657</v>
      </c>
      <c r="S188" s="60" t="str">
        <f t="shared" si="51"/>
        <v xml:space="preserve"> </v>
      </c>
      <c r="T188" s="60">
        <f t="shared" si="51"/>
        <v>2.5810692614833215</v>
      </c>
      <c r="U188" s="60" t="str">
        <f t="shared" si="51"/>
        <v xml:space="preserve"> </v>
      </c>
      <c r="V188" s="60" t="str">
        <f t="shared" si="51"/>
        <v xml:space="preserve"> </v>
      </c>
    </row>
    <row r="189" spans="3:22" x14ac:dyDescent="0.2">
      <c r="C189" s="88" t="s">
        <v>142</v>
      </c>
      <c r="D189" s="62">
        <f t="shared" ref="D189:V189" si="52">+IFERROR(IF(D150&gt;0,+((D150/D32)*100)," "),"")</f>
        <v>71.368197802656525</v>
      </c>
      <c r="E189" s="62">
        <f t="shared" si="52"/>
        <v>73.046173134158408</v>
      </c>
      <c r="F189" s="62">
        <f t="shared" si="52"/>
        <v>49.306141783089039</v>
      </c>
      <c r="G189" s="62">
        <f t="shared" si="52"/>
        <v>46.250121001293167</v>
      </c>
      <c r="H189" s="62">
        <f t="shared" si="52"/>
        <v>37.860063974688799</v>
      </c>
      <c r="I189" s="62">
        <f t="shared" si="52"/>
        <v>45.553970997021281</v>
      </c>
      <c r="J189" s="62">
        <f t="shared" si="52"/>
        <v>66.822208741306895</v>
      </c>
      <c r="K189" s="62">
        <f t="shared" si="52"/>
        <v>89.317509039137619</v>
      </c>
      <c r="L189" s="62">
        <f t="shared" si="52"/>
        <v>90.07319177301504</v>
      </c>
      <c r="M189" s="62">
        <f t="shared" si="52"/>
        <v>95.172384896376613</v>
      </c>
      <c r="N189" s="62">
        <f t="shared" si="52"/>
        <v>86.323423625581313</v>
      </c>
      <c r="O189" s="62">
        <f t="shared" si="52"/>
        <v>78.426669618843619</v>
      </c>
      <c r="P189" s="62">
        <f t="shared" si="52"/>
        <v>89.92656597569372</v>
      </c>
      <c r="Q189" s="62">
        <f t="shared" si="52"/>
        <v>88.03708405424463</v>
      </c>
      <c r="R189" s="62">
        <f t="shared" si="52"/>
        <v>82.621450465208127</v>
      </c>
      <c r="S189" s="62">
        <f t="shared" si="52"/>
        <v>90.207112713925611</v>
      </c>
      <c r="T189" s="62">
        <f t="shared" si="52"/>
        <v>70.191143362149276</v>
      </c>
      <c r="U189" s="62">
        <f t="shared" si="52"/>
        <v>86.33722059344737</v>
      </c>
      <c r="V189" s="62">
        <f t="shared" si="52"/>
        <v>90.139635825421053</v>
      </c>
    </row>
    <row r="190" spans="3:22" x14ac:dyDescent="0.2">
      <c r="C190" s="87" t="s">
        <v>143</v>
      </c>
      <c r="D190" s="60">
        <f t="shared" ref="D190:V190" si="53">+IFERROR(IF(D151&gt;0,+((D151/D33)*100)," "),"")</f>
        <v>100</v>
      </c>
      <c r="E190" s="60" t="str">
        <f t="shared" si="53"/>
        <v xml:space="preserve"> </v>
      </c>
      <c r="F190" s="60" t="str">
        <f t="shared" si="53"/>
        <v xml:space="preserve"> </v>
      </c>
      <c r="G190" s="60" t="str">
        <f t="shared" si="53"/>
        <v xml:space="preserve"> </v>
      </c>
      <c r="H190" s="60">
        <f t="shared" si="53"/>
        <v>45.800545401914924</v>
      </c>
      <c r="I190" s="60">
        <f t="shared" si="53"/>
        <v>47.748295316648296</v>
      </c>
      <c r="J190" s="60" t="str">
        <f t="shared" si="53"/>
        <v xml:space="preserve"> </v>
      </c>
      <c r="K190" s="60" t="str">
        <f t="shared" si="53"/>
        <v xml:space="preserve"> </v>
      </c>
      <c r="L190" s="60" t="str">
        <f t="shared" si="53"/>
        <v xml:space="preserve"> </v>
      </c>
      <c r="M190" s="60" t="str">
        <f t="shared" si="53"/>
        <v xml:space="preserve"> </v>
      </c>
      <c r="N190" s="60" t="str">
        <f t="shared" si="53"/>
        <v xml:space="preserve"> </v>
      </c>
      <c r="O190" s="60" t="str">
        <f t="shared" si="53"/>
        <v xml:space="preserve"> </v>
      </c>
      <c r="P190" s="60">
        <f t="shared" si="53"/>
        <v>0.24506109648653229</v>
      </c>
      <c r="Q190" s="60">
        <f t="shared" si="53"/>
        <v>51.38679410756307</v>
      </c>
      <c r="R190" s="60">
        <f t="shared" si="53"/>
        <v>86.584385409221269</v>
      </c>
      <c r="S190" s="60">
        <f t="shared" si="53"/>
        <v>6.6876714415231184</v>
      </c>
      <c r="T190" s="60">
        <f t="shared" si="53"/>
        <v>98.348445300374507</v>
      </c>
      <c r="U190" s="60">
        <f t="shared" si="53"/>
        <v>93.554999847112668</v>
      </c>
      <c r="V190" s="60">
        <f t="shared" si="53"/>
        <v>36.25714181415178</v>
      </c>
    </row>
    <row r="191" spans="3:22" x14ac:dyDescent="0.2">
      <c r="C191" s="88" t="s">
        <v>144</v>
      </c>
      <c r="D191" s="62" t="str">
        <f t="shared" ref="D191:V191" si="54">+IFERROR(IF(D152&gt;0,+((D152/D34)*100)," "),"")</f>
        <v xml:space="preserve"> </v>
      </c>
      <c r="E191" s="62" t="str">
        <f t="shared" si="54"/>
        <v xml:space="preserve"> </v>
      </c>
      <c r="F191" s="62" t="str">
        <f t="shared" si="54"/>
        <v xml:space="preserve"> </v>
      </c>
      <c r="G191" s="62" t="str">
        <f t="shared" si="54"/>
        <v xml:space="preserve"> </v>
      </c>
      <c r="H191" s="62" t="str">
        <f t="shared" si="54"/>
        <v xml:space="preserve"> </v>
      </c>
      <c r="I191" s="62" t="str">
        <f t="shared" si="54"/>
        <v xml:space="preserve"> </v>
      </c>
      <c r="J191" s="62" t="str">
        <f t="shared" si="54"/>
        <v xml:space="preserve"> </v>
      </c>
      <c r="K191" s="62" t="str">
        <f t="shared" si="54"/>
        <v xml:space="preserve"> </v>
      </c>
      <c r="L191" s="62" t="str">
        <f t="shared" si="54"/>
        <v xml:space="preserve"> </v>
      </c>
      <c r="M191" s="62" t="str">
        <f t="shared" si="54"/>
        <v xml:space="preserve"> </v>
      </c>
      <c r="N191" s="62" t="str">
        <f t="shared" si="54"/>
        <v xml:space="preserve"> </v>
      </c>
      <c r="O191" s="62" t="str">
        <f t="shared" si="54"/>
        <v xml:space="preserve"> </v>
      </c>
      <c r="P191" s="62" t="str">
        <f t="shared" si="54"/>
        <v xml:space="preserve"> </v>
      </c>
      <c r="Q191" s="62" t="str">
        <f t="shared" si="54"/>
        <v xml:space="preserve"> </v>
      </c>
      <c r="R191" s="62" t="str">
        <f t="shared" si="54"/>
        <v xml:space="preserve"> </v>
      </c>
      <c r="S191" s="62" t="str">
        <f t="shared" si="54"/>
        <v xml:space="preserve"> </v>
      </c>
      <c r="T191" s="62" t="str">
        <f t="shared" si="54"/>
        <v xml:space="preserve"> </v>
      </c>
      <c r="U191" s="62" t="str">
        <f t="shared" si="54"/>
        <v xml:space="preserve"> </v>
      </c>
      <c r="V191" s="62" t="str">
        <f t="shared" si="54"/>
        <v xml:space="preserve"> </v>
      </c>
    </row>
    <row r="192" spans="3:22" x14ac:dyDescent="0.2">
      <c r="C192" s="87" t="s">
        <v>145</v>
      </c>
      <c r="D192" s="60">
        <f t="shared" ref="D192:V192" si="55">+IFERROR(IF(D153&gt;0,+((D153/D35)*100)," "),"")</f>
        <v>33.463324754472964</v>
      </c>
      <c r="E192" s="60">
        <f t="shared" si="55"/>
        <v>3.5930335399999991</v>
      </c>
      <c r="F192" s="60">
        <f t="shared" si="55"/>
        <v>1.5325917</v>
      </c>
      <c r="G192" s="60">
        <f t="shared" si="55"/>
        <v>42.309106472843773</v>
      </c>
      <c r="H192" s="60">
        <f t="shared" si="55"/>
        <v>3.2585170029624613</v>
      </c>
      <c r="I192" s="60">
        <f t="shared" si="55"/>
        <v>41.521304819433617</v>
      </c>
      <c r="J192" s="60">
        <f t="shared" si="55"/>
        <v>50.586975999520924</v>
      </c>
      <c r="K192" s="60">
        <f t="shared" si="55"/>
        <v>51.163819824742284</v>
      </c>
      <c r="L192" s="60">
        <f t="shared" si="55"/>
        <v>69.838007935788141</v>
      </c>
      <c r="M192" s="60">
        <f t="shared" si="55"/>
        <v>82.007864268162052</v>
      </c>
      <c r="N192" s="60">
        <f t="shared" si="55"/>
        <v>20.080903322390022</v>
      </c>
      <c r="O192" s="60">
        <f t="shared" si="55"/>
        <v>15.381496151007665</v>
      </c>
      <c r="P192" s="60">
        <f t="shared" si="55"/>
        <v>39.910407117169996</v>
      </c>
      <c r="Q192" s="60">
        <f t="shared" si="55"/>
        <v>40.424312792200631</v>
      </c>
      <c r="R192" s="60">
        <f t="shared" si="55"/>
        <v>70.308530686475336</v>
      </c>
      <c r="S192" s="60">
        <f t="shared" si="55"/>
        <v>66.378991195790789</v>
      </c>
      <c r="T192" s="60">
        <f t="shared" si="55"/>
        <v>85.488584474323076</v>
      </c>
      <c r="U192" s="60">
        <f t="shared" si="55"/>
        <v>91.320588856265985</v>
      </c>
      <c r="V192" s="60">
        <f t="shared" si="55"/>
        <v>70.681458744628785</v>
      </c>
    </row>
    <row r="193" spans="3:22" x14ac:dyDescent="0.2">
      <c r="C193" s="88" t="s">
        <v>146</v>
      </c>
      <c r="D193" s="62">
        <f t="shared" ref="D193:V193" si="56">+IFERROR(IF(D154&gt;0,+((D154/D36)*100)," "),"")</f>
        <v>64.431812817599791</v>
      </c>
      <c r="E193" s="62">
        <f t="shared" si="56"/>
        <v>54.979904600132279</v>
      </c>
      <c r="F193" s="62">
        <f t="shared" si="56"/>
        <v>16.711296991472754</v>
      </c>
      <c r="G193" s="62">
        <f t="shared" si="56"/>
        <v>99.468425807063028</v>
      </c>
      <c r="H193" s="62">
        <f t="shared" si="56"/>
        <v>63.059898217378063</v>
      </c>
      <c r="I193" s="62">
        <f t="shared" si="56"/>
        <v>74.546475168331298</v>
      </c>
      <c r="J193" s="62">
        <f t="shared" si="56"/>
        <v>48.922332785849314</v>
      </c>
      <c r="K193" s="62">
        <f t="shared" si="56"/>
        <v>71.16402451607064</v>
      </c>
      <c r="L193" s="62">
        <f t="shared" si="56"/>
        <v>85.812918232282243</v>
      </c>
      <c r="M193" s="62">
        <f t="shared" si="56"/>
        <v>61.7532688323844</v>
      </c>
      <c r="N193" s="62">
        <f t="shared" si="56"/>
        <v>95.07842198299474</v>
      </c>
      <c r="O193" s="62">
        <f t="shared" si="56"/>
        <v>93.018733991522311</v>
      </c>
      <c r="P193" s="62">
        <f t="shared" si="56"/>
        <v>97.257033908139988</v>
      </c>
      <c r="Q193" s="62">
        <f t="shared" si="56"/>
        <v>90.487624478988266</v>
      </c>
      <c r="R193" s="62">
        <f t="shared" si="56"/>
        <v>93.884902591547288</v>
      </c>
      <c r="S193" s="62">
        <f t="shared" si="56"/>
        <v>98.395522902834955</v>
      </c>
      <c r="T193" s="62">
        <f t="shared" si="56"/>
        <v>96.576793387719434</v>
      </c>
      <c r="U193" s="62">
        <f t="shared" si="56"/>
        <v>93.38458782207357</v>
      </c>
      <c r="V193" s="62">
        <f t="shared" si="56"/>
        <v>98.092795451961635</v>
      </c>
    </row>
    <row r="194" spans="3:22" x14ac:dyDescent="0.2">
      <c r="C194" s="90" t="s">
        <v>147</v>
      </c>
      <c r="D194" s="61">
        <f t="shared" ref="D194:V194" si="57">+IFERROR(IF(D155&gt;0,+((D155/D37)*100)," "),"")</f>
        <v>71.379631700222205</v>
      </c>
      <c r="E194" s="61">
        <f t="shared" si="57"/>
        <v>80.93923059806059</v>
      </c>
      <c r="F194" s="61">
        <f t="shared" si="57"/>
        <v>76.294006112660227</v>
      </c>
      <c r="G194" s="61">
        <f t="shared" si="57"/>
        <v>69.704056340220887</v>
      </c>
      <c r="H194" s="61">
        <f t="shared" si="57"/>
        <v>72.339285540024989</v>
      </c>
      <c r="I194" s="61">
        <f t="shared" si="57"/>
        <v>74.258249905705938</v>
      </c>
      <c r="J194" s="61">
        <f t="shared" si="57"/>
        <v>76.192392370903633</v>
      </c>
      <c r="K194" s="61">
        <f t="shared" si="57"/>
        <v>87.502141827390034</v>
      </c>
      <c r="L194" s="61">
        <f t="shared" si="57"/>
        <v>92.58347423385311</v>
      </c>
      <c r="M194" s="61">
        <f t="shared" si="57"/>
        <v>88.972093293320881</v>
      </c>
      <c r="N194" s="61">
        <f t="shared" si="57"/>
        <v>88.466455396724655</v>
      </c>
      <c r="O194" s="61">
        <f t="shared" si="57"/>
        <v>78.728304133658185</v>
      </c>
      <c r="P194" s="61">
        <f t="shared" si="57"/>
        <v>86.566734654814255</v>
      </c>
      <c r="Q194" s="61">
        <f t="shared" si="57"/>
        <v>93.292042219354983</v>
      </c>
      <c r="R194" s="61">
        <f t="shared" si="57"/>
        <v>90.693235315935823</v>
      </c>
      <c r="S194" s="61">
        <f t="shared" si="57"/>
        <v>91.9482689358165</v>
      </c>
      <c r="T194" s="61">
        <f t="shared" si="57"/>
        <v>90.634476196175598</v>
      </c>
      <c r="U194" s="61">
        <f t="shared" si="57"/>
        <v>91.025891735368575</v>
      </c>
      <c r="V194" s="61">
        <f t="shared" si="57"/>
        <v>86.857980171469819</v>
      </c>
    </row>
    <row r="195" spans="3:22" ht="22.5" customHeight="1" x14ac:dyDescent="0.2">
      <c r="C195" s="89" t="s">
        <v>148</v>
      </c>
      <c r="D195" s="63" t="str">
        <f t="shared" ref="D195:V195" si="58">+IFERROR(IF(D156&gt;0,+((D156/D38)*100)," "),"")</f>
        <v xml:space="preserve"> </v>
      </c>
      <c r="E195" s="63" t="str">
        <f t="shared" si="58"/>
        <v xml:space="preserve"> </v>
      </c>
      <c r="F195" s="63" t="str">
        <f t="shared" si="58"/>
        <v xml:space="preserve"> </v>
      </c>
      <c r="G195" s="63" t="str">
        <f t="shared" si="58"/>
        <v xml:space="preserve"> </v>
      </c>
      <c r="H195" s="63" t="str">
        <f t="shared" si="58"/>
        <v xml:space="preserve"> </v>
      </c>
      <c r="I195" s="63" t="str">
        <f t="shared" si="58"/>
        <v xml:space="preserve"> </v>
      </c>
      <c r="J195" s="63" t="str">
        <f t="shared" si="58"/>
        <v xml:space="preserve"> </v>
      </c>
      <c r="K195" s="63" t="str">
        <f t="shared" si="58"/>
        <v xml:space="preserve"> </v>
      </c>
      <c r="L195" s="63" t="str">
        <f t="shared" si="58"/>
        <v xml:space="preserve"> </v>
      </c>
      <c r="M195" s="63" t="str">
        <f t="shared" si="58"/>
        <v xml:space="preserve"> </v>
      </c>
      <c r="N195" s="63" t="str">
        <f t="shared" si="58"/>
        <v xml:space="preserve"> </v>
      </c>
      <c r="O195" s="63" t="str">
        <f t="shared" si="58"/>
        <v xml:space="preserve"> </v>
      </c>
      <c r="P195" s="63" t="str">
        <f t="shared" si="58"/>
        <v xml:space="preserve"> </v>
      </c>
      <c r="Q195" s="63" t="str">
        <f t="shared" si="58"/>
        <v xml:space="preserve"> </v>
      </c>
      <c r="R195" s="63" t="str">
        <f t="shared" si="58"/>
        <v xml:space="preserve"> </v>
      </c>
      <c r="S195" s="63" t="str">
        <f t="shared" si="58"/>
        <v xml:space="preserve"> </v>
      </c>
      <c r="T195" s="63" t="str">
        <f t="shared" si="58"/>
        <v xml:space="preserve"> </v>
      </c>
      <c r="U195" s="63" t="str">
        <f t="shared" si="58"/>
        <v xml:space="preserve"> </v>
      </c>
      <c r="V195" s="63" t="str">
        <f t="shared" si="58"/>
        <v xml:space="preserve"> </v>
      </c>
    </row>
    <row r="196" spans="3:22" x14ac:dyDescent="0.2">
      <c r="C196" s="87" t="s">
        <v>149</v>
      </c>
      <c r="D196" s="60">
        <f t="shared" ref="D196:V196" si="59">+IFERROR(IF(D157&gt;0,+((D157/D39)*100)," "),"")</f>
        <v>94.035645296299847</v>
      </c>
      <c r="E196" s="60">
        <f t="shared" si="59"/>
        <v>63.748293474509275</v>
      </c>
      <c r="F196" s="60">
        <f t="shared" si="59"/>
        <v>27.591119484419472</v>
      </c>
      <c r="G196" s="60">
        <f t="shared" si="59"/>
        <v>11.148998672747437</v>
      </c>
      <c r="H196" s="60">
        <f t="shared" si="59"/>
        <v>95.313411779167993</v>
      </c>
      <c r="I196" s="60">
        <f t="shared" si="59"/>
        <v>37.524462843742853</v>
      </c>
      <c r="J196" s="60">
        <f t="shared" si="59"/>
        <v>88.667457881810947</v>
      </c>
      <c r="K196" s="60">
        <f t="shared" si="59"/>
        <v>98.821837417844392</v>
      </c>
      <c r="L196" s="60">
        <f t="shared" si="59"/>
        <v>94.939771336811091</v>
      </c>
      <c r="M196" s="60">
        <f t="shared" si="59"/>
        <v>84.235572891708344</v>
      </c>
      <c r="N196" s="60">
        <f t="shared" si="59"/>
        <v>92.108211384184813</v>
      </c>
      <c r="O196" s="60">
        <f t="shared" si="59"/>
        <v>95.028144729072622</v>
      </c>
      <c r="P196" s="60">
        <f t="shared" si="59"/>
        <v>98.098202625830794</v>
      </c>
      <c r="Q196" s="60">
        <f t="shared" si="59"/>
        <v>93.873612796596845</v>
      </c>
      <c r="R196" s="60">
        <f t="shared" si="59"/>
        <v>96.750251126038677</v>
      </c>
      <c r="S196" s="60">
        <f t="shared" si="59"/>
        <v>91.412065328201678</v>
      </c>
      <c r="T196" s="60">
        <f t="shared" si="59"/>
        <v>96.818303755881843</v>
      </c>
      <c r="U196" s="60">
        <f t="shared" si="59"/>
        <v>89.559397619937826</v>
      </c>
      <c r="V196" s="60">
        <f t="shared" si="59"/>
        <v>91.485463348344283</v>
      </c>
    </row>
    <row r="197" spans="3:22" x14ac:dyDescent="0.2">
      <c r="C197" s="88" t="s">
        <v>150</v>
      </c>
      <c r="D197" s="62">
        <f t="shared" ref="D197:V197" si="60">+IFERROR(IF(D158&gt;0,+((D158/D40)*100)," "),"")</f>
        <v>78.189255899913107</v>
      </c>
      <c r="E197" s="62">
        <f t="shared" si="60"/>
        <v>79.688865922987446</v>
      </c>
      <c r="F197" s="62">
        <f t="shared" si="60"/>
        <v>45.634700446928221</v>
      </c>
      <c r="G197" s="62">
        <f t="shared" si="60"/>
        <v>63.115185400367302</v>
      </c>
      <c r="H197" s="62">
        <f t="shared" si="60"/>
        <v>55.977674553723013</v>
      </c>
      <c r="I197" s="62">
        <f t="shared" si="60"/>
        <v>64.814311372810607</v>
      </c>
      <c r="J197" s="62">
        <f t="shared" si="60"/>
        <v>61.710932544442564</v>
      </c>
      <c r="K197" s="62">
        <f t="shared" si="60"/>
        <v>83.252075816739747</v>
      </c>
      <c r="L197" s="62">
        <f t="shared" si="60"/>
        <v>80.276735331400545</v>
      </c>
      <c r="M197" s="62">
        <f t="shared" si="60"/>
        <v>65.393158019532677</v>
      </c>
      <c r="N197" s="62">
        <f t="shared" si="60"/>
        <v>51.961307537398696</v>
      </c>
      <c r="O197" s="62">
        <f t="shared" si="60"/>
        <v>56.989820779689893</v>
      </c>
      <c r="P197" s="62">
        <f t="shared" si="60"/>
        <v>67.573164560621592</v>
      </c>
      <c r="Q197" s="62">
        <f t="shared" si="60"/>
        <v>83.134811201648915</v>
      </c>
      <c r="R197" s="62">
        <f t="shared" si="60"/>
        <v>77.819034136547387</v>
      </c>
      <c r="S197" s="62">
        <f t="shared" si="60"/>
        <v>83.37158521899849</v>
      </c>
      <c r="T197" s="62">
        <f t="shared" si="60"/>
        <v>82.142929556920734</v>
      </c>
      <c r="U197" s="62">
        <f t="shared" si="60"/>
        <v>66.379357206781748</v>
      </c>
      <c r="V197" s="62">
        <f t="shared" si="60"/>
        <v>72.662413326698072</v>
      </c>
    </row>
    <row r="198" spans="3:22" x14ac:dyDescent="0.2">
      <c r="C198" s="87" t="s">
        <v>151</v>
      </c>
      <c r="D198" s="60">
        <f t="shared" ref="D198:V198" si="61">+IFERROR(IF(D159&gt;0,+((D159/D41)*100)," "),"")</f>
        <v>25.47212579</v>
      </c>
      <c r="E198" s="60">
        <f t="shared" si="61"/>
        <v>1.8986253470201739</v>
      </c>
      <c r="F198" s="60">
        <f t="shared" si="61"/>
        <v>5.2445158873099809</v>
      </c>
      <c r="G198" s="60" t="str">
        <f t="shared" si="61"/>
        <v xml:space="preserve"> </v>
      </c>
      <c r="H198" s="60" t="str">
        <f t="shared" si="61"/>
        <v xml:space="preserve"> </v>
      </c>
      <c r="I198" s="60" t="str">
        <f t="shared" si="61"/>
        <v xml:space="preserve"> </v>
      </c>
      <c r="J198" s="60" t="str">
        <f t="shared" si="61"/>
        <v xml:space="preserve"> </v>
      </c>
      <c r="K198" s="60" t="str">
        <f t="shared" si="61"/>
        <v xml:space="preserve"> </v>
      </c>
      <c r="L198" s="60" t="str">
        <f t="shared" si="61"/>
        <v xml:space="preserve"> </v>
      </c>
      <c r="M198" s="60" t="str">
        <f t="shared" si="61"/>
        <v xml:space="preserve"> </v>
      </c>
      <c r="N198" s="60" t="str">
        <f t="shared" si="61"/>
        <v xml:space="preserve"> </v>
      </c>
      <c r="O198" s="60" t="str">
        <f t="shared" si="61"/>
        <v xml:space="preserve"> </v>
      </c>
      <c r="P198" s="60" t="str">
        <f t="shared" si="61"/>
        <v xml:space="preserve"> </v>
      </c>
      <c r="Q198" s="60" t="str">
        <f t="shared" si="61"/>
        <v xml:space="preserve"> </v>
      </c>
      <c r="R198" s="60" t="str">
        <f t="shared" si="61"/>
        <v xml:space="preserve"> </v>
      </c>
      <c r="S198" s="60" t="str">
        <f t="shared" si="61"/>
        <v xml:space="preserve"> </v>
      </c>
      <c r="T198" s="60" t="str">
        <f t="shared" si="61"/>
        <v xml:space="preserve"> </v>
      </c>
      <c r="U198" s="60" t="str">
        <f t="shared" si="61"/>
        <v xml:space="preserve"> </v>
      </c>
      <c r="V198" s="60" t="str">
        <f t="shared" si="61"/>
        <v xml:space="preserve"> </v>
      </c>
    </row>
    <row r="199" spans="3:22" x14ac:dyDescent="0.2">
      <c r="C199" s="91" t="s">
        <v>202</v>
      </c>
      <c r="D199" s="64">
        <f t="shared" ref="D199:V199" si="62">+IFERROR(IF(D160&gt;0,+((D160/D42)*100)," "),"")</f>
        <v>76.941244679513602</v>
      </c>
      <c r="E199" s="64">
        <f t="shared" si="62"/>
        <v>75.655182424557239</v>
      </c>
      <c r="F199" s="64">
        <f t="shared" si="62"/>
        <v>66.222029296551327</v>
      </c>
      <c r="G199" s="64">
        <f t="shared" si="62"/>
        <v>71.807405936950005</v>
      </c>
      <c r="H199" s="64">
        <f t="shared" si="62"/>
        <v>70.898616279741972</v>
      </c>
      <c r="I199" s="64">
        <f t="shared" si="62"/>
        <v>68.500653361625325</v>
      </c>
      <c r="J199" s="64">
        <f t="shared" si="62"/>
        <v>73.141182742465134</v>
      </c>
      <c r="K199" s="64">
        <f t="shared" si="62"/>
        <v>86.50191983891979</v>
      </c>
      <c r="L199" s="64">
        <f t="shared" si="62"/>
        <v>90.838411021220693</v>
      </c>
      <c r="M199" s="64">
        <f t="shared" si="62"/>
        <v>86.823877021311631</v>
      </c>
      <c r="N199" s="64">
        <f t="shared" si="62"/>
        <v>82.141026438429748</v>
      </c>
      <c r="O199" s="64">
        <f t="shared" si="62"/>
        <v>77.740749665578917</v>
      </c>
      <c r="P199" s="64">
        <f t="shared" si="62"/>
        <v>85.854104005854282</v>
      </c>
      <c r="Q199" s="64">
        <f t="shared" si="62"/>
        <v>91.014545671374492</v>
      </c>
      <c r="R199" s="64">
        <f t="shared" si="62"/>
        <v>89.496320060690323</v>
      </c>
      <c r="S199" s="64">
        <f t="shared" si="62"/>
        <v>88.699059258271603</v>
      </c>
      <c r="T199" s="64">
        <f t="shared" si="62"/>
        <v>91.90843113327935</v>
      </c>
      <c r="U199" s="64">
        <f t="shared" si="62"/>
        <v>87.312045840163123</v>
      </c>
      <c r="V199" s="64">
        <f t="shared" si="62"/>
        <v>86.611330576999606</v>
      </c>
    </row>
    <row r="200" spans="3:22" x14ac:dyDescent="0.2">
      <c r="C200" s="1" t="s">
        <v>52</v>
      </c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</row>
    <row r="204" spans="3:22" ht="18" customHeight="1" x14ac:dyDescent="0.2">
      <c r="C204" s="9"/>
      <c r="D204" s="160" t="s">
        <v>223</v>
      </c>
      <c r="E204" s="158"/>
      <c r="F204" s="158"/>
      <c r="G204" s="158"/>
      <c r="H204" s="158"/>
      <c r="I204" s="158"/>
      <c r="J204" s="158"/>
      <c r="K204" s="158"/>
      <c r="L204" s="158"/>
      <c r="M204" s="158"/>
      <c r="N204" s="158"/>
      <c r="O204" s="158"/>
      <c r="P204" s="158"/>
      <c r="Q204" s="158"/>
      <c r="R204" s="158"/>
      <c r="S204" s="158"/>
      <c r="T204" s="158"/>
      <c r="U204" s="158"/>
      <c r="V204" s="158"/>
    </row>
    <row r="205" spans="3:22" ht="15.75" customHeight="1" x14ac:dyDescent="0.2">
      <c r="C205" s="150"/>
      <c r="D205" s="150"/>
      <c r="E205" s="150"/>
      <c r="F205" s="150"/>
      <c r="G205" s="150"/>
      <c r="H205" s="150"/>
      <c r="I205" s="150"/>
      <c r="J205" s="150"/>
      <c r="K205" s="150"/>
      <c r="L205" s="150"/>
      <c r="M205" s="150"/>
      <c r="N205" s="150"/>
      <c r="O205" s="150"/>
      <c r="P205" s="150"/>
      <c r="Q205" s="150"/>
      <c r="R205" s="150"/>
      <c r="S205" s="150"/>
      <c r="T205" s="150"/>
      <c r="U205" s="150"/>
      <c r="V205" s="150"/>
    </row>
    <row r="206" spans="3:22" x14ac:dyDescent="0.2">
      <c r="C206" s="177" t="s">
        <v>120</v>
      </c>
      <c r="D206" s="153">
        <v>2000</v>
      </c>
      <c r="E206" s="153">
        <v>2001</v>
      </c>
      <c r="F206" s="153">
        <v>2002</v>
      </c>
      <c r="G206" s="153">
        <v>2003</v>
      </c>
      <c r="H206" s="153">
        <v>2004</v>
      </c>
      <c r="I206" s="153">
        <v>2005</v>
      </c>
      <c r="J206" s="153">
        <v>2006</v>
      </c>
      <c r="K206" s="153">
        <v>2007</v>
      </c>
      <c r="L206" s="153">
        <v>2008</v>
      </c>
      <c r="M206" s="153">
        <v>2009</v>
      </c>
      <c r="N206" s="153">
        <v>2010</v>
      </c>
      <c r="O206" s="153">
        <v>2011</v>
      </c>
      <c r="P206" s="153">
        <v>2012</v>
      </c>
      <c r="Q206" s="153">
        <v>2013</v>
      </c>
      <c r="R206" s="153">
        <v>2014</v>
      </c>
      <c r="S206" s="153">
        <v>2015</v>
      </c>
      <c r="T206" s="153">
        <v>2016</v>
      </c>
      <c r="U206" s="153">
        <v>2017</v>
      </c>
      <c r="V206" s="153">
        <v>2018</v>
      </c>
    </row>
    <row r="207" spans="3:22" ht="12" customHeight="1" thickBot="1" x14ac:dyDescent="0.25">
      <c r="C207" s="156"/>
      <c r="D207" s="154"/>
      <c r="E207" s="154"/>
      <c r="F207" s="154"/>
      <c r="G207" s="154"/>
      <c r="H207" s="154"/>
      <c r="I207" s="154"/>
      <c r="J207" s="154"/>
      <c r="K207" s="154"/>
      <c r="L207" s="154"/>
      <c r="M207" s="154"/>
      <c r="N207" s="154"/>
      <c r="O207" s="154"/>
      <c r="P207" s="154"/>
      <c r="Q207" s="154"/>
      <c r="R207" s="154"/>
      <c r="S207" s="154"/>
      <c r="T207" s="154"/>
      <c r="U207" s="154"/>
      <c r="V207" s="154"/>
    </row>
    <row r="208" spans="3:22" x14ac:dyDescent="0.2">
      <c r="C208" s="87" t="s">
        <v>123</v>
      </c>
      <c r="D208" s="56">
        <f>13.933540474*Deflactores!$A$5</f>
        <v>50.586542560771932</v>
      </c>
      <c r="E208" s="56">
        <f>16.109500499*Deflactores!$B$5</f>
        <v>54.331087359790224</v>
      </c>
      <c r="F208" s="56">
        <f>21.462998213*Deflactores!$C$5</f>
        <v>67.655958883000736</v>
      </c>
      <c r="G208" s="56">
        <f>16.652774087*Deflactores!$D$5</f>
        <v>49.293297773845353</v>
      </c>
      <c r="H208" s="56">
        <f>21.080632767*Deflactores!$E$5</f>
        <v>59.14865684481871</v>
      </c>
      <c r="I208" s="56">
        <f>32.245226046*Deflactores!$F$5</f>
        <v>86.285305359536721</v>
      </c>
      <c r="J208" s="56">
        <f>34.905415319*Deflactores!$G$5</f>
        <v>89.400426086251855</v>
      </c>
      <c r="K208" s="56">
        <f>48.891010055*Deflactores!$H$5</f>
        <v>118.47413844865632</v>
      </c>
      <c r="L208" s="56">
        <f>48.443013808*Deflactores!$I$5</f>
        <v>109.02180269603586</v>
      </c>
      <c r="M208" s="56">
        <f>41.738139258*Deflactores!$J$5</f>
        <v>92.088928245787926</v>
      </c>
      <c r="N208" s="56">
        <f>61.454904597*Deflactores!$K$5</f>
        <v>131.42328190316979</v>
      </c>
      <c r="O208" s="56">
        <f>26.8451530008199*Deflactores!$L$5</f>
        <v>55.346625076288596</v>
      </c>
      <c r="P208" s="56">
        <f>31.68363926143*Deflactores!$M$5</f>
        <v>63.766231313583148</v>
      </c>
      <c r="Q208" s="56">
        <f>35.0141638024099*Deflactores!$N$5</f>
        <v>69.128131805185333</v>
      </c>
      <c r="R208" s="56">
        <f>61.92687853225*Deflactores!$O$5</f>
        <v>117.94486733043777</v>
      </c>
      <c r="S208" s="56">
        <f>41.08041242311*Deflactores!$P$5</f>
        <v>73.279991257872524</v>
      </c>
      <c r="T208" s="56">
        <f>32.76838736365*Deflactores!$Q$5</f>
        <v>55.274561594331907</v>
      </c>
      <c r="U208" s="56">
        <f>39.13909682293*Deflactores!$R$5</f>
        <v>63.426687237485297</v>
      </c>
      <c r="V208" s="56">
        <f>49.15798525469*Deflactores!$S$5</f>
        <v>77.207551659598209</v>
      </c>
    </row>
    <row r="209" spans="3:22" x14ac:dyDescent="0.2">
      <c r="C209" s="88" t="s">
        <v>124</v>
      </c>
      <c r="D209" s="57">
        <f>2.496799572*Deflactores!$A$5</f>
        <v>9.064778478261097</v>
      </c>
      <c r="E209" s="57">
        <f>0.824271081*Deflactores!$B$5</f>
        <v>2.7799461636156675</v>
      </c>
      <c r="F209" s="57">
        <f>3.76695074439*Deflactores!$C$5</f>
        <v>11.874234072403446</v>
      </c>
      <c r="G209" s="57">
        <f>3.68292848904*Deflactores!$D$5</f>
        <v>10.901708612725928</v>
      </c>
      <c r="H209" s="57">
        <f>3.39710552096*Deflactores!$E$5</f>
        <v>9.5316981679718911</v>
      </c>
      <c r="I209" s="57">
        <f>6.66559877471999*Deflactores!$F$5</f>
        <v>17.836538806097604</v>
      </c>
      <c r="J209" s="57">
        <f>9.69118850493*Deflactores!$G$5</f>
        <v>24.821259787484156</v>
      </c>
      <c r="K209" s="57">
        <f>18.90471837582*Deflactores!$H$5</f>
        <v>45.81047148893385</v>
      </c>
      <c r="L209" s="57">
        <f>15.05275683358*Deflactores!$I$5</f>
        <v>33.876477876588105</v>
      </c>
      <c r="M209" s="57">
        <f>18.53989221336*Deflactores!$J$5</f>
        <v>40.905484386046453</v>
      </c>
      <c r="N209" s="57">
        <f>21.74077173705*Deflactores!$K$5</f>
        <v>46.493336724344516</v>
      </c>
      <c r="O209" s="57">
        <f>31.90379283769*Deflactores!$L$5</f>
        <v>65.776017765489357</v>
      </c>
      <c r="P209" s="57">
        <f>29.81352061471*Deflactores!$M$5</f>
        <v>60.002445934428117</v>
      </c>
      <c r="Q209" s="57">
        <f>32.09410360841*Deflactores!$N$5</f>
        <v>63.36308463430283</v>
      </c>
      <c r="R209" s="57">
        <f>36.70099471013*Deflactores!$O$5</f>
        <v>69.900083042730841</v>
      </c>
      <c r="S209" s="57">
        <f>32.11756787911*Deflactores!$P$5</f>
        <v>57.291905182560733</v>
      </c>
      <c r="T209" s="57">
        <f>47.85857855683*Deflactores!$Q$5</f>
        <v>80.729085593976293</v>
      </c>
      <c r="U209" s="57">
        <f>60.9440120528*Deflactores!$R$5</f>
        <v>98.762544495044523</v>
      </c>
      <c r="V209" s="57">
        <f>78.86412910934*Deflactores!$S$5</f>
        <v>123.86403329492983</v>
      </c>
    </row>
    <row r="210" spans="3:22" x14ac:dyDescent="0.2">
      <c r="C210" s="87" t="s">
        <v>125</v>
      </c>
      <c r="D210" s="56">
        <f>1.8305855906*Deflactores!$A$5</f>
        <v>6.6460492265278877</v>
      </c>
      <c r="E210" s="56">
        <f>1.26807817502999*Deflactores!$B$5</f>
        <v>4.276735092492439</v>
      </c>
      <c r="F210" s="56">
        <f>7.54485813121*Deflactores!$C$5</f>
        <v>23.78300582413684</v>
      </c>
      <c r="G210" s="56">
        <f>2.30098930175*Deflactores!$D$5</f>
        <v>6.8110784565401188</v>
      </c>
      <c r="H210" s="56">
        <f>1.68856175246*Deflactores!$E$5</f>
        <v>4.737816021058447</v>
      </c>
      <c r="I210" s="56">
        <f>10.44788090142*Deflactores!$F$5</f>
        <v>27.957583322661396</v>
      </c>
      <c r="J210" s="56">
        <f>0.19184414*Deflactores!$G$5</f>
        <v>0.49135492878134612</v>
      </c>
      <c r="K210" s="56">
        <f>17.662025475*Deflactores!$H$5</f>
        <v>42.799141377011686</v>
      </c>
      <c r="L210" s="56">
        <f>16.0035368279*Deflactores!$I$5</f>
        <v>36.01622395760041</v>
      </c>
      <c r="M210" s="56">
        <f>43.0481370228*Deflactores!$J$5</f>
        <v>94.979241333755482</v>
      </c>
      <c r="N210" s="56">
        <f>0*Deflactores!$K$5</f>
        <v>0</v>
      </c>
      <c r="O210" s="56">
        <f>0*Deflactores!$L$5</f>
        <v>0</v>
      </c>
      <c r="P210" s="56">
        <f>0*Deflactores!$M$5</f>
        <v>0</v>
      </c>
      <c r="Q210" s="56">
        <f>0*Deflactores!$N$5</f>
        <v>0</v>
      </c>
      <c r="R210" s="56">
        <f>0*Deflactores!$O$5</f>
        <v>0</v>
      </c>
      <c r="S210" s="56">
        <f>0*Deflactores!$P$5</f>
        <v>0</v>
      </c>
      <c r="T210" s="56">
        <f>0*Deflactores!$Q$5</f>
        <v>0</v>
      </c>
      <c r="U210" s="56">
        <f>0*Deflactores!$R$5</f>
        <v>0</v>
      </c>
      <c r="V210" s="56">
        <f>0*Deflactores!$S$5</f>
        <v>0</v>
      </c>
    </row>
    <row r="211" spans="3:22" x14ac:dyDescent="0.2">
      <c r="C211" s="88" t="s">
        <v>126</v>
      </c>
      <c r="D211" s="57">
        <f>0.7674214138*Deflactores!$A$5</f>
        <v>2.7861688193091951</v>
      </c>
      <c r="E211" s="57">
        <f>0*Deflactores!$B$5</f>
        <v>0</v>
      </c>
      <c r="F211" s="57">
        <f>0.095712293*Deflactores!$C$5</f>
        <v>0.30170560960507126</v>
      </c>
      <c r="G211" s="57">
        <f>0.042827433*Deflactores!$D$5</f>
        <v>0.12677199586863108</v>
      </c>
      <c r="H211" s="57">
        <f>0.842720955*Deflactores!$E$5</f>
        <v>2.3645311378538141</v>
      </c>
      <c r="I211" s="57">
        <f>1.145876573*Deflactores!$F$5</f>
        <v>3.0662619596648644</v>
      </c>
      <c r="J211" s="57">
        <f>1.83191089*Deflactores!$G$5</f>
        <v>4.6919256688774666</v>
      </c>
      <c r="K211" s="57">
        <f>2.333441387*Deflactores!$H$5</f>
        <v>5.6544640340681678</v>
      </c>
      <c r="L211" s="57">
        <f>7.2054728729*Deflactores!$I$5</f>
        <v>16.216035711453074</v>
      </c>
      <c r="M211" s="57">
        <f>11.2347632746*Deflactores!$J$5</f>
        <v>24.787815830930949</v>
      </c>
      <c r="N211" s="57">
        <f>11.55367942652*Deflactores!$K$5</f>
        <v>24.707913522080627</v>
      </c>
      <c r="O211" s="57">
        <f>12.40299080294*Deflactores!$L$5</f>
        <v>25.57123372602905</v>
      </c>
      <c r="P211" s="57">
        <f>6.31218564578*Deflactores!$M$5</f>
        <v>12.703852820123295</v>
      </c>
      <c r="Q211" s="57">
        <f>24.5333998409899*Deflactores!$N$5</f>
        <v>48.436058830584919</v>
      </c>
      <c r="R211" s="57">
        <f>40.2018460761799*Deflactores!$O$5</f>
        <v>76.567744318396549</v>
      </c>
      <c r="S211" s="57">
        <f>67.46258370365*Deflactores!$P$5</f>
        <v>120.34099105723401</v>
      </c>
      <c r="T211" s="57">
        <f>73.37510126429*Deflactores!$Q$5</f>
        <v>123.77101470737662</v>
      </c>
      <c r="U211" s="57">
        <f>98.0176382989999*Deflactores!$R$5</f>
        <v>158.8420426836569</v>
      </c>
      <c r="V211" s="57">
        <f>104.18441795772*Deflactores!$S$5</f>
        <v>163.63208927136421</v>
      </c>
    </row>
    <row r="212" spans="3:22" x14ac:dyDescent="0.2">
      <c r="C212" s="87" t="s">
        <v>127</v>
      </c>
      <c r="D212" s="56">
        <f>0*Deflactores!$A$5</f>
        <v>0</v>
      </c>
      <c r="E212" s="56">
        <f>0*Deflactores!$B$5</f>
        <v>0</v>
      </c>
      <c r="F212" s="56">
        <f>0*Deflactores!$C$5</f>
        <v>0</v>
      </c>
      <c r="G212" s="56">
        <f>0*Deflactores!$D$5</f>
        <v>0</v>
      </c>
      <c r="H212" s="56">
        <f>0*Deflactores!$E$5</f>
        <v>0</v>
      </c>
      <c r="I212" s="56">
        <f>0*Deflactores!$F$5</f>
        <v>0</v>
      </c>
      <c r="J212" s="56">
        <f>0*Deflactores!$G$5</f>
        <v>0</v>
      </c>
      <c r="K212" s="56">
        <f>0*Deflactores!$H$5</f>
        <v>0</v>
      </c>
      <c r="L212" s="56">
        <f>0*Deflactores!$I$5</f>
        <v>0</v>
      </c>
      <c r="M212" s="56">
        <f>0*Deflactores!$J$5</f>
        <v>0</v>
      </c>
      <c r="N212" s="56">
        <f>0*Deflactores!$K$5</f>
        <v>0</v>
      </c>
      <c r="O212" s="56">
        <f>0*Deflactores!$L$5</f>
        <v>0</v>
      </c>
      <c r="P212" s="56">
        <f>0*Deflactores!$M$5</f>
        <v>0</v>
      </c>
      <c r="Q212" s="56">
        <f>0*Deflactores!$N$5</f>
        <v>0</v>
      </c>
      <c r="R212" s="56">
        <f>0*Deflactores!$O$5</f>
        <v>0</v>
      </c>
      <c r="S212" s="56">
        <f>0*Deflactores!$P$5</f>
        <v>0</v>
      </c>
      <c r="T212" s="56">
        <f>0*Deflactores!$Q$5</f>
        <v>0</v>
      </c>
      <c r="U212" s="56">
        <f>0*Deflactores!$R$5</f>
        <v>0</v>
      </c>
      <c r="V212" s="56">
        <f>0*Deflactores!$S$5</f>
        <v>0</v>
      </c>
    </row>
    <row r="213" spans="3:22" x14ac:dyDescent="0.2">
      <c r="C213" s="88" t="s">
        <v>128</v>
      </c>
      <c r="D213" s="57">
        <f>0.100820294*Deflactores!$A$5</f>
        <v>0.36603403872385659</v>
      </c>
      <c r="E213" s="57">
        <f>0.106281592*Deflactores!$B$5</f>
        <v>0.35844652415188344</v>
      </c>
      <c r="F213" s="57">
        <f>0.206233637*Deflactores!$C$5</f>
        <v>0.65009251394861023</v>
      </c>
      <c r="G213" s="57">
        <f>0.277372088*Deflactores!$D$5</f>
        <v>0.82103947705690372</v>
      </c>
      <c r="H213" s="57">
        <f>0.271896842*Deflactores!$E$5</f>
        <v>0.76289612282528185</v>
      </c>
      <c r="I213" s="57">
        <f>0.214393176*Deflactores!$F$5</f>
        <v>0.57369672744023725</v>
      </c>
      <c r="J213" s="57">
        <f>0.63145317*Deflactores!$G$5</f>
        <v>1.6172900948348239</v>
      </c>
      <c r="K213" s="57">
        <f>2.405744283*Deflactores!$H$5</f>
        <v>5.82967054547602</v>
      </c>
      <c r="L213" s="57">
        <f>1.922429066*Deflactores!$I$5</f>
        <v>4.3264583653126225</v>
      </c>
      <c r="M213" s="57">
        <f>2.768815025*Deflactores!$J$5</f>
        <v>6.1089740150362051</v>
      </c>
      <c r="N213" s="57">
        <f>4.993508304*Deflactores!$K$5</f>
        <v>10.67877745195373</v>
      </c>
      <c r="O213" s="57">
        <f>5.995861297*Deflactores!$L$5</f>
        <v>12.361661235618703</v>
      </c>
      <c r="P213" s="57">
        <f>7.84992046531*Deflactores!$M$5</f>
        <v>15.798685247421783</v>
      </c>
      <c r="Q213" s="57">
        <f>6.97004571252*Deflactores!$N$5</f>
        <v>13.760895202931767</v>
      </c>
      <c r="R213" s="57">
        <f>7.64533568206*Deflactores!$O$5</f>
        <v>14.561174793391706</v>
      </c>
      <c r="S213" s="57">
        <f>10.55384999388*Deflactores!$P$5</f>
        <v>18.826150704693319</v>
      </c>
      <c r="T213" s="57">
        <f>14.97429079184*Deflactores!$Q$5</f>
        <v>25.259020211142968</v>
      </c>
      <c r="U213" s="57">
        <f>8.06283453466*Deflactores!$R$5</f>
        <v>13.066190223834379</v>
      </c>
      <c r="V213" s="57">
        <f>9.77602658539*Deflactores!$S$5</f>
        <v>15.354231336100019</v>
      </c>
    </row>
    <row r="214" spans="3:22" x14ac:dyDescent="0.2">
      <c r="C214" s="87" t="s">
        <v>129</v>
      </c>
      <c r="D214" s="56">
        <f>6.69351061201*Deflactores!$A$5</f>
        <v>24.301186054416913</v>
      </c>
      <c r="E214" s="56">
        <f>7.65028250553*Deflactores!$B$5</f>
        <v>25.801431097185585</v>
      </c>
      <c r="F214" s="56">
        <f>6.73216796457*Deflactores!$C$5</f>
        <v>21.221232676081886</v>
      </c>
      <c r="G214" s="56">
        <f>5.39950152370999*Deflactores!$D$5</f>
        <v>15.982876789660267</v>
      </c>
      <c r="H214" s="56">
        <f>9.27642954864*Deflactores!$E$5</f>
        <v>26.028077723386481</v>
      </c>
      <c r="I214" s="56">
        <f>11.23297629211*Deflactores!$F$5</f>
        <v>30.058427504228387</v>
      </c>
      <c r="J214" s="56">
        <f>9.01972235172*Deflactores!$G$5</f>
        <v>23.101487664709989</v>
      </c>
      <c r="K214" s="56">
        <f>11.52362663522*Deflactores!$H$5</f>
        <v>27.924392150537209</v>
      </c>
      <c r="L214" s="56">
        <f>17.72936434543*Deflactores!$I$5</f>
        <v>39.900227290862738</v>
      </c>
      <c r="M214" s="56">
        <f>17.50038625851*Deflactores!$J$5</f>
        <v>38.611970803768038</v>
      </c>
      <c r="N214" s="56">
        <f>28.6990022155299*Deflactores!$K$5</f>
        <v>61.37373547717462</v>
      </c>
      <c r="O214" s="56">
        <f>27.25843296139*Deflactores!$L$5</f>
        <v>56.198683957402743</v>
      </c>
      <c r="P214" s="56">
        <f>16.19553058009*Deflactores!$M$5</f>
        <v>32.594991399028373</v>
      </c>
      <c r="Q214" s="56">
        <f>26.6241265157299*Deflactores!$N$5</f>
        <v>52.563760693055102</v>
      </c>
      <c r="R214" s="56">
        <f>34.93961366945*Deflactores!$O$5</f>
        <v>66.545387019207524</v>
      </c>
      <c r="S214" s="56">
        <f>74.51887146344*Deflactores!$P$5</f>
        <v>132.92812625988731</v>
      </c>
      <c r="T214" s="56">
        <f>45.35334413879*Deflactores!$Q$5</f>
        <v>76.503191514678292</v>
      </c>
      <c r="U214" s="56">
        <f>40.72897522464*Deflactores!$R$5</f>
        <v>66.00315752720887</v>
      </c>
      <c r="V214" s="56">
        <f>45.4977751269799*Deflactores!$S$5</f>
        <v>71.458824142471173</v>
      </c>
    </row>
    <row r="215" spans="3:22" x14ac:dyDescent="0.2">
      <c r="C215" s="88" t="s">
        <v>130</v>
      </c>
      <c r="D215" s="57">
        <f>5.661929658*Deflactores!$A$5</f>
        <v>20.555970405007191</v>
      </c>
      <c r="E215" s="57">
        <f>9.44608736455*Deflactores!$B$5</f>
        <v>31.857983296467488</v>
      </c>
      <c r="F215" s="57">
        <f>6.36649493347*Deflactores!$C$5</f>
        <v>20.068553105818538</v>
      </c>
      <c r="G215" s="57">
        <f>7.92490364376*Deflactores!$D$5</f>
        <v>23.458231829725637</v>
      </c>
      <c r="H215" s="57">
        <f>5.62583174253*Deflactores!$E$5</f>
        <v>15.785123477247065</v>
      </c>
      <c r="I215" s="57">
        <f>9.25184686091*Deflactores!$F$5</f>
        <v>24.757104521285225</v>
      </c>
      <c r="J215" s="57">
        <f>16.32623171813*Deflactores!$G$5</f>
        <v>41.815061034074432</v>
      </c>
      <c r="K215" s="57">
        <f>12.98827128086*Deflactores!$H$5</f>
        <v>31.47356228080108</v>
      </c>
      <c r="L215" s="57">
        <f>12.3461396241299*Deflactores!$I$5</f>
        <v>27.785191142201782</v>
      </c>
      <c r="M215" s="57">
        <f>7.44441884136999*Deflactores!$J$5</f>
        <v>16.42499078065903</v>
      </c>
      <c r="N215" s="57">
        <f>0*Deflactores!$K$5</f>
        <v>0</v>
      </c>
      <c r="O215" s="57">
        <f>2.134232765*Deflactores!$L$5</f>
        <v>4.4001455557499733</v>
      </c>
      <c r="P215" s="57">
        <f>0*Deflactores!$M$5</f>
        <v>0</v>
      </c>
      <c r="Q215" s="57">
        <f>0*Deflactores!$N$5</f>
        <v>0</v>
      </c>
      <c r="R215" s="57">
        <f>0*Deflactores!$O$5</f>
        <v>0</v>
      </c>
      <c r="S215" s="57">
        <f>0*Deflactores!$P$5</f>
        <v>0</v>
      </c>
      <c r="T215" s="57">
        <f>0*Deflactores!$Q$5</f>
        <v>0</v>
      </c>
      <c r="U215" s="57">
        <f>0*Deflactores!$R$5</f>
        <v>0</v>
      </c>
      <c r="V215" s="57">
        <f>0*Deflactores!$S$5</f>
        <v>0</v>
      </c>
    </row>
    <row r="216" spans="3:22" x14ac:dyDescent="0.2">
      <c r="C216" s="87" t="s">
        <v>131</v>
      </c>
      <c r="D216" s="56">
        <f>75.54901732551*Deflactores!$A$5</f>
        <v>274.28517450340934</v>
      </c>
      <c r="E216" s="56">
        <f>89.96945292258*Deflactores!$B$5</f>
        <v>303.43201558314365</v>
      </c>
      <c r="F216" s="56">
        <f>120.526255677399*Deflactores!$C$5</f>
        <v>379.92452487337596</v>
      </c>
      <c r="G216" s="56">
        <f>114.15615333022*Deflactores!$D$5</f>
        <v>337.9096617431511</v>
      </c>
      <c r="H216" s="56">
        <f>98.34610681758*Deflactores!$E$5</f>
        <v>275.94238695163949</v>
      </c>
      <c r="I216" s="56">
        <f>87.0102291122*Deflactores!$F$5</f>
        <v>232.83149504485345</v>
      </c>
      <c r="J216" s="56">
        <f>59.3814501237399*Deflactores!$G$5</f>
        <v>152.08892070658649</v>
      </c>
      <c r="K216" s="56">
        <f>12.30836769716*Deflactores!$H$5</f>
        <v>29.825999851299308</v>
      </c>
      <c r="L216" s="56">
        <f>12.52454580141*Deflactores!$I$5</f>
        <v>28.186697190860812</v>
      </c>
      <c r="M216" s="56">
        <f>23.87166475623*Deflactores!$J$5</f>
        <v>52.669238780754107</v>
      </c>
      <c r="N216" s="56">
        <f>2.017004784*Deflactores!$K$5</f>
        <v>4.313429335965715</v>
      </c>
      <c r="O216" s="56">
        <f>1.543710782*Deflactores!$L$5</f>
        <v>3.1826669743684759</v>
      </c>
      <c r="P216" s="56">
        <f>4.70851033049*Deflactores!$M$5</f>
        <v>9.4763090943887374</v>
      </c>
      <c r="Q216" s="56">
        <f>10.42858463756*Deflactores!$N$5</f>
        <v>20.589055829948482</v>
      </c>
      <c r="R216" s="56">
        <f>4.72411174780999*Deflactores!$O$5</f>
        <v>8.9974619511856009</v>
      </c>
      <c r="S216" s="56">
        <f>7.15581791932*Deflactores!$P$5</f>
        <v>12.76467892215477</v>
      </c>
      <c r="T216" s="56">
        <f>8.21078144432*Deflactores!$Q$5</f>
        <v>13.850158069881601</v>
      </c>
      <c r="U216" s="56">
        <f>9.1789061692*Deflactores!$R$5</f>
        <v>14.874835089066048</v>
      </c>
      <c r="V216" s="56">
        <f>8.90184697107999*Deflactores!$S$5</f>
        <v>13.981244477872986</v>
      </c>
    </row>
    <row r="217" spans="3:22" x14ac:dyDescent="0.2">
      <c r="C217" s="88" t="s">
        <v>132</v>
      </c>
      <c r="D217" s="57">
        <f>10.70356688839*Deflactores!$A$5</f>
        <v>38.859932474590224</v>
      </c>
      <c r="E217" s="57">
        <f>10.2167416666*Deflactores!$B$5</f>
        <v>34.457100892415042</v>
      </c>
      <c r="F217" s="57">
        <f>13.06264461278*Deflactores!$C$5</f>
        <v>41.176248446510307</v>
      </c>
      <c r="G217" s="57">
        <f>4.75706574913*Deflactores!$D$5</f>
        <v>14.081224982489957</v>
      </c>
      <c r="H217" s="57">
        <f>6.79017654488999*Deflactores!$E$5</f>
        <v>19.052076226011263</v>
      </c>
      <c r="I217" s="57">
        <f>6.70244064272999*Deflactores!$F$5</f>
        <v>17.935124309164745</v>
      </c>
      <c r="J217" s="57">
        <f>13.7152646739599*Deflactores!$G$5</f>
        <v>35.127801647164617</v>
      </c>
      <c r="K217" s="57">
        <f>15.75686260163*Deflactores!$H$5</f>
        <v>38.182494476631398</v>
      </c>
      <c r="L217" s="57">
        <f>23.51163111697*Deflactores!$I$5</f>
        <v>52.91331416446625</v>
      </c>
      <c r="M217" s="57">
        <f>54.08461249657*Deflactores!$J$5</f>
        <v>119.32956494804074</v>
      </c>
      <c r="N217" s="57">
        <f>52.95043387175*Deflactores!$K$5</f>
        <v>113.23619885599594</v>
      </c>
      <c r="O217" s="57">
        <f>40.16571293493*Deflactores!$L$5</f>
        <v>82.809610161786381</v>
      </c>
      <c r="P217" s="57">
        <f>65.93195200938*Deflactores!$M$5</f>
        <v>132.69410335397296</v>
      </c>
      <c r="Q217" s="57">
        <f>87.6744319086499*Deflactores!$N$5</f>
        <v>173.09480012510696</v>
      </c>
      <c r="R217" s="57">
        <f>82.23562754206*Deflactores!$O$5</f>
        <v>156.62456125949282</v>
      </c>
      <c r="S217" s="57">
        <f>113.03178557422*Deflactores!$P$5</f>
        <v>201.62816705513251</v>
      </c>
      <c r="T217" s="57">
        <f>168.4251811087*Deflactores!$Q$5</f>
        <v>284.10394273953568</v>
      </c>
      <c r="U217" s="57">
        <f>225.22450127953*Deflactores!$R$5</f>
        <v>364.98655207869319</v>
      </c>
      <c r="V217" s="57">
        <f>301.81684506638*Deflactores!$S$5</f>
        <v>474.0336597699814</v>
      </c>
    </row>
    <row r="218" spans="3:22" x14ac:dyDescent="0.2">
      <c r="C218" s="87" t="s">
        <v>133</v>
      </c>
      <c r="D218" s="56">
        <f>0*Deflactores!$A$5</f>
        <v>0</v>
      </c>
      <c r="E218" s="56">
        <f>0*Deflactores!$B$5</f>
        <v>0</v>
      </c>
      <c r="F218" s="56">
        <f>0*Deflactores!$C$5</f>
        <v>0</v>
      </c>
      <c r="G218" s="56">
        <f>0*Deflactores!$D$5</f>
        <v>0</v>
      </c>
      <c r="H218" s="56">
        <f>0.14895637272*Deflactores!$E$5</f>
        <v>0.41794615333636559</v>
      </c>
      <c r="I218" s="56">
        <f>2.24767035719999*Deflactores!$F$5</f>
        <v>6.0145623678342419</v>
      </c>
      <c r="J218" s="56">
        <f>3.1089359385*Deflactores!$G$5</f>
        <v>7.9626669683391684</v>
      </c>
      <c r="K218" s="56">
        <f>0.587277222*Deflactores!$H$5</f>
        <v>1.4231074962186168</v>
      </c>
      <c r="L218" s="56">
        <f>3.37250889571*Deflactores!$I$5</f>
        <v>7.5898869726805112</v>
      </c>
      <c r="M218" s="56">
        <f>3.88330912743*Deflactores!$J$5</f>
        <v>8.5679376692282965</v>
      </c>
      <c r="N218" s="56">
        <f>2.41974305503*Deflactores!$K$5</f>
        <v>5.1746980284136521</v>
      </c>
      <c r="O218" s="56">
        <f>1.65973875042*Deflactores!$L$5</f>
        <v>3.4218817207440715</v>
      </c>
      <c r="P218" s="56">
        <f>3.69728270299*Deflactores!$M$5</f>
        <v>7.4411207035037261</v>
      </c>
      <c r="Q218" s="56">
        <f>2.41940331932999*Deflactores!$N$5</f>
        <v>4.7766050473847192</v>
      </c>
      <c r="R218" s="56">
        <f>2.82295476784*Deflactores!$O$5</f>
        <v>5.3765510786939119</v>
      </c>
      <c r="S218" s="56">
        <f>1.383866316*Deflactores!$P$5</f>
        <v>2.4685660526985287</v>
      </c>
      <c r="T218" s="56">
        <f>2.30170068329*Deflactores!$Q$5</f>
        <v>3.8825681220846495</v>
      </c>
      <c r="U218" s="56">
        <f>2.84055346233*Deflactores!$R$5</f>
        <v>4.6032461313979134</v>
      </c>
      <c r="V218" s="56">
        <f>11.36108845678*Deflactores!$S$5</f>
        <v>17.843730156789118</v>
      </c>
    </row>
    <row r="219" spans="3:22" x14ac:dyDescent="0.2">
      <c r="C219" s="88" t="s">
        <v>134</v>
      </c>
      <c r="D219" s="57">
        <f>7.1581196416*Deflactores!$A$5</f>
        <v>25.987976607997322</v>
      </c>
      <c r="E219" s="57">
        <f>10.81719799985*Deflactores!$B$5</f>
        <v>36.482206853929497</v>
      </c>
      <c r="F219" s="57">
        <f>10.5403189428*Deflactores!$C$5</f>
        <v>33.225338693634207</v>
      </c>
      <c r="G219" s="57">
        <f>11.18642920691*Deflactores!$D$5</f>
        <v>33.112560288241625</v>
      </c>
      <c r="H219" s="57">
        <f>11.4525417479*Deflactores!$E$5</f>
        <v>32.133877067860851</v>
      </c>
      <c r="I219" s="57">
        <f>13.96557671108*Deflactores!$F$5</f>
        <v>37.370618810937287</v>
      </c>
      <c r="J219" s="57">
        <f>3.16434473503*Deflactores!$G$5</f>
        <v>8.1045810516823344</v>
      </c>
      <c r="K219" s="57">
        <f>10.48246377168*Deflactores!$H$5</f>
        <v>25.401415572555418</v>
      </c>
      <c r="L219" s="57">
        <f>9.91908473504*Deflactores!$I$5</f>
        <v>22.323064027246946</v>
      </c>
      <c r="M219" s="57">
        <f>7.89239455697999*Deflactores!$J$5</f>
        <v>17.413381836514681</v>
      </c>
      <c r="N219" s="57">
        <f>9.12584131686*Deflactores!$K$5</f>
        <v>19.515903960053237</v>
      </c>
      <c r="O219" s="57">
        <f>8.09663555946*Deflactores!$L$5</f>
        <v>16.692825430165822</v>
      </c>
      <c r="P219" s="57">
        <f>12.15848647639*Deflactores!$M$5</f>
        <v>24.470069699990802</v>
      </c>
      <c r="Q219" s="57">
        <f>16.16073850609*Deflactores!$N$5</f>
        <v>31.905992895401749</v>
      </c>
      <c r="R219" s="57">
        <f>19.35411601562*Deflactores!$O$5</f>
        <v>36.86151635386269</v>
      </c>
      <c r="S219" s="57">
        <f>18.847020966*Deflactores!$P$5</f>
        <v>33.619660810621994</v>
      </c>
      <c r="T219" s="57">
        <f>14.3472865691*Deflactores!$Q$5</f>
        <v>24.201373304533405</v>
      </c>
      <c r="U219" s="57">
        <f>21.95418969295*Deflactores!$R$5</f>
        <v>35.577763316995217</v>
      </c>
      <c r="V219" s="57">
        <f>23.8812818552399*Deflactores!$S$5</f>
        <v>37.507951007002426</v>
      </c>
    </row>
    <row r="220" spans="3:22" x14ac:dyDescent="0.2">
      <c r="C220" s="87" t="s">
        <v>135</v>
      </c>
      <c r="D220" s="56"/>
      <c r="E220" s="56"/>
      <c r="F220" s="56"/>
      <c r="G220" s="56"/>
      <c r="H220" s="56"/>
      <c r="I220" s="56"/>
      <c r="J220" s="56"/>
      <c r="K220" s="56"/>
      <c r="L220" s="56"/>
      <c r="M220" s="56"/>
      <c r="N220" s="56"/>
      <c r="O220" s="56"/>
      <c r="P220" s="56"/>
      <c r="Q220" s="56"/>
      <c r="R220" s="56"/>
      <c r="S220" s="56"/>
      <c r="T220" s="56"/>
      <c r="U220" s="56"/>
      <c r="V220" s="56"/>
    </row>
    <row r="221" spans="3:22" x14ac:dyDescent="0.2">
      <c r="C221" s="88" t="s">
        <v>136</v>
      </c>
      <c r="D221" s="57">
        <f>684.96798935616*Deflactores!$A$5</f>
        <v>2486.8167865151718</v>
      </c>
      <c r="E221" s="57">
        <f>757.156783707149*Deflactores!$B$5</f>
        <v>2553.5957097617334</v>
      </c>
      <c r="F221" s="57">
        <f>800.373504134309*Deflactores!$C$5</f>
        <v>2522.9483946914602</v>
      </c>
      <c r="G221" s="57">
        <f>840.96911827959*Deflactores!$D$5</f>
        <v>2489.3234574247426</v>
      </c>
      <c r="H221" s="57">
        <f>914.921582096199*Deflactores!$E$5</f>
        <v>2567.1137720325673</v>
      </c>
      <c r="I221" s="57">
        <f>1043.35594223889*Deflactores!$F$5</f>
        <v>2791.9260341466111</v>
      </c>
      <c r="J221" s="57">
        <f>1280.75888574218*Deflactores!$G$5</f>
        <v>3280.3044757578991</v>
      </c>
      <c r="K221" s="57">
        <f>1549.86830216296*Deflactores!$H$5</f>
        <v>3755.6866098915866</v>
      </c>
      <c r="L221" s="57">
        <f>2293.82649645777*Deflactores!$I$5</f>
        <v>5162.2944168362174</v>
      </c>
      <c r="M221" s="57">
        <f>3036.0660854076*Deflactores!$J$5</f>
        <v>6698.6232941609096</v>
      </c>
      <c r="N221" s="57">
        <f>2431.68907051002*Deflactores!$K$5</f>
        <v>5200.2449651528059</v>
      </c>
      <c r="O221" s="57">
        <f>2132.4704292763*Deflactores!$L$5</f>
        <v>4396.5121499520928</v>
      </c>
      <c r="P221" s="57">
        <f>2637.0154833025*Deflactores!$M$5</f>
        <v>5307.2356334541264</v>
      </c>
      <c r="Q221" s="57">
        <f>3011.10108328809*Deflactores!$N$5</f>
        <v>5944.7883359119114</v>
      </c>
      <c r="R221" s="57">
        <f>1090.61077922424*Deflactores!$O$5</f>
        <v>2077.1585249167692</v>
      </c>
      <c r="S221" s="57">
        <f>1117.43329574725*Deflactores!$P$5</f>
        <v>1993.2979567057378</v>
      </c>
      <c r="T221" s="57">
        <f>2175.83307246726*Deflactores!$Q$5</f>
        <v>3670.2513873627377</v>
      </c>
      <c r="U221" s="57">
        <f>2341.23807812149*Deflactores!$R$5</f>
        <v>3794.0828323484616</v>
      </c>
      <c r="V221" s="57">
        <f>2226.32701296753*Deflactores!$S$5</f>
        <v>3496.6701131928548</v>
      </c>
    </row>
    <row r="222" spans="3:22" x14ac:dyDescent="0.2">
      <c r="C222" s="87" t="s">
        <v>137</v>
      </c>
      <c r="D222" s="56">
        <f>8.26089719545*Deflactores!$A$5</f>
        <v>29.991675722877211</v>
      </c>
      <c r="E222" s="56">
        <f>10.55381846221*Deflactores!$B$5</f>
        <v>35.593929984687755</v>
      </c>
      <c r="F222" s="56">
        <f>14.85984983264*Deflactores!$C$5</f>
        <v>46.841423519092444</v>
      </c>
      <c r="G222" s="56">
        <f>13.84029989234*Deflactores!$D$5</f>
        <v>40.968190663501638</v>
      </c>
      <c r="H222" s="56">
        <f>13.26655910316*Deflactores!$E$5</f>
        <v>37.223700093703961</v>
      </c>
      <c r="I222" s="56">
        <f>28.29949587856*Deflactores!$F$5</f>
        <v>75.726888684826207</v>
      </c>
      <c r="J222" s="56">
        <f>32.07953440739*Deflactores!$G$5</f>
        <v>82.162725137613563</v>
      </c>
      <c r="K222" s="56">
        <f>26.63552395127*Deflactores!$H$5</f>
        <v>64.543987712778772</v>
      </c>
      <c r="L222" s="56">
        <f>36.09504518112*Deflactores!$I$5</f>
        <v>81.232495352935786</v>
      </c>
      <c r="M222" s="56">
        <f>37.0789633306199*Deflactores!$J$5</f>
        <v>81.809157147013551</v>
      </c>
      <c r="N222" s="56">
        <f>33.69079129154*Deflactores!$K$5</f>
        <v>72.048836305004471</v>
      </c>
      <c r="O222" s="56">
        <f>32.78499991651*Deflactores!$L$5</f>
        <v>67.592801518017524</v>
      </c>
      <c r="P222" s="56">
        <f>35.62906369959*Deflactores!$M$5</f>
        <v>71.706760028674296</v>
      </c>
      <c r="Q222" s="56">
        <f>36.80561662362*Deflactores!$N$5</f>
        <v>72.664980134513684</v>
      </c>
      <c r="R222" s="56">
        <f>43.81025243064*Deflactores!$O$5</f>
        <v>83.440252974382929</v>
      </c>
      <c r="S222" s="56">
        <f>34.12822628932*Deflactores!$P$5</f>
        <v>60.878554440246113</v>
      </c>
      <c r="T222" s="56">
        <f>29.48092338345*Deflactores!$Q$5</f>
        <v>49.729182499348219</v>
      </c>
      <c r="U222" s="56">
        <f>50.14222142683*Deflactores!$R$5</f>
        <v>81.257751302248749</v>
      </c>
      <c r="V222" s="56">
        <f>37.91985832052*Deflactores!$S$5</f>
        <v>59.556944920293923</v>
      </c>
    </row>
    <row r="223" spans="3:22" x14ac:dyDescent="0.2">
      <c r="C223" s="88" t="s">
        <v>138</v>
      </c>
      <c r="D223" s="57">
        <f>3.50696737171999*Deflactores!$A$5</f>
        <v>12.732252404892375</v>
      </c>
      <c r="E223" s="57">
        <f>3.0711489301*Deflactores!$B$5</f>
        <v>10.357792336674075</v>
      </c>
      <c r="F223" s="57">
        <f>4.33166902610999*Deflactores!$C$5</f>
        <v>13.654346825960172</v>
      </c>
      <c r="G223" s="57">
        <f>2.28970573560999*Deflactores!$D$5</f>
        <v>6.7776783645923997</v>
      </c>
      <c r="H223" s="57">
        <f>7.12534524595*Deflactores!$E$5</f>
        <v>19.99250238414615</v>
      </c>
      <c r="I223" s="57">
        <f>3.15838128155*Deflactores!$F$5</f>
        <v>8.4515423440237551</v>
      </c>
      <c r="J223" s="57">
        <f>2.11638848706*Deflactores!$G$5</f>
        <v>5.4205352028632579</v>
      </c>
      <c r="K223" s="57">
        <f>30.60837305353*Deflactores!$H$5</f>
        <v>74.171112905064206</v>
      </c>
      <c r="L223" s="57">
        <f>30.55587163942*Deflactores!$I$5</f>
        <v>68.766493808197225</v>
      </c>
      <c r="M223" s="57">
        <f>18.3873777286499*Deflactores!$J$5</f>
        <v>40.56898410863603</v>
      </c>
      <c r="N223" s="57">
        <f>14.7694965916899*Deflactores!$K$5</f>
        <v>31.585041533565775</v>
      </c>
      <c r="O223" s="57">
        <f>17.8279177389099*Deflactores!$L$5</f>
        <v>36.755800160879133</v>
      </c>
      <c r="P223" s="57">
        <f>10*Deflactores!$M$5</f>
        <v>20.125917602908959</v>
      </c>
      <c r="Q223" s="57">
        <f>5*Deflactores!$N$5</f>
        <v>9.8714526206145603</v>
      </c>
      <c r="R223" s="57">
        <f>0*Deflactores!$O$5</f>
        <v>0</v>
      </c>
      <c r="S223" s="57">
        <f>0*Deflactores!$P$5</f>
        <v>0</v>
      </c>
      <c r="T223" s="57">
        <f>0*Deflactores!$Q$5</f>
        <v>0</v>
      </c>
      <c r="U223" s="57">
        <f>0*Deflactores!$R$5</f>
        <v>0</v>
      </c>
      <c r="V223" s="57">
        <f>0*Deflactores!$S$5</f>
        <v>0</v>
      </c>
    </row>
    <row r="224" spans="3:22" x14ac:dyDescent="0.2">
      <c r="C224" s="87" t="s">
        <v>139</v>
      </c>
      <c r="D224" s="56">
        <f>47.3600981606799*Deflactores!$A$5</f>
        <v>171.94363670583974</v>
      </c>
      <c r="E224" s="56">
        <f>54.13848501321*Deflactores!$B$5</f>
        <v>182.58807955976008</v>
      </c>
      <c r="F224" s="56">
        <f>69.83713236948*Deflactores!$C$5</f>
        <v>220.14157151792421</v>
      </c>
      <c r="G224" s="56">
        <f>57.56628212041*Deflactores!$D$5</f>
        <v>170.39995087123407</v>
      </c>
      <c r="H224" s="56">
        <f>57.49285681035*Deflactores!$E$5</f>
        <v>161.315141537264</v>
      </c>
      <c r="I224" s="56">
        <f>76.66124031996*Deflactores!$F$5</f>
        <v>205.13853805249201</v>
      </c>
      <c r="J224" s="56">
        <f>99.39031207139*Deflactores!$G$5</f>
        <v>254.56039318893764</v>
      </c>
      <c r="K224" s="56">
        <f>136.561867807329*Deflactores!$H$5</f>
        <v>330.92074831777779</v>
      </c>
      <c r="L224" s="56">
        <f>129.40188586437*Deflactores!$I$5</f>
        <v>291.22108143631908</v>
      </c>
      <c r="M224" s="56">
        <f>261.46737224117*Deflactores!$J$5</f>
        <v>576.88844085968014</v>
      </c>
      <c r="N224" s="56">
        <f>203.35294442637*Deflactores!$K$5</f>
        <v>434.87678512303921</v>
      </c>
      <c r="O224" s="56">
        <f>137.600254295809*Deflactores!$L$5</f>
        <v>283.69030657711329</v>
      </c>
      <c r="P224" s="56">
        <f>196.922279610959*Deflactores!$M$5</f>
        <v>396.32415736271599</v>
      </c>
      <c r="Q224" s="56">
        <f>286.233279759459*Deflactores!$N$5</f>
        <v>565.10765191772236</v>
      </c>
      <c r="R224" s="56">
        <f>308.401025487469*Deflactores!$O$5</f>
        <v>587.3752867544847</v>
      </c>
      <c r="S224" s="56">
        <f>331.579425835949*Deflactores!$P$5</f>
        <v>591.4774461436441</v>
      </c>
      <c r="T224" s="56">
        <f>236.71013779608*Deflactores!$Q$5</f>
        <v>399.28877019216281</v>
      </c>
      <c r="U224" s="56">
        <f>148.63947482975*Deflactores!$R$5</f>
        <v>240.87703208438143</v>
      </c>
      <c r="V224" s="56">
        <f>23.02282134015*Deflactores!$S$5</f>
        <v>36.159652572411773</v>
      </c>
    </row>
    <row r="225" spans="2:22" x14ac:dyDescent="0.2">
      <c r="C225" s="88" t="s">
        <v>140</v>
      </c>
      <c r="D225" s="57">
        <f>5.67153362241*Deflactores!$A$5</f>
        <v>20.590838165666096</v>
      </c>
      <c r="E225" s="57">
        <f>8.84401313942*Deflactores!$B$5</f>
        <v>29.827420814120714</v>
      </c>
      <c r="F225" s="57">
        <f>5.37227631156999*Deflactores!$C$5</f>
        <v>16.934563458312585</v>
      </c>
      <c r="G225" s="57">
        <f>4.31417557206*Deflactores!$D$5</f>
        <v>12.770241162895276</v>
      </c>
      <c r="H225" s="57">
        <f>19.0296756498999*Deflactores!$E$5</f>
        <v>53.39402129551511</v>
      </c>
      <c r="I225" s="57">
        <f>23.8529535288899*Deflactores!$F$5</f>
        <v>63.828343954884986</v>
      </c>
      <c r="J225" s="57">
        <f>161.63225288644*Deflactores!$G$5</f>
        <v>413.97565808257292</v>
      </c>
      <c r="K225" s="57">
        <f>72.2888458856*Deflactores!$H$5</f>
        <v>175.17246475598822</v>
      </c>
      <c r="L225" s="57">
        <f>156.32558230068*Deflactores!$I$5</f>
        <v>351.81330495818867</v>
      </c>
      <c r="M225" s="57">
        <f>228.28082263936*Deflactores!$J$5</f>
        <v>503.6673093158106</v>
      </c>
      <c r="N225" s="57">
        <f>176.550374365119*Deflactores!$K$5</f>
        <v>377.55863055118749</v>
      </c>
      <c r="O225" s="57">
        <f>401.46732812112*Deflactores!$L$5</f>
        <v>827.70478861567028</v>
      </c>
      <c r="P225" s="57">
        <f>410.15400081034*Deflactores!$M$5</f>
        <v>825.47256248123574</v>
      </c>
      <c r="Q225" s="57">
        <f>387.44045952691*Deflactores!$N$5</f>
        <v>764.920027905805</v>
      </c>
      <c r="R225" s="57">
        <f>214.8418640503*Deflactores!$O$5</f>
        <v>409.1841176725934</v>
      </c>
      <c r="S225" s="57">
        <f>113.6131881978*Deflactores!$P$5</f>
        <v>202.66528369199662</v>
      </c>
      <c r="T225" s="57">
        <f>206.533673030609*Deflactores!$Q$5</f>
        <v>348.38633053690791</v>
      </c>
      <c r="U225" s="57">
        <f>106.157018482549*Deflactores!$R$5</f>
        <v>172.03227861435684</v>
      </c>
      <c r="V225" s="57">
        <f>178.43150002572*Deflactores!$S$5</f>
        <v>280.24458660296762</v>
      </c>
    </row>
    <row r="226" spans="2:22" x14ac:dyDescent="0.2">
      <c r="C226" s="87" t="s">
        <v>141</v>
      </c>
      <c r="D226" s="56">
        <f>0*Deflactores!$A$5</f>
        <v>0</v>
      </c>
      <c r="E226" s="56">
        <f>0*Deflactores!$B$5</f>
        <v>0</v>
      </c>
      <c r="F226" s="56">
        <f>0*Deflactores!$C$5</f>
        <v>0</v>
      </c>
      <c r="G226" s="56">
        <f>0*Deflactores!$D$5</f>
        <v>0</v>
      </c>
      <c r="H226" s="56">
        <f>0*Deflactores!$E$5</f>
        <v>0</v>
      </c>
      <c r="I226" s="56">
        <f>0*Deflactores!$F$5</f>
        <v>0</v>
      </c>
      <c r="J226" s="56">
        <f>0*Deflactores!$G$5</f>
        <v>0</v>
      </c>
      <c r="K226" s="56">
        <f>0.338771688*Deflactores!$H$5</f>
        <v>0.82092155227405439</v>
      </c>
      <c r="L226" s="56">
        <f>0.45957962*Deflactores!$I$5</f>
        <v>1.0342915255715326</v>
      </c>
      <c r="M226" s="56">
        <f>0.089379995*Deflactores!$J$5</f>
        <v>0.19720351919105392</v>
      </c>
      <c r="N226" s="56">
        <f>0.124632853*Deflactores!$K$5</f>
        <v>0.26653134817517748</v>
      </c>
      <c r="O226" s="56">
        <f>0.003571296*Deflactores!$L$5</f>
        <v>7.3629373891969351E-3</v>
      </c>
      <c r="P226" s="56">
        <f>0.00348*Deflactores!$M$5</f>
        <v>7.0038193258123186E-3</v>
      </c>
      <c r="Q226" s="56">
        <f>0.068193039*Deflactores!$N$5</f>
        <v>0.13463287070884417</v>
      </c>
      <c r="R226" s="56">
        <f>0.5471869766*Deflactores!$O$5</f>
        <v>1.0421629006606656</v>
      </c>
      <c r="S226" s="56">
        <f>0*Deflactores!$P$5</f>
        <v>0</v>
      </c>
      <c r="T226" s="56">
        <f>0.007643926*Deflactores!$Q$5</f>
        <v>1.2893971675219239E-2</v>
      </c>
      <c r="U226" s="56">
        <f>0*Deflactores!$R$5</f>
        <v>0</v>
      </c>
      <c r="V226" s="56">
        <f>0*Deflactores!$S$5</f>
        <v>0</v>
      </c>
    </row>
    <row r="227" spans="2:22" x14ac:dyDescent="0.2">
      <c r="C227" s="88" t="s">
        <v>142</v>
      </c>
      <c r="D227" s="57">
        <f>1.60296245794*Deflactores!$A$5</f>
        <v>5.819649984382095</v>
      </c>
      <c r="E227" s="57">
        <f>2.95106539462*Deflactores!$B$5</f>
        <v>9.9527972186043776</v>
      </c>
      <c r="F227" s="57">
        <f>2.3126983444*Deflactores!$C$5</f>
        <v>7.2901196069959484</v>
      </c>
      <c r="G227" s="57">
        <f>2.504603623*Deflactores!$D$5</f>
        <v>7.4137901318417674</v>
      </c>
      <c r="H227" s="57">
        <f>2.73019062537*Deflactores!$E$5</f>
        <v>7.660448820765283</v>
      </c>
      <c r="I227" s="57">
        <f>3.19003575329*Deflactores!$F$5</f>
        <v>8.5362468443483728</v>
      </c>
      <c r="J227" s="57">
        <f>4.67899193975*Deflactores!$G$5</f>
        <v>11.983924822120466</v>
      </c>
      <c r="K227" s="57">
        <f>6.74787071366*Deflactores!$H$5</f>
        <v>16.351639458142671</v>
      </c>
      <c r="L227" s="57">
        <f>11.8242193821399*Deflactores!$I$5</f>
        <v>26.610601017177306</v>
      </c>
      <c r="M227" s="57">
        <f>15.12347129267*Deflactores!$J$5</f>
        <v>33.367665340542942</v>
      </c>
      <c r="N227" s="57">
        <f>21.73790201691*Deflactores!$K$5</f>
        <v>46.487199735906962</v>
      </c>
      <c r="O227" s="57">
        <f>19.09766657252*Deflactores!$L$5</f>
        <v>39.373640060421764</v>
      </c>
      <c r="P227" s="57">
        <f>23.4969596462399*Deflactores!$M$5</f>
        <v>47.289787375910109</v>
      </c>
      <c r="Q227" s="57">
        <f>33.00444791459*Deflactores!$N$5</f>
        <v>65.160368771683252</v>
      </c>
      <c r="R227" s="57">
        <f>13.67871302587*Deflactores!$O$5</f>
        <v>26.05224147132143</v>
      </c>
      <c r="S227" s="57">
        <f>12.45699628018*Deflactores!$P$5</f>
        <v>22.221017868783939</v>
      </c>
      <c r="T227" s="57">
        <f>9.24958735517*Deflactores!$Q$5</f>
        <v>15.602442693064797</v>
      </c>
      <c r="U227" s="57">
        <f>10.41424557238*Deflactores!$R$5</f>
        <v>16.876758800083714</v>
      </c>
      <c r="V227" s="57">
        <f>14.98511598553*Deflactores!$S$5</f>
        <v>23.535629269254812</v>
      </c>
    </row>
    <row r="228" spans="2:22" x14ac:dyDescent="0.2">
      <c r="C228" s="87" t="s">
        <v>143</v>
      </c>
      <c r="D228" s="56">
        <f>0.0585*Deflactores!$A$5</f>
        <v>0.21238770901963061</v>
      </c>
      <c r="E228" s="56">
        <f>0*Deflactores!$B$5</f>
        <v>0</v>
      </c>
      <c r="F228" s="56">
        <f>0*Deflactores!$C$5</f>
        <v>0</v>
      </c>
      <c r="G228" s="56">
        <f>0*Deflactores!$D$5</f>
        <v>0</v>
      </c>
      <c r="H228" s="56">
        <f>30.27942238435*Deflactores!$E$5</f>
        <v>84.958890175008591</v>
      </c>
      <c r="I228" s="56">
        <f>4.23428594992999*Deflactores!$F$5</f>
        <v>11.330565822304957</v>
      </c>
      <c r="J228" s="56">
        <f>0*Deflactores!$G$5</f>
        <v>0</v>
      </c>
      <c r="K228" s="56">
        <f>0*Deflactores!$H$5</f>
        <v>0</v>
      </c>
      <c r="L228" s="56">
        <f>0*Deflactores!$I$5</f>
        <v>0</v>
      </c>
      <c r="M228" s="56">
        <f>0*Deflactores!$J$5</f>
        <v>0</v>
      </c>
      <c r="N228" s="56">
        <f>0*Deflactores!$K$5</f>
        <v>0</v>
      </c>
      <c r="O228" s="56">
        <f>0*Deflactores!$L$5</f>
        <v>0</v>
      </c>
      <c r="P228" s="56">
        <f>0.036607469*Deflactores!$M$5</f>
        <v>7.3675890474504402E-2</v>
      </c>
      <c r="Q228" s="56">
        <f>3.487363484*Deflactores!$N$5</f>
        <v>6.8850686806334647</v>
      </c>
      <c r="R228" s="56">
        <f>1.10531429688*Deflactores!$O$5</f>
        <v>2.1051625916532548</v>
      </c>
      <c r="S228" s="56">
        <f>0.221295048*Deflactores!$P$5</f>
        <v>0.39475015527662533</v>
      </c>
      <c r="T228" s="56">
        <f>10.87767284817*Deflactores!$Q$5</f>
        <v>18.348739325394487</v>
      </c>
      <c r="U228" s="56">
        <f>18.85724748255*Deflactores!$R$5</f>
        <v>30.559027553615834</v>
      </c>
      <c r="V228" s="56">
        <f>55.41805192524*Deflactores!$S$5</f>
        <v>87.03961492164791</v>
      </c>
    </row>
    <row r="229" spans="2:22" x14ac:dyDescent="0.2">
      <c r="C229" s="88" t="s">
        <v>144</v>
      </c>
      <c r="D229" s="57">
        <f>0*Deflactores!$A$5</f>
        <v>0</v>
      </c>
      <c r="E229" s="57">
        <f>0*Deflactores!$B$5</f>
        <v>0</v>
      </c>
      <c r="F229" s="57">
        <f>0*Deflactores!$C$5</f>
        <v>0</v>
      </c>
      <c r="G229" s="57">
        <f>0*Deflactores!$D$5</f>
        <v>0</v>
      </c>
      <c r="H229" s="57">
        <f>0*Deflactores!$E$5</f>
        <v>0</v>
      </c>
      <c r="I229" s="57">
        <f>0*Deflactores!$F$5</f>
        <v>0</v>
      </c>
      <c r="J229" s="57">
        <f>0*Deflactores!$G$5</f>
        <v>0</v>
      </c>
      <c r="K229" s="57">
        <f>0*Deflactores!$H$5</f>
        <v>0</v>
      </c>
      <c r="L229" s="57">
        <f>0*Deflactores!$I$5</f>
        <v>0</v>
      </c>
      <c r="M229" s="57">
        <f>0*Deflactores!$J$5</f>
        <v>0</v>
      </c>
      <c r="N229" s="57">
        <f>0*Deflactores!$K$5</f>
        <v>0</v>
      </c>
      <c r="O229" s="57">
        <f>0*Deflactores!$L$5</f>
        <v>0</v>
      </c>
      <c r="P229" s="57">
        <f>0*Deflactores!$M$5</f>
        <v>0</v>
      </c>
      <c r="Q229" s="57">
        <f>0*Deflactores!$N$5</f>
        <v>0</v>
      </c>
      <c r="R229" s="57">
        <f>0*Deflactores!$O$5</f>
        <v>0</v>
      </c>
      <c r="S229" s="57">
        <f>0*Deflactores!$P$5</f>
        <v>0</v>
      </c>
      <c r="T229" s="57">
        <f>0*Deflactores!$Q$5</f>
        <v>0</v>
      </c>
      <c r="U229" s="57">
        <f>0*Deflactores!$R$5</f>
        <v>0</v>
      </c>
      <c r="V229" s="57">
        <f>0*Deflactores!$S$5</f>
        <v>0</v>
      </c>
    </row>
    <row r="230" spans="2:22" x14ac:dyDescent="0.2">
      <c r="C230" s="87" t="s">
        <v>145</v>
      </c>
      <c r="D230" s="56">
        <f>1.46794301177*Deflactores!$A$5</f>
        <v>5.3294539015590932</v>
      </c>
      <c r="E230" s="56">
        <f>0.092233314*Deflactores!$B$5</f>
        <v>0.31106713958809773</v>
      </c>
      <c r="F230" s="56">
        <f>0.061303668*Deflactores!$C$5</f>
        <v>0.19324226747933934</v>
      </c>
      <c r="G230" s="56">
        <f>0.251174703*Deflactores!$D$5</f>
        <v>0.74349350826188076</v>
      </c>
      <c r="H230" s="56">
        <f>0.425352765*Deflactores!$E$5</f>
        <v>1.1934672461238562</v>
      </c>
      <c r="I230" s="56">
        <f>0.252822783*Deflactores!$F$5</f>
        <v>0.67653087628793396</v>
      </c>
      <c r="J230" s="56">
        <f>8.84255507921999*Deflactores!$G$5</f>
        <v>22.647723413367061</v>
      </c>
      <c r="K230" s="56">
        <f>4.113941478*Deflactores!$H$5</f>
        <v>9.9690244011311169</v>
      </c>
      <c r="L230" s="56">
        <f>3.097758893*Deflactores!$I$5</f>
        <v>6.9715575536046428</v>
      </c>
      <c r="M230" s="56">
        <f>12.5888534385*Deflactores!$J$5</f>
        <v>27.775412167483335</v>
      </c>
      <c r="N230" s="56">
        <f>4.430565197*Deflactores!$K$5</f>
        <v>9.4749055863659848</v>
      </c>
      <c r="O230" s="56">
        <f>3.06042588508999*Deflactores!$L$5</f>
        <v>6.3096769845443257</v>
      </c>
      <c r="P230" s="56">
        <f>12.27372283284*Deflactores!$M$5</f>
        <v>24.701993441468019</v>
      </c>
      <c r="Q230" s="56">
        <f>7.27388653272*Deflactores!$N$5</f>
        <v>14.360765255094361</v>
      </c>
      <c r="R230" s="56">
        <f>8.19726850036*Deflactores!$O$5</f>
        <v>15.612376542496611</v>
      </c>
      <c r="S230" s="56">
        <f>10.05242402716*Deflactores!$P$5</f>
        <v>17.931697891531172</v>
      </c>
      <c r="T230" s="56">
        <f>28.35785864576*Deflactores!$Q$5</f>
        <v>47.834767912235208</v>
      </c>
      <c r="U230" s="56">
        <f>31.6940302780999*Deflactores!$R$5</f>
        <v>51.361618149724642</v>
      </c>
      <c r="V230" s="56">
        <f>34.3594663844*Deflactores!$S$5</f>
        <v>53.964991895527199</v>
      </c>
    </row>
    <row r="231" spans="2:22" x14ac:dyDescent="0.2">
      <c r="C231" s="88" t="s">
        <v>146</v>
      </c>
      <c r="D231" s="57">
        <f>3.21439404988999*Deflactores!$A$5</f>
        <v>11.670047660554994</v>
      </c>
      <c r="E231" s="57">
        <f>4.15648078777*Deflactores!$B$5</f>
        <v>14.01819508951502</v>
      </c>
      <c r="F231" s="57">
        <f>1.17608422715*Deflactores!$C$5</f>
        <v>3.7072689158037395</v>
      </c>
      <c r="G231" s="57">
        <f>2.72121537173*Deflactores!$D$5</f>
        <v>8.0549750404748988</v>
      </c>
      <c r="H231" s="57">
        <f>0.67099643373*Deflactores!$E$5</f>
        <v>1.8827014464633174</v>
      </c>
      <c r="I231" s="57">
        <f>3.06013280566*Deflactores!$F$5</f>
        <v>8.1886383181321669</v>
      </c>
      <c r="J231" s="57">
        <f>2.33851196832999*Deflactores!$G$5</f>
        <v>5.9894421672359019</v>
      </c>
      <c r="K231" s="57">
        <f>2.91466783401*Deflactores!$H$5</f>
        <v>7.0629091137590727</v>
      </c>
      <c r="L231" s="57">
        <f>2.74858777098*Deflactores!$I$5</f>
        <v>6.185742176326622</v>
      </c>
      <c r="M231" s="57">
        <f>2.75407973566*Deflactores!$J$5</f>
        <v>6.0764628148045823</v>
      </c>
      <c r="N231" s="57">
        <f>7.74967262171999*Deflactores!$K$5</f>
        <v>16.572923126322806</v>
      </c>
      <c r="O231" s="57">
        <f>7.8765886987292*Deflactores!$L$5</f>
        <v>16.239155037610789</v>
      </c>
      <c r="P231" s="57">
        <f>48.9439996081079*Deflactores!$M$5</f>
        <v>98.504290326958809</v>
      </c>
      <c r="Q231" s="57">
        <f>32.8087374269321*Deflactores!$N$5</f>
        <v>64.773979410428765</v>
      </c>
      <c r="R231" s="57">
        <f>11.1083391844955*Deflactores!$O$5</f>
        <v>21.156751679232791</v>
      </c>
      <c r="S231" s="57">
        <f>37.7780895632402*Deflactores!$P$5</f>
        <v>67.38924732352497</v>
      </c>
      <c r="T231" s="57">
        <f>22.47163638256*Deflactores!$Q$5</f>
        <v>37.905736268581713</v>
      </c>
      <c r="U231" s="57">
        <f>34.11930650605*Deflactores!$R$5</f>
        <v>55.291888627621262</v>
      </c>
      <c r="V231" s="57">
        <f>14.61402279532*Deflactores!$S$5</f>
        <v>22.95279015359089</v>
      </c>
    </row>
    <row r="232" spans="2:22" x14ac:dyDescent="0.2">
      <c r="C232" s="90" t="s">
        <v>147</v>
      </c>
      <c r="D232" s="58">
        <f>389.01565107225*Deflactores!$A$5</f>
        <v>1412.3443231455587</v>
      </c>
      <c r="E232" s="58">
        <f>516.82708292438*Deflactores!$B$5</f>
        <v>1743.0569864045813</v>
      </c>
      <c r="F232" s="58">
        <f>441.2065195666*Deflactores!$C$5</f>
        <v>1390.7772740077687</v>
      </c>
      <c r="G232" s="58">
        <f>442.8111062494*Deflactores!$D$5</f>
        <v>1310.7497648068913</v>
      </c>
      <c r="H232" s="58">
        <f>586.89576189826*Deflactores!$E$5</f>
        <v>1646.7293182271396</v>
      </c>
      <c r="I232" s="58">
        <f>635.59821078292*Deflactores!$F$5</f>
        <v>1700.8032638736192</v>
      </c>
      <c r="J232" s="58">
        <f>784.762477154169*Deflactores!$G$5</f>
        <v>2009.9488630320398</v>
      </c>
      <c r="K232" s="58">
        <f>912.823705220419*Deflactores!$H$5</f>
        <v>2211.9813419653306</v>
      </c>
      <c r="L232" s="58">
        <f>1151.58226246904*Deflactores!$I$5</f>
        <v>2591.6549020825169</v>
      </c>
      <c r="M232" s="58">
        <f>1231.90868565971*Deflactores!$J$5</f>
        <v>2718.0212768429965</v>
      </c>
      <c r="N232" s="58">
        <f>1690.682884713*Deflactores!$K$5</f>
        <v>3615.5795021337913</v>
      </c>
      <c r="O232" s="58">
        <f>1273.58156801314*Deflactores!$L$5</f>
        <v>2625.7418442257399</v>
      </c>
      <c r="P232" s="58">
        <f>1783.5523054315*Deflactores!$M$5</f>
        <v>3589.5626739592681</v>
      </c>
      <c r="Q232" s="58">
        <f>2015.78114104687*Deflactores!$N$5</f>
        <v>3979.7376054745068</v>
      </c>
      <c r="R232" s="58">
        <f>754.195213661079*Deflactores!$O$5</f>
        <v>1436.4272271560137</v>
      </c>
      <c r="S232" s="58">
        <f>1193.38135086093*Deflactores!$P$5</f>
        <v>2128.7754869082341</v>
      </c>
      <c r="T232" s="58">
        <f>1442.33644652387*Deflactores!$Q$5</f>
        <v>2432.9703463397145</v>
      </c>
      <c r="U232" s="58">
        <f>1539.24052417336*Deflactores!$R$5</f>
        <v>2494.4093051429286</v>
      </c>
      <c r="V232" s="58">
        <f>1401.9625819327*Deflactores!$S$5</f>
        <v>2201.9230021040298</v>
      </c>
    </row>
    <row r="233" spans="2:22" ht="22.5" customHeight="1" x14ac:dyDescent="0.2">
      <c r="C233" s="89" t="s">
        <v>148</v>
      </c>
      <c r="D233" s="59">
        <f>0*Deflactores!$A$5</f>
        <v>0</v>
      </c>
      <c r="E233" s="59">
        <f>0*Deflactores!$B$5</f>
        <v>0</v>
      </c>
      <c r="F233" s="59">
        <f>0*Deflactores!$C$5</f>
        <v>0</v>
      </c>
      <c r="G233" s="59">
        <f>0*Deflactores!$D$5</f>
        <v>0</v>
      </c>
      <c r="H233" s="59">
        <f>0*Deflactores!$E$5</f>
        <v>0</v>
      </c>
      <c r="I233" s="59">
        <f>0*Deflactores!$F$5</f>
        <v>0</v>
      </c>
      <c r="J233" s="59">
        <f>0*Deflactores!$G$5</f>
        <v>0</v>
      </c>
      <c r="K233" s="59">
        <f>0*Deflactores!$H$5</f>
        <v>0</v>
      </c>
      <c r="L233" s="59">
        <f>0*Deflactores!$I$5</f>
        <v>0</v>
      </c>
      <c r="M233" s="59">
        <f>0*Deflactores!$J$5</f>
        <v>0</v>
      </c>
      <c r="N233" s="59">
        <f>0*Deflactores!$K$5</f>
        <v>0</v>
      </c>
      <c r="O233" s="59">
        <f>0*Deflactores!$L$5</f>
        <v>0</v>
      </c>
      <c r="P233" s="59">
        <f>0*Deflactores!$M$5</f>
        <v>0</v>
      </c>
      <c r="Q233" s="59">
        <f>0*Deflactores!$N$5</f>
        <v>0</v>
      </c>
      <c r="R233" s="59">
        <f>0*Deflactores!$O$5</f>
        <v>0</v>
      </c>
      <c r="S233" s="59">
        <f>0*Deflactores!$P$5</f>
        <v>0</v>
      </c>
      <c r="T233" s="59">
        <f>0*Deflactores!$Q$5</f>
        <v>0</v>
      </c>
      <c r="U233" s="59">
        <f>0*Deflactores!$R$5</f>
        <v>0</v>
      </c>
      <c r="V233" s="59">
        <f>0*Deflactores!$S$5</f>
        <v>0</v>
      </c>
    </row>
    <row r="234" spans="2:22" x14ac:dyDescent="0.2">
      <c r="C234" s="87" t="s">
        <v>149</v>
      </c>
      <c r="D234" s="56">
        <f>69.87222704172*Deflactores!$A$5</f>
        <v>253.67525171778445</v>
      </c>
      <c r="E234" s="56">
        <f>58.54006019833*Deflactores!$B$5</f>
        <v>197.43288284328116</v>
      </c>
      <c r="F234" s="56">
        <f>29.69360689084*Deflactores!$C$5</f>
        <v>93.600597034847198</v>
      </c>
      <c r="G234" s="56">
        <f>6.94730161008*Deflactores!$D$5</f>
        <v>20.564466028379425</v>
      </c>
      <c r="H234" s="56">
        <f>108.26122760529*Deflactores!$E$5</f>
        <v>303.76252326013076</v>
      </c>
      <c r="I234" s="56">
        <f>49.7080382573999*Deflactores!$F$5</f>
        <v>133.01420972346824</v>
      </c>
      <c r="J234" s="56">
        <f>131.95867132664*Deflactores!$G$5</f>
        <v>337.97510599897527</v>
      </c>
      <c r="K234" s="56">
        <f>252.18815831973*Deflactores!$H$5</f>
        <v>611.10978787863689</v>
      </c>
      <c r="L234" s="56">
        <f>248.50942484275*Deflactores!$I$5</f>
        <v>559.27456517656719</v>
      </c>
      <c r="M234" s="56">
        <f>411.17929065688*Deflactores!$J$5</f>
        <v>907.20527715422202</v>
      </c>
      <c r="N234" s="56">
        <f>342.86072571792*Deflactores!$K$5</f>
        <v>733.21864389894813</v>
      </c>
      <c r="O234" s="56">
        <f>508.55468881551*Deflactores!$L$5</f>
        <v>1048.4866929907605</v>
      </c>
      <c r="P234" s="56">
        <f>418.65744808668*Deflactores!$M$5</f>
        <v>842.58653040366573</v>
      </c>
      <c r="Q234" s="56">
        <f>769.93401162443*Deflactores!$N$5</f>
        <v>1520.0734233500523</v>
      </c>
      <c r="R234" s="56">
        <f>1150.70926296054*Deflactores!$O$5</f>
        <v>2191.6210629784437</v>
      </c>
      <c r="S234" s="56">
        <f>853.75035730102*Deflactores!$P$5</f>
        <v>1522.9355069529256</v>
      </c>
      <c r="T234" s="56">
        <f>903.6577187074*Deflactores!$Q$5</f>
        <v>1524.3131643485888</v>
      </c>
      <c r="U234" s="56">
        <f>858.68326402154*Deflactores!$R$5</f>
        <v>1391.5352995894716</v>
      </c>
      <c r="V234" s="56">
        <f>894.681440688969*Deflactores!$S$5</f>
        <v>1405.1870350867769</v>
      </c>
    </row>
    <row r="235" spans="2:22" x14ac:dyDescent="0.2">
      <c r="C235" s="88" t="s">
        <v>150</v>
      </c>
      <c r="D235" s="57">
        <f>217.397521384039*Deflactores!$A$5</f>
        <v>789.27455578294359</v>
      </c>
      <c r="E235" s="57">
        <f>445.980906333199*Deflactores!$B$5</f>
        <v>1504.1203533462492</v>
      </c>
      <c r="F235" s="57">
        <f>325.1985339208*Deflactores!$C$5</f>
        <v>1025.0953022225724</v>
      </c>
      <c r="G235" s="57">
        <f>335.98785881397*Deflactores!$D$5</f>
        <v>994.54598293282743</v>
      </c>
      <c r="H235" s="57">
        <f>299.74163115299*Deflactores!$E$5</f>
        <v>841.02384777217003</v>
      </c>
      <c r="I235" s="57">
        <f>246.216417254639*Deflactores!$F$5</f>
        <v>658.85283970533817</v>
      </c>
      <c r="J235" s="57">
        <f>337.2496069323*Deflactores!$G$5</f>
        <v>863.77022824756204</v>
      </c>
      <c r="K235" s="57">
        <f>417.99797150056*Deflactores!$H$5</f>
        <v>1012.9050205979601</v>
      </c>
      <c r="L235" s="57">
        <f>438.873132413319*Deflactores!$I$5</f>
        <v>987.69123325383509</v>
      </c>
      <c r="M235" s="57">
        <f>474.6107827218*Deflactores!$J$5</f>
        <v>1047.1573264102287</v>
      </c>
      <c r="N235" s="57">
        <f>471.300959289059*Deflactores!$K$5</f>
        <v>1007.8921973772623</v>
      </c>
      <c r="O235" s="57">
        <f>215.72446328519*Deflactores!$L$5</f>
        <v>444.75891006709247</v>
      </c>
      <c r="P235" s="57">
        <f>387.312741511714*Deflactores!$M$5</f>
        <v>779.50243222215329</v>
      </c>
      <c r="Q235" s="57">
        <f>423.74872755251*Deflactores!$N$5</f>
        <v>836.60309741606204</v>
      </c>
      <c r="R235" s="57">
        <f>660.142615790434*Deflactores!$O$5</f>
        <v>1257.2962675330566</v>
      </c>
      <c r="S235" s="57">
        <f>703.828523528609*Deflactores!$P$5</f>
        <v>1255.5021970082059</v>
      </c>
      <c r="T235" s="57">
        <f>580.01251643673*Deflactores!$Q$5</f>
        <v>978.3800835078506</v>
      </c>
      <c r="U235" s="57">
        <f>983.60204610684*Deflactores!$R$5</f>
        <v>1593.9718697856963</v>
      </c>
      <c r="V235" s="57">
        <f>961.12965077051*Deflactores!$S$5</f>
        <v>1509.5506209005168</v>
      </c>
    </row>
    <row r="236" spans="2:22" x14ac:dyDescent="0.2">
      <c r="C236" s="87" t="s">
        <v>151</v>
      </c>
      <c r="D236" s="56">
        <f>2.547212579*Deflactores!$A$5</f>
        <v>9.2478058810221331</v>
      </c>
      <c r="E236" s="56">
        <f>0.756774056*Deflactores!$B$5</f>
        <v>2.5523049178781854</v>
      </c>
      <c r="F236" s="56">
        <f>0.634796203*Deflactores!$C$5</f>
        <v>2.0010133431982404</v>
      </c>
      <c r="G236" s="56">
        <f>0*Deflactores!$D$5</f>
        <v>0</v>
      </c>
      <c r="H236" s="56">
        <f>0*Deflactores!$E$5</f>
        <v>0</v>
      </c>
      <c r="I236" s="56">
        <f>0*Deflactores!$F$5</f>
        <v>0</v>
      </c>
      <c r="J236" s="56">
        <f>0*Deflactores!$G$5</f>
        <v>0</v>
      </c>
      <c r="K236" s="56">
        <f>0*Deflactores!$H$5</f>
        <v>0</v>
      </c>
      <c r="L236" s="56">
        <f>0*Deflactores!$I$5</f>
        <v>0</v>
      </c>
      <c r="M236" s="56">
        <f>0*Deflactores!$J$5</f>
        <v>0</v>
      </c>
      <c r="N236" s="56">
        <f>0*Deflactores!$K$5</f>
        <v>0</v>
      </c>
      <c r="O236" s="56">
        <f>0*Deflactores!$L$5</f>
        <v>0</v>
      </c>
      <c r="P236" s="56">
        <f>0*Deflactores!$M$5</f>
        <v>0</v>
      </c>
      <c r="Q236" s="56">
        <f>0*Deflactores!$N$5</f>
        <v>0</v>
      </c>
      <c r="R236" s="56">
        <f>0*Deflactores!$O$5</f>
        <v>0</v>
      </c>
      <c r="S236" s="56">
        <f>0*Deflactores!$P$5</f>
        <v>0</v>
      </c>
      <c r="T236" s="56">
        <f>0*Deflactores!$Q$5</f>
        <v>0</v>
      </c>
      <c r="U236" s="56">
        <f>0*Deflactores!$R$5</f>
        <v>0</v>
      </c>
      <c r="V236" s="56">
        <f>0*Deflactores!$S$5</f>
        <v>0</v>
      </c>
    </row>
    <row r="237" spans="2:22" x14ac:dyDescent="0.2">
      <c r="C237" s="79" t="s">
        <v>202</v>
      </c>
      <c r="D237" s="44">
        <f t="shared" ref="D237:V237" si="63">+SUM(D208:D236)</f>
        <v>5663.0884784662876</v>
      </c>
      <c r="E237" s="44">
        <f t="shared" si="63"/>
        <v>6777.1844722798642</v>
      </c>
      <c r="F237" s="44">
        <f t="shared" si="63"/>
        <v>5943.0660121099299</v>
      </c>
      <c r="G237" s="44">
        <f t="shared" si="63"/>
        <v>5554.8104428849483</v>
      </c>
      <c r="H237" s="44">
        <f t="shared" si="63"/>
        <v>6172.1554201850067</v>
      </c>
      <c r="I237" s="44">
        <f t="shared" si="63"/>
        <v>6151.1603610800412</v>
      </c>
      <c r="J237" s="44">
        <f t="shared" si="63"/>
        <v>7677.9618506899742</v>
      </c>
      <c r="K237" s="44">
        <f t="shared" si="63"/>
        <v>8643.4944262726203</v>
      </c>
      <c r="L237" s="44">
        <f t="shared" si="63"/>
        <v>10512.906064572766</v>
      </c>
      <c r="M237" s="44">
        <f t="shared" si="63"/>
        <v>13153.245338472041</v>
      </c>
      <c r="N237" s="44">
        <f t="shared" si="63"/>
        <v>11962.723437131528</v>
      </c>
      <c r="O237" s="44">
        <f t="shared" si="63"/>
        <v>10118.934480730975</v>
      </c>
      <c r="P237" s="44">
        <f t="shared" si="63"/>
        <v>12362.041227935326</v>
      </c>
      <c r="Q237" s="44">
        <f t="shared" si="63"/>
        <v>14322.699774783639</v>
      </c>
      <c r="R237" s="44">
        <f t="shared" si="63"/>
        <v>8661.8507823185082</v>
      </c>
      <c r="S237" s="44">
        <f t="shared" si="63"/>
        <v>8516.6173823929621</v>
      </c>
      <c r="T237" s="44">
        <f t="shared" si="63"/>
        <v>10210.598760815803</v>
      </c>
      <c r="U237" s="44">
        <f t="shared" si="63"/>
        <v>10742.398680781975</v>
      </c>
      <c r="V237" s="44">
        <f t="shared" si="63"/>
        <v>10171.668296735981</v>
      </c>
    </row>
    <row r="238" spans="2:22" x14ac:dyDescent="0.2">
      <c r="C238" s="1" t="s">
        <v>52</v>
      </c>
      <c r="D238" s="12"/>
      <c r="E238" s="12"/>
      <c r="F238" s="12"/>
      <c r="G238" s="12"/>
      <c r="H238" s="13"/>
      <c r="I238" s="13"/>
      <c r="J238" s="13"/>
      <c r="K238" s="13"/>
      <c r="L238" s="13"/>
      <c r="M238" s="13"/>
      <c r="N238" s="13"/>
      <c r="O238" s="13"/>
      <c r="P238" s="13"/>
      <c r="Q238" s="13"/>
      <c r="R238" s="13"/>
      <c r="S238" s="13"/>
      <c r="T238" s="13"/>
      <c r="U238" s="13"/>
    </row>
    <row r="239" spans="2:22" x14ac:dyDescent="0.2">
      <c r="B239" s="9"/>
    </row>
    <row r="242" spans="3:22" ht="18" customHeight="1" x14ac:dyDescent="0.2">
      <c r="C242" s="9"/>
      <c r="D242" s="160" t="s">
        <v>224</v>
      </c>
      <c r="E242" s="158"/>
      <c r="F242" s="158"/>
      <c r="G242" s="158"/>
      <c r="H242" s="158"/>
      <c r="I242" s="158"/>
      <c r="J242" s="158"/>
      <c r="K242" s="158"/>
      <c r="L242" s="158"/>
      <c r="M242" s="158"/>
      <c r="N242" s="158"/>
      <c r="O242" s="158"/>
      <c r="P242" s="158"/>
      <c r="Q242" s="158"/>
      <c r="R242" s="158"/>
      <c r="S242" s="158"/>
      <c r="T242" s="158"/>
      <c r="U242" s="158"/>
      <c r="V242" s="158"/>
    </row>
    <row r="243" spans="3:22" hidden="1" x14ac:dyDescent="0.2">
      <c r="H243" s="27"/>
      <c r="I243" s="27"/>
      <c r="J243" s="27"/>
      <c r="L243" s="175"/>
      <c r="M243" s="158"/>
      <c r="N243" s="158"/>
      <c r="O243" s="158"/>
      <c r="P243" s="158"/>
      <c r="Q243" s="158"/>
      <c r="R243" s="28"/>
      <c r="S243" s="28"/>
      <c r="T243" s="28"/>
      <c r="U243" s="28"/>
      <c r="V243" s="28"/>
    </row>
    <row r="244" spans="3:22" x14ac:dyDescent="0.2"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</row>
    <row r="245" spans="3:22" ht="13.5" customHeight="1" thickBot="1" x14ac:dyDescent="0.25">
      <c r="C245" s="177" t="s">
        <v>120</v>
      </c>
      <c r="D245" s="153">
        <v>2000</v>
      </c>
      <c r="E245" s="153">
        <v>2001</v>
      </c>
      <c r="F245" s="153">
        <v>2002</v>
      </c>
      <c r="G245" s="153">
        <v>2003</v>
      </c>
      <c r="H245" s="153">
        <v>2004</v>
      </c>
      <c r="I245" s="153">
        <v>2005</v>
      </c>
      <c r="J245" s="153">
        <v>2006</v>
      </c>
      <c r="K245" s="153">
        <v>2007</v>
      </c>
      <c r="L245" s="153">
        <v>2008</v>
      </c>
      <c r="M245" s="153">
        <v>2009</v>
      </c>
      <c r="N245" s="153">
        <v>2010</v>
      </c>
      <c r="O245" s="153">
        <v>2011</v>
      </c>
      <c r="P245" s="153">
        <v>2012</v>
      </c>
      <c r="Q245" s="153">
        <v>2013</v>
      </c>
      <c r="R245" s="153">
        <v>2014</v>
      </c>
      <c r="S245" s="153">
        <v>2015</v>
      </c>
      <c r="T245" s="153">
        <v>2016</v>
      </c>
      <c r="U245" s="153">
        <v>2017</v>
      </c>
      <c r="V245" s="153">
        <v>2018</v>
      </c>
    </row>
    <row r="246" spans="3:22" ht="12" customHeight="1" thickBot="1" x14ac:dyDescent="0.25">
      <c r="C246" s="156"/>
      <c r="D246" s="154"/>
      <c r="E246" s="154"/>
      <c r="F246" s="154"/>
      <c r="G246" s="154"/>
      <c r="H246" s="154"/>
      <c r="I246" s="154"/>
      <c r="J246" s="154"/>
      <c r="K246" s="154"/>
      <c r="L246" s="154"/>
      <c r="M246" s="154"/>
      <c r="N246" s="154"/>
      <c r="O246" s="154"/>
      <c r="P246" s="154"/>
      <c r="Q246" s="154"/>
      <c r="R246" s="154"/>
      <c r="S246" s="154"/>
      <c r="T246" s="154"/>
      <c r="U246" s="154"/>
      <c r="V246" s="154"/>
    </row>
    <row r="247" spans="3:22" x14ac:dyDescent="0.2">
      <c r="C247" s="87" t="s">
        <v>123</v>
      </c>
      <c r="D247" s="60">
        <f t="shared" ref="D247:V247" si="64">+IFERROR(IF(D208&gt;0,+((D208/D13)*100)," "),"")</f>
        <v>41.802956953204976</v>
      </c>
      <c r="E247" s="60">
        <f t="shared" si="64"/>
        <v>46.540440126741835</v>
      </c>
      <c r="F247" s="60">
        <f t="shared" si="64"/>
        <v>77.081688172652676</v>
      </c>
      <c r="G247" s="60">
        <f t="shared" si="64"/>
        <v>71.129649136473347</v>
      </c>
      <c r="H247" s="60">
        <f t="shared" si="64"/>
        <v>44.045186512289447</v>
      </c>
      <c r="I247" s="60">
        <f t="shared" si="64"/>
        <v>79.644390218961874</v>
      </c>
      <c r="J247" s="60">
        <f t="shared" si="64"/>
        <v>64.399696980155056</v>
      </c>
      <c r="K247" s="60">
        <f t="shared" si="64"/>
        <v>85.104363497266249</v>
      </c>
      <c r="L247" s="60">
        <f t="shared" si="64"/>
        <v>84.706658594039141</v>
      </c>
      <c r="M247" s="60">
        <f t="shared" si="64"/>
        <v>66.228938382443943</v>
      </c>
      <c r="N247" s="60">
        <f t="shared" si="64"/>
        <v>78.320205302358119</v>
      </c>
      <c r="O247" s="60">
        <f t="shared" si="64"/>
        <v>50.938950648075433</v>
      </c>
      <c r="P247" s="60">
        <f t="shared" si="64"/>
        <v>74.314827645594832</v>
      </c>
      <c r="Q247" s="60">
        <f t="shared" si="64"/>
        <v>60.166440809387069</v>
      </c>
      <c r="R247" s="60">
        <f t="shared" si="64"/>
        <v>71.857598669028292</v>
      </c>
      <c r="S247" s="60">
        <f t="shared" si="64"/>
        <v>62.062784946012869</v>
      </c>
      <c r="T247" s="60">
        <f t="shared" si="64"/>
        <v>93.070857088303811</v>
      </c>
      <c r="U247" s="60">
        <f t="shared" si="64"/>
        <v>90.062996827545589</v>
      </c>
      <c r="V247" s="60">
        <f t="shared" si="64"/>
        <v>83.440102207603957</v>
      </c>
    </row>
    <row r="248" spans="3:22" x14ac:dyDescent="0.2">
      <c r="C248" s="88" t="s">
        <v>124</v>
      </c>
      <c r="D248" s="62">
        <f t="shared" ref="D248:V248" si="65">+IFERROR(IF(D209&gt;0,+((D209/D14)*100)," "),"")</f>
        <v>43.739809960934075</v>
      </c>
      <c r="E248" s="62">
        <f t="shared" si="65"/>
        <v>26.762048084415586</v>
      </c>
      <c r="F248" s="62">
        <f t="shared" si="65"/>
        <v>43.179169468019261</v>
      </c>
      <c r="G248" s="62">
        <f t="shared" si="65"/>
        <v>33.705619655992301</v>
      </c>
      <c r="H248" s="62">
        <f t="shared" si="65"/>
        <v>22.654770698161396</v>
      </c>
      <c r="I248" s="62">
        <f t="shared" si="65"/>
        <v>55.830461300946389</v>
      </c>
      <c r="J248" s="62">
        <f t="shared" si="65"/>
        <v>66.288783659173262</v>
      </c>
      <c r="K248" s="62">
        <f t="shared" si="65"/>
        <v>78.07091556642537</v>
      </c>
      <c r="L248" s="62">
        <f t="shared" si="65"/>
        <v>67.595118027661783</v>
      </c>
      <c r="M248" s="62">
        <f t="shared" si="65"/>
        <v>74.082523029489337</v>
      </c>
      <c r="N248" s="62">
        <f t="shared" si="65"/>
        <v>73.230839858023444</v>
      </c>
      <c r="O248" s="62">
        <f t="shared" si="65"/>
        <v>74.153479076073808</v>
      </c>
      <c r="P248" s="62">
        <f t="shared" si="65"/>
        <v>79.86049666428265</v>
      </c>
      <c r="Q248" s="62">
        <f t="shared" si="65"/>
        <v>68.989904575257953</v>
      </c>
      <c r="R248" s="62">
        <f t="shared" si="65"/>
        <v>87.919862195503001</v>
      </c>
      <c r="S248" s="62">
        <f t="shared" si="65"/>
        <v>73.763751722331207</v>
      </c>
      <c r="T248" s="62">
        <f t="shared" si="65"/>
        <v>80.762269579586217</v>
      </c>
      <c r="U248" s="62">
        <f t="shared" si="65"/>
        <v>85.608914916147512</v>
      </c>
      <c r="V248" s="62">
        <f t="shared" si="65"/>
        <v>94.385876018278509</v>
      </c>
    </row>
    <row r="249" spans="3:22" x14ac:dyDescent="0.2">
      <c r="C249" s="87" t="s">
        <v>125</v>
      </c>
      <c r="D249" s="60">
        <f t="shared" ref="D249:V249" si="66">+IFERROR(IF(D210&gt;0,+((D210/D15)*100)," "),"")</f>
        <v>36.586832765719315</v>
      </c>
      <c r="E249" s="60">
        <f t="shared" si="66"/>
        <v>21.188667352248068</v>
      </c>
      <c r="F249" s="60">
        <f t="shared" si="66"/>
        <v>36.112967326150738</v>
      </c>
      <c r="G249" s="60">
        <f t="shared" si="66"/>
        <v>8.7935714558383413</v>
      </c>
      <c r="H249" s="60">
        <f t="shared" si="66"/>
        <v>6.3700665147186903</v>
      </c>
      <c r="I249" s="60">
        <f t="shared" si="66"/>
        <v>26.089964911543824</v>
      </c>
      <c r="J249" s="60">
        <f t="shared" si="66"/>
        <v>0.42183069988243305</v>
      </c>
      <c r="K249" s="60">
        <f t="shared" si="66"/>
        <v>32.398560242270939</v>
      </c>
      <c r="L249" s="60">
        <f t="shared" si="66"/>
        <v>26.177625261962174</v>
      </c>
      <c r="M249" s="60">
        <f t="shared" si="66"/>
        <v>91.720584057220975</v>
      </c>
      <c r="N249" s="60" t="str">
        <f t="shared" si="66"/>
        <v xml:space="preserve"> </v>
      </c>
      <c r="O249" s="60" t="str">
        <f t="shared" si="66"/>
        <v xml:space="preserve"> </v>
      </c>
      <c r="P249" s="60" t="str">
        <f t="shared" si="66"/>
        <v xml:space="preserve"> </v>
      </c>
      <c r="Q249" s="60" t="str">
        <f t="shared" si="66"/>
        <v xml:space="preserve"> </v>
      </c>
      <c r="R249" s="60" t="str">
        <f t="shared" si="66"/>
        <v xml:space="preserve"> </v>
      </c>
      <c r="S249" s="60" t="str">
        <f t="shared" si="66"/>
        <v xml:space="preserve"> </v>
      </c>
      <c r="T249" s="60" t="str">
        <f t="shared" si="66"/>
        <v xml:space="preserve"> </v>
      </c>
      <c r="U249" s="60" t="str">
        <f t="shared" si="66"/>
        <v xml:space="preserve"> </v>
      </c>
      <c r="V249" s="60" t="str">
        <f t="shared" si="66"/>
        <v xml:space="preserve"> </v>
      </c>
    </row>
    <row r="250" spans="3:22" x14ac:dyDescent="0.2">
      <c r="C250" s="88" t="s">
        <v>126</v>
      </c>
      <c r="D250" s="62">
        <f t="shared" ref="D250:V250" si="67">+IFERROR(IF(D211&gt;0,+((D211/D16)*100)," "),"")</f>
        <v>99.979860469842706</v>
      </c>
      <c r="E250" s="62" t="str">
        <f t="shared" si="67"/>
        <v xml:space="preserve"> </v>
      </c>
      <c r="F250" s="62">
        <f t="shared" si="67"/>
        <v>1.6427998054982611</v>
      </c>
      <c r="G250" s="62">
        <f t="shared" si="67"/>
        <v>33.480025493561733</v>
      </c>
      <c r="H250" s="62">
        <f t="shared" si="67"/>
        <v>17.40439807930607</v>
      </c>
      <c r="I250" s="62">
        <f t="shared" si="67"/>
        <v>23.466651095637928</v>
      </c>
      <c r="J250" s="62">
        <f t="shared" si="67"/>
        <v>36.42339263026669</v>
      </c>
      <c r="K250" s="62">
        <f t="shared" si="67"/>
        <v>47.085004324195864</v>
      </c>
      <c r="L250" s="62">
        <f t="shared" si="67"/>
        <v>64.094483404893737</v>
      </c>
      <c r="M250" s="62">
        <f t="shared" si="67"/>
        <v>78.481600994362324</v>
      </c>
      <c r="N250" s="62">
        <f t="shared" si="67"/>
        <v>70.454324146646613</v>
      </c>
      <c r="O250" s="62">
        <f t="shared" si="67"/>
        <v>56.013303324939145</v>
      </c>
      <c r="P250" s="62">
        <f t="shared" si="67"/>
        <v>32.978935041506929</v>
      </c>
      <c r="Q250" s="62">
        <f t="shared" si="67"/>
        <v>54.117466869535015</v>
      </c>
      <c r="R250" s="62">
        <f t="shared" si="67"/>
        <v>75.513838350803525</v>
      </c>
      <c r="S250" s="62">
        <f t="shared" si="67"/>
        <v>81.445553197413119</v>
      </c>
      <c r="T250" s="62">
        <f t="shared" si="67"/>
        <v>90.39075390835545</v>
      </c>
      <c r="U250" s="62">
        <f t="shared" si="67"/>
        <v>84.969483371499095</v>
      </c>
      <c r="V250" s="62">
        <f t="shared" si="67"/>
        <v>87.517002917673892</v>
      </c>
    </row>
    <row r="251" spans="3:22" x14ac:dyDescent="0.2">
      <c r="C251" s="87" t="s">
        <v>127</v>
      </c>
      <c r="D251" s="60" t="str">
        <f t="shared" ref="D251:V251" si="68">+IFERROR(IF(D212&gt;0,+((D212/D17)*100)," "),"")</f>
        <v xml:space="preserve"> </v>
      </c>
      <c r="E251" s="60" t="str">
        <f t="shared" si="68"/>
        <v xml:space="preserve"> </v>
      </c>
      <c r="F251" s="60" t="str">
        <f t="shared" si="68"/>
        <v xml:space="preserve"> </v>
      </c>
      <c r="G251" s="60" t="str">
        <f t="shared" si="68"/>
        <v xml:space="preserve"> </v>
      </c>
      <c r="H251" s="60" t="str">
        <f t="shared" si="68"/>
        <v xml:space="preserve"> </v>
      </c>
      <c r="I251" s="60" t="str">
        <f t="shared" si="68"/>
        <v xml:space="preserve"> </v>
      </c>
      <c r="J251" s="60" t="str">
        <f t="shared" si="68"/>
        <v xml:space="preserve"> </v>
      </c>
      <c r="K251" s="60" t="str">
        <f t="shared" si="68"/>
        <v xml:space="preserve"> </v>
      </c>
      <c r="L251" s="60" t="str">
        <f t="shared" si="68"/>
        <v xml:space="preserve"> </v>
      </c>
      <c r="M251" s="60" t="str">
        <f t="shared" si="68"/>
        <v xml:space="preserve"> </v>
      </c>
      <c r="N251" s="60" t="str">
        <f t="shared" si="68"/>
        <v xml:space="preserve"> </v>
      </c>
      <c r="O251" s="60" t="str">
        <f t="shared" si="68"/>
        <v xml:space="preserve"> </v>
      </c>
      <c r="P251" s="60" t="str">
        <f t="shared" si="68"/>
        <v xml:space="preserve"> </v>
      </c>
      <c r="Q251" s="60" t="str">
        <f t="shared" si="68"/>
        <v xml:space="preserve"> </v>
      </c>
      <c r="R251" s="60" t="str">
        <f t="shared" si="68"/>
        <v xml:space="preserve"> </v>
      </c>
      <c r="S251" s="60" t="str">
        <f t="shared" si="68"/>
        <v xml:space="preserve"> </v>
      </c>
      <c r="T251" s="60" t="str">
        <f t="shared" si="68"/>
        <v xml:space="preserve"> </v>
      </c>
      <c r="U251" s="60" t="str">
        <f t="shared" si="68"/>
        <v xml:space="preserve"> </v>
      </c>
      <c r="V251" s="60" t="str">
        <f t="shared" si="68"/>
        <v xml:space="preserve"> </v>
      </c>
    </row>
    <row r="252" spans="3:22" x14ac:dyDescent="0.2">
      <c r="C252" s="88" t="s">
        <v>128</v>
      </c>
      <c r="D252" s="62">
        <f t="shared" ref="D252:V252" si="69">+IFERROR(IF(D213&gt;0,+((D213/D18)*100)," "),"")</f>
        <v>81.967718699187003</v>
      </c>
      <c r="E252" s="62">
        <f t="shared" si="69"/>
        <v>65.203430674846615</v>
      </c>
      <c r="F252" s="62">
        <f t="shared" si="69"/>
        <v>81.838744841269843</v>
      </c>
      <c r="G252" s="62">
        <f t="shared" si="69"/>
        <v>69.804447898789689</v>
      </c>
      <c r="H252" s="62">
        <f t="shared" si="69"/>
        <v>44.458825972497024</v>
      </c>
      <c r="I252" s="62">
        <f t="shared" si="69"/>
        <v>46.197460782623686</v>
      </c>
      <c r="J252" s="62">
        <f t="shared" si="69"/>
        <v>9.6182982344289218</v>
      </c>
      <c r="K252" s="62">
        <f t="shared" si="69"/>
        <v>44.153955051574762</v>
      </c>
      <c r="L252" s="62">
        <f t="shared" si="69"/>
        <v>63.489447587844538</v>
      </c>
      <c r="M252" s="62">
        <f t="shared" si="69"/>
        <v>24.032766469924486</v>
      </c>
      <c r="N252" s="62">
        <f t="shared" si="69"/>
        <v>81.036112591762461</v>
      </c>
      <c r="O252" s="62">
        <f t="shared" si="69"/>
        <v>74.17620372453861</v>
      </c>
      <c r="P252" s="62">
        <f t="shared" si="69"/>
        <v>93.573971454404585</v>
      </c>
      <c r="Q252" s="62">
        <f t="shared" si="69"/>
        <v>88.81301695233401</v>
      </c>
      <c r="R252" s="62">
        <f t="shared" si="69"/>
        <v>93.579419241664439</v>
      </c>
      <c r="S252" s="62">
        <f t="shared" si="69"/>
        <v>71.814968491364155</v>
      </c>
      <c r="T252" s="62">
        <f t="shared" si="69"/>
        <v>92.424838738476552</v>
      </c>
      <c r="U252" s="62">
        <f t="shared" si="69"/>
        <v>92.446421372145366</v>
      </c>
      <c r="V252" s="62">
        <f t="shared" si="69"/>
        <v>91.016787488830062</v>
      </c>
    </row>
    <row r="253" spans="3:22" x14ac:dyDescent="0.2">
      <c r="C253" s="87" t="s">
        <v>129</v>
      </c>
      <c r="D253" s="60">
        <f t="shared" ref="D253:V253" si="70">+IFERROR(IF(D214&gt;0,+((D214/D19)*100)," "),"")</f>
        <v>89.557273374498266</v>
      </c>
      <c r="E253" s="60">
        <f t="shared" si="70"/>
        <v>79.705636652924454</v>
      </c>
      <c r="F253" s="60">
        <f t="shared" si="70"/>
        <v>69.870775134948317</v>
      </c>
      <c r="G253" s="60">
        <f t="shared" si="70"/>
        <v>57.391684222744509</v>
      </c>
      <c r="H253" s="60">
        <f t="shared" si="70"/>
        <v>54.78249562185529</v>
      </c>
      <c r="I253" s="60">
        <f t="shared" si="70"/>
        <v>69.147284038842713</v>
      </c>
      <c r="J253" s="60">
        <f t="shared" si="70"/>
        <v>41.410410143346866</v>
      </c>
      <c r="K253" s="60">
        <f t="shared" si="70"/>
        <v>77.49580790329523</v>
      </c>
      <c r="L253" s="60">
        <f t="shared" si="70"/>
        <v>76.278296026459586</v>
      </c>
      <c r="M253" s="60">
        <f t="shared" si="70"/>
        <v>75.131525602155165</v>
      </c>
      <c r="N253" s="60">
        <f t="shared" si="70"/>
        <v>76.440981822741065</v>
      </c>
      <c r="O253" s="60">
        <f t="shared" si="70"/>
        <v>41.017598290726959</v>
      </c>
      <c r="P253" s="60">
        <f t="shared" si="70"/>
        <v>34.387313482464002</v>
      </c>
      <c r="Q253" s="60">
        <f t="shared" si="70"/>
        <v>59.821431977103977</v>
      </c>
      <c r="R253" s="60">
        <f t="shared" si="70"/>
        <v>68.202310943680772</v>
      </c>
      <c r="S253" s="60">
        <f t="shared" si="70"/>
        <v>77.765300868317766</v>
      </c>
      <c r="T253" s="60">
        <f t="shared" si="70"/>
        <v>66.025206374029977</v>
      </c>
      <c r="U253" s="60">
        <f t="shared" si="70"/>
        <v>53.816925600961937</v>
      </c>
      <c r="V253" s="60">
        <f t="shared" si="70"/>
        <v>73.079388984947585</v>
      </c>
    </row>
    <row r="254" spans="3:22" x14ac:dyDescent="0.2">
      <c r="C254" s="88" t="s">
        <v>130</v>
      </c>
      <c r="D254" s="62">
        <f t="shared" ref="D254:V254" si="71">+IFERROR(IF(D215&gt;0,+((D215/D20)*100)," "),"")</f>
        <v>71.298162217297133</v>
      </c>
      <c r="E254" s="62">
        <f t="shared" si="71"/>
        <v>74.46156857329926</v>
      </c>
      <c r="F254" s="62">
        <f t="shared" si="71"/>
        <v>45.32861713232991</v>
      </c>
      <c r="G254" s="62">
        <f t="shared" si="71"/>
        <v>63.959021394983459</v>
      </c>
      <c r="H254" s="62">
        <f t="shared" si="71"/>
        <v>42.27324990292292</v>
      </c>
      <c r="I254" s="62">
        <f t="shared" si="71"/>
        <v>79.028332287605707</v>
      </c>
      <c r="J254" s="62">
        <f t="shared" si="71"/>
        <v>82.007532159496009</v>
      </c>
      <c r="K254" s="62">
        <f t="shared" si="71"/>
        <v>86.018719043450147</v>
      </c>
      <c r="L254" s="62">
        <f t="shared" si="71"/>
        <v>81.256681805679975</v>
      </c>
      <c r="M254" s="62">
        <f t="shared" si="71"/>
        <v>49.989382496440967</v>
      </c>
      <c r="N254" s="62" t="str">
        <f t="shared" si="71"/>
        <v xml:space="preserve"> </v>
      </c>
      <c r="O254" s="62">
        <f t="shared" si="71"/>
        <v>63.127778251036581</v>
      </c>
      <c r="P254" s="62" t="str">
        <f t="shared" si="71"/>
        <v xml:space="preserve"> </v>
      </c>
      <c r="Q254" s="62" t="str">
        <f t="shared" si="71"/>
        <v xml:space="preserve"> </v>
      </c>
      <c r="R254" s="62" t="str">
        <f t="shared" si="71"/>
        <v xml:space="preserve"> </v>
      </c>
      <c r="S254" s="62" t="str">
        <f t="shared" si="71"/>
        <v xml:space="preserve"> </v>
      </c>
      <c r="T254" s="62" t="str">
        <f t="shared" si="71"/>
        <v xml:space="preserve"> </v>
      </c>
      <c r="U254" s="62" t="str">
        <f t="shared" si="71"/>
        <v xml:space="preserve"> </v>
      </c>
      <c r="V254" s="62" t="str">
        <f t="shared" si="71"/>
        <v xml:space="preserve"> </v>
      </c>
    </row>
    <row r="255" spans="3:22" x14ac:dyDescent="0.2">
      <c r="C255" s="87" t="s">
        <v>131</v>
      </c>
      <c r="D255" s="60">
        <f t="shared" ref="D255:V255" si="72">+IFERROR(IF(D216&gt;0,+((D216/D21)*100)," "),"")</f>
        <v>82.824107056699802</v>
      </c>
      <c r="E255" s="60">
        <f t="shared" si="72"/>
        <v>87.488213757678608</v>
      </c>
      <c r="F255" s="60">
        <f t="shared" si="72"/>
        <v>83.817158560554716</v>
      </c>
      <c r="G255" s="60">
        <f t="shared" si="72"/>
        <v>82.700817939864407</v>
      </c>
      <c r="H255" s="60">
        <f t="shared" si="72"/>
        <v>66.836881157287635</v>
      </c>
      <c r="I255" s="60">
        <f t="shared" si="72"/>
        <v>57.467853335128041</v>
      </c>
      <c r="J255" s="60">
        <f t="shared" si="72"/>
        <v>34.482476696722024</v>
      </c>
      <c r="K255" s="60">
        <f t="shared" si="72"/>
        <v>69.047623824603349</v>
      </c>
      <c r="L255" s="60">
        <f t="shared" si="72"/>
        <v>68.912605555163253</v>
      </c>
      <c r="M255" s="60">
        <f t="shared" si="72"/>
        <v>78.436391788341453</v>
      </c>
      <c r="N255" s="60">
        <f t="shared" si="72"/>
        <v>45.695622655188039</v>
      </c>
      <c r="O255" s="60">
        <f t="shared" si="72"/>
        <v>33.63835908688413</v>
      </c>
      <c r="P255" s="60">
        <f t="shared" si="72"/>
        <v>78.501429411444306</v>
      </c>
      <c r="Q255" s="60">
        <f t="shared" si="72"/>
        <v>64.485108924238659</v>
      </c>
      <c r="R255" s="60">
        <f t="shared" si="72"/>
        <v>68.750634840445827</v>
      </c>
      <c r="S255" s="60">
        <f t="shared" si="72"/>
        <v>69.550944722113499</v>
      </c>
      <c r="T255" s="60">
        <f t="shared" si="72"/>
        <v>66.02975753357363</v>
      </c>
      <c r="U255" s="60">
        <f t="shared" si="72"/>
        <v>62.627386434405018</v>
      </c>
      <c r="V255" s="60">
        <f t="shared" si="72"/>
        <v>86.644595340691552</v>
      </c>
    </row>
    <row r="256" spans="3:22" x14ac:dyDescent="0.2">
      <c r="C256" s="88" t="s">
        <v>132</v>
      </c>
      <c r="D256" s="62">
        <f t="shared" ref="D256:V256" si="73">+IFERROR(IF(D217&gt;0,+((D217/D22)*100)," "),"")</f>
        <v>93.890937617456132</v>
      </c>
      <c r="E256" s="62">
        <f t="shared" si="73"/>
        <v>47.98567854813092</v>
      </c>
      <c r="F256" s="62">
        <f t="shared" si="73"/>
        <v>67.312401385035557</v>
      </c>
      <c r="G256" s="62">
        <f t="shared" si="73"/>
        <v>94.221115279818747</v>
      </c>
      <c r="H256" s="62">
        <f t="shared" si="73"/>
        <v>63.651082507937339</v>
      </c>
      <c r="I256" s="62">
        <f t="shared" si="73"/>
        <v>79.772138973897697</v>
      </c>
      <c r="J256" s="62">
        <f t="shared" si="73"/>
        <v>76.489123160782441</v>
      </c>
      <c r="K256" s="62">
        <f t="shared" si="73"/>
        <v>37.183917518404371</v>
      </c>
      <c r="L256" s="62">
        <f t="shared" si="73"/>
        <v>57.795205447136091</v>
      </c>
      <c r="M256" s="62">
        <f t="shared" si="73"/>
        <v>82.573473049388681</v>
      </c>
      <c r="N256" s="62">
        <f t="shared" si="73"/>
        <v>63.348168494295386</v>
      </c>
      <c r="O256" s="62">
        <f t="shared" si="73"/>
        <v>44.20279874732163</v>
      </c>
      <c r="P256" s="62">
        <f t="shared" si="73"/>
        <v>64.431100399777606</v>
      </c>
      <c r="Q256" s="62">
        <f t="shared" si="73"/>
        <v>77.040005236952851</v>
      </c>
      <c r="R256" s="62">
        <f t="shared" si="73"/>
        <v>64.670443959080131</v>
      </c>
      <c r="S256" s="62">
        <f t="shared" si="73"/>
        <v>73.625391156293944</v>
      </c>
      <c r="T256" s="62">
        <f t="shared" si="73"/>
        <v>85.197133120543711</v>
      </c>
      <c r="U256" s="62">
        <f t="shared" si="73"/>
        <v>85.017138853596734</v>
      </c>
      <c r="V256" s="62">
        <f t="shared" si="73"/>
        <v>86.17464973948799</v>
      </c>
    </row>
    <row r="257" spans="3:22" x14ac:dyDescent="0.2">
      <c r="C257" s="87" t="s">
        <v>133</v>
      </c>
      <c r="D257" s="60" t="str">
        <f t="shared" ref="D257:V257" si="74">+IFERROR(IF(D218&gt;0,+((D218/D23)*100)," "),"")</f>
        <v xml:space="preserve"> </v>
      </c>
      <c r="E257" s="60" t="str">
        <f t="shared" si="74"/>
        <v xml:space="preserve"> </v>
      </c>
      <c r="F257" s="60" t="str">
        <f t="shared" si="74"/>
        <v xml:space="preserve"> </v>
      </c>
      <c r="G257" s="60" t="str">
        <f t="shared" si="74"/>
        <v xml:space="preserve"> </v>
      </c>
      <c r="H257" s="60">
        <f t="shared" si="74"/>
        <v>14.572135855996871</v>
      </c>
      <c r="I257" s="60">
        <f t="shared" si="74"/>
        <v>86.165838254348799</v>
      </c>
      <c r="J257" s="60">
        <f t="shared" si="74"/>
        <v>52.693829466101697</v>
      </c>
      <c r="K257" s="60">
        <f t="shared" si="74"/>
        <v>53.388838363636346</v>
      </c>
      <c r="L257" s="60">
        <f t="shared" si="74"/>
        <v>67.450177914199998</v>
      </c>
      <c r="M257" s="60">
        <f t="shared" si="74"/>
        <v>86.252938595150752</v>
      </c>
      <c r="N257" s="60">
        <f t="shared" si="74"/>
        <v>69.349508627479082</v>
      </c>
      <c r="O257" s="60">
        <f t="shared" si="74"/>
        <v>30.810075188787827</v>
      </c>
      <c r="P257" s="60">
        <f t="shared" si="74"/>
        <v>82.161837844222219</v>
      </c>
      <c r="Q257" s="60">
        <f t="shared" si="74"/>
        <v>43.989151260545277</v>
      </c>
      <c r="R257" s="60">
        <f t="shared" si="74"/>
        <v>70.573869196000004</v>
      </c>
      <c r="S257" s="60">
        <f t="shared" si="74"/>
        <v>27.677326319999995</v>
      </c>
      <c r="T257" s="60">
        <f t="shared" si="74"/>
        <v>25.870744842279425</v>
      </c>
      <c r="U257" s="60">
        <f t="shared" si="74"/>
        <v>36.417352081153851</v>
      </c>
      <c r="V257" s="60">
        <f t="shared" si="74"/>
        <v>44.32730572290285</v>
      </c>
    </row>
    <row r="258" spans="3:22" x14ac:dyDescent="0.2">
      <c r="C258" s="88" t="s">
        <v>134</v>
      </c>
      <c r="D258" s="62">
        <f t="shared" ref="D258:V258" si="75">+IFERROR(IF(D219&gt;0,+((D219/D24)*100)," "),"")</f>
        <v>85.382916706235733</v>
      </c>
      <c r="E258" s="62">
        <f t="shared" si="75"/>
        <v>81.824167528335948</v>
      </c>
      <c r="F258" s="62">
        <f t="shared" si="75"/>
        <v>48.037667263161921</v>
      </c>
      <c r="G258" s="62">
        <f t="shared" si="75"/>
        <v>73.499611125910164</v>
      </c>
      <c r="H258" s="62">
        <f t="shared" si="75"/>
        <v>51.541174330158178</v>
      </c>
      <c r="I258" s="62">
        <f t="shared" si="75"/>
        <v>48.79482701534841</v>
      </c>
      <c r="J258" s="62">
        <f t="shared" si="75"/>
        <v>25.506363743555266</v>
      </c>
      <c r="K258" s="62">
        <f t="shared" si="75"/>
        <v>67.091093422384162</v>
      </c>
      <c r="L258" s="62">
        <f t="shared" si="75"/>
        <v>69.820749199591731</v>
      </c>
      <c r="M258" s="62">
        <f t="shared" si="75"/>
        <v>64.265891776827971</v>
      </c>
      <c r="N258" s="62">
        <f t="shared" si="75"/>
        <v>69.355934977822315</v>
      </c>
      <c r="O258" s="62">
        <f t="shared" si="75"/>
        <v>64.664448202699461</v>
      </c>
      <c r="P258" s="62">
        <f t="shared" si="75"/>
        <v>70.750514191520921</v>
      </c>
      <c r="Q258" s="62">
        <f t="shared" si="75"/>
        <v>85.333362336673417</v>
      </c>
      <c r="R258" s="62">
        <f t="shared" si="75"/>
        <v>85.491806361910122</v>
      </c>
      <c r="S258" s="62">
        <f t="shared" si="75"/>
        <v>63.808018716319069</v>
      </c>
      <c r="T258" s="62">
        <f t="shared" si="75"/>
        <v>72.554805978638086</v>
      </c>
      <c r="U258" s="62">
        <f t="shared" si="75"/>
        <v>82.830521439526891</v>
      </c>
      <c r="V258" s="62">
        <f t="shared" si="75"/>
        <v>74.445124191269301</v>
      </c>
    </row>
    <row r="259" spans="3:22" x14ac:dyDescent="0.2">
      <c r="C259" s="87" t="s">
        <v>135</v>
      </c>
      <c r="D259" s="60" t="str">
        <f t="shared" ref="D259:V259" si="76">+IFERROR(IF(D220&gt;0,+((D220/D25)*100)," "),"")</f>
        <v xml:space="preserve"> </v>
      </c>
      <c r="E259" s="60" t="str">
        <f t="shared" si="76"/>
        <v xml:space="preserve"> </v>
      </c>
      <c r="F259" s="60" t="str">
        <f t="shared" si="76"/>
        <v xml:space="preserve"> </v>
      </c>
      <c r="G259" s="60" t="str">
        <f t="shared" si="76"/>
        <v xml:space="preserve"> </v>
      </c>
      <c r="H259" s="60" t="str">
        <f t="shared" si="76"/>
        <v xml:space="preserve"> </v>
      </c>
      <c r="I259" s="60" t="str">
        <f t="shared" si="76"/>
        <v xml:space="preserve"> </v>
      </c>
      <c r="J259" s="60" t="str">
        <f t="shared" si="76"/>
        <v xml:space="preserve"> </v>
      </c>
      <c r="K259" s="60" t="str">
        <f t="shared" si="76"/>
        <v xml:space="preserve"> </v>
      </c>
      <c r="L259" s="60" t="str">
        <f t="shared" si="76"/>
        <v xml:space="preserve"> </v>
      </c>
      <c r="M259" s="60" t="str">
        <f t="shared" si="76"/>
        <v xml:space="preserve"> </v>
      </c>
      <c r="N259" s="60" t="str">
        <f t="shared" si="76"/>
        <v xml:space="preserve"> </v>
      </c>
      <c r="O259" s="60" t="str">
        <f t="shared" si="76"/>
        <v xml:space="preserve"> </v>
      </c>
      <c r="P259" s="60" t="str">
        <f t="shared" si="76"/>
        <v xml:space="preserve"> </v>
      </c>
      <c r="Q259" s="60" t="str">
        <f t="shared" si="76"/>
        <v xml:space="preserve"> </v>
      </c>
      <c r="R259" s="60" t="str">
        <f t="shared" si="76"/>
        <v xml:space="preserve"> </v>
      </c>
      <c r="S259" s="60" t="str">
        <f t="shared" si="76"/>
        <v xml:space="preserve"> </v>
      </c>
      <c r="T259" s="60" t="str">
        <f t="shared" si="76"/>
        <v xml:space="preserve"> </v>
      </c>
      <c r="U259" s="60" t="str">
        <f t="shared" si="76"/>
        <v xml:space="preserve"> </v>
      </c>
      <c r="V259" s="60" t="str">
        <f t="shared" si="76"/>
        <v xml:space="preserve"> </v>
      </c>
    </row>
    <row r="260" spans="3:22" x14ac:dyDescent="0.2">
      <c r="C260" s="88" t="s">
        <v>136</v>
      </c>
      <c r="D260" s="62">
        <f t="shared" ref="D260:V260" si="77">+IFERROR(IF(D221&gt;0,+((D221/D26)*100)," "),"")</f>
        <v>69.28708724486971</v>
      </c>
      <c r="E260" s="62">
        <f t="shared" si="77"/>
        <v>73.901474184813807</v>
      </c>
      <c r="F260" s="62">
        <f t="shared" si="77"/>
        <v>80.591441796308089</v>
      </c>
      <c r="G260" s="62">
        <f t="shared" si="77"/>
        <v>82.076440412689649</v>
      </c>
      <c r="H260" s="62">
        <f t="shared" si="77"/>
        <v>86.099515159125389</v>
      </c>
      <c r="I260" s="62">
        <f t="shared" si="77"/>
        <v>89.452184676629969</v>
      </c>
      <c r="J260" s="62">
        <f t="shared" si="77"/>
        <v>84.409196817631639</v>
      </c>
      <c r="K260" s="62">
        <f t="shared" si="77"/>
        <v>72.785475385038197</v>
      </c>
      <c r="L260" s="62">
        <f t="shared" si="77"/>
        <v>87.120812171765778</v>
      </c>
      <c r="M260" s="62">
        <f t="shared" si="77"/>
        <v>89.116575786793533</v>
      </c>
      <c r="N260" s="62">
        <f t="shared" si="77"/>
        <v>85.933996089964182</v>
      </c>
      <c r="O260" s="62">
        <f t="shared" si="77"/>
        <v>68.401307214197331</v>
      </c>
      <c r="P260" s="62">
        <f t="shared" si="77"/>
        <v>89.676098089924977</v>
      </c>
      <c r="Q260" s="62">
        <f t="shared" si="77"/>
        <v>88.756989454226584</v>
      </c>
      <c r="R260" s="62">
        <f t="shared" si="77"/>
        <v>91.353177915318653</v>
      </c>
      <c r="S260" s="62">
        <f t="shared" si="77"/>
        <v>86.319806935297137</v>
      </c>
      <c r="T260" s="62">
        <f t="shared" si="77"/>
        <v>95.000023304547369</v>
      </c>
      <c r="U260" s="62">
        <f t="shared" si="77"/>
        <v>94.327762244529836</v>
      </c>
      <c r="V260" s="62">
        <f t="shared" si="77"/>
        <v>94.887821960328083</v>
      </c>
    </row>
    <row r="261" spans="3:22" x14ac:dyDescent="0.2">
      <c r="C261" s="87" t="s">
        <v>137</v>
      </c>
      <c r="D261" s="60">
        <f t="shared" ref="D261:V261" si="78">+IFERROR(IF(D222&gt;0,+((D222/D27)*100)," "),"")</f>
        <v>65.973175915617816</v>
      </c>
      <c r="E261" s="60">
        <f t="shared" si="78"/>
        <v>61.622933691029644</v>
      </c>
      <c r="F261" s="60">
        <f t="shared" si="78"/>
        <v>73.63058041026224</v>
      </c>
      <c r="G261" s="60">
        <f t="shared" si="78"/>
        <v>58.300634116133075</v>
      </c>
      <c r="H261" s="60">
        <f t="shared" si="78"/>
        <v>45.937373772608623</v>
      </c>
      <c r="I261" s="60">
        <f t="shared" si="78"/>
        <v>36.666858863546935</v>
      </c>
      <c r="J261" s="60">
        <f t="shared" si="78"/>
        <v>63.615016629756596</v>
      </c>
      <c r="K261" s="60">
        <f t="shared" si="78"/>
        <v>86.006716210882132</v>
      </c>
      <c r="L261" s="60">
        <f t="shared" si="78"/>
        <v>66.537487618093365</v>
      </c>
      <c r="M261" s="60">
        <f t="shared" si="78"/>
        <v>66.398726842057286</v>
      </c>
      <c r="N261" s="60">
        <f t="shared" si="78"/>
        <v>52.783717634173087</v>
      </c>
      <c r="O261" s="60">
        <f t="shared" si="78"/>
        <v>60.90922586948686</v>
      </c>
      <c r="P261" s="60">
        <f t="shared" si="78"/>
        <v>71.48276408835055</v>
      </c>
      <c r="Q261" s="60">
        <f t="shared" si="78"/>
        <v>66.594804631287531</v>
      </c>
      <c r="R261" s="60">
        <f t="shared" si="78"/>
        <v>75.361507160426697</v>
      </c>
      <c r="S261" s="60">
        <f t="shared" si="78"/>
        <v>77.435677828421035</v>
      </c>
      <c r="T261" s="60">
        <f t="shared" si="78"/>
        <v>77.104305408778401</v>
      </c>
      <c r="U261" s="60">
        <f t="shared" si="78"/>
        <v>75.447817071088636</v>
      </c>
      <c r="V261" s="60">
        <f t="shared" si="78"/>
        <v>72.991584994552568</v>
      </c>
    </row>
    <row r="262" spans="3:22" x14ac:dyDescent="0.2">
      <c r="C262" s="88" t="s">
        <v>138</v>
      </c>
      <c r="D262" s="62">
        <f t="shared" ref="D262:V262" si="79">+IFERROR(IF(D223&gt;0,+((D223/D28)*100)," "),"")</f>
        <v>85.327673277858622</v>
      </c>
      <c r="E262" s="62">
        <f t="shared" si="79"/>
        <v>72.689915505325459</v>
      </c>
      <c r="F262" s="62">
        <f t="shared" si="79"/>
        <v>70.459993592888239</v>
      </c>
      <c r="G262" s="62">
        <f t="shared" si="79"/>
        <v>12.820162318341405</v>
      </c>
      <c r="H262" s="62">
        <f t="shared" si="79"/>
        <v>26.390167577592592</v>
      </c>
      <c r="I262" s="62">
        <f t="shared" si="79"/>
        <v>13.789047289019866</v>
      </c>
      <c r="J262" s="62">
        <f t="shared" si="79"/>
        <v>4.7015998212564831</v>
      </c>
      <c r="K262" s="62">
        <f t="shared" si="79"/>
        <v>69.406741617981865</v>
      </c>
      <c r="L262" s="62">
        <f t="shared" si="79"/>
        <v>52.932436602936328</v>
      </c>
      <c r="M262" s="62">
        <f t="shared" si="79"/>
        <v>27.900699222771543</v>
      </c>
      <c r="N262" s="62">
        <f t="shared" si="79"/>
        <v>23.766960044752302</v>
      </c>
      <c r="O262" s="62">
        <f t="shared" si="79"/>
        <v>35.065335232504431</v>
      </c>
      <c r="P262" s="62">
        <f t="shared" si="79"/>
        <v>100</v>
      </c>
      <c r="Q262" s="62">
        <f t="shared" si="79"/>
        <v>100</v>
      </c>
      <c r="R262" s="62" t="str">
        <f t="shared" si="79"/>
        <v xml:space="preserve"> </v>
      </c>
      <c r="S262" s="62" t="str">
        <f t="shared" si="79"/>
        <v xml:space="preserve"> </v>
      </c>
      <c r="T262" s="62" t="str">
        <f t="shared" si="79"/>
        <v xml:space="preserve"> </v>
      </c>
      <c r="U262" s="62" t="str">
        <f t="shared" si="79"/>
        <v xml:space="preserve"> </v>
      </c>
      <c r="V262" s="62" t="str">
        <f t="shared" si="79"/>
        <v xml:space="preserve"> </v>
      </c>
    </row>
    <row r="263" spans="3:22" x14ac:dyDescent="0.2">
      <c r="C263" s="87" t="s">
        <v>139</v>
      </c>
      <c r="D263" s="60">
        <f t="shared" ref="D263:V263" si="80">+IFERROR(IF(D224&gt;0,+((D224/D29)*100)," "),"")</f>
        <v>48.709117631308388</v>
      </c>
      <c r="E263" s="60">
        <f t="shared" si="80"/>
        <v>96.96147951881909</v>
      </c>
      <c r="F263" s="60">
        <f t="shared" si="80"/>
        <v>87.698427244800854</v>
      </c>
      <c r="G263" s="60">
        <f t="shared" si="80"/>
        <v>84.474012104152834</v>
      </c>
      <c r="H263" s="60">
        <f t="shared" si="80"/>
        <v>35.504511624110243</v>
      </c>
      <c r="I263" s="60">
        <f t="shared" si="80"/>
        <v>73.194325230523532</v>
      </c>
      <c r="J263" s="60">
        <f t="shared" si="80"/>
        <v>86.195003438501189</v>
      </c>
      <c r="K263" s="60">
        <f t="shared" si="80"/>
        <v>64.26440837991953</v>
      </c>
      <c r="L263" s="60">
        <f t="shared" si="80"/>
        <v>44.500775812044694</v>
      </c>
      <c r="M263" s="60">
        <f t="shared" si="80"/>
        <v>73.507720126684291</v>
      </c>
      <c r="N263" s="60">
        <f t="shared" si="80"/>
        <v>63.830547070518818</v>
      </c>
      <c r="O263" s="60">
        <f t="shared" si="80"/>
        <v>55.134078101792802</v>
      </c>
      <c r="P263" s="60">
        <f t="shared" si="80"/>
        <v>73.763226275172542</v>
      </c>
      <c r="Q263" s="60">
        <f t="shared" si="80"/>
        <v>76.050631834045319</v>
      </c>
      <c r="R263" s="60">
        <f t="shared" si="80"/>
        <v>81.23604223868719</v>
      </c>
      <c r="S263" s="60">
        <f t="shared" si="80"/>
        <v>72.252884179094423</v>
      </c>
      <c r="T263" s="60">
        <f t="shared" si="80"/>
        <v>43.372665030772914</v>
      </c>
      <c r="U263" s="60">
        <f t="shared" si="80"/>
        <v>25.331821582281666</v>
      </c>
      <c r="V263" s="60">
        <f t="shared" si="80"/>
        <v>60.53586268143691</v>
      </c>
    </row>
    <row r="264" spans="3:22" x14ac:dyDescent="0.2">
      <c r="C264" s="88" t="s">
        <v>140</v>
      </c>
      <c r="D264" s="62">
        <f t="shared" ref="D264:V264" si="81">+IFERROR(IF(D225&gt;0,+((D225/D30)*100)," "),"")</f>
        <v>29.5175621943553</v>
      </c>
      <c r="E264" s="62">
        <f t="shared" si="81"/>
        <v>22.01600121118496</v>
      </c>
      <c r="F264" s="62">
        <f t="shared" si="81"/>
        <v>33.410237573471278</v>
      </c>
      <c r="G264" s="62">
        <f t="shared" si="81"/>
        <v>56.674051755963958</v>
      </c>
      <c r="H264" s="62">
        <f t="shared" si="81"/>
        <v>53.226258892891508</v>
      </c>
      <c r="I264" s="62">
        <f t="shared" si="81"/>
        <v>10.046487706045983</v>
      </c>
      <c r="J264" s="62">
        <f t="shared" si="81"/>
        <v>69.755246302734321</v>
      </c>
      <c r="K264" s="62">
        <f t="shared" si="81"/>
        <v>52.45544291822074</v>
      </c>
      <c r="L264" s="62">
        <f t="shared" si="81"/>
        <v>62.798185842826939</v>
      </c>
      <c r="M264" s="62">
        <f t="shared" si="81"/>
        <v>67.295657945006269</v>
      </c>
      <c r="N264" s="62">
        <f t="shared" si="81"/>
        <v>53.042019363689164</v>
      </c>
      <c r="O264" s="62">
        <f t="shared" si="81"/>
        <v>75.29876312815955</v>
      </c>
      <c r="P264" s="62">
        <f t="shared" si="81"/>
        <v>76.011115103656905</v>
      </c>
      <c r="Q264" s="62">
        <f t="shared" si="81"/>
        <v>81.566247682301523</v>
      </c>
      <c r="R264" s="62">
        <f t="shared" si="81"/>
        <v>74.364932662873244</v>
      </c>
      <c r="S264" s="62">
        <f t="shared" si="81"/>
        <v>59.69022957808329</v>
      </c>
      <c r="T264" s="62">
        <f t="shared" si="81"/>
        <v>84.032557323690284</v>
      </c>
      <c r="U264" s="62">
        <f t="shared" si="81"/>
        <v>57.715862699588214</v>
      </c>
      <c r="V264" s="62">
        <f t="shared" si="81"/>
        <v>75.758053086895842</v>
      </c>
    </row>
    <row r="265" spans="3:22" x14ac:dyDescent="0.2">
      <c r="C265" s="87" t="s">
        <v>141</v>
      </c>
      <c r="D265" s="60" t="str">
        <f t="shared" ref="D265:V265" si="82">+IFERROR(IF(D226&gt;0,+((D226/D31)*100)," "),"")</f>
        <v xml:space="preserve"> </v>
      </c>
      <c r="E265" s="60" t="str">
        <f t="shared" si="82"/>
        <v xml:space="preserve"> </v>
      </c>
      <c r="F265" s="60" t="str">
        <f t="shared" si="82"/>
        <v xml:space="preserve"> </v>
      </c>
      <c r="G265" s="60" t="str">
        <f t="shared" si="82"/>
        <v xml:space="preserve"> </v>
      </c>
      <c r="H265" s="60" t="str">
        <f t="shared" si="82"/>
        <v xml:space="preserve"> </v>
      </c>
      <c r="I265" s="60" t="str">
        <f t="shared" si="82"/>
        <v xml:space="preserve"> </v>
      </c>
      <c r="J265" s="60" t="str">
        <f t="shared" si="82"/>
        <v xml:space="preserve"> </v>
      </c>
      <c r="K265" s="60">
        <f t="shared" si="82"/>
        <v>23.432245408957289</v>
      </c>
      <c r="L265" s="60">
        <f t="shared" si="82"/>
        <v>14.101860079779078</v>
      </c>
      <c r="M265" s="60">
        <f t="shared" si="82"/>
        <v>5.1074282857142856</v>
      </c>
      <c r="N265" s="60">
        <f t="shared" si="82"/>
        <v>2.6382907070279429</v>
      </c>
      <c r="O265" s="60">
        <f t="shared" si="82"/>
        <v>6.5372432729269625E-2</v>
      </c>
      <c r="P265" s="60">
        <f t="shared" si="82"/>
        <v>6.9474973005319574E-2</v>
      </c>
      <c r="Q265" s="60">
        <f t="shared" si="82"/>
        <v>1.0998877258064514</v>
      </c>
      <c r="R265" s="60">
        <f t="shared" si="82"/>
        <v>15.897355508425335</v>
      </c>
      <c r="S265" s="60" t="str">
        <f t="shared" si="82"/>
        <v xml:space="preserve"> </v>
      </c>
      <c r="T265" s="60">
        <f t="shared" si="82"/>
        <v>0.2403221303486654</v>
      </c>
      <c r="U265" s="60" t="str">
        <f t="shared" si="82"/>
        <v xml:space="preserve"> </v>
      </c>
      <c r="V265" s="60" t="str">
        <f t="shared" si="82"/>
        <v xml:space="preserve"> </v>
      </c>
    </row>
    <row r="266" spans="3:22" x14ac:dyDescent="0.2">
      <c r="C266" s="88" t="s">
        <v>142</v>
      </c>
      <c r="D266" s="62">
        <f t="shared" ref="D266:V266" si="83">+IFERROR(IF(D227&gt;0,+((D227/D32)*100)," "),"")</f>
        <v>71.185511119499424</v>
      </c>
      <c r="E266" s="62">
        <f t="shared" si="83"/>
        <v>73.046173134158408</v>
      </c>
      <c r="F266" s="62">
        <f t="shared" si="83"/>
        <v>47.523060719913147</v>
      </c>
      <c r="G266" s="62">
        <f t="shared" si="83"/>
        <v>46.250121001293167</v>
      </c>
      <c r="H266" s="62">
        <f t="shared" si="83"/>
        <v>37.761972688381746</v>
      </c>
      <c r="I266" s="62">
        <f t="shared" si="83"/>
        <v>45.248734089219866</v>
      </c>
      <c r="J266" s="62">
        <f t="shared" si="83"/>
        <v>64.43561164704262</v>
      </c>
      <c r="K266" s="62">
        <f t="shared" si="83"/>
        <v>70.613967284010045</v>
      </c>
      <c r="L266" s="62">
        <f t="shared" si="83"/>
        <v>85.36442729972218</v>
      </c>
      <c r="M266" s="62">
        <f t="shared" si="83"/>
        <v>94.806113920950352</v>
      </c>
      <c r="N266" s="62">
        <f t="shared" si="83"/>
        <v>85.456797761201059</v>
      </c>
      <c r="O266" s="62">
        <f t="shared" si="83"/>
        <v>65.4545243600096</v>
      </c>
      <c r="P266" s="62">
        <f t="shared" si="83"/>
        <v>78.186866987063226</v>
      </c>
      <c r="Q266" s="62">
        <f t="shared" si="83"/>
        <v>79.69701807813604</v>
      </c>
      <c r="R266" s="62">
        <f t="shared" si="83"/>
        <v>72.992065239434382</v>
      </c>
      <c r="S266" s="62">
        <f t="shared" si="83"/>
        <v>64.082495396779677</v>
      </c>
      <c r="T266" s="62">
        <f t="shared" si="83"/>
        <v>52.319369032988341</v>
      </c>
      <c r="U266" s="62">
        <f t="shared" si="83"/>
        <v>60.268264663824333</v>
      </c>
      <c r="V266" s="62">
        <f t="shared" si="83"/>
        <v>83.074176352554645</v>
      </c>
    </row>
    <row r="267" spans="3:22" x14ac:dyDescent="0.2">
      <c r="C267" s="87" t="s">
        <v>143</v>
      </c>
      <c r="D267" s="60">
        <f t="shared" ref="D267:V267" si="84">+IFERROR(IF(D228&gt;0,+((D228/D33)*100)," "),"")</f>
        <v>100</v>
      </c>
      <c r="E267" s="60" t="str">
        <f t="shared" si="84"/>
        <v xml:space="preserve"> </v>
      </c>
      <c r="F267" s="60" t="str">
        <f t="shared" si="84"/>
        <v xml:space="preserve"> </v>
      </c>
      <c r="G267" s="60" t="str">
        <f t="shared" si="84"/>
        <v xml:space="preserve"> </v>
      </c>
      <c r="H267" s="60">
        <f t="shared" si="84"/>
        <v>45.47033186679996</v>
      </c>
      <c r="I267" s="60">
        <f t="shared" si="84"/>
        <v>47.748295316648296</v>
      </c>
      <c r="J267" s="60" t="str">
        <f t="shared" si="84"/>
        <v xml:space="preserve"> </v>
      </c>
      <c r="K267" s="60" t="str">
        <f t="shared" si="84"/>
        <v xml:space="preserve"> </v>
      </c>
      <c r="L267" s="60" t="str">
        <f t="shared" si="84"/>
        <v xml:space="preserve"> </v>
      </c>
      <c r="M267" s="60" t="str">
        <f t="shared" si="84"/>
        <v xml:space="preserve"> </v>
      </c>
      <c r="N267" s="60" t="str">
        <f t="shared" si="84"/>
        <v xml:space="preserve"> </v>
      </c>
      <c r="O267" s="60" t="str">
        <f t="shared" si="84"/>
        <v xml:space="preserve"> </v>
      </c>
      <c r="P267" s="60">
        <f t="shared" si="84"/>
        <v>7.6231022189221453E-2</v>
      </c>
      <c r="Q267" s="60">
        <f t="shared" si="84"/>
        <v>50.862349575365059</v>
      </c>
      <c r="R267" s="60">
        <f t="shared" si="84"/>
        <v>8.6177623181964123</v>
      </c>
      <c r="S267" s="60">
        <f t="shared" si="84"/>
        <v>6.6876714415231184</v>
      </c>
      <c r="T267" s="60">
        <f t="shared" si="84"/>
        <v>91.557205299293756</v>
      </c>
      <c r="U267" s="60">
        <f t="shared" si="84"/>
        <v>91.777205605581315</v>
      </c>
      <c r="V267" s="60">
        <f t="shared" si="84"/>
        <v>36.253216751957154</v>
      </c>
    </row>
    <row r="268" spans="3:22" x14ac:dyDescent="0.2">
      <c r="C268" s="88" t="s">
        <v>144</v>
      </c>
      <c r="D268" s="62" t="str">
        <f t="shared" ref="D268:V268" si="85">+IFERROR(IF(D229&gt;0,+((D229/D34)*100)," "),"")</f>
        <v xml:space="preserve"> </v>
      </c>
      <c r="E268" s="62" t="str">
        <f t="shared" si="85"/>
        <v xml:space="preserve"> </v>
      </c>
      <c r="F268" s="62" t="str">
        <f t="shared" si="85"/>
        <v xml:space="preserve"> </v>
      </c>
      <c r="G268" s="62" t="str">
        <f t="shared" si="85"/>
        <v xml:space="preserve"> </v>
      </c>
      <c r="H268" s="62" t="str">
        <f t="shared" si="85"/>
        <v xml:space="preserve"> </v>
      </c>
      <c r="I268" s="62" t="str">
        <f t="shared" si="85"/>
        <v xml:space="preserve"> </v>
      </c>
      <c r="J268" s="62" t="str">
        <f t="shared" si="85"/>
        <v xml:space="preserve"> </v>
      </c>
      <c r="K268" s="62" t="str">
        <f t="shared" si="85"/>
        <v xml:space="preserve"> </v>
      </c>
      <c r="L268" s="62" t="str">
        <f t="shared" si="85"/>
        <v xml:space="preserve"> </v>
      </c>
      <c r="M268" s="62" t="str">
        <f t="shared" si="85"/>
        <v xml:space="preserve"> </v>
      </c>
      <c r="N268" s="62" t="str">
        <f t="shared" si="85"/>
        <v xml:space="preserve"> </v>
      </c>
      <c r="O268" s="62" t="str">
        <f t="shared" si="85"/>
        <v xml:space="preserve"> </v>
      </c>
      <c r="P268" s="62" t="str">
        <f t="shared" si="85"/>
        <v xml:space="preserve"> </v>
      </c>
      <c r="Q268" s="62" t="str">
        <f t="shared" si="85"/>
        <v xml:space="preserve"> </v>
      </c>
      <c r="R268" s="62" t="str">
        <f t="shared" si="85"/>
        <v xml:space="preserve"> </v>
      </c>
      <c r="S268" s="62" t="str">
        <f t="shared" si="85"/>
        <v xml:space="preserve"> </v>
      </c>
      <c r="T268" s="62" t="str">
        <f t="shared" si="85"/>
        <v xml:space="preserve"> </v>
      </c>
      <c r="U268" s="62" t="str">
        <f t="shared" si="85"/>
        <v xml:space="preserve"> </v>
      </c>
      <c r="V268" s="62" t="str">
        <f t="shared" si="85"/>
        <v xml:space="preserve"> </v>
      </c>
    </row>
    <row r="269" spans="3:22" x14ac:dyDescent="0.2">
      <c r="C269" s="87" t="s">
        <v>145</v>
      </c>
      <c r="D269" s="60">
        <f t="shared" ref="D269:V269" si="86">+IFERROR(IF(D230&gt;0,+((D230/D35)*100)," "),"")</f>
        <v>29.183757689264411</v>
      </c>
      <c r="E269" s="60">
        <f t="shared" si="86"/>
        <v>1.84466628</v>
      </c>
      <c r="F269" s="60">
        <f t="shared" si="86"/>
        <v>1.5325917</v>
      </c>
      <c r="G269" s="60">
        <f t="shared" si="86"/>
        <v>2.5445862375627564</v>
      </c>
      <c r="H269" s="60">
        <f t="shared" si="86"/>
        <v>3.2585170029624613</v>
      </c>
      <c r="I269" s="60">
        <f t="shared" si="86"/>
        <v>16.421329111457521</v>
      </c>
      <c r="J269" s="60">
        <f t="shared" si="86"/>
        <v>40.072326222370364</v>
      </c>
      <c r="K269" s="60">
        <f t="shared" si="86"/>
        <v>21.205883907216496</v>
      </c>
      <c r="L269" s="60">
        <f t="shared" si="86"/>
        <v>28.095038028296752</v>
      </c>
      <c r="M269" s="60">
        <f t="shared" si="86"/>
        <v>79.319850283536013</v>
      </c>
      <c r="N269" s="60">
        <f t="shared" si="86"/>
        <v>19.394025813088202</v>
      </c>
      <c r="O269" s="60">
        <f t="shared" si="86"/>
        <v>12.014792122036322</v>
      </c>
      <c r="P269" s="60">
        <f t="shared" si="86"/>
        <v>39.202849145766585</v>
      </c>
      <c r="Q269" s="60">
        <f t="shared" si="86"/>
        <v>26.547757618763313</v>
      </c>
      <c r="R269" s="60">
        <f t="shared" si="86"/>
        <v>30.307559984466074</v>
      </c>
      <c r="S269" s="60">
        <f t="shared" si="86"/>
        <v>25.583745841589799</v>
      </c>
      <c r="T269" s="60">
        <f t="shared" si="86"/>
        <v>57.349068605049816</v>
      </c>
      <c r="U269" s="60">
        <f t="shared" si="86"/>
        <v>68.668006814565459</v>
      </c>
      <c r="V269" s="60">
        <f t="shared" si="86"/>
        <v>67.834210032281248</v>
      </c>
    </row>
    <row r="270" spans="3:22" x14ac:dyDescent="0.2">
      <c r="C270" s="88" t="s">
        <v>146</v>
      </c>
      <c r="D270" s="62">
        <f t="shared" ref="D270:V270" si="87">+IFERROR(IF(D231&gt;0,+((D231/D36)*100)," "),"")</f>
        <v>64.287880997799789</v>
      </c>
      <c r="E270" s="62">
        <f t="shared" si="87"/>
        <v>54.979904600132279</v>
      </c>
      <c r="F270" s="62">
        <f t="shared" si="87"/>
        <v>16.095974230083137</v>
      </c>
      <c r="G270" s="62">
        <f t="shared" si="87"/>
        <v>99.468425807063028</v>
      </c>
      <c r="H270" s="62">
        <f t="shared" si="87"/>
        <v>48.53537497762008</v>
      </c>
      <c r="I270" s="62">
        <f t="shared" si="87"/>
        <v>74.546475168331298</v>
      </c>
      <c r="J270" s="62">
        <f t="shared" si="87"/>
        <v>48.922332785849314</v>
      </c>
      <c r="K270" s="62">
        <f t="shared" si="87"/>
        <v>65.013081113535563</v>
      </c>
      <c r="L270" s="62">
        <f t="shared" si="87"/>
        <v>85.812918232282243</v>
      </c>
      <c r="M270" s="62">
        <f t="shared" si="87"/>
        <v>59.396129564786058</v>
      </c>
      <c r="N270" s="62">
        <f t="shared" si="87"/>
        <v>94.808816022999622</v>
      </c>
      <c r="O270" s="62">
        <f t="shared" si="87"/>
        <v>84.440273356873931</v>
      </c>
      <c r="P270" s="62">
        <f t="shared" si="87"/>
        <v>86.88906059210376</v>
      </c>
      <c r="Q270" s="62">
        <f t="shared" si="87"/>
        <v>71.862309554116948</v>
      </c>
      <c r="R270" s="62">
        <f t="shared" si="87"/>
        <v>91.489413243528546</v>
      </c>
      <c r="S270" s="62">
        <f t="shared" si="87"/>
        <v>97.522044409211134</v>
      </c>
      <c r="T270" s="62">
        <f t="shared" si="87"/>
        <v>92.628158928326243</v>
      </c>
      <c r="U270" s="62">
        <f t="shared" si="87"/>
        <v>76.738019919560656</v>
      </c>
      <c r="V270" s="62">
        <f t="shared" si="87"/>
        <v>97.706911782576711</v>
      </c>
    </row>
    <row r="271" spans="3:22" x14ac:dyDescent="0.2">
      <c r="C271" s="90" t="s">
        <v>147</v>
      </c>
      <c r="D271" s="61">
        <f t="shared" ref="D271:V271" si="88">+IFERROR(IF(D232&gt;0,+((D232/D37)*100)," "),"")</f>
        <v>70.779904300888433</v>
      </c>
      <c r="E271" s="61">
        <f t="shared" si="88"/>
        <v>80.456155228787921</v>
      </c>
      <c r="F271" s="61">
        <f t="shared" si="88"/>
        <v>76.06405927428699</v>
      </c>
      <c r="G271" s="61">
        <f t="shared" si="88"/>
        <v>69.358643143652316</v>
      </c>
      <c r="H271" s="61">
        <f t="shared" si="88"/>
        <v>71.538615913942166</v>
      </c>
      <c r="I271" s="61">
        <f t="shared" si="88"/>
        <v>73.99919217954637</v>
      </c>
      <c r="J271" s="61">
        <f t="shared" si="88"/>
        <v>76.019085324908644</v>
      </c>
      <c r="K271" s="61">
        <f t="shared" si="88"/>
        <v>82.385876606618041</v>
      </c>
      <c r="L271" s="61">
        <f t="shared" si="88"/>
        <v>90.089668095509538</v>
      </c>
      <c r="M271" s="61">
        <f t="shared" si="88"/>
        <v>83.627607575036038</v>
      </c>
      <c r="N271" s="61">
        <f t="shared" si="88"/>
        <v>87.508964874585331</v>
      </c>
      <c r="O271" s="61">
        <f t="shared" si="88"/>
        <v>61.967191020694422</v>
      </c>
      <c r="P271" s="61">
        <f t="shared" si="88"/>
        <v>77.837226912195547</v>
      </c>
      <c r="Q271" s="61">
        <f t="shared" si="88"/>
        <v>88.102203926728521</v>
      </c>
      <c r="R271" s="61">
        <f t="shared" si="88"/>
        <v>80.21404596895843</v>
      </c>
      <c r="S271" s="61">
        <f t="shared" si="88"/>
        <v>81.347359336968196</v>
      </c>
      <c r="T271" s="61">
        <f t="shared" si="88"/>
        <v>82.86842188881252</v>
      </c>
      <c r="U271" s="61">
        <f t="shared" si="88"/>
        <v>85.39820573816732</v>
      </c>
      <c r="V271" s="61">
        <f t="shared" si="88"/>
        <v>86.431426883159801</v>
      </c>
    </row>
    <row r="272" spans="3:22" ht="22.5" customHeight="1" x14ac:dyDescent="0.2">
      <c r="C272" s="89" t="s">
        <v>148</v>
      </c>
      <c r="D272" s="63" t="str">
        <f t="shared" ref="D272:V272" si="89">+IFERROR(IF(D233&gt;0,+((D233/D38)*100)," "),"")</f>
        <v xml:space="preserve"> </v>
      </c>
      <c r="E272" s="63" t="str">
        <f t="shared" si="89"/>
        <v xml:space="preserve"> </v>
      </c>
      <c r="F272" s="63" t="str">
        <f t="shared" si="89"/>
        <v xml:space="preserve"> </v>
      </c>
      <c r="G272" s="63" t="str">
        <f t="shared" si="89"/>
        <v xml:space="preserve"> </v>
      </c>
      <c r="H272" s="63" t="str">
        <f t="shared" si="89"/>
        <v xml:space="preserve"> </v>
      </c>
      <c r="I272" s="63" t="str">
        <f t="shared" si="89"/>
        <v xml:space="preserve"> </v>
      </c>
      <c r="J272" s="63" t="str">
        <f t="shared" si="89"/>
        <v xml:space="preserve"> </v>
      </c>
      <c r="K272" s="63" t="str">
        <f t="shared" si="89"/>
        <v xml:space="preserve"> </v>
      </c>
      <c r="L272" s="63" t="str">
        <f t="shared" si="89"/>
        <v xml:space="preserve"> </v>
      </c>
      <c r="M272" s="63" t="str">
        <f t="shared" si="89"/>
        <v xml:space="preserve"> </v>
      </c>
      <c r="N272" s="63" t="str">
        <f t="shared" si="89"/>
        <v xml:space="preserve"> </v>
      </c>
      <c r="O272" s="63" t="str">
        <f t="shared" si="89"/>
        <v xml:space="preserve"> </v>
      </c>
      <c r="P272" s="63" t="str">
        <f t="shared" si="89"/>
        <v xml:space="preserve"> </v>
      </c>
      <c r="Q272" s="63" t="str">
        <f t="shared" si="89"/>
        <v xml:space="preserve"> </v>
      </c>
      <c r="R272" s="63" t="str">
        <f t="shared" si="89"/>
        <v xml:space="preserve"> </v>
      </c>
      <c r="S272" s="63" t="str">
        <f t="shared" si="89"/>
        <v xml:space="preserve"> </v>
      </c>
      <c r="T272" s="63" t="str">
        <f t="shared" si="89"/>
        <v xml:space="preserve"> </v>
      </c>
      <c r="U272" s="63" t="str">
        <f t="shared" si="89"/>
        <v xml:space="preserve"> </v>
      </c>
      <c r="V272" s="63" t="str">
        <f t="shared" si="89"/>
        <v xml:space="preserve"> </v>
      </c>
    </row>
    <row r="273" spans="3:22" x14ac:dyDescent="0.2">
      <c r="C273" s="87" t="s">
        <v>149</v>
      </c>
      <c r="D273" s="60">
        <f t="shared" ref="D273:V273" si="90">+IFERROR(IF(D234&gt;0,+((D234/D39)*100)," "),"")</f>
        <v>70.648298601861441</v>
      </c>
      <c r="E273" s="60">
        <f t="shared" si="90"/>
        <v>50.138657310689219</v>
      </c>
      <c r="F273" s="60">
        <f t="shared" si="90"/>
        <v>23.584923122680713</v>
      </c>
      <c r="G273" s="60">
        <f t="shared" si="90"/>
        <v>11.050928863844316</v>
      </c>
      <c r="H273" s="60">
        <f t="shared" si="90"/>
        <v>94.812218679100198</v>
      </c>
      <c r="I273" s="60">
        <f t="shared" si="90"/>
        <v>37.13671171764399</v>
      </c>
      <c r="J273" s="60">
        <f t="shared" si="90"/>
        <v>71.689747000766488</v>
      </c>
      <c r="K273" s="60">
        <f t="shared" si="90"/>
        <v>85.989622317497506</v>
      </c>
      <c r="L273" s="60">
        <f t="shared" si="90"/>
        <v>62.359719399144787</v>
      </c>
      <c r="M273" s="60">
        <f t="shared" si="90"/>
        <v>62.738789533412806</v>
      </c>
      <c r="N273" s="60">
        <f t="shared" si="90"/>
        <v>51.324848497026977</v>
      </c>
      <c r="O273" s="60">
        <f t="shared" si="90"/>
        <v>68.390539616361522</v>
      </c>
      <c r="P273" s="60">
        <f t="shared" si="90"/>
        <v>52.791792959312886</v>
      </c>
      <c r="Q273" s="60">
        <f t="shared" si="90"/>
        <v>74.024372414158009</v>
      </c>
      <c r="R273" s="60">
        <f t="shared" si="90"/>
        <v>77.412019594198796</v>
      </c>
      <c r="S273" s="60">
        <f t="shared" si="90"/>
        <v>76.403207009963097</v>
      </c>
      <c r="T273" s="60">
        <f t="shared" si="90"/>
        <v>84.291745677423776</v>
      </c>
      <c r="U273" s="60">
        <f t="shared" si="90"/>
        <v>76.335886404424798</v>
      </c>
      <c r="V273" s="60">
        <f t="shared" si="90"/>
        <v>87.942958715364654</v>
      </c>
    </row>
    <row r="274" spans="3:22" x14ac:dyDescent="0.2">
      <c r="C274" s="88" t="s">
        <v>150</v>
      </c>
      <c r="D274" s="62">
        <f t="shared" ref="D274:V274" si="91">+IFERROR(IF(D235&gt;0,+((D235/D40)*100)," "),"")</f>
        <v>58.050528750604393</v>
      </c>
      <c r="E274" s="62">
        <f t="shared" si="91"/>
        <v>71.847889086077672</v>
      </c>
      <c r="F274" s="62">
        <f t="shared" si="91"/>
        <v>39.679254535895545</v>
      </c>
      <c r="G274" s="62">
        <f t="shared" si="91"/>
        <v>56.990783283590318</v>
      </c>
      <c r="H274" s="62">
        <f t="shared" si="91"/>
        <v>53.866046727135497</v>
      </c>
      <c r="I274" s="62">
        <f t="shared" si="91"/>
        <v>59.338985576148509</v>
      </c>
      <c r="J274" s="62">
        <f t="shared" si="91"/>
        <v>53.844088988973482</v>
      </c>
      <c r="K274" s="62">
        <f t="shared" si="91"/>
        <v>67.200670653721701</v>
      </c>
      <c r="L274" s="62">
        <f t="shared" si="91"/>
        <v>72.297088045918528</v>
      </c>
      <c r="M274" s="62">
        <f t="shared" si="91"/>
        <v>60.132464080495907</v>
      </c>
      <c r="N274" s="62">
        <f t="shared" si="91"/>
        <v>50.118106325326494</v>
      </c>
      <c r="O274" s="62">
        <f t="shared" si="91"/>
        <v>33.670527887992193</v>
      </c>
      <c r="P274" s="62">
        <f t="shared" si="91"/>
        <v>43.747965419839716</v>
      </c>
      <c r="Q274" s="62">
        <f t="shared" si="91"/>
        <v>52.631220595017339</v>
      </c>
      <c r="R274" s="62">
        <f t="shared" si="91"/>
        <v>60.943343351276404</v>
      </c>
      <c r="S274" s="62">
        <f t="shared" si="91"/>
        <v>59.374339496391272</v>
      </c>
      <c r="T274" s="62">
        <f t="shared" si="91"/>
        <v>48.555207948991757</v>
      </c>
      <c r="U274" s="62">
        <f t="shared" si="91"/>
        <v>57.414590140658326</v>
      </c>
      <c r="V274" s="62">
        <f t="shared" si="91"/>
        <v>70.146585988443633</v>
      </c>
    </row>
    <row r="275" spans="3:22" x14ac:dyDescent="0.2">
      <c r="C275" s="87" t="s">
        <v>151</v>
      </c>
      <c r="D275" s="60">
        <f t="shared" ref="D275:V275" si="92">+IFERROR(IF(D236&gt;0,+((D236/D41)*100)," "),"")</f>
        <v>25.47212579</v>
      </c>
      <c r="E275" s="60">
        <f t="shared" si="92"/>
        <v>1.8986253470201739</v>
      </c>
      <c r="F275" s="60">
        <f t="shared" si="92"/>
        <v>5.2445158873099809</v>
      </c>
      <c r="G275" s="60" t="str">
        <f t="shared" si="92"/>
        <v xml:space="preserve"> </v>
      </c>
      <c r="H275" s="60" t="str">
        <f t="shared" si="92"/>
        <v xml:space="preserve"> </v>
      </c>
      <c r="I275" s="60" t="str">
        <f t="shared" si="92"/>
        <v xml:space="preserve"> </v>
      </c>
      <c r="J275" s="60" t="str">
        <f t="shared" si="92"/>
        <v xml:space="preserve"> </v>
      </c>
      <c r="K275" s="60" t="str">
        <f t="shared" si="92"/>
        <v xml:space="preserve"> </v>
      </c>
      <c r="L275" s="60" t="str">
        <f t="shared" si="92"/>
        <v xml:space="preserve"> </v>
      </c>
      <c r="M275" s="60" t="str">
        <f t="shared" si="92"/>
        <v xml:space="preserve"> </v>
      </c>
      <c r="N275" s="60" t="str">
        <f t="shared" si="92"/>
        <v xml:space="preserve"> </v>
      </c>
      <c r="O275" s="60" t="str">
        <f t="shared" si="92"/>
        <v xml:space="preserve"> </v>
      </c>
      <c r="P275" s="60" t="str">
        <f t="shared" si="92"/>
        <v xml:space="preserve"> </v>
      </c>
      <c r="Q275" s="60" t="str">
        <f t="shared" si="92"/>
        <v xml:space="preserve"> </v>
      </c>
      <c r="R275" s="60" t="str">
        <f t="shared" si="92"/>
        <v xml:space="preserve"> </v>
      </c>
      <c r="S275" s="60" t="str">
        <f t="shared" si="92"/>
        <v xml:space="preserve"> </v>
      </c>
      <c r="T275" s="60" t="str">
        <f t="shared" si="92"/>
        <v xml:space="preserve"> </v>
      </c>
      <c r="U275" s="60" t="str">
        <f t="shared" si="92"/>
        <v xml:space="preserve"> </v>
      </c>
      <c r="V275" s="60" t="str">
        <f t="shared" si="92"/>
        <v xml:space="preserve"> </v>
      </c>
    </row>
    <row r="276" spans="3:22" x14ac:dyDescent="0.2">
      <c r="C276" s="91" t="s">
        <v>202</v>
      </c>
      <c r="D276" s="64">
        <f t="shared" ref="D276:V276" si="93">+IFERROR(IF(D237&gt;0,+((D237/D42)*100)," "),"")</f>
        <v>66.706236590747253</v>
      </c>
      <c r="E276" s="64">
        <f t="shared" si="93"/>
        <v>72.187385134014065</v>
      </c>
      <c r="F276" s="64">
        <f t="shared" si="93"/>
        <v>64.09913633195994</v>
      </c>
      <c r="G276" s="64">
        <f t="shared" si="93"/>
        <v>69.710130385713427</v>
      </c>
      <c r="H276" s="64">
        <f t="shared" si="93"/>
        <v>68.49427917760076</v>
      </c>
      <c r="I276" s="64">
        <f t="shared" si="93"/>
        <v>66.926072509501722</v>
      </c>
      <c r="J276" s="64">
        <f t="shared" si="93"/>
        <v>70.824889428571794</v>
      </c>
      <c r="K276" s="64">
        <f t="shared" si="93"/>
        <v>73.29737914894389</v>
      </c>
      <c r="L276" s="64">
        <f t="shared" si="93"/>
        <v>79.564379286736369</v>
      </c>
      <c r="M276" s="64">
        <f t="shared" si="93"/>
        <v>79.58070362573801</v>
      </c>
      <c r="N276" s="64">
        <f t="shared" si="93"/>
        <v>74.768495420080598</v>
      </c>
      <c r="O276" s="64">
        <f t="shared" si="93"/>
        <v>62.737724579107024</v>
      </c>
      <c r="P276" s="64">
        <f t="shared" si="93"/>
        <v>74.61477617203191</v>
      </c>
      <c r="Q276" s="64">
        <f t="shared" si="93"/>
        <v>81.313763804677734</v>
      </c>
      <c r="R276" s="64">
        <f t="shared" si="93"/>
        <v>77.006702586635129</v>
      </c>
      <c r="S276" s="64">
        <f t="shared" si="93"/>
        <v>75.069724535706243</v>
      </c>
      <c r="T276" s="64">
        <f t="shared" si="93"/>
        <v>78.276619491060302</v>
      </c>
      <c r="U276" s="64">
        <f t="shared" si="93"/>
        <v>76.050903167496998</v>
      </c>
      <c r="V276" s="64">
        <f t="shared" si="93"/>
        <v>84.430104075100147</v>
      </c>
    </row>
    <row r="277" spans="3:22" x14ac:dyDescent="0.2">
      <c r="C277" s="1" t="s">
        <v>52</v>
      </c>
      <c r="D277" s="11"/>
      <c r="E277" s="11"/>
      <c r="F277" s="11"/>
      <c r="G277" s="11"/>
      <c r="H277" s="11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</row>
  </sheetData>
  <mergeCells count="173">
    <mergeCell ref="U245:U246"/>
    <mergeCell ref="K245:K246"/>
    <mergeCell ref="G51:G52"/>
    <mergeCell ref="Q90:Q91"/>
    <mergeCell ref="I51:I52"/>
    <mergeCell ref="M206:M207"/>
    <mergeCell ref="U6:U7"/>
    <mergeCell ref="P51:P52"/>
    <mergeCell ref="V206:V207"/>
    <mergeCell ref="I206:I207"/>
    <mergeCell ref="I245:I246"/>
    <mergeCell ref="U51:U52"/>
    <mergeCell ref="S206:S207"/>
    <mergeCell ref="U206:U207"/>
    <mergeCell ref="T245:T246"/>
    <mergeCell ref="L243:Q243"/>
    <mergeCell ref="D48:V48"/>
    <mergeCell ref="R11:R12"/>
    <mergeCell ref="D6:D7"/>
    <mergeCell ref="L245:L246"/>
    <mergeCell ref="F51:F52"/>
    <mergeCell ref="H51:H52"/>
    <mergeCell ref="G6:G7"/>
    <mergeCell ref="R51:R52"/>
    <mergeCell ref="C168:C169"/>
    <mergeCell ref="P11:P12"/>
    <mergeCell ref="L6:L7"/>
    <mergeCell ref="N6:N7"/>
    <mergeCell ref="A7:C7"/>
    <mergeCell ref="I11:I12"/>
    <mergeCell ref="F168:F169"/>
    <mergeCell ref="D87:V87"/>
    <mergeCell ref="D90:D91"/>
    <mergeCell ref="S11:S12"/>
    <mergeCell ref="U11:U12"/>
    <mergeCell ref="L166:Q166"/>
    <mergeCell ref="E51:E52"/>
    <mergeCell ref="M11:M12"/>
    <mergeCell ref="F129:F130"/>
    <mergeCell ref="H129:H130"/>
    <mergeCell ref="Q11:Q12"/>
    <mergeCell ref="N168:N169"/>
    <mergeCell ref="V168:V169"/>
    <mergeCell ref="F11:F12"/>
    <mergeCell ref="U129:U130"/>
    <mergeCell ref="S51:S52"/>
    <mergeCell ref="C245:C246"/>
    <mergeCell ref="G90:G91"/>
    <mergeCell ref="V129:V130"/>
    <mergeCell ref="G11:G12"/>
    <mergeCell ref="S168:S169"/>
    <mergeCell ref="P129:P130"/>
    <mergeCell ref="P168:P169"/>
    <mergeCell ref="N90:N91"/>
    <mergeCell ref="J129:J130"/>
    <mergeCell ref="J51:J52"/>
    <mergeCell ref="N206:N207"/>
    <mergeCell ref="Q168:Q169"/>
    <mergeCell ref="N129:N130"/>
    <mergeCell ref="O206:O207"/>
    <mergeCell ref="K11:K12"/>
    <mergeCell ref="J245:J246"/>
    <mergeCell ref="K129:K130"/>
    <mergeCell ref="D165:V165"/>
    <mergeCell ref="C129:C130"/>
    <mergeCell ref="J206:J207"/>
    <mergeCell ref="C51:C52"/>
    <mergeCell ref="G206:G207"/>
    <mergeCell ref="O51:O52"/>
    <mergeCell ref="G129:G130"/>
    <mergeCell ref="D168:D169"/>
    <mergeCell ref="S129:S130"/>
    <mergeCell ref="P206:P207"/>
    <mergeCell ref="M129:M130"/>
    <mergeCell ref="T206:T207"/>
    <mergeCell ref="M90:M91"/>
    <mergeCell ref="K90:K91"/>
    <mergeCell ref="J168:J169"/>
    <mergeCell ref="H90:H91"/>
    <mergeCell ref="L168:L169"/>
    <mergeCell ref="O90:O91"/>
    <mergeCell ref="F206:F207"/>
    <mergeCell ref="L206:L207"/>
    <mergeCell ref="M168:M169"/>
    <mergeCell ref="L129:L130"/>
    <mergeCell ref="O168:O169"/>
    <mergeCell ref="D129:D130"/>
    <mergeCell ref="P90:P91"/>
    <mergeCell ref="T6:T7"/>
    <mergeCell ref="Q129:Q130"/>
    <mergeCell ref="L11:L12"/>
    <mergeCell ref="N11:N12"/>
    <mergeCell ref="I90:I91"/>
    <mergeCell ref="I6:I7"/>
    <mergeCell ref="K6:K7"/>
    <mergeCell ref="D9:V9"/>
    <mergeCell ref="P6:P7"/>
    <mergeCell ref="R6:R7"/>
    <mergeCell ref="H11:H12"/>
    <mergeCell ref="J11:J12"/>
    <mergeCell ref="D11:D12"/>
    <mergeCell ref="E6:E7"/>
    <mergeCell ref="S6:S7"/>
    <mergeCell ref="O6:O7"/>
    <mergeCell ref="R206:R207"/>
    <mergeCell ref="N245:N246"/>
    <mergeCell ref="O11:O12"/>
    <mergeCell ref="P245:P246"/>
    <mergeCell ref="F245:F246"/>
    <mergeCell ref="R245:R246"/>
    <mergeCell ref="E245:E246"/>
    <mergeCell ref="S245:S246"/>
    <mergeCell ref="D242:V242"/>
    <mergeCell ref="Q6:Q7"/>
    <mergeCell ref="I129:I130"/>
    <mergeCell ref="F6:F7"/>
    <mergeCell ref="M245:M246"/>
    <mergeCell ref="O245:O246"/>
    <mergeCell ref="V245:V246"/>
    <mergeCell ref="D206:D207"/>
    <mergeCell ref="V11:V12"/>
    <mergeCell ref="T90:T91"/>
    <mergeCell ref="J90:J91"/>
    <mergeCell ref="O129:O130"/>
    <mergeCell ref="L90:L91"/>
    <mergeCell ref="C206:C207"/>
    <mergeCell ref="S90:S91"/>
    <mergeCell ref="Q245:Q246"/>
    <mergeCell ref="D4:V4"/>
    <mergeCell ref="K51:K52"/>
    <mergeCell ref="E206:E207"/>
    <mergeCell ref="U90:U91"/>
    <mergeCell ref="H6:H7"/>
    <mergeCell ref="H168:H169"/>
    <mergeCell ref="M51:M52"/>
    <mergeCell ref="J6:J7"/>
    <mergeCell ref="D127:V127"/>
    <mergeCell ref="Q206:Q207"/>
    <mergeCell ref="R168:R169"/>
    <mergeCell ref="L88:Q88"/>
    <mergeCell ref="T168:T169"/>
    <mergeCell ref="R90:R91"/>
    <mergeCell ref="V6:V7"/>
    <mergeCell ref="Q51:Q52"/>
    <mergeCell ref="G245:G246"/>
    <mergeCell ref="C90:C91"/>
    <mergeCell ref="E90:E91"/>
    <mergeCell ref="T11:T12"/>
    <mergeCell ref="M6:M7"/>
    <mergeCell ref="D2:V2"/>
    <mergeCell ref="K206:K207"/>
    <mergeCell ref="H245:H246"/>
    <mergeCell ref="D204:V204"/>
    <mergeCell ref="D51:D52"/>
    <mergeCell ref="A5:C6"/>
    <mergeCell ref="H206:H207"/>
    <mergeCell ref="N51:N52"/>
    <mergeCell ref="I168:I169"/>
    <mergeCell ref="K168:K169"/>
    <mergeCell ref="E129:E130"/>
    <mergeCell ref="U168:U169"/>
    <mergeCell ref="C11:C12"/>
    <mergeCell ref="R129:R130"/>
    <mergeCell ref="E11:E12"/>
    <mergeCell ref="T129:T130"/>
    <mergeCell ref="V90:V91"/>
    <mergeCell ref="T51:T52"/>
    <mergeCell ref="L51:L52"/>
    <mergeCell ref="V51:V52"/>
    <mergeCell ref="D245:D246"/>
    <mergeCell ref="F90:F91"/>
    <mergeCell ref="E168:E169"/>
    <mergeCell ref="G168:G169"/>
  </mergeCells>
  <pageMargins left="0.7" right="0.7" top="0.75" bottom="0.75" header="0.3" footer="0.3"/>
  <pageSetup orientation="portrait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Hoja27"/>
  <dimension ref="A1:K300"/>
  <sheetViews>
    <sheetView showGridLines="0" zoomScaleNormal="100" workbookViewId="0">
      <pane xSplit="3" ySplit="9" topLeftCell="D10" activePane="bottomRight" state="frozen"/>
      <selection activeCell="C204" sqref="C204:V204"/>
      <selection pane="topRight" activeCell="C204" sqref="C204:V204"/>
      <selection pane="bottomLeft" activeCell="C204" sqref="C204:V204"/>
      <selection pane="bottomRight" activeCell="K225" sqref="K225:K255"/>
    </sheetView>
  </sheetViews>
  <sheetFormatPr baseColWidth="10" defaultColWidth="11.42578125" defaultRowHeight="11.25" x14ac:dyDescent="0.2"/>
  <cols>
    <col min="1" max="2" width="2.7109375" style="3" customWidth="1"/>
    <col min="3" max="3" width="45.7109375" style="3" customWidth="1"/>
    <col min="4" max="4" width="10.7109375" style="3" customWidth="1"/>
    <col min="5" max="33" width="10.7109375" style="9" customWidth="1"/>
    <col min="34" max="34" width="11.42578125" style="9" customWidth="1"/>
    <col min="35" max="16384" width="11.42578125" style="9"/>
  </cols>
  <sheetData>
    <row r="1" spans="1:11" ht="16.5" customHeight="1" x14ac:dyDescent="0.2"/>
    <row r="2" spans="1:11" ht="16.5" customHeight="1" x14ac:dyDescent="0.2">
      <c r="D2" s="179"/>
      <c r="E2" s="178"/>
      <c r="F2" s="178"/>
      <c r="G2" s="178"/>
      <c r="H2" s="178"/>
      <c r="I2" s="178"/>
      <c r="J2" s="178"/>
      <c r="K2" s="178"/>
    </row>
    <row r="3" spans="1:11" ht="16.5" customHeight="1" x14ac:dyDescent="0.2">
      <c r="D3" s="158"/>
      <c r="E3" s="178"/>
      <c r="F3" s="178"/>
      <c r="G3" s="178"/>
      <c r="H3" s="178"/>
      <c r="I3" s="178"/>
      <c r="J3" s="178"/>
      <c r="K3" s="178"/>
    </row>
    <row r="4" spans="1:11" ht="16.5" customHeight="1" x14ac:dyDescent="0.2">
      <c r="D4" s="158"/>
      <c r="E4" s="178"/>
      <c r="F4" s="178"/>
      <c r="G4" s="178"/>
      <c r="H4" s="178"/>
      <c r="I4" s="178"/>
      <c r="J4" s="178"/>
      <c r="K4" s="178"/>
    </row>
    <row r="5" spans="1:11" ht="16.5" customHeight="1" x14ac:dyDescent="0.2">
      <c r="D5" s="139"/>
      <c r="E5" s="139"/>
      <c r="F5" s="139"/>
      <c r="G5" s="139"/>
      <c r="H5" s="139"/>
      <c r="I5" s="139"/>
      <c r="J5" s="139"/>
      <c r="K5" s="139"/>
    </row>
    <row r="6" spans="1:11" ht="16.5" customHeight="1" x14ac:dyDescent="0.2">
      <c r="D6" s="161"/>
      <c r="E6" s="178"/>
      <c r="F6" s="178"/>
      <c r="G6" s="178"/>
      <c r="H6" s="178"/>
      <c r="I6" s="178"/>
      <c r="J6" s="178"/>
      <c r="K6" s="178"/>
    </row>
    <row r="7" spans="1:11" ht="21" customHeight="1" x14ac:dyDescent="0.2">
      <c r="A7" s="165" t="s">
        <v>225</v>
      </c>
      <c r="B7" s="158"/>
      <c r="C7" s="158"/>
      <c r="D7" s="147"/>
      <c r="E7" s="147"/>
      <c r="F7" s="147"/>
      <c r="G7" s="147"/>
      <c r="H7" s="147"/>
      <c r="I7" s="147"/>
      <c r="J7" s="147"/>
      <c r="K7" s="147"/>
    </row>
    <row r="8" spans="1:11" s="102" customFormat="1" ht="21" customHeight="1" x14ac:dyDescent="0.25">
      <c r="A8" s="176"/>
      <c r="B8" s="176"/>
      <c r="C8" s="176"/>
      <c r="D8" s="151">
        <v>2019</v>
      </c>
      <c r="E8" s="151">
        <v>2020</v>
      </c>
      <c r="F8" s="151">
        <v>2021</v>
      </c>
      <c r="G8" s="151">
        <v>2022</v>
      </c>
      <c r="H8" s="151">
        <v>2023</v>
      </c>
      <c r="I8" s="151">
        <v>2024</v>
      </c>
      <c r="J8" s="151">
        <v>2025</v>
      </c>
      <c r="K8" s="151" t="s">
        <v>36</v>
      </c>
    </row>
    <row r="9" spans="1:11" s="102" customFormat="1" ht="16.5" customHeight="1" x14ac:dyDescent="0.25">
      <c r="A9" s="162" t="s">
        <v>227</v>
      </c>
      <c r="B9" s="176"/>
      <c r="C9" s="176"/>
      <c r="D9" s="176"/>
      <c r="E9" s="176"/>
      <c r="F9" s="176"/>
      <c r="G9" s="176"/>
      <c r="H9" s="176"/>
      <c r="I9" s="176"/>
      <c r="J9" s="176"/>
      <c r="K9" s="176"/>
    </row>
    <row r="10" spans="1:11" s="102" customFormat="1" ht="16.5" customHeight="1" x14ac:dyDescent="0.25">
      <c r="A10" s="99"/>
      <c r="B10" s="98"/>
      <c r="C10" s="98"/>
      <c r="D10" s="132"/>
      <c r="E10" s="132"/>
      <c r="F10" s="132"/>
      <c r="G10" s="132"/>
      <c r="H10" s="132"/>
      <c r="I10" s="132"/>
      <c r="J10" s="132"/>
      <c r="K10" s="132"/>
    </row>
    <row r="11" spans="1:11" ht="16.5" customHeight="1" x14ac:dyDescent="0.2">
      <c r="D11" s="160" t="s">
        <v>218</v>
      </c>
      <c r="E11" s="178"/>
      <c r="F11" s="178"/>
      <c r="G11" s="178"/>
      <c r="H11" s="178"/>
      <c r="I11" s="178"/>
      <c r="J11" s="178"/>
      <c r="K11" s="178"/>
    </row>
    <row r="12" spans="1:11" ht="15.75" customHeight="1" x14ac:dyDescent="0.2">
      <c r="C12" s="150"/>
      <c r="D12" s="150"/>
      <c r="E12" s="150"/>
      <c r="F12" s="150"/>
      <c r="G12" s="150"/>
      <c r="H12" s="150"/>
      <c r="I12" s="150"/>
      <c r="J12" s="150"/>
    </row>
    <row r="13" spans="1:11" ht="9.9499999999999993" customHeight="1" x14ac:dyDescent="0.2">
      <c r="C13" s="177" t="s">
        <v>120</v>
      </c>
      <c r="D13" s="153">
        <v>2019</v>
      </c>
      <c r="E13" s="153">
        <v>2020</v>
      </c>
      <c r="F13" s="153">
        <v>2021</v>
      </c>
      <c r="G13" s="153">
        <v>2022</v>
      </c>
      <c r="H13" s="153">
        <v>2023</v>
      </c>
      <c r="I13" s="153">
        <v>2024</v>
      </c>
      <c r="J13" s="153">
        <v>2025</v>
      </c>
      <c r="K13" s="153" t="s">
        <v>36</v>
      </c>
    </row>
    <row r="14" spans="1:11" ht="9.9499999999999993" customHeight="1" thickBot="1" x14ac:dyDescent="0.25">
      <c r="C14" s="156"/>
      <c r="D14" s="154"/>
      <c r="E14" s="154"/>
      <c r="F14" s="154"/>
      <c r="G14" s="154"/>
      <c r="H14" s="154"/>
      <c r="I14" s="154"/>
      <c r="J14" s="154"/>
      <c r="K14" s="154"/>
    </row>
    <row r="15" spans="1:11" x14ac:dyDescent="0.2">
      <c r="C15" s="87" t="s">
        <v>123</v>
      </c>
      <c r="D15" s="42">
        <f>59.391623*Deflactores!$T$5</f>
        <v>89.865613940097674</v>
      </c>
      <c r="E15" s="42">
        <f>81.318970766*Deflactores!$U$5</f>
        <v>121.09432036368987</v>
      </c>
      <c r="F15" s="42">
        <f>78.364837857*Deflactores!$V$5</f>
        <v>110.4859303527915</v>
      </c>
      <c r="G15" s="42">
        <f>65.195648766*Deflactores!$W$5</f>
        <v>81.257779923051444</v>
      </c>
      <c r="H15" s="42">
        <f>68.389490579*Deflactores!$X$5</f>
        <v>78.000075607850476</v>
      </c>
      <c r="I15" s="42">
        <f>110.863673223*Deflactores!$Y$5</f>
        <v>120.19300103210927</v>
      </c>
      <c r="J15" s="42">
        <f>96.667726576*Deflactores!$Z$5</f>
        <v>99.716885161684701</v>
      </c>
      <c r="K15" s="42">
        <f>73.028282*Deflactores!$AA$5</f>
        <v>73.028282000000004</v>
      </c>
    </row>
    <row r="16" spans="1:11" x14ac:dyDescent="0.2">
      <c r="C16" s="88" t="s">
        <v>124</v>
      </c>
      <c r="D16" s="50">
        <f>99.242829765*Deflactores!$T$5</f>
        <v>150.164574993755</v>
      </c>
      <c r="E16" s="50">
        <f>117.842227316*Deflactores!$U$5</f>
        <v>175.4821082037214</v>
      </c>
      <c r="F16" s="50">
        <f>148.185412378*Deflactores!$V$5</f>
        <v>208.92537519405994</v>
      </c>
      <c r="G16" s="50">
        <f>162.973423239*Deflactores!$W$5</f>
        <v>203.12488347791739</v>
      </c>
      <c r="H16" s="50">
        <f>168.777201513*Deflactores!$X$5</f>
        <v>192.49499254111728</v>
      </c>
      <c r="I16" s="50">
        <f>186.024608301*Deflactores!$Y$5</f>
        <v>201.6788302922765</v>
      </c>
      <c r="J16" s="50">
        <f>168.587778784*Deflactores!$Z$5</f>
        <v>173.90548813052735</v>
      </c>
      <c r="K16" s="50">
        <f>193.984717302*Deflactores!$AA$5</f>
        <v>193.98471730200001</v>
      </c>
    </row>
    <row r="17" spans="3:11" x14ac:dyDescent="0.2">
      <c r="C17" s="87" t="s">
        <v>125</v>
      </c>
      <c r="D17" s="42">
        <f>0*Deflactores!$T$5</f>
        <v>0</v>
      </c>
      <c r="E17" s="42">
        <f>0*Deflactores!$U$5</f>
        <v>0</v>
      </c>
      <c r="F17" s="42">
        <f>0*Deflactores!$V$5</f>
        <v>0</v>
      </c>
      <c r="G17" s="42">
        <f>0*Deflactores!$W$5</f>
        <v>0</v>
      </c>
      <c r="H17" s="42">
        <f>0*Deflactores!$X$5</f>
        <v>0</v>
      </c>
      <c r="I17" s="42">
        <f>0*Deflactores!$Y$5</f>
        <v>0</v>
      </c>
      <c r="J17" s="42">
        <f>0*Deflactores!$Z$5</f>
        <v>0</v>
      </c>
      <c r="K17" s="42">
        <f>0*Deflactores!$AA$5</f>
        <v>0</v>
      </c>
    </row>
    <row r="18" spans="3:11" x14ac:dyDescent="0.2">
      <c r="C18" s="88" t="s">
        <v>126</v>
      </c>
      <c r="D18" s="50">
        <f>146.24565314*Deflactores!$T$5</f>
        <v>221.28466510330375</v>
      </c>
      <c r="E18" s="50">
        <f>175.630802447*Deflactores!$U$5</f>
        <v>261.53666797442042</v>
      </c>
      <c r="F18" s="50">
        <f>174.734708762*Deflactores!$V$5</f>
        <v>246.35700641303811</v>
      </c>
      <c r="G18" s="50">
        <f>182.077310778*Deflactores!$W$5</f>
        <v>226.9353603839827</v>
      </c>
      <c r="H18" s="50">
        <f>183.877402642*Deflactores!$X$5</f>
        <v>209.71718296517366</v>
      </c>
      <c r="I18" s="50">
        <f>155.509392449*Deflactores!$Y$5</f>
        <v>168.5957178193843</v>
      </c>
      <c r="J18" s="50">
        <f>171.082892829*Deflactores!$Z$5</f>
        <v>176.47930474444101</v>
      </c>
      <c r="K18" s="50">
        <f>124.881488837*Deflactores!$AA$5</f>
        <v>124.88148883700001</v>
      </c>
    </row>
    <row r="19" spans="3:11" x14ac:dyDescent="0.2">
      <c r="C19" s="87" t="s">
        <v>127</v>
      </c>
      <c r="D19" s="42">
        <f>0*Deflactores!$T$5</f>
        <v>0</v>
      </c>
      <c r="E19" s="42">
        <f>0*Deflactores!$U$5</f>
        <v>0</v>
      </c>
      <c r="F19" s="42">
        <f>0*Deflactores!$V$5</f>
        <v>0</v>
      </c>
      <c r="G19" s="42">
        <f>0*Deflactores!$W$5</f>
        <v>0</v>
      </c>
      <c r="H19" s="42">
        <f>0*Deflactores!$X$5</f>
        <v>0</v>
      </c>
      <c r="I19" s="42">
        <f>0*Deflactores!$Y$5</f>
        <v>0</v>
      </c>
      <c r="J19" s="42">
        <f>0*Deflactores!$Z$5</f>
        <v>0</v>
      </c>
      <c r="K19" s="42">
        <f>0*Deflactores!$AA$5</f>
        <v>0</v>
      </c>
    </row>
    <row r="20" spans="3:11" x14ac:dyDescent="0.2">
      <c r="C20" s="88" t="s">
        <v>128</v>
      </c>
      <c r="D20" s="50">
        <f>7.07286005*Deflactores!$T$5</f>
        <v>10.70196230713614</v>
      </c>
      <c r="E20" s="50">
        <f>7.7576333*Deflactores!$U$5</f>
        <v>11.552105532636675</v>
      </c>
      <c r="F20" s="50">
        <f>11.11824477*Deflactores!$V$5</f>
        <v>15.675520436156685</v>
      </c>
      <c r="G20" s="50">
        <f>18.472189792*Deflactores!$W$5</f>
        <v>23.023148955884931</v>
      </c>
      <c r="H20" s="50">
        <f>11.95724385*Deflactores!$X$5</f>
        <v>13.637562094195419</v>
      </c>
      <c r="I20" s="50">
        <f>14.934398786*Deflactores!$Y$5</f>
        <v>16.191148610861948</v>
      </c>
      <c r="J20" s="50">
        <f>15.686940053*Deflactores!$Z$5</f>
        <v>16.181748089145557</v>
      </c>
      <c r="K20" s="50">
        <f>19.565566*Deflactores!$AA$5</f>
        <v>19.565566</v>
      </c>
    </row>
    <row r="21" spans="3:11" x14ac:dyDescent="0.2">
      <c r="C21" s="87" t="s">
        <v>129</v>
      </c>
      <c r="D21" s="42">
        <f>76.761977774*Deflactores!$T$5</f>
        <v>116.14874137917803</v>
      </c>
      <c r="E21" s="42">
        <f>54.46401429*Deflactores!$U$5</f>
        <v>81.103864603797646</v>
      </c>
      <c r="F21" s="42">
        <f>75.56736*Deflactores!$V$5</f>
        <v>106.54178968812261</v>
      </c>
      <c r="G21" s="42">
        <f>59.99249*Deflactores!$W$5</f>
        <v>74.772728575072279</v>
      </c>
      <c r="H21" s="42">
        <f>62.572*Deflactores!$X$5</f>
        <v>71.365069246956594</v>
      </c>
      <c r="I21" s="42">
        <f>90.384*Deflactores!$Y$5</f>
        <v>97.989935652180748</v>
      </c>
      <c r="J21" s="42">
        <f>109.293352333*Deflactores!$Z$5</f>
        <v>112.74075691598073</v>
      </c>
      <c r="K21" s="42">
        <f>127.079*Deflactores!$AA$5</f>
        <v>127.07899999999999</v>
      </c>
    </row>
    <row r="22" spans="3:11" x14ac:dyDescent="0.2">
      <c r="C22" s="88" t="s">
        <v>130</v>
      </c>
      <c r="D22" s="50">
        <f>0*Deflactores!$T$5</f>
        <v>0</v>
      </c>
      <c r="E22" s="50">
        <f>0*Deflactores!$U$5</f>
        <v>0</v>
      </c>
      <c r="F22" s="50">
        <f>0*Deflactores!$V$5</f>
        <v>0</v>
      </c>
      <c r="G22" s="50">
        <f>0*Deflactores!$W$5</f>
        <v>0</v>
      </c>
      <c r="H22" s="50">
        <f>0*Deflactores!$X$5</f>
        <v>0</v>
      </c>
      <c r="I22" s="50">
        <f>0*Deflactores!$Y$5</f>
        <v>0</v>
      </c>
      <c r="J22" s="50">
        <f>0*Deflactores!$Z$5</f>
        <v>0</v>
      </c>
      <c r="K22" s="50">
        <f>0*Deflactores!$AA$5</f>
        <v>0</v>
      </c>
    </row>
    <row r="23" spans="3:11" x14ac:dyDescent="0.2">
      <c r="C23" s="87" t="s">
        <v>131</v>
      </c>
      <c r="D23" s="42">
        <f>9.339122385*Deflactores!$T$5</f>
        <v>14.131049538581125</v>
      </c>
      <c r="E23" s="42">
        <f>9.88740022*Deflactores!$U$5</f>
        <v>14.723600145530863</v>
      </c>
      <c r="F23" s="42">
        <f>11.457057952*Deflactores!$V$5</f>
        <v>16.153210311523608</v>
      </c>
      <c r="G23" s="42">
        <f>12.50188021*Deflactores!$W$5</f>
        <v>15.5819452671559</v>
      </c>
      <c r="H23" s="42">
        <f>16.69928271*Deflactores!$X$5</f>
        <v>19.045986495136077</v>
      </c>
      <c r="I23" s="42">
        <f>19.13968724*Deflactores!$Y$5</f>
        <v>20.750317766977176</v>
      </c>
      <c r="J23" s="42">
        <f>21.947315159*Deflactores!$Z$5</f>
        <v>22.639592166230326</v>
      </c>
      <c r="K23" s="42">
        <f>42.126861*Deflactores!$AA$5</f>
        <v>42.126860999999998</v>
      </c>
    </row>
    <row r="24" spans="3:11" x14ac:dyDescent="0.2">
      <c r="C24" s="88" t="s">
        <v>132</v>
      </c>
      <c r="D24" s="50">
        <f>306.447195691*Deflactores!$T$5</f>
        <v>463.68602152854061</v>
      </c>
      <c r="E24" s="50">
        <f>239.56302749*Deflactores!$U$5</f>
        <v>356.73990613637545</v>
      </c>
      <c r="F24" s="50">
        <f>314.24202685*Deflactores!$V$5</f>
        <v>443.0472089513525</v>
      </c>
      <c r="G24" s="50">
        <f>317.604086413*Deflactores!$W$5</f>
        <v>395.8516165555564</v>
      </c>
      <c r="H24" s="50">
        <f>373.177739472*Deflactores!$X$5</f>
        <v>425.61936998724673</v>
      </c>
      <c r="I24" s="50">
        <f>356.860313055*Deflactores!$Y$5</f>
        <v>386.89059029337636</v>
      </c>
      <c r="J24" s="50">
        <f>380.548154145*Deflactores!$Z$5</f>
        <v>392.55166051240616</v>
      </c>
      <c r="K24" s="50">
        <f>401.422826*Deflactores!$AA$5</f>
        <v>401.42282599999999</v>
      </c>
    </row>
    <row r="25" spans="3:11" x14ac:dyDescent="0.2">
      <c r="C25" s="87" t="s">
        <v>133</v>
      </c>
      <c r="D25" s="42">
        <f>58.206*Deflactores!$T$5</f>
        <v>88.071644800771409</v>
      </c>
      <c r="E25" s="42">
        <f>51.042373*Deflactores!$U$5</f>
        <v>76.008604264937972</v>
      </c>
      <c r="F25" s="42">
        <f>78.565592597*Deflactores!$V$5</f>
        <v>110.76897278391488</v>
      </c>
      <c r="G25" s="42">
        <f>29.7269408*Deflactores!$W$5</f>
        <v>37.050712110893251</v>
      </c>
      <c r="H25" s="42">
        <f>40.816742393*Deflactores!$X$5</f>
        <v>46.552605755156193</v>
      </c>
      <c r="I25" s="42">
        <f>28.465002476*Deflactores!$Y$5</f>
        <v>30.860370872747449</v>
      </c>
      <c r="J25" s="42">
        <f>20.470647*Deflactores!$Z$5</f>
        <v>21.116345944885165</v>
      </c>
      <c r="K25" s="42">
        <f>16.386816014*Deflactores!$AA$5</f>
        <v>16.386816014000001</v>
      </c>
    </row>
    <row r="26" spans="3:11" x14ac:dyDescent="0.2">
      <c r="C26" s="88" t="s">
        <v>134</v>
      </c>
      <c r="D26" s="50">
        <f>37.505*Deflactores!$T$5</f>
        <v>56.748909704376381</v>
      </c>
      <c r="E26" s="50">
        <f>46.194195675*Deflactores!$U$5</f>
        <v>68.789049803742159</v>
      </c>
      <c r="F26" s="50">
        <f>74.344*Deflactores!$V$5</f>
        <v>104.81698464222896</v>
      </c>
      <c r="G26" s="50">
        <f>81.407244824*Deflactores!$W$5</f>
        <v>101.46339685633002</v>
      </c>
      <c r="H26" s="50">
        <f>80.807081827*Deflactores!$X$5</f>
        <v>92.162676440394137</v>
      </c>
      <c r="I26" s="50">
        <f>74.701453895*Deflactores!$Y$5</f>
        <v>80.987682115146455</v>
      </c>
      <c r="J26" s="50">
        <f>68.772648393*Deflactores!$Z$5</f>
        <v>70.941921621360507</v>
      </c>
      <c r="K26" s="50">
        <f>80.609269*Deflactores!$AA$5</f>
        <v>80.609268999999998</v>
      </c>
    </row>
    <row r="27" spans="3:11" x14ac:dyDescent="0.2">
      <c r="C27" s="87" t="s">
        <v>135</v>
      </c>
      <c r="D27" s="42">
        <f>0*Deflactores!$T$5</f>
        <v>0</v>
      </c>
      <c r="E27" s="42">
        <f>0*Deflactores!$U$5</f>
        <v>0</v>
      </c>
      <c r="F27" s="42">
        <f>0*Deflactores!$V$5</f>
        <v>0</v>
      </c>
      <c r="G27" s="42">
        <f>0*Deflactores!$W$5</f>
        <v>0</v>
      </c>
      <c r="H27" s="42">
        <f>0*Deflactores!$X$5</f>
        <v>0</v>
      </c>
      <c r="I27" s="42">
        <f>3467.445760163*Deflactores!$Y$5</f>
        <v>3759.23600322844</v>
      </c>
      <c r="J27" s="42">
        <f>3248.117676305*Deflactores!$Z$5</f>
        <v>3350.5719932815464</v>
      </c>
      <c r="K27" s="42">
        <f>3354.689231911*Deflactores!$AA$5</f>
        <v>3354.6892319110002</v>
      </c>
    </row>
    <row r="28" spans="3:11" x14ac:dyDescent="0.2">
      <c r="C28" s="88" t="s">
        <v>136</v>
      </c>
      <c r="D28" s="50">
        <f>2006.944970603*Deflactores!$T$5</f>
        <v>3036.7134760272484</v>
      </c>
      <c r="E28" s="50">
        <f>1946.901031124*Deflactores!$U$5</f>
        <v>2899.1839783331347</v>
      </c>
      <c r="F28" s="50">
        <f>2243.849*Deflactores!$V$5</f>
        <v>3163.5839633659857</v>
      </c>
      <c r="G28" s="50">
        <f>2452.423*Deflactores!$W$5</f>
        <v>3056.621909346728</v>
      </c>
      <c r="H28" s="50">
        <f>3038.367727041*Deflactores!$X$5</f>
        <v>3465.3410988620954</v>
      </c>
      <c r="I28" s="50">
        <f>0*Deflactores!$Y$5</f>
        <v>0</v>
      </c>
      <c r="J28" s="50">
        <f>0*Deflactores!$Z$5</f>
        <v>0</v>
      </c>
      <c r="K28" s="50">
        <f>0*Deflactores!$AA$5</f>
        <v>0</v>
      </c>
    </row>
    <row r="29" spans="3:11" x14ac:dyDescent="0.2">
      <c r="C29" s="87" t="s">
        <v>137</v>
      </c>
      <c r="D29" s="42">
        <f>41.208440557*Deflactores!$T$5</f>
        <v>62.352594913407664</v>
      </c>
      <c r="E29" s="42">
        <f>32.647898069*Deflactores!$U$5</f>
        <v>48.616884728471646</v>
      </c>
      <c r="F29" s="42">
        <f>100.295438877*Deflactores!$V$5</f>
        <v>141.40570155568872</v>
      </c>
      <c r="G29" s="42">
        <f>86.527398775*Deflactores!$W$5</f>
        <v>107.84499364687342</v>
      </c>
      <c r="H29" s="42">
        <f>49.690029584*Deflactores!$X$5</f>
        <v>56.672831332632512</v>
      </c>
      <c r="I29" s="42">
        <f>57.064031157*Deflactores!$Y$5</f>
        <v>61.866046436631123</v>
      </c>
      <c r="J29" s="42">
        <f>51.236914025*Deflactores!$Z$5</f>
        <v>52.853063300844305</v>
      </c>
      <c r="K29" s="42">
        <f>52.788446*Deflactores!$AA$5</f>
        <v>52.788446</v>
      </c>
    </row>
    <row r="30" spans="3:11" x14ac:dyDescent="0.2">
      <c r="C30" s="88" t="s">
        <v>138</v>
      </c>
      <c r="D30" s="50">
        <f>0*Deflactores!$T$5</f>
        <v>0</v>
      </c>
      <c r="E30" s="50">
        <f>0*Deflactores!$U$5</f>
        <v>0</v>
      </c>
      <c r="F30" s="50">
        <f>0*Deflactores!$V$5</f>
        <v>0</v>
      </c>
      <c r="G30" s="50">
        <f>0*Deflactores!$W$5</f>
        <v>0</v>
      </c>
      <c r="H30" s="50">
        <f>0*Deflactores!$X$5</f>
        <v>0</v>
      </c>
      <c r="I30" s="50">
        <f>0*Deflactores!$Y$5</f>
        <v>0</v>
      </c>
      <c r="J30" s="50">
        <f>0*Deflactores!$Z$5</f>
        <v>0</v>
      </c>
      <c r="K30" s="50">
        <f>0*Deflactores!$AA$5</f>
        <v>0</v>
      </c>
    </row>
    <row r="31" spans="3:11" x14ac:dyDescent="0.2">
      <c r="C31" s="87" t="s">
        <v>160</v>
      </c>
      <c r="D31" s="42">
        <f>0*Deflactores!$T$5</f>
        <v>0</v>
      </c>
      <c r="E31" s="42">
        <f>0*Deflactores!$U$5</f>
        <v>0</v>
      </c>
      <c r="F31" s="42">
        <f>0*Deflactores!$V$5</f>
        <v>0</v>
      </c>
      <c r="G31" s="42">
        <f>0*Deflactores!$W$5</f>
        <v>0</v>
      </c>
      <c r="H31" s="42">
        <f>0*Deflactores!$X$5</f>
        <v>0</v>
      </c>
      <c r="I31" s="42">
        <f>0*Deflactores!$Y$5</f>
        <v>0</v>
      </c>
      <c r="J31" s="42">
        <f>0*Deflactores!$Z$5</f>
        <v>0</v>
      </c>
      <c r="K31" s="42">
        <f>0*Deflactores!$AA$5</f>
        <v>0</v>
      </c>
    </row>
    <row r="32" spans="3:11" x14ac:dyDescent="0.2">
      <c r="C32" s="88" t="s">
        <v>161</v>
      </c>
      <c r="D32" s="50">
        <f>62.809290072*Deflactores!$T$5</f>
        <v>95.036894571174827</v>
      </c>
      <c r="E32" s="50">
        <f>52.303111521*Deflactores!$U$5</f>
        <v>77.886004740112824</v>
      </c>
      <c r="F32" s="50">
        <f>69.274*Deflactores!$V$5</f>
        <v>97.668833989370611</v>
      </c>
      <c r="G32" s="50">
        <f>196.276714329*Deflactores!$W$5</f>
        <v>244.63304467158002</v>
      </c>
      <c r="H32" s="50">
        <f>154.81551*Deflactores!$X$5</f>
        <v>176.57130332501598</v>
      </c>
      <c r="I32" s="50">
        <f>141.838844636*Deflactores!$Y$5</f>
        <v>153.7747749475715</v>
      </c>
      <c r="J32" s="50">
        <f>260.597100884*Deflactores!$Z$5</f>
        <v>268.81703028246653</v>
      </c>
      <c r="K32" s="50">
        <f>183.564248162*Deflactores!$AA$5</f>
        <v>183.56424816200001</v>
      </c>
    </row>
    <row r="33" spans="1:11" x14ac:dyDescent="0.2">
      <c r="C33" s="87" t="s">
        <v>140</v>
      </c>
      <c r="D33" s="42">
        <f>309.107080199*Deflactores!$T$5</f>
        <v>467.71069945864491</v>
      </c>
      <c r="E33" s="42">
        <f>171.646519202*Deflactores!$U$5</f>
        <v>255.603561995029</v>
      </c>
      <c r="F33" s="42">
        <f>506.819686674*Deflactores!$V$5</f>
        <v>714.56084303357306</v>
      </c>
      <c r="G33" s="42">
        <f>496.931818545*Deflactores!$W$5</f>
        <v>619.3599896984166</v>
      </c>
      <c r="H33" s="42">
        <f>543.074729679*Deflactores!$X$5</f>
        <v>619.39151201518359</v>
      </c>
      <c r="I33" s="42">
        <f>567.825246759*Deflactores!$Y$5</f>
        <v>615.60850805007601</v>
      </c>
      <c r="J33" s="42">
        <f>522.887496808*Deflactores!$Z$5</f>
        <v>539.38076665836536</v>
      </c>
      <c r="K33" s="42">
        <f>512.078245832*Deflactores!$AA$5</f>
        <v>512.07824583199999</v>
      </c>
    </row>
    <row r="34" spans="1:11" x14ac:dyDescent="0.2">
      <c r="C34" s="88" t="s">
        <v>141</v>
      </c>
      <c r="D34" s="50">
        <f>0*Deflactores!$T$5</f>
        <v>0</v>
      </c>
      <c r="E34" s="50">
        <f>0*Deflactores!$U$5</f>
        <v>0</v>
      </c>
      <c r="F34" s="50">
        <f>0*Deflactores!$V$5</f>
        <v>0</v>
      </c>
      <c r="G34" s="50">
        <f>0*Deflactores!$W$5</f>
        <v>0</v>
      </c>
      <c r="H34" s="50">
        <f>0*Deflactores!$X$5</f>
        <v>0</v>
      </c>
      <c r="I34" s="50">
        <f>0*Deflactores!$Y$5</f>
        <v>0</v>
      </c>
      <c r="J34" s="50">
        <f>0.898818033*Deflactores!$Z$5</f>
        <v>0.92716915720002446</v>
      </c>
      <c r="K34" s="50">
        <f>1.041226669*Deflactores!$AA$5</f>
        <v>1.041226669</v>
      </c>
    </row>
    <row r="35" spans="1:11" x14ac:dyDescent="0.2">
      <c r="C35" s="87" t="s">
        <v>142</v>
      </c>
      <c r="D35" s="42">
        <f>22.542054681*Deflactores!$T$5</f>
        <v>34.108439558543765</v>
      </c>
      <c r="E35" s="42">
        <f>22.69055155*Deflactores!$U$5</f>
        <v>33.78912562151303</v>
      </c>
      <c r="F35" s="42">
        <f>23.534*Deflactores!$V$5</f>
        <v>33.18039003241978</v>
      </c>
      <c r="G35" s="42">
        <f>29.22694107*Deflactores!$W$5</f>
        <v>36.427528374080531</v>
      </c>
      <c r="H35" s="42">
        <f>29.9945*Deflactores!$X$5</f>
        <v>34.209543718082195</v>
      </c>
      <c r="I35" s="42">
        <f>33.032*Deflactores!$Y$5</f>
        <v>35.811687405545605</v>
      </c>
      <c r="J35" s="42">
        <f>38.078*Deflactores!$Z$5</f>
        <v>39.279081940562861</v>
      </c>
      <c r="K35" s="42">
        <f>33.195536331*Deflactores!$AA$5</f>
        <v>33.195536331</v>
      </c>
    </row>
    <row r="36" spans="1:11" x14ac:dyDescent="0.2">
      <c r="C36" s="88" t="s">
        <v>143</v>
      </c>
      <c r="D36" s="50">
        <f>65.340976861*Deflactores!$T$5</f>
        <v>98.86759621065552</v>
      </c>
      <c r="E36" s="50">
        <f>37.175760739*Deflactores!$U$5</f>
        <v>55.359449809644794</v>
      </c>
      <c r="F36" s="50">
        <f>140.242395277*Deflactores!$V$5</f>
        <v>197.72658172735814</v>
      </c>
      <c r="G36" s="50">
        <f>129.934163842*Deflactores!$W$5</f>
        <v>161.94580297611981</v>
      </c>
      <c r="H36" s="50">
        <f>85.554953356*Deflactores!$X$5</f>
        <v>97.577753159098009</v>
      </c>
      <c r="I36" s="50">
        <f>56.133921012*Deflactores!$Y$5</f>
        <v>60.857666266933052</v>
      </c>
      <c r="J36" s="50">
        <f>8.979918869*Deflactores!$Z$5</f>
        <v>9.2631695224291608</v>
      </c>
      <c r="K36" s="50">
        <f>54.001583605*Deflactores!$AA$5</f>
        <v>54.001583605</v>
      </c>
    </row>
    <row r="37" spans="1:11" x14ac:dyDescent="0.2">
      <c r="C37" s="87" t="s">
        <v>144</v>
      </c>
      <c r="D37" s="42">
        <f>0*Deflactores!$T$5</f>
        <v>0</v>
      </c>
      <c r="E37" s="42">
        <f>0*Deflactores!$U$5</f>
        <v>0</v>
      </c>
      <c r="F37" s="42">
        <f>0*Deflactores!$V$5</f>
        <v>0</v>
      </c>
      <c r="G37" s="42">
        <f>0*Deflactores!$W$5</f>
        <v>0</v>
      </c>
      <c r="H37" s="42">
        <f>0*Deflactores!$X$5</f>
        <v>0</v>
      </c>
      <c r="I37" s="42">
        <f>0*Deflactores!$Y$5</f>
        <v>0</v>
      </c>
      <c r="J37" s="42">
        <f>0*Deflactores!$Z$5</f>
        <v>0</v>
      </c>
      <c r="K37" s="42">
        <f>0*Deflactores!$AA$5</f>
        <v>0</v>
      </c>
    </row>
    <row r="38" spans="1:11" x14ac:dyDescent="0.2">
      <c r="C38" s="88" t="s">
        <v>145</v>
      </c>
      <c r="D38" s="50">
        <f>49.833491261*Deflactores!$T$5</f>
        <v>75.403180797875436</v>
      </c>
      <c r="E38" s="50">
        <f>30.764101275*Deflactores!$U$5</f>
        <v>45.811671008672512</v>
      </c>
      <c r="F38" s="50">
        <f>54.61645*Deflactores!$V$5</f>
        <v>77.003276671460583</v>
      </c>
      <c r="G38" s="50">
        <f>62.857344513*Deflactores!$W$5</f>
        <v>78.343391984902752</v>
      </c>
      <c r="H38" s="50">
        <f>92.715015196*Deflactores!$X$5</f>
        <v>105.74399858874851</v>
      </c>
      <c r="I38" s="50">
        <f>123.506622398*Deflactores!$Y$5</f>
        <v>133.89987145289217</v>
      </c>
      <c r="J38" s="50">
        <f>164.063830267*Deflactores!$Z$5</f>
        <v>169.23884218026393</v>
      </c>
      <c r="K38" s="50">
        <f>170.662621432*Deflactores!$AA$5</f>
        <v>170.66262143200001</v>
      </c>
    </row>
    <row r="39" spans="1:11" x14ac:dyDescent="0.2">
      <c r="C39" s="87" t="s">
        <v>146</v>
      </c>
      <c r="D39" s="42">
        <f>9.18*Deflactores!$T$5</f>
        <v>13.890281058156916</v>
      </c>
      <c r="E39" s="42">
        <f>3.126532629*Deflactores!$U$5</f>
        <v>4.6558058991316322</v>
      </c>
      <c r="F39" s="42">
        <f>1.166273946*Deflactores!$V$5</f>
        <v>1.6443198951699367</v>
      </c>
      <c r="G39" s="42">
        <f>4.308*Deflactores!$W$5</f>
        <v>5.3693539758294975</v>
      </c>
      <c r="H39" s="42">
        <f>30.520829316*Deflactores!$X$5</f>
        <v>34.809836629976388</v>
      </c>
      <c r="I39" s="42">
        <f>67.387371775*Deflactores!$Y$5</f>
        <v>73.058110108003973</v>
      </c>
      <c r="J39" s="42">
        <f>168.91291403*Deflactores!$Z$5</f>
        <v>174.24087901159777</v>
      </c>
      <c r="K39" s="42">
        <f>191.092961587*Deflactores!$AA$5</f>
        <v>191.09296158699999</v>
      </c>
    </row>
    <row r="40" spans="1:11" x14ac:dyDescent="0.2">
      <c r="C40" s="88" t="s">
        <v>162</v>
      </c>
      <c r="D40" s="50">
        <f>122.04812109*Deflactores!$T$5</f>
        <v>184.67131857952816</v>
      </c>
      <c r="E40" s="50">
        <f>120.039074013*Deflactores!$U$5</f>
        <v>178.75349316113724</v>
      </c>
      <c r="F40" s="50">
        <f>131.184513934*Deflactores!$V$5</f>
        <v>184.95595047775677</v>
      </c>
      <c r="G40" s="50">
        <f>157.6052207*Deflactores!$W$5</f>
        <v>196.43412682846576</v>
      </c>
      <c r="H40" s="50">
        <f>180.119216*Deflactores!$X$5</f>
        <v>205.43086879990298</v>
      </c>
      <c r="I40" s="50">
        <f>182.916876989*Deflactores!$Y$5</f>
        <v>198.30957919377292</v>
      </c>
      <c r="J40" s="50">
        <f>148.757396579*Deflactores!$Z$5</f>
        <v>153.4496026443444</v>
      </c>
      <c r="K40" s="50">
        <f>402.012049*Deflactores!$AA$5</f>
        <v>402.01204899999999</v>
      </c>
    </row>
    <row r="41" spans="1:11" x14ac:dyDescent="0.2">
      <c r="C41" s="87" t="s">
        <v>148</v>
      </c>
      <c r="D41" s="42">
        <f>0*Deflactores!$T$5</f>
        <v>0</v>
      </c>
      <c r="E41" s="42">
        <f>0*Deflactores!$U$5</f>
        <v>0</v>
      </c>
      <c r="F41" s="42">
        <f>0*Deflactores!$V$5</f>
        <v>0</v>
      </c>
      <c r="G41" s="42">
        <f>0*Deflactores!$W$5</f>
        <v>0</v>
      </c>
      <c r="H41" s="42">
        <f>0*Deflactores!$X$5</f>
        <v>0</v>
      </c>
      <c r="I41" s="42">
        <f>0*Deflactores!$Y$5</f>
        <v>0</v>
      </c>
      <c r="J41" s="42">
        <f>0*Deflactores!$Z$5</f>
        <v>0</v>
      </c>
      <c r="K41" s="42">
        <f>0*Deflactores!$AA$5</f>
        <v>0</v>
      </c>
    </row>
    <row r="42" spans="1:11" x14ac:dyDescent="0.2">
      <c r="C42" s="88" t="s">
        <v>149</v>
      </c>
      <c r="D42" s="50">
        <f>1126.589832872*Deflactores!$T$5</f>
        <v>1704.6459058664605</v>
      </c>
      <c r="E42" s="50">
        <f>1268.783313599*Deflactores!$U$5</f>
        <v>1889.380197533196</v>
      </c>
      <c r="F42" s="50">
        <f>1606.674211183*Deflactores!$V$5</f>
        <v>2265.2365506111296</v>
      </c>
      <c r="G42" s="50">
        <f>1565.590897309*Deflactores!$W$5</f>
        <v>1951.3026251134054</v>
      </c>
      <c r="H42" s="50">
        <f>1495.299573094*Deflactores!$X$5</f>
        <v>1705.4298660550714</v>
      </c>
      <c r="I42" s="50">
        <f>2453.682613618*Deflactores!$Y$5</f>
        <v>2660.1633189425393</v>
      </c>
      <c r="J42" s="50">
        <f>1395.728136921*Deflactores!$Z$5</f>
        <v>1439.7531345361915</v>
      </c>
      <c r="K42" s="50">
        <f>1507.851472581*Deflactores!$AA$5</f>
        <v>1507.8514725810001</v>
      </c>
    </row>
    <row r="43" spans="1:11" x14ac:dyDescent="0.2">
      <c r="C43" s="87" t="s">
        <v>163</v>
      </c>
      <c r="D43" s="42">
        <f>1569.718*Deflactores!$T$5</f>
        <v>2375.1442485891021</v>
      </c>
      <c r="E43" s="42">
        <f>1523.399885081*Deflactores!$U$5</f>
        <v>2268.536750875076</v>
      </c>
      <c r="F43" s="42">
        <f>1612.14226607*Deflactores!$V$5</f>
        <v>2272.945915524419</v>
      </c>
      <c r="G43" s="42">
        <f>1665.025032*Deflactores!$W$5</f>
        <v>2075.2341632833886</v>
      </c>
      <c r="H43" s="42">
        <f>2193.285850138*Deflactores!$X$5</f>
        <v>2501.5022146242477</v>
      </c>
      <c r="I43" s="42">
        <f>2160.31034*Deflactores!$Y$5</f>
        <v>2342.1033723373685</v>
      </c>
      <c r="J43" s="42">
        <f>2942.420134867*Deflactores!$Z$5</f>
        <v>3035.2319339514393</v>
      </c>
      <c r="K43" s="42">
        <f>2916.330264*Deflactores!$AA$5</f>
        <v>2916.3302640000002</v>
      </c>
    </row>
    <row r="44" spans="1:11" x14ac:dyDescent="0.2">
      <c r="C44" s="88" t="s">
        <v>150</v>
      </c>
      <c r="D44" s="50">
        <f>2143.073694073*Deflactores!$T$5</f>
        <v>3242.690189435355</v>
      </c>
      <c r="E44" s="50">
        <f>2137.772616813*Deflactores!$U$5</f>
        <v>3183.4161166401918</v>
      </c>
      <c r="F44" s="50">
        <f>2737.910385*Deflactores!$V$5</f>
        <v>3860.1569834330166</v>
      </c>
      <c r="G44" s="50">
        <f>2614.371402011*Deflactores!$W$5</f>
        <v>3258.4692390164118</v>
      </c>
      <c r="H44" s="50">
        <f>2483.922056545*Deflactores!$X$5</f>
        <v>2832.9807193213696</v>
      </c>
      <c r="I44" s="50">
        <f>3168.695512848*Deflactores!$Y$5</f>
        <v>3435.3455191773919</v>
      </c>
      <c r="J44" s="50">
        <f>3780.044804515*Deflactores!$Z$5</f>
        <v>3899.2775254883031</v>
      </c>
      <c r="K44" s="50">
        <f>5543.515783918*Deflactores!$AA$5</f>
        <v>5543.5157839180001</v>
      </c>
    </row>
    <row r="45" spans="1:11" x14ac:dyDescent="0.2">
      <c r="C45" s="87" t="s">
        <v>151</v>
      </c>
      <c r="D45" s="42">
        <f>0*Deflactores!$T$5</f>
        <v>0</v>
      </c>
      <c r="E45" s="42">
        <f>0*Deflactores!$U$5</f>
        <v>0</v>
      </c>
      <c r="F45" s="42">
        <f>0*Deflactores!$V$5</f>
        <v>0</v>
      </c>
      <c r="G45" s="42">
        <f>0*Deflactores!$W$5</f>
        <v>0</v>
      </c>
      <c r="H45" s="42">
        <f>0*Deflactores!$X$5</f>
        <v>0</v>
      </c>
      <c r="I45" s="42">
        <f>0*Deflactores!$Y$5</f>
        <v>0</v>
      </c>
      <c r="J45" s="42">
        <f>0*Deflactores!$Z$5</f>
        <v>0</v>
      </c>
      <c r="K45" s="42">
        <f>0*Deflactores!$AA$5</f>
        <v>0</v>
      </c>
    </row>
    <row r="46" spans="1:11" ht="21.75" customHeight="1" x14ac:dyDescent="0.2">
      <c r="C46" s="79" t="s">
        <v>202</v>
      </c>
      <c r="D46" s="44">
        <f t="shared" ref="D46:K46" si="0">+SUM(D15:D45)</f>
        <v>12602.038008361891</v>
      </c>
      <c r="E46" s="44">
        <f t="shared" si="0"/>
        <v>12108.023267374165</v>
      </c>
      <c r="F46" s="44">
        <f t="shared" si="0"/>
        <v>14372.841309090538</v>
      </c>
      <c r="G46" s="44">
        <f t="shared" si="0"/>
        <v>12951.047741022048</v>
      </c>
      <c r="H46" s="44">
        <f t="shared" si="0"/>
        <v>12984.257067564649</v>
      </c>
      <c r="I46" s="44">
        <f t="shared" si="0"/>
        <v>14654.172052002226</v>
      </c>
      <c r="J46" s="44">
        <f t="shared" si="0"/>
        <v>14218.557895242217</v>
      </c>
      <c r="K46" s="44">
        <f t="shared" si="0"/>
        <v>16001.908497181001</v>
      </c>
    </row>
    <row r="47" spans="1:11" s="31" customFormat="1" x14ac:dyDescent="0.2">
      <c r="A47" s="5"/>
      <c r="B47" s="5"/>
      <c r="C47" s="72" t="str">
        <f>+'C1 Aprop Resumen 2000-2026'!B20</f>
        <v>* Información con corte a 28 de febrero</v>
      </c>
      <c r="D47" s="121">
        <f>+D46-'C7 Ejec. Prop 19-26'!D32</f>
        <v>0</v>
      </c>
      <c r="E47" s="121">
        <f>+E46-'C7 Ejec. Prop 19-26'!E32</f>
        <v>0</v>
      </c>
      <c r="F47" s="121">
        <f>+F46-'C7 Ejec. Prop 19-26'!F32</f>
        <v>0</v>
      </c>
      <c r="G47" s="121">
        <f>+G46-'C7 Ejec. Prop 19-26'!G32</f>
        <v>0</v>
      </c>
      <c r="H47" s="121">
        <f>+H46-'C7 Ejec. Prop 19-26'!H32</f>
        <v>0</v>
      </c>
      <c r="I47" s="121">
        <f>+I46-'C7 Ejec. Prop 19-26'!I32</f>
        <v>0</v>
      </c>
      <c r="J47" s="121">
        <f>+J46-'C7 Ejec. Prop 19-26'!J32</f>
        <v>0</v>
      </c>
      <c r="K47" s="121">
        <f>+K46-'C7 Ejec. Prop 19-26'!K32</f>
        <v>0</v>
      </c>
    </row>
    <row r="48" spans="1:11" x14ac:dyDescent="0.2">
      <c r="C48" s="1" t="s">
        <v>52</v>
      </c>
      <c r="D48" s="10"/>
      <c r="E48" s="10"/>
      <c r="F48" s="10"/>
    </row>
    <row r="49" spans="3:11" x14ac:dyDescent="0.2">
      <c r="D49" s="10"/>
    </row>
    <row r="50" spans="3:11" x14ac:dyDescent="0.2">
      <c r="D50" s="10"/>
    </row>
    <row r="51" spans="3:11" x14ac:dyDescent="0.2">
      <c r="D51" s="10"/>
    </row>
    <row r="53" spans="3:11" ht="14.25" customHeight="1" x14ac:dyDescent="0.2">
      <c r="D53" s="160" t="s">
        <v>219</v>
      </c>
      <c r="E53" s="178"/>
      <c r="F53" s="178"/>
      <c r="G53" s="178"/>
      <c r="H53" s="178"/>
      <c r="I53" s="178"/>
      <c r="J53" s="178"/>
      <c r="K53" s="178"/>
    </row>
    <row r="54" spans="3:11" ht="11.25" hidden="1" customHeight="1" x14ac:dyDescent="0.2">
      <c r="D54" s="28"/>
    </row>
    <row r="55" spans="3:11" ht="15.75" customHeight="1" x14ac:dyDescent="0.2">
      <c r="C55" s="2"/>
      <c r="D55" s="2"/>
      <c r="E55" s="2"/>
      <c r="F55" s="2"/>
      <c r="G55" s="2"/>
      <c r="H55" s="2"/>
      <c r="I55" s="2"/>
      <c r="J55" s="2"/>
    </row>
    <row r="56" spans="3:11" ht="12" thickBot="1" x14ac:dyDescent="0.25">
      <c r="C56" s="177" t="s">
        <v>120</v>
      </c>
      <c r="D56" s="153">
        <v>2019</v>
      </c>
      <c r="E56" s="153">
        <v>2020</v>
      </c>
      <c r="F56" s="153">
        <v>2021</v>
      </c>
      <c r="G56" s="153">
        <v>2022</v>
      </c>
      <c r="H56" s="153">
        <v>2023</v>
      </c>
      <c r="I56" s="153">
        <v>2024</v>
      </c>
      <c r="J56" s="153">
        <v>2025</v>
      </c>
      <c r="K56" s="153" t="s">
        <v>36</v>
      </c>
    </row>
    <row r="57" spans="3:11" ht="12" customHeight="1" thickBot="1" x14ac:dyDescent="0.25">
      <c r="C57" s="156"/>
      <c r="D57" s="154"/>
      <c r="E57" s="154"/>
      <c r="F57" s="154"/>
      <c r="G57" s="154"/>
      <c r="H57" s="154"/>
      <c r="I57" s="154"/>
      <c r="J57" s="154"/>
      <c r="K57" s="154"/>
    </row>
    <row r="58" spans="3:11" x14ac:dyDescent="0.2">
      <c r="C58" s="87" t="s">
        <v>123</v>
      </c>
      <c r="D58" s="42">
        <f>52.99446910226*Deflactores!$T$5</f>
        <v>80.186064309172551</v>
      </c>
      <c r="E58" s="42">
        <f>75.33916343173*Deflactores!$U$5</f>
        <v>112.18962447012116</v>
      </c>
      <c r="F58" s="42">
        <f>74.29326591088*Deflactores!$V$5</f>
        <v>104.74545507373482</v>
      </c>
      <c r="G58" s="42">
        <f>57.28077929205*Deflactores!$W$5</f>
        <v>71.392938725715098</v>
      </c>
      <c r="H58" s="42">
        <f>61.19608403786*Deflactores!$X$5</f>
        <v>69.79579963888726</v>
      </c>
      <c r="I58" s="42">
        <f>105.38489283678*Deflactores!$Y$5</f>
        <v>114.25317387798765</v>
      </c>
      <c r="J58" s="42">
        <f>87.95719148905*Deflactores!$Z$5</f>
        <v>90.731596506123566</v>
      </c>
      <c r="K58" s="42">
        <f>33.021557716*Deflactores!$AA$5</f>
        <v>33.021557715999997</v>
      </c>
    </row>
    <row r="59" spans="3:11" x14ac:dyDescent="0.2">
      <c r="C59" s="88" t="s">
        <v>124</v>
      </c>
      <c r="D59" s="50">
        <f>95.52390098196*Deflactores!$T$5</f>
        <v>144.53745451099954</v>
      </c>
      <c r="E59" s="50">
        <f>112.22837949245*Deflactores!$U$5</f>
        <v>167.12237270271334</v>
      </c>
      <c r="F59" s="50">
        <f>127.23429528279*Deflactores!$V$5</f>
        <v>179.3865701955911</v>
      </c>
      <c r="G59" s="50">
        <f>138.58533964589*Deflactores!$W$5</f>
        <v>172.72835292928062</v>
      </c>
      <c r="H59" s="50">
        <f>143.9613803473*Deflactores!$X$5</f>
        <v>164.19187300026402</v>
      </c>
      <c r="I59" s="50">
        <f>154.25854228965*Deflactores!$Y$5</f>
        <v>167.23960693000978</v>
      </c>
      <c r="J59" s="50">
        <f>159.40243966246*Deflactores!$Z$5</f>
        <v>164.43041885149938</v>
      </c>
      <c r="K59" s="50">
        <f>119.52399188991*Deflactores!$AA$5</f>
        <v>119.52399188990999</v>
      </c>
    </row>
    <row r="60" spans="3:11" x14ac:dyDescent="0.2">
      <c r="C60" s="87" t="s">
        <v>125</v>
      </c>
      <c r="D60" s="42">
        <f>0*Deflactores!$T$5</f>
        <v>0</v>
      </c>
      <c r="E60" s="42">
        <f>0*Deflactores!$U$5</f>
        <v>0</v>
      </c>
      <c r="F60" s="42">
        <f>0*Deflactores!$V$5</f>
        <v>0</v>
      </c>
      <c r="G60" s="42">
        <f>0*Deflactores!$W$5</f>
        <v>0</v>
      </c>
      <c r="H60" s="42">
        <f>0*Deflactores!$X$5</f>
        <v>0</v>
      </c>
      <c r="I60" s="42">
        <f>0*Deflactores!$Y$5</f>
        <v>0</v>
      </c>
      <c r="J60" s="42">
        <f>0*Deflactores!$Z$5</f>
        <v>0</v>
      </c>
      <c r="K60" s="42">
        <f>0*Deflactores!$AA$5</f>
        <v>0</v>
      </c>
    </row>
    <row r="61" spans="3:11" x14ac:dyDescent="0.2">
      <c r="C61" s="88" t="s">
        <v>126</v>
      </c>
      <c r="D61" s="50">
        <f>141.76744512611*Deflactores!$T$5</f>
        <v>214.50867730920541</v>
      </c>
      <c r="E61" s="50">
        <f>164.06486242761*Deflactores!$U$5</f>
        <v>244.31350795625622</v>
      </c>
      <c r="F61" s="50">
        <f>154.33154204783*Deflactores!$V$5</f>
        <v>217.5907520800456</v>
      </c>
      <c r="G61" s="50">
        <f>168.041215336299*Deflactores!$W$5</f>
        <v>209.44121812190758</v>
      </c>
      <c r="H61" s="50">
        <f>173.864991200049*Deflactores!$X$5</f>
        <v>198.29775517184993</v>
      </c>
      <c r="I61" s="50">
        <f>141.97265949756*Deflactores!$Y$5</f>
        <v>153.91985051043184</v>
      </c>
      <c r="J61" s="50">
        <f>161.15828186113*Deflactores!$Z$5</f>
        <v>166.24164500823707</v>
      </c>
      <c r="K61" s="50">
        <f>78.72269540085*Deflactores!$AA$5</f>
        <v>78.72269540085</v>
      </c>
    </row>
    <row r="62" spans="3:11" x14ac:dyDescent="0.2">
      <c r="C62" s="87" t="s">
        <v>127</v>
      </c>
      <c r="D62" s="42">
        <f>0*Deflactores!$T$5</f>
        <v>0</v>
      </c>
      <c r="E62" s="42">
        <f>0*Deflactores!$U$5</f>
        <v>0</v>
      </c>
      <c r="F62" s="42">
        <f>0*Deflactores!$V$5</f>
        <v>0</v>
      </c>
      <c r="G62" s="42">
        <f>0*Deflactores!$W$5</f>
        <v>0</v>
      </c>
      <c r="H62" s="42">
        <f>0*Deflactores!$X$5</f>
        <v>0</v>
      </c>
      <c r="I62" s="42">
        <f>0*Deflactores!$Y$5</f>
        <v>0</v>
      </c>
      <c r="J62" s="42">
        <f>0*Deflactores!$Z$5</f>
        <v>0</v>
      </c>
      <c r="K62" s="42">
        <f>0*Deflactores!$AA$5</f>
        <v>0</v>
      </c>
    </row>
    <row r="63" spans="3:11" x14ac:dyDescent="0.2">
      <c r="C63" s="88" t="s">
        <v>128</v>
      </c>
      <c r="D63" s="50">
        <f>6.79108868*Deflactores!$T$5</f>
        <v>10.275613339440943</v>
      </c>
      <c r="E63" s="50">
        <f>7.57102028348999*Deflactores!$U$5</f>
        <v>11.27421494705211</v>
      </c>
      <c r="F63" s="50">
        <f>7.08108879167*Deflactores!$V$5</f>
        <v>9.9835679426279729</v>
      </c>
      <c r="G63" s="50">
        <f>17.81294334801*Deflactores!$W$5</f>
        <v>22.201485187294125</v>
      </c>
      <c r="H63" s="50">
        <f>9.67606845721*Deflactores!$X$5</f>
        <v>11.03581946377108</v>
      </c>
      <c r="I63" s="50">
        <f>9.17440729615*Deflactores!$Y$5</f>
        <v>9.9464460589997792</v>
      </c>
      <c r="J63" s="50">
        <f>14.91587759454*Deflactores!$Z$5</f>
        <v>15.386364258924898</v>
      </c>
      <c r="K63" s="50">
        <f>6.60768453821*Deflactores!$AA$5</f>
        <v>6.60768453821</v>
      </c>
    </row>
    <row r="64" spans="3:11" x14ac:dyDescent="0.2">
      <c r="C64" s="87" t="s">
        <v>129</v>
      </c>
      <c r="D64" s="42">
        <f>74.5716027629199*Deflactores!$T$5</f>
        <v>112.83447944816864</v>
      </c>
      <c r="E64" s="42">
        <f>52.2971978626*Deflactores!$U$5</f>
        <v>77.87719854842021</v>
      </c>
      <c r="F64" s="42">
        <f>63.31590318633*Deflactores!$V$5</f>
        <v>89.268563056741726</v>
      </c>
      <c r="G64" s="42">
        <f>47.6381994606*Deflactores!$W$5</f>
        <v>59.374734372128891</v>
      </c>
      <c r="H64" s="42">
        <f>42.8521851908699*Deflactores!$X$5</f>
        <v>48.874083672087167</v>
      </c>
      <c r="I64" s="42">
        <f>75.46576116024*Deflactores!$Y$5</f>
        <v>81.81630686885687</v>
      </c>
      <c r="J64" s="42">
        <f>108.20363556238*Deflactores!$Z$5</f>
        <v>111.61666756451298</v>
      </c>
      <c r="K64" s="42">
        <f>18.430197449*Deflactores!$AA$5</f>
        <v>18.430197449000001</v>
      </c>
    </row>
    <row r="65" spans="3:11" x14ac:dyDescent="0.2">
      <c r="C65" s="88" t="s">
        <v>130</v>
      </c>
      <c r="D65" s="50">
        <f>0*Deflactores!$T$5</f>
        <v>0</v>
      </c>
      <c r="E65" s="50">
        <f>0*Deflactores!$U$5</f>
        <v>0</v>
      </c>
      <c r="F65" s="50">
        <f>0*Deflactores!$V$5</f>
        <v>0</v>
      </c>
      <c r="G65" s="50">
        <f>0*Deflactores!$W$5</f>
        <v>0</v>
      </c>
      <c r="H65" s="50">
        <f>0*Deflactores!$X$5</f>
        <v>0</v>
      </c>
      <c r="I65" s="50">
        <f>0*Deflactores!$Y$5</f>
        <v>0</v>
      </c>
      <c r="J65" s="50">
        <f>0*Deflactores!$Z$5</f>
        <v>0</v>
      </c>
      <c r="K65" s="50">
        <f>0*Deflactores!$AA$5</f>
        <v>0</v>
      </c>
    </row>
    <row r="66" spans="3:11" x14ac:dyDescent="0.2">
      <c r="C66" s="87" t="s">
        <v>131</v>
      </c>
      <c r="D66" s="42">
        <f>8.13565722717*Deflactores!$T$5</f>
        <v>12.310083385426674</v>
      </c>
      <c r="E66" s="42">
        <f>7.54931517670999*Deflactores!$U$5</f>
        <v>11.241893274394586</v>
      </c>
      <c r="F66" s="42">
        <f>9.43122209673*Deflactores!$V$5</f>
        <v>13.297001259959094</v>
      </c>
      <c r="G66" s="42">
        <f>10.90837428739*Deflactores!$W$5</f>
        <v>13.595850243694002</v>
      </c>
      <c r="H66" s="42">
        <f>14.3920010011799*Deflactores!$X$5</f>
        <v>16.414468900650004</v>
      </c>
      <c r="I66" s="42">
        <f>18.73817945851*Deflactores!$Y$5</f>
        <v>20.315022563489222</v>
      </c>
      <c r="J66" s="42">
        <f>20.18350086827*Deflactores!$Z$5</f>
        <v>20.820142456331713</v>
      </c>
      <c r="K66" s="42">
        <f>6.454349896*Deflactores!$AA$5</f>
        <v>6.4543498960000001</v>
      </c>
    </row>
    <row r="67" spans="3:11" x14ac:dyDescent="0.2">
      <c r="C67" s="88" t="s">
        <v>132</v>
      </c>
      <c r="D67" s="50">
        <f>283.36905985301*Deflactores!$T$5</f>
        <v>428.76643622483641</v>
      </c>
      <c r="E67" s="50">
        <f>167.47272491567*Deflactores!$U$5</f>
        <v>249.3882499014295</v>
      </c>
      <c r="F67" s="50">
        <f>198.21741044494*Deflactores!$V$5</f>
        <v>279.4650713767038</v>
      </c>
      <c r="G67" s="50">
        <f>212.18267025194*Deflactores!$W$5</f>
        <v>264.45772147617771</v>
      </c>
      <c r="H67" s="50">
        <f>279.10872777605*Deflactores!$X$5</f>
        <v>318.33110153371734</v>
      </c>
      <c r="I67" s="50">
        <f>315.00481654626*Deflactores!$Y$5</f>
        <v>341.5128972328622</v>
      </c>
      <c r="J67" s="50">
        <f>339.35868535974*Deflactores!$Z$5</f>
        <v>350.06296574102936</v>
      </c>
      <c r="K67" s="50">
        <f>176.48885331679*Deflactores!$AA$5</f>
        <v>176.48885331679</v>
      </c>
    </row>
    <row r="68" spans="3:11" x14ac:dyDescent="0.2">
      <c r="C68" s="87" t="s">
        <v>133</v>
      </c>
      <c r="D68" s="42">
        <f>57.93673918914*Deflactores!$T$5</f>
        <v>87.664225591534731</v>
      </c>
      <c r="E68" s="42">
        <f>49.7250166587*Deflactores!$U$5</f>
        <v>74.046892633275036</v>
      </c>
      <c r="F68" s="42">
        <f>73.63814217955*Deflactores!$V$5</f>
        <v>103.82180159684931</v>
      </c>
      <c r="G68" s="42">
        <f>28.90595070693*Deflactores!$W$5</f>
        <v>36.027456210163898</v>
      </c>
      <c r="H68" s="42">
        <f>32.48254131161*Deflactores!$X$5</f>
        <v>37.047222559933765</v>
      </c>
      <c r="I68" s="42">
        <f>24.4516974965899*Deflactores!$Y$5</f>
        <v>26.509340859858309</v>
      </c>
      <c r="J68" s="42">
        <f>20.3861240393899*Deflactores!$Z$5</f>
        <v>21.029156904083049</v>
      </c>
      <c r="K68" s="42">
        <f>1.92360539908*Deflactores!$AA$5</f>
        <v>1.9236053990799999</v>
      </c>
    </row>
    <row r="69" spans="3:11" x14ac:dyDescent="0.2">
      <c r="C69" s="88" t="s">
        <v>134</v>
      </c>
      <c r="D69" s="50">
        <f>34.3570502878699*Deflactores!$T$5</f>
        <v>51.985739087989536</v>
      </c>
      <c r="E69" s="50">
        <f>43.79309448833*Deflactores!$U$5</f>
        <v>65.21350385689378</v>
      </c>
      <c r="F69" s="50">
        <f>47.89463380156*Deflactores!$V$5</f>
        <v>67.526244157205625</v>
      </c>
      <c r="G69" s="50">
        <f>76.02028209126*Deflactores!$W$5</f>
        <v>94.749258098975602</v>
      </c>
      <c r="H69" s="50">
        <f>68.99016391851*Deflactores!$X$5</f>
        <v>78.685159902246255</v>
      </c>
      <c r="I69" s="50">
        <f>70.84139698064*Deflactores!$Y$5</f>
        <v>76.802796198923531</v>
      </c>
      <c r="J69" s="50">
        <f>65.19567550329*Deflactores!$Z$5</f>
        <v>67.252121441884412</v>
      </c>
      <c r="K69" s="50">
        <f>27.24754724788*Deflactores!$AA$5</f>
        <v>27.24754724788</v>
      </c>
    </row>
    <row r="70" spans="3:11" x14ac:dyDescent="0.2">
      <c r="C70" s="87" t="s">
        <v>135</v>
      </c>
      <c r="D70" s="42">
        <f>0*Deflactores!$T$5</f>
        <v>0</v>
      </c>
      <c r="E70" s="42">
        <f>0*Deflactores!$U$5</f>
        <v>0</v>
      </c>
      <c r="F70" s="42">
        <f>0*Deflactores!$V$5</f>
        <v>0</v>
      </c>
      <c r="G70" s="42">
        <f>0*Deflactores!$W$5</f>
        <v>0</v>
      </c>
      <c r="H70" s="42">
        <f>0*Deflactores!$X$5</f>
        <v>0</v>
      </c>
      <c r="I70" s="42">
        <f>3400.43015368833*Deflactores!$Y$5</f>
        <v>3686.580942972811</v>
      </c>
      <c r="J70" s="42">
        <f>3238.38963056396*Deflactores!$Z$5</f>
        <v>3340.5370989650423</v>
      </c>
      <c r="K70" s="42">
        <f>2073.547599009*Deflactores!$AA$5</f>
        <v>2073.5475990089999</v>
      </c>
    </row>
    <row r="71" spans="3:11" x14ac:dyDescent="0.2">
      <c r="C71" s="88" t="s">
        <v>136</v>
      </c>
      <c r="D71" s="50">
        <f>1987.07040256264*Deflactores!$T$5</f>
        <v>3006.6412172048013</v>
      </c>
      <c r="E71" s="50">
        <f>1897.62677359805*Deflactores!$U$5</f>
        <v>2825.8083235465015</v>
      </c>
      <c r="F71" s="50">
        <f>2041.09323321575*Deflactores!$V$5</f>
        <v>2877.7203012930795</v>
      </c>
      <c r="G71" s="50">
        <f>2364.25351045392*Deflactores!$W$5</f>
        <v>2946.7302660688497</v>
      </c>
      <c r="H71" s="50">
        <f>2999.95383544231*Deflactores!$X$5</f>
        <v>3421.5290098448736</v>
      </c>
      <c r="I71" s="50">
        <f>0*Deflactores!$Y$5</f>
        <v>0</v>
      </c>
      <c r="J71" s="50">
        <f>0*Deflactores!$Z$5</f>
        <v>0</v>
      </c>
      <c r="K71" s="50">
        <f>0*Deflactores!$AA$5</f>
        <v>0</v>
      </c>
    </row>
    <row r="72" spans="3:11" x14ac:dyDescent="0.2">
      <c r="C72" s="87" t="s">
        <v>137</v>
      </c>
      <c r="D72" s="42">
        <f>35.61998725577*Deflactores!$T$5</f>
        <v>53.896692186341262</v>
      </c>
      <c r="E72" s="42">
        <f>26.94251347559*Deflactores!$U$5</f>
        <v>40.120839300885926</v>
      </c>
      <c r="F72" s="42">
        <f>54.96696780485*Deflactores!$V$5</f>
        <v>77.497468796820939</v>
      </c>
      <c r="G72" s="42">
        <f>26.3537798673299*Deflactores!$W$5</f>
        <v>32.84651177084104</v>
      </c>
      <c r="H72" s="42">
        <f>15.01367056997*Deflactores!$X$5</f>
        <v>17.123499966069538</v>
      </c>
      <c r="I72" s="42">
        <f>37.29178026117*Deflactores!$Y$5</f>
        <v>40.429933927988493</v>
      </c>
      <c r="J72" s="42">
        <f>38.28117597402*Deflactores!$Z$5</f>
        <v>39.488666628095956</v>
      </c>
      <c r="K72" s="42">
        <f>22.95728502483*Deflactores!$AA$5</f>
        <v>22.95728502483</v>
      </c>
    </row>
    <row r="73" spans="3:11" x14ac:dyDescent="0.2">
      <c r="C73" s="88" t="s">
        <v>138</v>
      </c>
      <c r="D73" s="50">
        <f>0*Deflactores!$T$5</f>
        <v>0</v>
      </c>
      <c r="E73" s="50">
        <f>0*Deflactores!$U$5</f>
        <v>0</v>
      </c>
      <c r="F73" s="50">
        <f>0*Deflactores!$V$5</f>
        <v>0</v>
      </c>
      <c r="G73" s="50">
        <f>0*Deflactores!$W$5</f>
        <v>0</v>
      </c>
      <c r="H73" s="50">
        <f>0*Deflactores!$X$5</f>
        <v>0</v>
      </c>
      <c r="I73" s="50">
        <f>0*Deflactores!$Y$5</f>
        <v>0</v>
      </c>
      <c r="J73" s="50">
        <f>0*Deflactores!$Z$5</f>
        <v>0</v>
      </c>
      <c r="K73" s="50">
        <f>0*Deflactores!$AA$5</f>
        <v>0</v>
      </c>
    </row>
    <row r="74" spans="3:11" x14ac:dyDescent="0.2">
      <c r="C74" s="87" t="s">
        <v>160</v>
      </c>
      <c r="D74" s="42">
        <f>0*Deflactores!$T$5</f>
        <v>0</v>
      </c>
      <c r="E74" s="42">
        <f>0*Deflactores!$U$5</f>
        <v>0</v>
      </c>
      <c r="F74" s="42">
        <f>0*Deflactores!$V$5</f>
        <v>0</v>
      </c>
      <c r="G74" s="42">
        <f>0*Deflactores!$W$5</f>
        <v>0</v>
      </c>
      <c r="H74" s="42">
        <f>0*Deflactores!$X$5</f>
        <v>0</v>
      </c>
      <c r="I74" s="42">
        <f>0*Deflactores!$Y$5</f>
        <v>0</v>
      </c>
      <c r="J74" s="42">
        <f>0*Deflactores!$Z$5</f>
        <v>0</v>
      </c>
      <c r="K74" s="42">
        <f>0*Deflactores!$AA$5</f>
        <v>0</v>
      </c>
    </row>
    <row r="75" spans="3:11" x14ac:dyDescent="0.2">
      <c r="C75" s="88" t="s">
        <v>161</v>
      </c>
      <c r="D75" s="50">
        <f>60.1653825444499*Deflactores!$T$5</f>
        <v>91.036391450319954</v>
      </c>
      <c r="E75" s="50">
        <f>47.9459610823499*Deflactores!$U$5</f>
        <v>71.39765194714694</v>
      </c>
      <c r="F75" s="50">
        <f>61.0464557459599*Deflactores!$V$5</f>
        <v>86.068888066108755</v>
      </c>
      <c r="G75" s="50">
        <f>110.21591540949*Deflactores!$W$5</f>
        <v>137.36960622182747</v>
      </c>
      <c r="H75" s="50">
        <f>117.90687363022*Deflactores!$X$5</f>
        <v>134.47599887030637</v>
      </c>
      <c r="I75" s="50">
        <f>128.72155161436*Deflactores!$Y$5</f>
        <v>139.55364400491237</v>
      </c>
      <c r="J75" s="50">
        <f>175.96904509842*Deflactores!$Z$5</f>
        <v>181.51957932200852</v>
      </c>
      <c r="K75" s="50">
        <f>61.06608547927*Deflactores!$AA$5</f>
        <v>61.066085479270001</v>
      </c>
    </row>
    <row r="76" spans="3:11" x14ac:dyDescent="0.2">
      <c r="C76" s="87" t="s">
        <v>140</v>
      </c>
      <c r="D76" s="42">
        <f>300.855958318469*Deflactores!$T$5</f>
        <v>455.22590621619571</v>
      </c>
      <c r="E76" s="42">
        <f>148.775214438409*Deflactores!$U$5</f>
        <v>221.54527178194311</v>
      </c>
      <c r="F76" s="42">
        <f>408.49272431872*Deflactores!$V$5</f>
        <v>575.93048008417009</v>
      </c>
      <c r="G76" s="42">
        <f>372.61506255115*Deflactores!$W$5</f>
        <v>464.41554493105258</v>
      </c>
      <c r="H76" s="42">
        <f>276.27858146779*Deflactores!$X$5</f>
        <v>315.10324263088552</v>
      </c>
      <c r="I76" s="42">
        <f>532.11797702968*Deflactores!$Y$5</f>
        <v>576.89642335487406</v>
      </c>
      <c r="J76" s="42">
        <f>507.74777238349*Deflactores!$Z$5</f>
        <v>523.76349484188677</v>
      </c>
      <c r="K76" s="42">
        <f>66.467108521*Deflactores!$AA$5</f>
        <v>66.467108521</v>
      </c>
    </row>
    <row r="77" spans="3:11" x14ac:dyDescent="0.2">
      <c r="C77" s="88" t="s">
        <v>141</v>
      </c>
      <c r="D77" s="50">
        <f>0*Deflactores!$T$5</f>
        <v>0</v>
      </c>
      <c r="E77" s="50">
        <f>0*Deflactores!$U$5</f>
        <v>0</v>
      </c>
      <c r="F77" s="50">
        <f>0*Deflactores!$V$5</f>
        <v>0</v>
      </c>
      <c r="G77" s="50">
        <f>0*Deflactores!$W$5</f>
        <v>0</v>
      </c>
      <c r="H77" s="50">
        <f>0*Deflactores!$X$5</f>
        <v>0</v>
      </c>
      <c r="I77" s="50">
        <f>0*Deflactores!$Y$5</f>
        <v>0</v>
      </c>
      <c r="J77" s="50">
        <f>0*Deflactores!$Z$5</f>
        <v>0</v>
      </c>
      <c r="K77" s="50">
        <f>0*Deflactores!$AA$5</f>
        <v>0</v>
      </c>
    </row>
    <row r="78" spans="3:11" x14ac:dyDescent="0.2">
      <c r="C78" s="87" t="s">
        <v>142</v>
      </c>
      <c r="D78" s="42">
        <f>20.8819897721699*Deflactores!$T$5</f>
        <v>31.596591175272113</v>
      </c>
      <c r="E78" s="42">
        <f>22.16671228639*Deflactores!$U$5</f>
        <v>33.009062138058425</v>
      </c>
      <c r="F78" s="42">
        <f>21.82949547329*Deflactores!$V$5</f>
        <v>30.777223337074201</v>
      </c>
      <c r="G78" s="42">
        <f>26.63360513328*Deflactores!$W$5</f>
        <v>33.195277068953089</v>
      </c>
      <c r="H78" s="42">
        <f>21.80015085601*Deflactores!$X$5</f>
        <v>24.863665464317162</v>
      </c>
      <c r="I78" s="42">
        <f>23.51406989715*Deflactores!$Y$5</f>
        <v>25.492810631777846</v>
      </c>
      <c r="J78" s="42">
        <f>17.39345321421*Deflactores!$Z$5</f>
        <v>17.942089238675901</v>
      </c>
      <c r="K78" s="42">
        <f>20.09403369*Deflactores!$AA$5</f>
        <v>20.09403369</v>
      </c>
    </row>
    <row r="79" spans="3:11" x14ac:dyDescent="0.2">
      <c r="C79" s="88" t="s">
        <v>143</v>
      </c>
      <c r="D79" s="50">
        <f>39.49830075943*Deflactores!$T$5</f>
        <v>59.764978090206476</v>
      </c>
      <c r="E79" s="50">
        <f>12.6386797227*Deflactores!$U$5</f>
        <v>18.820606273027316</v>
      </c>
      <c r="F79" s="50">
        <f>84.4626530222*Deflactores!$V$5</f>
        <v>119.08318902224593</v>
      </c>
      <c r="G79" s="50">
        <f>76.30782267257*Deflactores!$W$5</f>
        <v>95.10763952039369</v>
      </c>
      <c r="H79" s="50">
        <f>9.25250317*Deflactores!$X$5</f>
        <v>10.552731724009707</v>
      </c>
      <c r="I79" s="50">
        <f>9.98104586236*Deflactores!$Y$5</f>
        <v>10.820964349819894</v>
      </c>
      <c r="J79" s="50">
        <f>4.97713718202*Deflactores!$Z$5</f>
        <v>5.134129397604541</v>
      </c>
      <c r="K79" s="50">
        <f>2.050314272*Deflactores!$AA$5</f>
        <v>2.050314272</v>
      </c>
    </row>
    <row r="80" spans="3:11" x14ac:dyDescent="0.2">
      <c r="C80" s="87" t="s">
        <v>144</v>
      </c>
      <c r="D80" s="42">
        <f>0*Deflactores!$T$5</f>
        <v>0</v>
      </c>
      <c r="E80" s="42">
        <f>0*Deflactores!$U$5</f>
        <v>0</v>
      </c>
      <c r="F80" s="42">
        <f>0*Deflactores!$V$5</f>
        <v>0</v>
      </c>
      <c r="G80" s="42">
        <f>0*Deflactores!$W$5</f>
        <v>0</v>
      </c>
      <c r="H80" s="42">
        <f>0*Deflactores!$X$5</f>
        <v>0</v>
      </c>
      <c r="I80" s="42">
        <f>0*Deflactores!$Y$5</f>
        <v>0</v>
      </c>
      <c r="J80" s="42">
        <f>0*Deflactores!$Z$5</f>
        <v>0</v>
      </c>
      <c r="K80" s="42">
        <f>0*Deflactores!$AA$5</f>
        <v>0</v>
      </c>
    </row>
    <row r="81" spans="1:11" x14ac:dyDescent="0.2">
      <c r="C81" s="88" t="s">
        <v>145</v>
      </c>
      <c r="D81" s="50">
        <f>45.7857257453399*Deflactores!$T$5</f>
        <v>69.278496629026392</v>
      </c>
      <c r="E81" s="50">
        <f>30.407118087*Deflactores!$U$5</f>
        <v>45.280077505644591</v>
      </c>
      <c r="F81" s="50">
        <f>47.43195129993*Deflactores!$V$5</f>
        <v>66.873911962710039</v>
      </c>
      <c r="G81" s="50">
        <f>60.37814188999*Deflactores!$W$5</f>
        <v>75.253392806456674</v>
      </c>
      <c r="H81" s="50">
        <f>84.49051405357*Deflactores!$X$5</f>
        <v>96.363731160007376</v>
      </c>
      <c r="I81" s="50">
        <f>89.14451205531*Deflactores!$Y$5</f>
        <v>96.646143123173104</v>
      </c>
      <c r="J81" s="50">
        <f>153.2721841476*Deflactores!$Z$5</f>
        <v>158.10679868539893</v>
      </c>
      <c r="K81" s="50">
        <f>80.585896376*Deflactores!$AA$5</f>
        <v>80.585896375999994</v>
      </c>
    </row>
    <row r="82" spans="1:11" x14ac:dyDescent="0.2">
      <c r="C82" s="87" t="s">
        <v>146</v>
      </c>
      <c r="D82" s="42">
        <f>9.09581967061*Deflactores!$T$5</f>
        <v>13.762907590314288</v>
      </c>
      <c r="E82" s="42">
        <f>3.07043943761*Deflactores!$U$5</f>
        <v>4.5722759820112042</v>
      </c>
      <c r="F82" s="42">
        <f>1.166273946*Deflactores!$V$5</f>
        <v>1.6443198951699367</v>
      </c>
      <c r="G82" s="42">
        <f>1.072998397*Deflactores!$W$5</f>
        <v>1.3373510234425787</v>
      </c>
      <c r="H82" s="42">
        <f>20.69546756214*Deflactores!$X$5</f>
        <v>23.60374409752389</v>
      </c>
      <c r="I82" s="42">
        <f>64.11114700902*Deflactores!$Y$5</f>
        <v>69.506186603838842</v>
      </c>
      <c r="J82" s="42">
        <f>146.918010181569*Deflactores!$Z$5</f>
        <v>151.55219708141965</v>
      </c>
      <c r="K82" s="42">
        <f>51.6343062469*Deflactores!$AA$5</f>
        <v>51.634306246900003</v>
      </c>
    </row>
    <row r="83" spans="1:11" x14ac:dyDescent="0.2">
      <c r="C83" s="88" t="s">
        <v>162</v>
      </c>
      <c r="D83" s="50">
        <f>101.77986335997*Deflactores!$T$5</f>
        <v>154.00336689877889</v>
      </c>
      <c r="E83" s="50">
        <f>110.16219848301*Deflactores!$U$5</f>
        <v>164.0455656215407</v>
      </c>
      <c r="F83" s="50">
        <f>114.34457334362*Deflactores!$V$5</f>
        <v>161.21345889487304</v>
      </c>
      <c r="G83" s="50">
        <f>133.91699893992*Deflactores!$W$5</f>
        <v>166.90988177558361</v>
      </c>
      <c r="H83" s="50">
        <f>147.08032132887*Deflactores!$X$5</f>
        <v>167.74911008916823</v>
      </c>
      <c r="I83" s="50">
        <f>157.10975908258*Deflactores!$Y$5</f>
        <v>170.33075746627318</v>
      </c>
      <c r="J83" s="50">
        <f>144.77329079927*Deflactores!$Z$5</f>
        <v>149.33982751482381</v>
      </c>
      <c r="K83" s="50">
        <f>115.93688515338*Deflactores!$AA$5</f>
        <v>115.93688515338</v>
      </c>
    </row>
    <row r="84" spans="1:11" x14ac:dyDescent="0.2">
      <c r="C84" s="87" t="s">
        <v>148</v>
      </c>
      <c r="D84" s="42">
        <f>0*Deflactores!$T$5</f>
        <v>0</v>
      </c>
      <c r="E84" s="42">
        <f>0*Deflactores!$U$5</f>
        <v>0</v>
      </c>
      <c r="F84" s="42">
        <f>0*Deflactores!$V$5</f>
        <v>0</v>
      </c>
      <c r="G84" s="42">
        <f>0*Deflactores!$W$5</f>
        <v>0</v>
      </c>
      <c r="H84" s="42">
        <f>0*Deflactores!$X$5</f>
        <v>0</v>
      </c>
      <c r="I84" s="42">
        <f>0*Deflactores!$Y$5</f>
        <v>0</v>
      </c>
      <c r="J84" s="42">
        <f>0*Deflactores!$Z$5</f>
        <v>0</v>
      </c>
      <c r="K84" s="42">
        <f>0*Deflactores!$AA$5</f>
        <v>0</v>
      </c>
    </row>
    <row r="85" spans="1:11" x14ac:dyDescent="0.2">
      <c r="C85" s="88" t="s">
        <v>149</v>
      </c>
      <c r="D85" s="50">
        <f>1035.62759742803*Deflactores!$T$5</f>
        <v>1567.0107189389021</v>
      </c>
      <c r="E85" s="50">
        <f>1264.78092626601*Deflactores!$U$5</f>
        <v>1883.4201322574647</v>
      </c>
      <c r="F85" s="50">
        <f>1382.95297308313*Deflactores!$V$5</f>
        <v>1949.813845644293</v>
      </c>
      <c r="G85" s="50">
        <f>1379.46152380394*Deflactores!$W$5</f>
        <v>1719.3169028181298</v>
      </c>
      <c r="H85" s="50">
        <f>1466.14749357714*Deflactores!$X$5</f>
        <v>1672.1811258291957</v>
      </c>
      <c r="I85" s="50">
        <f>2286.69324919473*Deflactores!$Y$5</f>
        <v>2479.1215740049975</v>
      </c>
      <c r="J85" s="50">
        <f>1347.15316319945*Deflactores!$Z$5</f>
        <v>1389.6459762539957</v>
      </c>
      <c r="K85" s="50">
        <f>1184.84490647456*Deflactores!$AA$5</f>
        <v>1184.84490647456</v>
      </c>
    </row>
    <row r="86" spans="1:11" x14ac:dyDescent="0.2">
      <c r="C86" s="87" t="s">
        <v>163</v>
      </c>
      <c r="D86" s="42">
        <f>1544.70825739737*Deflactores!$T$5</f>
        <v>2337.3019442380464</v>
      </c>
      <c r="E86" s="42">
        <f>1491.842180145*Deflactores!$U$5</f>
        <v>2221.543302784602</v>
      </c>
      <c r="F86" s="42">
        <f>1547.26310265894*Deflactores!$V$5</f>
        <v>2181.4733249339511</v>
      </c>
      <c r="G86" s="42">
        <f>1600.86659697166*Deflactores!$W$5</f>
        <v>1995.2691335242391</v>
      </c>
      <c r="H86" s="42">
        <f>2141.24066075306*Deflactores!$X$5</f>
        <v>2442.1432594297962</v>
      </c>
      <c r="I86" s="42">
        <f>2107.66708283078*Deflactores!$Y$5</f>
        <v>2285.0301139892863</v>
      </c>
      <c r="J86" s="42">
        <f>2847.29209029029*Deflactores!$Z$5</f>
        <v>2937.1032964764117</v>
      </c>
      <c r="K86" s="42">
        <f>420.81413517936*Deflactores!$AA$5</f>
        <v>420.81413517935999</v>
      </c>
    </row>
    <row r="87" spans="1:11" x14ac:dyDescent="0.2">
      <c r="C87" s="88" t="s">
        <v>150</v>
      </c>
      <c r="D87" s="50">
        <f>2069.01280252454*Deflactores!$T$5</f>
        <v>3130.6284684085808</v>
      </c>
      <c r="E87" s="50">
        <f>2082.40446523776*Deflactores!$U$5</f>
        <v>3100.9658762886415</v>
      </c>
      <c r="F87" s="50">
        <f>2417.2948636805*Deflactores!$V$5</f>
        <v>3408.1238378636867</v>
      </c>
      <c r="G87" s="50">
        <f>2343.1301913885*Deflactores!$W$5</f>
        <v>2920.4028340338846</v>
      </c>
      <c r="H87" s="50">
        <f>1632.25336534166*Deflactores!$X$5</f>
        <v>1861.629394076991</v>
      </c>
      <c r="I87" s="50">
        <f>2804.82671950188*Deflactores!$Y$5</f>
        <v>3040.8566755123297</v>
      </c>
      <c r="J87" s="50">
        <f>3559.90286389328*Deflactores!$Z$5</f>
        <v>3672.1917193998775</v>
      </c>
      <c r="K87" s="50">
        <f>1190.72221308366*Deflactores!$AA$5</f>
        <v>1190.7222130836601</v>
      </c>
    </row>
    <row r="88" spans="1:11" x14ac:dyDescent="0.2">
      <c r="C88" s="87" t="s">
        <v>151</v>
      </c>
      <c r="D88" s="42">
        <f>0*Deflactores!$T$5</f>
        <v>0</v>
      </c>
      <c r="E88" s="42">
        <f>0*Deflactores!$U$5</f>
        <v>0</v>
      </c>
      <c r="F88" s="42">
        <f>0*Deflactores!$V$5</f>
        <v>0</v>
      </c>
      <c r="G88" s="42">
        <f>0*Deflactores!$W$5</f>
        <v>0</v>
      </c>
      <c r="H88" s="42">
        <f>0*Deflactores!$X$5</f>
        <v>0</v>
      </c>
      <c r="I88" s="42">
        <f>0*Deflactores!$Y$5</f>
        <v>0</v>
      </c>
      <c r="J88" s="42">
        <f>0*Deflactores!$Z$5</f>
        <v>0</v>
      </c>
      <c r="K88" s="42">
        <f>0*Deflactores!$AA$5</f>
        <v>0</v>
      </c>
    </row>
    <row r="89" spans="1:11" x14ac:dyDescent="0.2">
      <c r="C89" s="79" t="s">
        <v>202</v>
      </c>
      <c r="D89" s="44">
        <f t="shared" ref="D89:K89" si="1">+SUM(D58:D88)</f>
        <v>12113.216452233559</v>
      </c>
      <c r="E89" s="44">
        <f t="shared" si="1"/>
        <v>11643.196443718023</v>
      </c>
      <c r="F89" s="44">
        <f t="shared" si="1"/>
        <v>12601.305276533642</v>
      </c>
      <c r="G89" s="44">
        <f t="shared" si="1"/>
        <v>11532.123356928993</v>
      </c>
      <c r="H89" s="44">
        <f t="shared" si="1"/>
        <v>11129.991797026552</v>
      </c>
      <c r="I89" s="44">
        <f t="shared" si="1"/>
        <v>13613.581611043503</v>
      </c>
      <c r="J89" s="44">
        <f t="shared" si="1"/>
        <v>13573.895952537867</v>
      </c>
      <c r="K89" s="44">
        <f t="shared" si="1"/>
        <v>5759.1412513636797</v>
      </c>
    </row>
    <row r="90" spans="1:11" s="31" customFormat="1" x14ac:dyDescent="0.2">
      <c r="A90" s="5"/>
      <c r="B90" s="5"/>
      <c r="C90" s="72" t="str">
        <f>+'C1 Aprop Resumen 2000-2026'!B20</f>
        <v>* Información con corte a 28 de febrero</v>
      </c>
      <c r="D90" s="121">
        <f>+D89-'C7 Ejec. Prop 19-26'!D65</f>
        <v>-2.0008883439004421E-11</v>
      </c>
      <c r="E90" s="121">
        <f>+E89-'C7 Ejec. Prop 19-26'!E65</f>
        <v>-3.092281986027956E-11</v>
      </c>
      <c r="F90" s="121">
        <f>+F89-'C7 Ejec. Prop 19-26'!F65</f>
        <v>0</v>
      </c>
      <c r="G90" s="121">
        <f>+G89-'C7 Ejec. Prop 19-26'!G65</f>
        <v>0</v>
      </c>
      <c r="H90" s="121">
        <f>+H89-'C7 Ejec. Prop 19-26'!H65</f>
        <v>0</v>
      </c>
      <c r="I90" s="121">
        <f>+I89-'C7 Ejec. Prop 19-26'!I65</f>
        <v>3.4560798667371273E-11</v>
      </c>
      <c r="J90" s="121">
        <f>+J89-'C7 Ejec. Prop 19-26'!J65</f>
        <v>2.9103830456733704E-11</v>
      </c>
      <c r="K90" s="121">
        <f>+K89-'C7 Ejec. Prop 19-26'!K65</f>
        <v>1.0004441719502211E-11</v>
      </c>
    </row>
    <row r="91" spans="1:11" x14ac:dyDescent="0.2">
      <c r="C91" s="1" t="s">
        <v>52</v>
      </c>
      <c r="D91" s="11"/>
      <c r="E91" s="11"/>
      <c r="F91" s="11"/>
    </row>
    <row r="92" spans="1:11" x14ac:dyDescent="0.2">
      <c r="D92" s="11"/>
      <c r="E92" s="11"/>
      <c r="F92" s="11"/>
    </row>
    <row r="93" spans="1:11" x14ac:dyDescent="0.2">
      <c r="D93" s="11"/>
      <c r="E93" s="11"/>
      <c r="F93" s="11"/>
    </row>
    <row r="94" spans="1:11" x14ac:dyDescent="0.2">
      <c r="D94" s="11"/>
      <c r="E94" s="11"/>
      <c r="F94" s="11"/>
    </row>
    <row r="95" spans="1:11" ht="18" customHeight="1" x14ac:dyDescent="0.2">
      <c r="D95" s="131" t="s">
        <v>220</v>
      </c>
      <c r="E95" s="131"/>
      <c r="F95" s="131"/>
      <c r="G95" s="131"/>
      <c r="H95" s="131"/>
      <c r="I95" s="131"/>
      <c r="J95" s="131"/>
      <c r="K95" s="131"/>
    </row>
    <row r="96" spans="1:11" ht="1.5" customHeight="1" x14ac:dyDescent="0.2">
      <c r="D96" s="28"/>
      <c r="E96" s="28"/>
      <c r="F96" s="28"/>
    </row>
    <row r="97" spans="3:11" x14ac:dyDescent="0.2">
      <c r="E97" s="29"/>
      <c r="F97" s="29"/>
    </row>
    <row r="98" spans="3:11" x14ac:dyDescent="0.2">
      <c r="C98" s="177" t="s">
        <v>120</v>
      </c>
      <c r="D98" s="153">
        <v>2019</v>
      </c>
      <c r="E98" s="153">
        <v>2020</v>
      </c>
      <c r="F98" s="153">
        <v>2021</v>
      </c>
      <c r="G98" s="153">
        <v>2022</v>
      </c>
      <c r="H98" s="153">
        <v>2023</v>
      </c>
      <c r="I98" s="153">
        <v>2024</v>
      </c>
      <c r="J98" s="153">
        <v>2025</v>
      </c>
      <c r="K98" s="153" t="s">
        <v>36</v>
      </c>
    </row>
    <row r="99" spans="3:11" ht="12" customHeight="1" thickBot="1" x14ac:dyDescent="0.25">
      <c r="C99" s="156"/>
      <c r="D99" s="154"/>
      <c r="E99" s="154"/>
      <c r="F99" s="154"/>
      <c r="G99" s="154"/>
      <c r="H99" s="154"/>
      <c r="I99" s="154"/>
      <c r="J99" s="154"/>
      <c r="K99" s="154"/>
    </row>
    <row r="100" spans="3:11" x14ac:dyDescent="0.2">
      <c r="C100" s="87" t="s">
        <v>123</v>
      </c>
      <c r="D100" s="47">
        <f t="shared" ref="D100:K109" si="2">+IFERROR(IF(D58&gt;0,+((D58/D15)*100)," "),"")</f>
        <v>89.228861622892509</v>
      </c>
      <c r="E100" s="47">
        <f t="shared" si="2"/>
        <v>92.646479317258894</v>
      </c>
      <c r="F100" s="47">
        <f t="shared" si="2"/>
        <v>94.804338198785288</v>
      </c>
      <c r="G100" s="47">
        <f t="shared" si="2"/>
        <v>87.859819445377369</v>
      </c>
      <c r="H100" s="47">
        <f t="shared" si="2"/>
        <v>89.481707671399377</v>
      </c>
      <c r="I100" s="47">
        <f t="shared" si="2"/>
        <v>95.058092315595971</v>
      </c>
      <c r="J100" s="47">
        <f t="shared" si="2"/>
        <v>90.989200433816151</v>
      </c>
      <c r="K100" s="47">
        <f t="shared" si="2"/>
        <v>45.217492198433476</v>
      </c>
    </row>
    <row r="101" spans="3:11" x14ac:dyDescent="0.2">
      <c r="C101" s="88" t="s">
        <v>124</v>
      </c>
      <c r="D101" s="116">
        <f t="shared" si="2"/>
        <v>96.252697759781569</v>
      </c>
      <c r="E101" s="116">
        <f t="shared" si="2"/>
        <v>95.236132283467299</v>
      </c>
      <c r="F101" s="116">
        <f t="shared" si="2"/>
        <v>85.86155225470732</v>
      </c>
      <c r="G101" s="116">
        <f t="shared" si="2"/>
        <v>85.035545607123353</v>
      </c>
      <c r="H101" s="116">
        <f t="shared" si="2"/>
        <v>85.296698284342298</v>
      </c>
      <c r="I101" s="116">
        <f t="shared" si="2"/>
        <v>82.923729123003739</v>
      </c>
      <c r="J101" s="116">
        <f t="shared" si="2"/>
        <v>94.551598468291971</v>
      </c>
      <c r="K101" s="116">
        <f t="shared" si="2"/>
        <v>61.61515894256361</v>
      </c>
    </row>
    <row r="102" spans="3:11" x14ac:dyDescent="0.2">
      <c r="C102" s="87" t="s">
        <v>125</v>
      </c>
      <c r="D102" s="47" t="str">
        <f t="shared" si="2"/>
        <v xml:space="preserve"> </v>
      </c>
      <c r="E102" s="47" t="str">
        <f t="shared" si="2"/>
        <v xml:space="preserve"> </v>
      </c>
      <c r="F102" s="47" t="str">
        <f t="shared" si="2"/>
        <v xml:space="preserve"> </v>
      </c>
      <c r="G102" s="47" t="str">
        <f t="shared" si="2"/>
        <v xml:space="preserve"> </v>
      </c>
      <c r="H102" s="47" t="str">
        <f t="shared" si="2"/>
        <v xml:space="preserve"> </v>
      </c>
      <c r="I102" s="47" t="str">
        <f t="shared" si="2"/>
        <v xml:space="preserve"> </v>
      </c>
      <c r="J102" s="47" t="str">
        <f t="shared" si="2"/>
        <v xml:space="preserve"> </v>
      </c>
      <c r="K102" s="47" t="str">
        <f t="shared" si="2"/>
        <v xml:space="preserve"> </v>
      </c>
    </row>
    <row r="103" spans="3:11" x14ac:dyDescent="0.2">
      <c r="C103" s="88" t="s">
        <v>126</v>
      </c>
      <c r="D103" s="116">
        <f t="shared" si="2"/>
        <v>96.93788641389358</v>
      </c>
      <c r="E103" s="116">
        <f t="shared" si="2"/>
        <v>93.414628949907424</v>
      </c>
      <c r="F103" s="116">
        <f t="shared" si="2"/>
        <v>88.323346369632588</v>
      </c>
      <c r="G103" s="116">
        <f t="shared" si="2"/>
        <v>92.291134254056132</v>
      </c>
      <c r="H103" s="116">
        <f t="shared" si="2"/>
        <v>94.554843989478883</v>
      </c>
      <c r="I103" s="116">
        <f t="shared" si="2"/>
        <v>91.295231279435797</v>
      </c>
      <c r="J103" s="116">
        <f t="shared" si="2"/>
        <v>94.198946017478335</v>
      </c>
      <c r="K103" s="116">
        <f t="shared" si="2"/>
        <v>63.037921900179953</v>
      </c>
    </row>
    <row r="104" spans="3:11" x14ac:dyDescent="0.2">
      <c r="C104" s="87" t="s">
        <v>127</v>
      </c>
      <c r="D104" s="47" t="str">
        <f t="shared" si="2"/>
        <v xml:space="preserve"> </v>
      </c>
      <c r="E104" s="47" t="str">
        <f t="shared" si="2"/>
        <v xml:space="preserve"> </v>
      </c>
      <c r="F104" s="47" t="str">
        <f t="shared" si="2"/>
        <v xml:space="preserve"> </v>
      </c>
      <c r="G104" s="47" t="str">
        <f t="shared" si="2"/>
        <v xml:space="preserve"> </v>
      </c>
      <c r="H104" s="47" t="str">
        <f t="shared" si="2"/>
        <v xml:space="preserve"> </v>
      </c>
      <c r="I104" s="47" t="str">
        <f t="shared" si="2"/>
        <v xml:space="preserve"> </v>
      </c>
      <c r="J104" s="47" t="str">
        <f t="shared" si="2"/>
        <v xml:space="preserve"> </v>
      </c>
      <c r="K104" s="47" t="str">
        <f t="shared" si="2"/>
        <v xml:space="preserve"> </v>
      </c>
    </row>
    <row r="105" spans="3:11" x14ac:dyDescent="0.2">
      <c r="C105" s="88" t="s">
        <v>128</v>
      </c>
      <c r="D105" s="116">
        <f t="shared" si="2"/>
        <v>96.016160817433402</v>
      </c>
      <c r="E105" s="116">
        <f t="shared" si="2"/>
        <v>97.594459427335764</v>
      </c>
      <c r="F105" s="116">
        <f t="shared" si="2"/>
        <v>63.688908979380201</v>
      </c>
      <c r="G105" s="116">
        <f t="shared" si="2"/>
        <v>96.431140804564961</v>
      </c>
      <c r="H105" s="116">
        <f t="shared" si="2"/>
        <v>80.922230729701155</v>
      </c>
      <c r="I105" s="116">
        <f t="shared" si="2"/>
        <v>61.431380182176419</v>
      </c>
      <c r="J105" s="116">
        <f t="shared" si="2"/>
        <v>95.08468537614803</v>
      </c>
      <c r="K105" s="116">
        <f t="shared" si="2"/>
        <v>33.772008119826438</v>
      </c>
    </row>
    <row r="106" spans="3:11" x14ac:dyDescent="0.2">
      <c r="C106" s="87" t="s">
        <v>129</v>
      </c>
      <c r="D106" s="47">
        <f t="shared" si="2"/>
        <v>97.146536508570762</v>
      </c>
      <c r="E106" s="47">
        <f t="shared" si="2"/>
        <v>96.02156312631945</v>
      </c>
      <c r="F106" s="47">
        <f t="shared" si="2"/>
        <v>83.787369555228594</v>
      </c>
      <c r="G106" s="47">
        <f t="shared" si="2"/>
        <v>79.406938202765048</v>
      </c>
      <c r="H106" s="47">
        <f t="shared" si="2"/>
        <v>68.484602043837342</v>
      </c>
      <c r="I106" s="47">
        <f t="shared" si="2"/>
        <v>83.494602097981954</v>
      </c>
      <c r="J106" s="47">
        <f t="shared" si="2"/>
        <v>99.002943228148212</v>
      </c>
      <c r="K106" s="47">
        <f t="shared" si="2"/>
        <v>14.502944978320572</v>
      </c>
    </row>
    <row r="107" spans="3:11" x14ac:dyDescent="0.2">
      <c r="C107" s="88" t="s">
        <v>130</v>
      </c>
      <c r="D107" s="116" t="str">
        <f t="shared" si="2"/>
        <v xml:space="preserve"> </v>
      </c>
      <c r="E107" s="116" t="str">
        <f t="shared" si="2"/>
        <v xml:space="preserve"> </v>
      </c>
      <c r="F107" s="116" t="str">
        <f t="shared" si="2"/>
        <v xml:space="preserve"> </v>
      </c>
      <c r="G107" s="116" t="str">
        <f t="shared" si="2"/>
        <v xml:space="preserve"> </v>
      </c>
      <c r="H107" s="116" t="str">
        <f t="shared" si="2"/>
        <v xml:space="preserve"> </v>
      </c>
      <c r="I107" s="116" t="str">
        <f t="shared" si="2"/>
        <v xml:space="preserve"> </v>
      </c>
      <c r="J107" s="116" t="str">
        <f t="shared" si="2"/>
        <v xml:space="preserve"> </v>
      </c>
      <c r="K107" s="116" t="str">
        <f t="shared" si="2"/>
        <v xml:space="preserve"> </v>
      </c>
    </row>
    <row r="108" spans="3:11" x14ac:dyDescent="0.2">
      <c r="C108" s="87" t="s">
        <v>131</v>
      </c>
      <c r="D108" s="47">
        <f t="shared" si="2"/>
        <v>87.113723236318847</v>
      </c>
      <c r="E108" s="47">
        <f t="shared" si="2"/>
        <v>76.352883556179023</v>
      </c>
      <c r="F108" s="47">
        <f t="shared" si="2"/>
        <v>82.318009878649875</v>
      </c>
      <c r="G108" s="47">
        <f t="shared" si="2"/>
        <v>87.253869851229354</v>
      </c>
      <c r="H108" s="47">
        <f t="shared" si="2"/>
        <v>86.183348417483629</v>
      </c>
      <c r="I108" s="47">
        <f t="shared" si="2"/>
        <v>97.90222391591179</v>
      </c>
      <c r="J108" s="47">
        <f t="shared" si="2"/>
        <v>91.963416582156725</v>
      </c>
      <c r="K108" s="47">
        <f t="shared" si="2"/>
        <v>15.321222001325948</v>
      </c>
    </row>
    <row r="109" spans="3:11" x14ac:dyDescent="0.2">
      <c r="C109" s="88" t="s">
        <v>132</v>
      </c>
      <c r="D109" s="116">
        <f t="shared" si="2"/>
        <v>92.469131334045443</v>
      </c>
      <c r="E109" s="116">
        <f t="shared" si="2"/>
        <v>69.907584100247178</v>
      </c>
      <c r="F109" s="116">
        <f t="shared" si="2"/>
        <v>63.077944230405848</v>
      </c>
      <c r="G109" s="116">
        <f t="shared" si="2"/>
        <v>66.807285966725857</v>
      </c>
      <c r="H109" s="116">
        <f t="shared" si="2"/>
        <v>74.792437558294353</v>
      </c>
      <c r="I109" s="116">
        <f t="shared" si="2"/>
        <v>88.271182034666552</v>
      </c>
      <c r="J109" s="116">
        <f t="shared" si="2"/>
        <v>89.176279444107976</v>
      </c>
      <c r="K109" s="116">
        <f t="shared" si="2"/>
        <v>43.965824035325284</v>
      </c>
    </row>
    <row r="110" spans="3:11" x14ac:dyDescent="0.2">
      <c r="C110" s="87" t="s">
        <v>133</v>
      </c>
      <c r="D110" s="47">
        <f t="shared" ref="D110:K119" si="3">+IFERROR(IF(D68&gt;0,+((D68/D25)*100)," "),"")</f>
        <v>99.537400249355727</v>
      </c>
      <c r="E110" s="47">
        <f t="shared" si="3"/>
        <v>97.419092679527267</v>
      </c>
      <c r="F110" s="47">
        <f t="shared" si="3"/>
        <v>93.728233626741385</v>
      </c>
      <c r="G110" s="47">
        <f t="shared" si="3"/>
        <v>97.238228788513609</v>
      </c>
      <c r="H110" s="47">
        <f t="shared" si="3"/>
        <v>79.581415387967596</v>
      </c>
      <c r="I110" s="47">
        <f t="shared" si="3"/>
        <v>85.900914701153184</v>
      </c>
      <c r="J110" s="47">
        <f t="shared" si="3"/>
        <v>99.587101665081249</v>
      </c>
      <c r="K110" s="47">
        <f t="shared" si="3"/>
        <v>11.738738003994044</v>
      </c>
    </row>
    <row r="111" spans="3:11" x14ac:dyDescent="0.2">
      <c r="C111" s="88" t="s">
        <v>134</v>
      </c>
      <c r="D111" s="116">
        <f t="shared" si="3"/>
        <v>91.606586556112262</v>
      </c>
      <c r="E111" s="116">
        <f t="shared" si="3"/>
        <v>94.802158254766482</v>
      </c>
      <c r="F111" s="116">
        <f t="shared" si="3"/>
        <v>64.422998226568396</v>
      </c>
      <c r="G111" s="116">
        <f t="shared" si="3"/>
        <v>93.382698622970906</v>
      </c>
      <c r="H111" s="116">
        <f t="shared" si="3"/>
        <v>85.376383305378056</v>
      </c>
      <c r="I111" s="116">
        <f t="shared" si="3"/>
        <v>94.832688370716738</v>
      </c>
      <c r="J111" s="116">
        <f t="shared" si="3"/>
        <v>94.798843765228511</v>
      </c>
      <c r="K111" s="116">
        <f t="shared" si="3"/>
        <v>33.802002655401822</v>
      </c>
    </row>
    <row r="112" spans="3:11" x14ac:dyDescent="0.2">
      <c r="C112" s="87" t="s">
        <v>135</v>
      </c>
      <c r="D112" s="47" t="str">
        <f t="shared" si="3"/>
        <v xml:space="preserve"> </v>
      </c>
      <c r="E112" s="47" t="str">
        <f t="shared" si="3"/>
        <v xml:space="preserve"> </v>
      </c>
      <c r="F112" s="47" t="str">
        <f t="shared" si="3"/>
        <v xml:space="preserve"> </v>
      </c>
      <c r="G112" s="47" t="str">
        <f t="shared" si="3"/>
        <v xml:space="preserve"> </v>
      </c>
      <c r="H112" s="47" t="str">
        <f t="shared" si="3"/>
        <v xml:space="preserve"> </v>
      </c>
      <c r="I112" s="47">
        <f t="shared" si="3"/>
        <v>98.067291859483348</v>
      </c>
      <c r="J112" s="47">
        <f t="shared" si="3"/>
        <v>99.700502053481443</v>
      </c>
      <c r="K112" s="47">
        <f t="shared" si="3"/>
        <v>61.810422833944671</v>
      </c>
    </row>
    <row r="113" spans="3:11" x14ac:dyDescent="0.2">
      <c r="C113" s="88" t="s">
        <v>136</v>
      </c>
      <c r="D113" s="116">
        <f t="shared" si="3"/>
        <v>99.009710364186589</v>
      </c>
      <c r="E113" s="116">
        <f t="shared" si="3"/>
        <v>97.469092843537993</v>
      </c>
      <c r="F113" s="116">
        <f t="shared" si="3"/>
        <v>90.96392997994738</v>
      </c>
      <c r="G113" s="116">
        <f t="shared" si="3"/>
        <v>96.404800903185148</v>
      </c>
      <c r="H113" s="116">
        <f t="shared" si="3"/>
        <v>98.735706305171277</v>
      </c>
      <c r="I113" s="116" t="str">
        <f t="shared" si="3"/>
        <v xml:space="preserve"> </v>
      </c>
      <c r="J113" s="116" t="str">
        <f t="shared" si="3"/>
        <v xml:space="preserve"> </v>
      </c>
      <c r="K113" s="116" t="str">
        <f t="shared" si="3"/>
        <v xml:space="preserve"> </v>
      </c>
    </row>
    <row r="114" spans="3:11" x14ac:dyDescent="0.2">
      <c r="C114" s="87" t="s">
        <v>137</v>
      </c>
      <c r="D114" s="47">
        <f t="shared" si="3"/>
        <v>86.438571259448693</v>
      </c>
      <c r="E114" s="47">
        <f t="shared" si="3"/>
        <v>82.524496427451766</v>
      </c>
      <c r="F114" s="47">
        <f t="shared" si="3"/>
        <v>54.805052373578235</v>
      </c>
      <c r="G114" s="47">
        <f t="shared" si="3"/>
        <v>30.45715026734883</v>
      </c>
      <c r="H114" s="47">
        <f t="shared" si="3"/>
        <v>30.214654118065454</v>
      </c>
      <c r="I114" s="47">
        <f t="shared" si="3"/>
        <v>65.350763878859681</v>
      </c>
      <c r="J114" s="47">
        <f t="shared" si="3"/>
        <v>74.714054705444369</v>
      </c>
      <c r="K114" s="47">
        <f t="shared" si="3"/>
        <v>43.489223048600444</v>
      </c>
    </row>
    <row r="115" spans="3:11" x14ac:dyDescent="0.2">
      <c r="C115" s="88" t="s">
        <v>138</v>
      </c>
      <c r="D115" s="116" t="str">
        <f t="shared" si="3"/>
        <v xml:space="preserve"> </v>
      </c>
      <c r="E115" s="116" t="str">
        <f t="shared" si="3"/>
        <v xml:space="preserve"> </v>
      </c>
      <c r="F115" s="116" t="str">
        <f t="shared" si="3"/>
        <v xml:space="preserve"> </v>
      </c>
      <c r="G115" s="116" t="str">
        <f t="shared" si="3"/>
        <v xml:space="preserve"> </v>
      </c>
      <c r="H115" s="116" t="str">
        <f t="shared" si="3"/>
        <v xml:space="preserve"> </v>
      </c>
      <c r="I115" s="116" t="str">
        <f t="shared" si="3"/>
        <v xml:space="preserve"> </v>
      </c>
      <c r="J115" s="116" t="str">
        <f t="shared" si="3"/>
        <v xml:space="preserve"> </v>
      </c>
      <c r="K115" s="116" t="str">
        <f t="shared" si="3"/>
        <v xml:space="preserve"> </v>
      </c>
    </row>
    <row r="116" spans="3:11" x14ac:dyDescent="0.2">
      <c r="C116" s="87" t="s">
        <v>160</v>
      </c>
      <c r="D116" s="47" t="str">
        <f t="shared" si="3"/>
        <v xml:space="preserve"> </v>
      </c>
      <c r="E116" s="47" t="str">
        <f t="shared" si="3"/>
        <v xml:space="preserve"> </v>
      </c>
      <c r="F116" s="47" t="str">
        <f t="shared" si="3"/>
        <v xml:space="preserve"> </v>
      </c>
      <c r="G116" s="47" t="str">
        <f t="shared" si="3"/>
        <v xml:space="preserve"> </v>
      </c>
      <c r="H116" s="47" t="str">
        <f t="shared" si="3"/>
        <v xml:space="preserve"> </v>
      </c>
      <c r="I116" s="47" t="str">
        <f t="shared" si="3"/>
        <v xml:space="preserve"> </v>
      </c>
      <c r="J116" s="47" t="str">
        <f t="shared" si="3"/>
        <v xml:space="preserve"> </v>
      </c>
      <c r="K116" s="47" t="str">
        <f t="shared" si="3"/>
        <v xml:space="preserve"> </v>
      </c>
    </row>
    <row r="117" spans="3:11" x14ac:dyDescent="0.2">
      <c r="C117" s="88" t="s">
        <v>161</v>
      </c>
      <c r="D117" s="116">
        <f t="shared" si="3"/>
        <v>95.790578870547137</v>
      </c>
      <c r="E117" s="116">
        <f t="shared" si="3"/>
        <v>91.669424032448461</v>
      </c>
      <c r="F117" s="116">
        <f t="shared" si="3"/>
        <v>88.123185821462471</v>
      </c>
      <c r="G117" s="116">
        <f t="shared" si="3"/>
        <v>56.153332190361368</v>
      </c>
      <c r="H117" s="116">
        <f t="shared" si="3"/>
        <v>76.159600307630683</v>
      </c>
      <c r="I117" s="116">
        <f t="shared" si="3"/>
        <v>90.751974146925122</v>
      </c>
      <c r="J117" s="116">
        <f t="shared" si="3"/>
        <v>67.525327220255377</v>
      </c>
      <c r="K117" s="116">
        <f t="shared" si="3"/>
        <v>33.266873092508547</v>
      </c>
    </row>
    <row r="118" spans="3:11" x14ac:dyDescent="0.2">
      <c r="C118" s="87" t="s">
        <v>140</v>
      </c>
      <c r="D118" s="47">
        <f t="shared" si="3"/>
        <v>97.330659046949364</v>
      </c>
      <c r="E118" s="47">
        <f t="shared" si="3"/>
        <v>86.675346013468996</v>
      </c>
      <c r="F118" s="47">
        <f t="shared" si="3"/>
        <v>80.599221983551999</v>
      </c>
      <c r="G118" s="47">
        <f t="shared" si="3"/>
        <v>74.983136246367692</v>
      </c>
      <c r="H118" s="47">
        <f t="shared" si="3"/>
        <v>50.873032083649406</v>
      </c>
      <c r="I118" s="47">
        <f t="shared" si="3"/>
        <v>93.711574127228772</v>
      </c>
      <c r="J118" s="47">
        <f t="shared" si="3"/>
        <v>97.104592380400859</v>
      </c>
      <c r="K118" s="47">
        <f t="shared" si="3"/>
        <v>12.979873498239991</v>
      </c>
    </row>
    <row r="119" spans="3:11" x14ac:dyDescent="0.2">
      <c r="C119" s="88" t="s">
        <v>141</v>
      </c>
      <c r="D119" s="116" t="str">
        <f t="shared" si="3"/>
        <v xml:space="preserve"> </v>
      </c>
      <c r="E119" s="116" t="str">
        <f t="shared" si="3"/>
        <v xml:space="preserve"> </v>
      </c>
      <c r="F119" s="116" t="str">
        <f t="shared" si="3"/>
        <v xml:space="preserve"> </v>
      </c>
      <c r="G119" s="116" t="str">
        <f t="shared" si="3"/>
        <v xml:space="preserve"> </v>
      </c>
      <c r="H119" s="116" t="str">
        <f t="shared" si="3"/>
        <v xml:space="preserve"> </v>
      </c>
      <c r="I119" s="116" t="str">
        <f t="shared" si="3"/>
        <v xml:space="preserve"> </v>
      </c>
      <c r="J119" s="116" t="str">
        <f t="shared" si="3"/>
        <v xml:space="preserve"> </v>
      </c>
      <c r="K119" s="116" t="str">
        <f t="shared" si="3"/>
        <v xml:space="preserve"> </v>
      </c>
    </row>
    <row r="120" spans="3:11" x14ac:dyDescent="0.2">
      <c r="C120" s="87" t="s">
        <v>142</v>
      </c>
      <c r="D120" s="47">
        <f t="shared" ref="D120:K129" si="4">+IFERROR(IF(D78&gt;0,+((D78/D35)*100)," "),"")</f>
        <v>92.635698332196313</v>
      </c>
      <c r="E120" s="47">
        <f t="shared" si="4"/>
        <v>97.691377124722194</v>
      </c>
      <c r="F120" s="47">
        <f t="shared" si="4"/>
        <v>92.757268094204136</v>
      </c>
      <c r="G120" s="47">
        <f t="shared" si="4"/>
        <v>91.126899217715518</v>
      </c>
      <c r="H120" s="47">
        <f t="shared" si="4"/>
        <v>72.680494277317507</v>
      </c>
      <c r="I120" s="47">
        <f t="shared" si="4"/>
        <v>71.185728678705502</v>
      </c>
      <c r="J120" s="47">
        <f t="shared" si="4"/>
        <v>45.678484201402384</v>
      </c>
      <c r="K120" s="47">
        <f t="shared" si="4"/>
        <v>60.532336304610254</v>
      </c>
    </row>
    <row r="121" spans="3:11" x14ac:dyDescent="0.2">
      <c r="C121" s="88" t="s">
        <v>143</v>
      </c>
      <c r="D121" s="116">
        <f t="shared" si="4"/>
        <v>60.449510639326398</v>
      </c>
      <c r="E121" s="116">
        <f t="shared" si="4"/>
        <v>33.997097763331396</v>
      </c>
      <c r="F121" s="116">
        <f t="shared" si="4"/>
        <v>60.226191128134573</v>
      </c>
      <c r="G121" s="116">
        <f t="shared" si="4"/>
        <v>58.72806690422108</v>
      </c>
      <c r="H121" s="116">
        <f t="shared" si="4"/>
        <v>10.814690216123084</v>
      </c>
      <c r="I121" s="116">
        <f t="shared" si="4"/>
        <v>17.780774409516674</v>
      </c>
      <c r="J121" s="116">
        <f t="shared" si="4"/>
        <v>55.425190969172448</v>
      </c>
      <c r="K121" s="116">
        <f t="shared" si="4"/>
        <v>3.7967669374239641</v>
      </c>
    </row>
    <row r="122" spans="3:11" x14ac:dyDescent="0.2">
      <c r="C122" s="87" t="s">
        <v>144</v>
      </c>
      <c r="D122" s="47" t="str">
        <f t="shared" si="4"/>
        <v xml:space="preserve"> </v>
      </c>
      <c r="E122" s="47" t="str">
        <f t="shared" si="4"/>
        <v xml:space="preserve"> </v>
      </c>
      <c r="F122" s="47" t="str">
        <f t="shared" si="4"/>
        <v xml:space="preserve"> </v>
      </c>
      <c r="G122" s="47" t="str">
        <f t="shared" si="4"/>
        <v xml:space="preserve"> </v>
      </c>
      <c r="H122" s="47" t="str">
        <f t="shared" si="4"/>
        <v xml:space="preserve"> </v>
      </c>
      <c r="I122" s="47" t="str">
        <f t="shared" si="4"/>
        <v xml:space="preserve"> </v>
      </c>
      <c r="J122" s="47" t="str">
        <f t="shared" si="4"/>
        <v xml:space="preserve"> </v>
      </c>
      <c r="K122" s="47" t="str">
        <f t="shared" si="4"/>
        <v xml:space="preserve"> </v>
      </c>
    </row>
    <row r="123" spans="3:11" x14ac:dyDescent="0.2">
      <c r="C123" s="88" t="s">
        <v>145</v>
      </c>
      <c r="D123" s="116">
        <f t="shared" si="4"/>
        <v>91.877419355468874</v>
      </c>
      <c r="E123" s="116">
        <f t="shared" si="4"/>
        <v>98.839611192249933</v>
      </c>
      <c r="F123" s="116">
        <f t="shared" si="4"/>
        <v>86.845540674888255</v>
      </c>
      <c r="G123" s="116">
        <f t="shared" si="4"/>
        <v>96.055826662392235</v>
      </c>
      <c r="H123" s="116">
        <f t="shared" si="4"/>
        <v>91.129267330600811</v>
      </c>
      <c r="I123" s="116">
        <f t="shared" si="4"/>
        <v>72.17792076609615</v>
      </c>
      <c r="J123" s="116">
        <f t="shared" si="4"/>
        <v>93.4222880802932</v>
      </c>
      <c r="K123" s="116">
        <f t="shared" si="4"/>
        <v>47.219417878278165</v>
      </c>
    </row>
    <row r="124" spans="3:11" x14ac:dyDescent="0.2">
      <c r="C124" s="87" t="s">
        <v>146</v>
      </c>
      <c r="D124" s="47">
        <f t="shared" si="4"/>
        <v>99.083002947821356</v>
      </c>
      <c r="E124" s="47">
        <f t="shared" si="4"/>
        <v>98.20589777731054</v>
      </c>
      <c r="F124" s="47">
        <f t="shared" si="4"/>
        <v>100</v>
      </c>
      <c r="G124" s="47">
        <f t="shared" si="4"/>
        <v>24.907112279480046</v>
      </c>
      <c r="H124" s="47">
        <f t="shared" si="4"/>
        <v>67.807684214172951</v>
      </c>
      <c r="I124" s="47">
        <f t="shared" si="4"/>
        <v>95.138221480251516</v>
      </c>
      <c r="J124" s="47">
        <f t="shared" si="4"/>
        <v>86.978554023095853</v>
      </c>
      <c r="K124" s="47">
        <f t="shared" si="4"/>
        <v>27.02051703949973</v>
      </c>
    </row>
    <row r="125" spans="3:11" x14ac:dyDescent="0.2">
      <c r="C125" s="88" t="s">
        <v>162</v>
      </c>
      <c r="D125" s="116">
        <f t="shared" si="4"/>
        <v>83.39322428807904</v>
      </c>
      <c r="E125" s="116">
        <f t="shared" si="4"/>
        <v>91.771949582916363</v>
      </c>
      <c r="F125" s="116">
        <f t="shared" si="4"/>
        <v>87.163164244483681</v>
      </c>
      <c r="G125" s="116">
        <f t="shared" si="4"/>
        <v>84.969900327622852</v>
      </c>
      <c r="H125" s="116">
        <f t="shared" si="4"/>
        <v>81.657207151551233</v>
      </c>
      <c r="I125" s="116">
        <f t="shared" si="4"/>
        <v>85.89134128505161</v>
      </c>
      <c r="J125" s="116">
        <f t="shared" si="4"/>
        <v>97.321742735922257</v>
      </c>
      <c r="K125" s="116">
        <f t="shared" si="4"/>
        <v>28.839156796860088</v>
      </c>
    </row>
    <row r="126" spans="3:11" x14ac:dyDescent="0.2">
      <c r="C126" s="87" t="s">
        <v>148</v>
      </c>
      <c r="D126" s="47" t="str">
        <f t="shared" si="4"/>
        <v xml:space="preserve"> </v>
      </c>
      <c r="E126" s="47" t="str">
        <f t="shared" si="4"/>
        <v xml:space="preserve"> </v>
      </c>
      <c r="F126" s="47" t="str">
        <f t="shared" si="4"/>
        <v xml:space="preserve"> </v>
      </c>
      <c r="G126" s="47" t="str">
        <f t="shared" si="4"/>
        <v xml:space="preserve"> </v>
      </c>
      <c r="H126" s="47" t="str">
        <f t="shared" si="4"/>
        <v xml:space="preserve"> </v>
      </c>
      <c r="I126" s="47" t="str">
        <f t="shared" si="4"/>
        <v xml:space="preserve"> </v>
      </c>
      <c r="J126" s="47" t="str">
        <f t="shared" si="4"/>
        <v xml:space="preserve"> </v>
      </c>
      <c r="K126" s="47" t="str">
        <f t="shared" si="4"/>
        <v xml:space="preserve"> </v>
      </c>
    </row>
    <row r="127" spans="3:11" x14ac:dyDescent="0.2">
      <c r="C127" s="88" t="s">
        <v>149</v>
      </c>
      <c r="D127" s="116">
        <f t="shared" si="4"/>
        <v>91.925878186555153</v>
      </c>
      <c r="E127" s="116">
        <f t="shared" si="4"/>
        <v>99.684549182662508</v>
      </c>
      <c r="F127" s="116">
        <f t="shared" si="4"/>
        <v>86.075506998077529</v>
      </c>
      <c r="G127" s="116">
        <f t="shared" si="4"/>
        <v>88.111238138584838</v>
      </c>
      <c r="H127" s="116">
        <f t="shared" si="4"/>
        <v>98.050418789558009</v>
      </c>
      <c r="I127" s="116">
        <f t="shared" si="4"/>
        <v>93.194337218005501</v>
      </c>
      <c r="J127" s="116">
        <f t="shared" si="4"/>
        <v>96.51973959422304</v>
      </c>
      <c r="K127" s="116">
        <f t="shared" si="4"/>
        <v>78.578356556992489</v>
      </c>
    </row>
    <row r="128" spans="3:11" x14ac:dyDescent="0.2">
      <c r="C128" s="87" t="s">
        <v>163</v>
      </c>
      <c r="D128" s="47">
        <f t="shared" si="4"/>
        <v>98.406736585639592</v>
      </c>
      <c r="E128" s="47">
        <f t="shared" si="4"/>
        <v>97.92846873332131</v>
      </c>
      <c r="F128" s="47">
        <f t="shared" si="4"/>
        <v>95.975593173348202</v>
      </c>
      <c r="G128" s="47">
        <f t="shared" si="4"/>
        <v>96.14669847027622</v>
      </c>
      <c r="H128" s="47">
        <f t="shared" si="4"/>
        <v>97.627067653691142</v>
      </c>
      <c r="I128" s="47">
        <f t="shared" si="4"/>
        <v>97.563162283006989</v>
      </c>
      <c r="J128" s="47">
        <f t="shared" si="4"/>
        <v>96.767013539315329</v>
      </c>
      <c r="K128" s="47">
        <f t="shared" si="4"/>
        <v>14.429577485582065</v>
      </c>
    </row>
    <row r="129" spans="1:11" x14ac:dyDescent="0.2">
      <c r="C129" s="88" t="s">
        <v>150</v>
      </c>
      <c r="D129" s="116">
        <f t="shared" si="4"/>
        <v>96.544174297258806</v>
      </c>
      <c r="E129" s="116">
        <f t="shared" si="4"/>
        <v>97.410007447013584</v>
      </c>
      <c r="F129" s="116">
        <f t="shared" si="4"/>
        <v>88.289772993446604</v>
      </c>
      <c r="G129" s="116">
        <f t="shared" si="4"/>
        <v>89.624993204337429</v>
      </c>
      <c r="H129" s="116">
        <f t="shared" si="4"/>
        <v>65.712744932585977</v>
      </c>
      <c r="I129" s="116">
        <f t="shared" si="4"/>
        <v>88.516763700685217</v>
      </c>
      <c r="J129" s="116">
        <f t="shared" si="4"/>
        <v>94.176208166665759</v>
      </c>
      <c r="K129" s="116">
        <f t="shared" si="4"/>
        <v>21.479549432113124</v>
      </c>
    </row>
    <row r="130" spans="1:11" x14ac:dyDescent="0.2">
      <c r="C130" s="87" t="s">
        <v>151</v>
      </c>
      <c r="D130" s="47" t="str">
        <f t="shared" ref="D130:K131" si="5">+IFERROR(IF(D88&gt;0,+((D88/D45)*100)," "),"")</f>
        <v xml:space="preserve"> </v>
      </c>
      <c r="E130" s="47" t="str">
        <f t="shared" si="5"/>
        <v xml:space="preserve"> </v>
      </c>
      <c r="F130" s="47" t="str">
        <f t="shared" si="5"/>
        <v xml:space="preserve"> </v>
      </c>
      <c r="G130" s="47" t="str">
        <f t="shared" si="5"/>
        <v xml:space="preserve"> </v>
      </c>
      <c r="H130" s="47" t="str">
        <f t="shared" si="5"/>
        <v xml:space="preserve"> </v>
      </c>
      <c r="I130" s="47" t="str">
        <f t="shared" si="5"/>
        <v xml:space="preserve"> </v>
      </c>
      <c r="J130" s="47" t="str">
        <f t="shared" si="5"/>
        <v xml:space="preserve"> </v>
      </c>
      <c r="K130" s="47" t="str">
        <f t="shared" si="5"/>
        <v xml:space="preserve"> </v>
      </c>
    </row>
    <row r="131" spans="1:11" x14ac:dyDescent="0.2">
      <c r="C131" s="91" t="s">
        <v>202</v>
      </c>
      <c r="D131" s="64">
        <f t="shared" si="5"/>
        <v>96.121091240924827</v>
      </c>
      <c r="E131" s="64">
        <f t="shared" si="5"/>
        <v>96.161001565725044</v>
      </c>
      <c r="F131" s="64">
        <f t="shared" si="5"/>
        <v>87.674420147974246</v>
      </c>
      <c r="G131" s="64">
        <f t="shared" si="5"/>
        <v>89.043941367008813</v>
      </c>
      <c r="H131" s="64">
        <f t="shared" si="5"/>
        <v>85.719126932798119</v>
      </c>
      <c r="I131" s="64">
        <f t="shared" si="5"/>
        <v>92.899015807470704</v>
      </c>
      <c r="J131" s="64">
        <f t="shared" si="5"/>
        <v>95.466052552909986</v>
      </c>
      <c r="K131" s="64">
        <f t="shared" si="5"/>
        <v>35.990339854638258</v>
      </c>
    </row>
    <row r="132" spans="1:11" s="31" customFormat="1" x14ac:dyDescent="0.2">
      <c r="A132" s="5"/>
      <c r="B132" s="5"/>
      <c r="C132" s="72" t="str">
        <f>+'C1 Aprop Resumen 2000-2026'!B20</f>
        <v>* Información con corte a 28 de febrero</v>
      </c>
      <c r="D132" s="47"/>
      <c r="E132" s="47"/>
      <c r="F132" s="47"/>
      <c r="G132" s="47"/>
      <c r="H132" s="47"/>
      <c r="I132" s="47"/>
    </row>
    <row r="133" spans="1:11" x14ac:dyDescent="0.2">
      <c r="C133" s="1" t="s">
        <v>52</v>
      </c>
      <c r="D133" s="11"/>
      <c r="E133" s="11"/>
      <c r="F133" s="11"/>
    </row>
    <row r="134" spans="1:11" x14ac:dyDescent="0.2">
      <c r="D134" s="11"/>
      <c r="E134" s="11"/>
      <c r="F134" s="11"/>
    </row>
    <row r="135" spans="1:11" x14ac:dyDescent="0.2">
      <c r="E135" s="3"/>
      <c r="F135" s="3"/>
    </row>
    <row r="136" spans="1:11" x14ac:dyDescent="0.2">
      <c r="E136" s="3"/>
      <c r="F136" s="3"/>
    </row>
    <row r="137" spans="1:11" x14ac:dyDescent="0.2">
      <c r="E137" s="3"/>
      <c r="F137" s="3"/>
    </row>
    <row r="138" spans="1:11" ht="18" customHeight="1" x14ac:dyDescent="0.2">
      <c r="D138" s="160" t="s">
        <v>221</v>
      </c>
      <c r="E138" s="178"/>
      <c r="F138" s="178"/>
      <c r="G138" s="178"/>
      <c r="H138" s="178"/>
      <c r="I138" s="178"/>
      <c r="J138" s="178"/>
      <c r="K138" s="178"/>
    </row>
    <row r="139" spans="1:11" ht="15.75" customHeight="1" x14ac:dyDescent="0.2">
      <c r="C139" s="150"/>
      <c r="D139" s="150"/>
      <c r="E139" s="150"/>
      <c r="F139" s="150"/>
      <c r="G139" s="150"/>
      <c r="H139" s="150"/>
      <c r="I139" s="150"/>
      <c r="J139" s="150"/>
    </row>
    <row r="140" spans="1:11" x14ac:dyDescent="0.2">
      <c r="C140" s="177" t="s">
        <v>120</v>
      </c>
      <c r="D140" s="153">
        <v>2019</v>
      </c>
      <c r="E140" s="153">
        <v>2020</v>
      </c>
      <c r="F140" s="153">
        <v>2021</v>
      </c>
      <c r="G140" s="153">
        <v>2022</v>
      </c>
      <c r="H140" s="153">
        <v>2023</v>
      </c>
      <c r="I140" s="153">
        <v>2024</v>
      </c>
      <c r="J140" s="153">
        <v>2025</v>
      </c>
      <c r="K140" s="153" t="s">
        <v>36</v>
      </c>
    </row>
    <row r="141" spans="1:11" ht="12" customHeight="1" thickBot="1" x14ac:dyDescent="0.25">
      <c r="C141" s="156"/>
      <c r="D141" s="154"/>
      <c r="E141" s="154"/>
      <c r="F141" s="154"/>
      <c r="G141" s="154"/>
      <c r="H141" s="154"/>
      <c r="I141" s="154"/>
      <c r="J141" s="154"/>
      <c r="K141" s="154"/>
    </row>
    <row r="142" spans="1:11" x14ac:dyDescent="0.2">
      <c r="C142" s="87" t="s">
        <v>123</v>
      </c>
      <c r="D142" s="42">
        <f>41.96409278742*Deflactores!$T$5</f>
        <v>63.495974201289684</v>
      </c>
      <c r="E142" s="42">
        <f>74.51742666377*Deflactores!$U$5</f>
        <v>110.96595360345081</v>
      </c>
      <c r="F142" s="42">
        <f>74.01519493988*Deflactores!$V$5</f>
        <v>104.35340513430788</v>
      </c>
      <c r="G142" s="42">
        <f>56.764231846*Deflactores!$W$5</f>
        <v>70.749130442717629</v>
      </c>
      <c r="H142" s="42">
        <f>50.56056516597*Deflactores!$X$5</f>
        <v>57.665700860364218</v>
      </c>
      <c r="I142" s="42">
        <f>85.3398991934599*Deflactores!$Y$5</f>
        <v>92.521366951348995</v>
      </c>
      <c r="J142" s="42">
        <f>77.13760286199*Deflactores!$Z$5</f>
        <v>79.570729122188709</v>
      </c>
      <c r="K142" s="42">
        <f>2.943722144*Deflactores!$AA$5</f>
        <v>2.9437221440000001</v>
      </c>
    </row>
    <row r="143" spans="1:11" x14ac:dyDescent="0.2">
      <c r="C143" s="88" t="s">
        <v>124</v>
      </c>
      <c r="D143" s="50">
        <f>93.01623465735*Deflactores!$T$5</f>
        <v>140.74309829652151</v>
      </c>
      <c r="E143" s="50">
        <f>104.99752546672*Deflactores!$U$5</f>
        <v>156.35470870442617</v>
      </c>
      <c r="F143" s="50">
        <f>117.46250216216*Deflactores!$V$5</f>
        <v>165.60940069365265</v>
      </c>
      <c r="G143" s="50">
        <f>126.96314278802*Deflactores!$W$5</f>
        <v>158.24281697137033</v>
      </c>
      <c r="H143" s="50">
        <f>124.859215757469*Deflactores!$X$5</f>
        <v>142.40533431331056</v>
      </c>
      <c r="I143" s="50">
        <f>132.997247495129*Deflactores!$Y$5</f>
        <v>144.18914546783554</v>
      </c>
      <c r="J143" s="50">
        <f>147.051085313179*Deflactores!$Z$5</f>
        <v>151.68946975852347</v>
      </c>
      <c r="K143" s="50">
        <f>5.95803814681*Deflactores!$AA$5</f>
        <v>5.9580381468099999</v>
      </c>
    </row>
    <row r="144" spans="1:11" x14ac:dyDescent="0.2">
      <c r="C144" s="87" t="s">
        <v>125</v>
      </c>
      <c r="D144" s="42">
        <f>0*Deflactores!$T$5</f>
        <v>0</v>
      </c>
      <c r="E144" s="42">
        <f>0*Deflactores!$U$5</f>
        <v>0</v>
      </c>
      <c r="F144" s="42">
        <f>0*Deflactores!$V$5</f>
        <v>0</v>
      </c>
      <c r="G144" s="42">
        <f>0*Deflactores!$W$5</f>
        <v>0</v>
      </c>
      <c r="H144" s="42">
        <f>0*Deflactores!$X$5</f>
        <v>0</v>
      </c>
      <c r="I144" s="42">
        <f>0*Deflactores!$Y$5</f>
        <v>0</v>
      </c>
      <c r="J144" s="42">
        <f>0*Deflactores!$Z$5</f>
        <v>0</v>
      </c>
      <c r="K144" s="42">
        <f>0*Deflactores!$AA$5</f>
        <v>0</v>
      </c>
    </row>
    <row r="145" spans="3:11" x14ac:dyDescent="0.2">
      <c r="C145" s="88" t="s">
        <v>126</v>
      </c>
      <c r="D145" s="50">
        <f>140.16522040577*Deflactores!$T$5</f>
        <v>212.08434706042004</v>
      </c>
      <c r="E145" s="50">
        <f>161.05927759773*Deflactores!$U$5</f>
        <v>239.83780875788528</v>
      </c>
      <c r="F145" s="50">
        <f>153.05495956203*Deflactores!$V$5</f>
        <v>215.790909095963</v>
      </c>
      <c r="G145" s="50">
        <f>163.9514972188*Deflactores!$W$5</f>
        <v>204.34392373142123</v>
      </c>
      <c r="H145" s="50">
        <f>168.824329373229*Deflactores!$X$5</f>
        <v>192.54874314855678</v>
      </c>
      <c r="I145" s="50">
        <f>137.52569783*Deflactores!$Y$5</f>
        <v>149.09867101348641</v>
      </c>
      <c r="J145" s="50">
        <f>157.36177427804*Deflactores!$Z$5</f>
        <v>162.32538542411604</v>
      </c>
      <c r="K145" s="50">
        <f>2.34273774341*Deflactores!$AA$5</f>
        <v>2.3427377434099999</v>
      </c>
    </row>
    <row r="146" spans="3:11" x14ac:dyDescent="0.2">
      <c r="C146" s="87" t="s">
        <v>127</v>
      </c>
      <c r="D146" s="42">
        <f>0*Deflactores!$T$5</f>
        <v>0</v>
      </c>
      <c r="E146" s="42">
        <f>0*Deflactores!$U$5</f>
        <v>0</v>
      </c>
      <c r="F146" s="42">
        <f>0*Deflactores!$V$5</f>
        <v>0</v>
      </c>
      <c r="G146" s="42">
        <f>0*Deflactores!$W$5</f>
        <v>0</v>
      </c>
      <c r="H146" s="42">
        <f>0*Deflactores!$X$5</f>
        <v>0</v>
      </c>
      <c r="I146" s="42">
        <f>0*Deflactores!$Y$5</f>
        <v>0</v>
      </c>
      <c r="J146" s="42">
        <f>0*Deflactores!$Z$5</f>
        <v>0</v>
      </c>
      <c r="K146" s="42">
        <f>0*Deflactores!$AA$5</f>
        <v>0</v>
      </c>
    </row>
    <row r="147" spans="3:11" x14ac:dyDescent="0.2">
      <c r="C147" s="88" t="s">
        <v>128</v>
      </c>
      <c r="D147" s="50">
        <f>6.43345982875*Deflactores!$T$5</f>
        <v>9.7344842263289291</v>
      </c>
      <c r="E147" s="50">
        <f>7.06908484053999*Deflactores!$U$5</f>
        <v>10.526769046569919</v>
      </c>
      <c r="F147" s="50">
        <f>6.34034872044*Deflactores!$V$5</f>
        <v>8.939204703227368</v>
      </c>
      <c r="G147" s="50">
        <f>8.65721675975*Deflactores!$W$5</f>
        <v>10.790079208120108</v>
      </c>
      <c r="H147" s="50">
        <f>8.33769585292*Deflactores!$X$5</f>
        <v>9.5093690772821464</v>
      </c>
      <c r="I147" s="50">
        <f>7.87208562*Deflactores!$Y$5</f>
        <v>8.5345322551807552</v>
      </c>
      <c r="J147" s="50">
        <f>13.68878103386*Deflactores!$Z$5</f>
        <v>14.120561791465143</v>
      </c>
      <c r="K147" s="50">
        <f>0.2921339746*Deflactores!$AA$5</f>
        <v>0.29213397460000001</v>
      </c>
    </row>
    <row r="148" spans="3:11" x14ac:dyDescent="0.2">
      <c r="C148" s="87" t="s">
        <v>129</v>
      </c>
      <c r="D148" s="42">
        <f>63.55062831185*Deflactores!$T$5</f>
        <v>96.158615323971745</v>
      </c>
      <c r="E148" s="42">
        <f>47.07621252714*Deflactores!$U$5</f>
        <v>70.102485404969315</v>
      </c>
      <c r="F148" s="42">
        <f>49.97892776228*Deflactores!$V$5</f>
        <v>70.464872803373154</v>
      </c>
      <c r="G148" s="42">
        <f>33.39282977019*Deflactores!$W$5</f>
        <v>41.619759352545799</v>
      </c>
      <c r="H148" s="42">
        <f>24.98206550353*Deflactores!$X$5</f>
        <v>28.492725733417881</v>
      </c>
      <c r="I148" s="42">
        <f>52.1461506156199*Deflactores!$Y$5</f>
        <v>56.534319606717112</v>
      </c>
      <c r="J148" s="42">
        <f>78.91646559043*Deflactores!$Z$5</f>
        <v>81.405701937762203</v>
      </c>
      <c r="K148" s="42">
        <f>0.786387207*Deflactores!$AA$5</f>
        <v>0.78638720699999998</v>
      </c>
    </row>
    <row r="149" spans="3:11" x14ac:dyDescent="0.2">
      <c r="C149" s="88" t="s">
        <v>130</v>
      </c>
      <c r="D149" s="50">
        <f>0*Deflactores!$T$5</f>
        <v>0</v>
      </c>
      <c r="E149" s="50">
        <f>0*Deflactores!$U$5</f>
        <v>0</v>
      </c>
      <c r="F149" s="50">
        <f>0*Deflactores!$V$5</f>
        <v>0</v>
      </c>
      <c r="G149" s="50">
        <f>0*Deflactores!$W$5</f>
        <v>0</v>
      </c>
      <c r="H149" s="50">
        <f>0*Deflactores!$X$5</f>
        <v>0</v>
      </c>
      <c r="I149" s="50">
        <f>0*Deflactores!$Y$5</f>
        <v>0</v>
      </c>
      <c r="J149" s="50">
        <f>0*Deflactores!$Z$5</f>
        <v>0</v>
      </c>
      <c r="K149" s="50">
        <f>0*Deflactores!$AA$5</f>
        <v>0</v>
      </c>
    </row>
    <row r="150" spans="3:11" x14ac:dyDescent="0.2">
      <c r="C150" s="87" t="s">
        <v>131</v>
      </c>
      <c r="D150" s="42">
        <f>6.97506142078*Deflactores!$T$5</f>
        <v>10.553982955614543</v>
      </c>
      <c r="E150" s="42">
        <f>4.10223496773999*Deflactores!$U$5</f>
        <v>6.1087511402485042</v>
      </c>
      <c r="F150" s="42">
        <f>5.91489194552*Deflactores!$V$5</f>
        <v>8.3393567498925751</v>
      </c>
      <c r="G150" s="42">
        <f>7.38269753014*Deflactores!$W$5</f>
        <v>9.2015590380231718</v>
      </c>
      <c r="H150" s="42">
        <f>10.80001355219*Deflactores!$X$5</f>
        <v>12.31770943904796</v>
      </c>
      <c r="I150" s="42">
        <f>14.13271113693*Deflactores!$Y$5</f>
        <v>15.321997863544754</v>
      </c>
      <c r="J150" s="42">
        <f>15.17574406081*Deflactores!$Z$5</f>
        <v>15.654427608423923</v>
      </c>
      <c r="K150" s="42">
        <f>1.389086542*Deflactores!$AA$5</f>
        <v>1.389086542</v>
      </c>
    </row>
    <row r="151" spans="3:11" x14ac:dyDescent="0.2">
      <c r="C151" s="88" t="s">
        <v>132</v>
      </c>
      <c r="D151" s="50">
        <f>257.78253857751*Deflactores!$T$5</f>
        <v>390.05140661511894</v>
      </c>
      <c r="E151" s="50">
        <f>149.984414030639*Deflactores!$U$5</f>
        <v>223.34592421797177</v>
      </c>
      <c r="F151" s="50">
        <f>185.60806173229*Deflactores!$V$5</f>
        <v>261.68725594624078</v>
      </c>
      <c r="G151" s="50">
        <f>192.06985516198*Deflactores!$W$5</f>
        <v>239.38974940830389</v>
      </c>
      <c r="H151" s="50">
        <f>229.79695981942*Deflactores!$X$5</f>
        <v>262.08968788360625</v>
      </c>
      <c r="I151" s="50">
        <f>300.272933158819*Deflactores!$Y$5</f>
        <v>325.54130596481951</v>
      </c>
      <c r="J151" s="50">
        <f>309.75434429697*Deflactores!$Z$5</f>
        <v>319.5248245991387</v>
      </c>
      <c r="K151" s="50">
        <f>8.21146601369*Deflactores!$AA$5</f>
        <v>8.21146601369</v>
      </c>
    </row>
    <row r="152" spans="3:11" x14ac:dyDescent="0.2">
      <c r="C152" s="87" t="s">
        <v>133</v>
      </c>
      <c r="D152" s="42">
        <f>47.4381466298499*Deflactores!$T$5</f>
        <v>71.778778819899173</v>
      </c>
      <c r="E152" s="42">
        <f>36.82885806522*Deflactores!$U$5</f>
        <v>54.842867478141656</v>
      </c>
      <c r="F152" s="42">
        <f>65.17971098343*Deflactores!$V$5</f>
        <v>91.896330102430653</v>
      </c>
      <c r="G152" s="42">
        <f>20.57370866746*Deflactores!$W$5</f>
        <v>25.642415141871904</v>
      </c>
      <c r="H152" s="42">
        <f>29.56197196587*Deflactores!$X$5</f>
        <v>33.716233721487278</v>
      </c>
      <c r="I152" s="42">
        <f>23.7866736446599*Deflactores!$Y$5</f>
        <v>25.788354352757647</v>
      </c>
      <c r="J152" s="42">
        <f>16.8153209250399*Deflactores!$Z$5</f>
        <v>17.345721111179774</v>
      </c>
      <c r="K152" s="42">
        <f>0*Deflactores!$AA$5</f>
        <v>0</v>
      </c>
    </row>
    <row r="153" spans="3:11" x14ac:dyDescent="0.2">
      <c r="C153" s="88" t="s">
        <v>134</v>
      </c>
      <c r="D153" s="50">
        <f>31.7587157341499*Deflactores!$T$5</f>
        <v>48.054192548306354</v>
      </c>
      <c r="E153" s="50">
        <f>40.6305887834199*Deflactores!$U$5</f>
        <v>60.504129459074932</v>
      </c>
      <c r="F153" s="50">
        <f>44.29888647475*Deflactores!$V$5</f>
        <v>62.456630034592095</v>
      </c>
      <c r="G153" s="50">
        <f>74.98013620281*Deflactores!$W$5</f>
        <v>93.452853395727757</v>
      </c>
      <c r="H153" s="50">
        <f>68.05730207318*Deflactores!$X$5</f>
        <v>77.621205574594583</v>
      </c>
      <c r="I153" s="50">
        <f>69.92424229421*Deflactores!$Y$5</f>
        <v>75.808461707128842</v>
      </c>
      <c r="J153" s="50">
        <f>62.17346713813*Deflactores!$Z$5</f>
        <v>64.134584543502825</v>
      </c>
      <c r="K153" s="50">
        <f>2.61928444983*Deflactores!$AA$5</f>
        <v>2.6192844498299999</v>
      </c>
    </row>
    <row r="154" spans="3:11" x14ac:dyDescent="0.2">
      <c r="C154" s="87" t="s">
        <v>135</v>
      </c>
      <c r="D154" s="42">
        <f>0*Deflactores!$T$5</f>
        <v>0</v>
      </c>
      <c r="E154" s="42">
        <f>0*Deflactores!$U$5</f>
        <v>0</v>
      </c>
      <c r="F154" s="42">
        <f>0*Deflactores!$V$5</f>
        <v>0</v>
      </c>
      <c r="G154" s="42">
        <f>0*Deflactores!$W$5</f>
        <v>0</v>
      </c>
      <c r="H154" s="42">
        <f>0*Deflactores!$X$5</f>
        <v>0</v>
      </c>
      <c r="I154" s="42">
        <f>3101.40622420866*Deflactores!$Y$5</f>
        <v>3362.3937460333627</v>
      </c>
      <c r="J154" s="42">
        <f>3096.04990098183*Deflactores!$Z$5</f>
        <v>3193.7075936954889</v>
      </c>
      <c r="K154" s="42">
        <f>216.1461159052*Deflactores!$AA$5</f>
        <v>216.14611590519999</v>
      </c>
    </row>
    <row r="155" spans="3:11" x14ac:dyDescent="0.2">
      <c r="C155" s="88" t="s">
        <v>136</v>
      </c>
      <c r="D155" s="50">
        <f>1886.99029474324*Deflactores!$T$5</f>
        <v>2855.2097546838736</v>
      </c>
      <c r="E155" s="50">
        <f>1786.79249784525*Deflactores!$U$5</f>
        <v>2660.7619491413466</v>
      </c>
      <c r="F155" s="50">
        <f>1919.03908744725*Deflactores!$V$5</f>
        <v>2705.6371806305215</v>
      </c>
      <c r="G155" s="50">
        <f>2258.97120529057*Deflactores!$W$5</f>
        <v>2815.5097545058675</v>
      </c>
      <c r="H155" s="50">
        <f>2797.75054855696*Deflactores!$X$5</f>
        <v>3190.9106570587201</v>
      </c>
      <c r="I155" s="50">
        <f>0*Deflactores!$Y$5</f>
        <v>0</v>
      </c>
      <c r="J155" s="50">
        <f>0*Deflactores!$Z$5</f>
        <v>0</v>
      </c>
      <c r="K155" s="50">
        <f>0*Deflactores!$AA$5</f>
        <v>0</v>
      </c>
    </row>
    <row r="156" spans="3:11" x14ac:dyDescent="0.2">
      <c r="C156" s="87" t="s">
        <v>137</v>
      </c>
      <c r="D156" s="42">
        <f>24.27991061919*Deflactores!$T$5</f>
        <v>36.737993743733966</v>
      </c>
      <c r="E156" s="42">
        <f>23.34472846097*Deflactores!$U$5</f>
        <v>34.763278487508863</v>
      </c>
      <c r="F156" s="42">
        <f>52.57937800436*Deflactores!$V$5</f>
        <v>74.131225879438205</v>
      </c>
      <c r="G156" s="42">
        <f>25.50644994554*Deflactores!$W$5</f>
        <v>31.790426746606609</v>
      </c>
      <c r="H156" s="42">
        <f>10.18298531601*Deflactores!$X$5</f>
        <v>11.613971939810071</v>
      </c>
      <c r="I156" s="42">
        <f>35.98745374019*Deflactores!$Y$5</f>
        <v>39.015846568939736</v>
      </c>
      <c r="J156" s="42">
        <f>35.75969092246*Deflactores!$Z$5</f>
        <v>36.887647195559332</v>
      </c>
      <c r="K156" s="42">
        <f>2.85499113551*Deflactores!$AA$5</f>
        <v>2.8549911355100002</v>
      </c>
    </row>
    <row r="157" spans="3:11" x14ac:dyDescent="0.2">
      <c r="C157" s="88" t="s">
        <v>138</v>
      </c>
      <c r="D157" s="50">
        <f>0*Deflactores!$T$5</f>
        <v>0</v>
      </c>
      <c r="E157" s="50">
        <f>0*Deflactores!$U$5</f>
        <v>0</v>
      </c>
      <c r="F157" s="50">
        <f>0*Deflactores!$V$5</f>
        <v>0</v>
      </c>
      <c r="G157" s="50">
        <f>0*Deflactores!$W$5</f>
        <v>0</v>
      </c>
      <c r="H157" s="50">
        <f>0*Deflactores!$X$5</f>
        <v>0</v>
      </c>
      <c r="I157" s="50">
        <f>0*Deflactores!$Y$5</f>
        <v>0</v>
      </c>
      <c r="J157" s="50">
        <f>0*Deflactores!$Z$5</f>
        <v>0</v>
      </c>
      <c r="K157" s="50">
        <f>0*Deflactores!$AA$5</f>
        <v>0</v>
      </c>
    </row>
    <row r="158" spans="3:11" x14ac:dyDescent="0.2">
      <c r="C158" s="87" t="s">
        <v>160</v>
      </c>
      <c r="D158" s="42">
        <f>0*Deflactores!$T$5</f>
        <v>0</v>
      </c>
      <c r="E158" s="42">
        <f>0*Deflactores!$U$5</f>
        <v>0</v>
      </c>
      <c r="F158" s="42">
        <f>0*Deflactores!$V$5</f>
        <v>0</v>
      </c>
      <c r="G158" s="42">
        <f>0*Deflactores!$W$5</f>
        <v>0</v>
      </c>
      <c r="H158" s="42">
        <f>0*Deflactores!$X$5</f>
        <v>0</v>
      </c>
      <c r="I158" s="42">
        <f>0*Deflactores!$Y$5</f>
        <v>0</v>
      </c>
      <c r="J158" s="42">
        <f>0*Deflactores!$Z$5</f>
        <v>0</v>
      </c>
      <c r="K158" s="42">
        <f>0*Deflactores!$AA$5</f>
        <v>0</v>
      </c>
    </row>
    <row r="159" spans="3:11" x14ac:dyDescent="0.2">
      <c r="C159" s="88" t="s">
        <v>161</v>
      </c>
      <c r="D159" s="50">
        <f>47.11096594972*Deflactores!$T$5</f>
        <v>71.283720910988137</v>
      </c>
      <c r="E159" s="50">
        <f>31.40012886251*Deflactores!$U$5</f>
        <v>46.758797216943258</v>
      </c>
      <c r="F159" s="50">
        <f>43.2827121*Deflactores!$V$5</f>
        <v>61.023934271221854</v>
      </c>
      <c r="G159" s="50">
        <f>86.3323813789099*Deflactores!$W$5</f>
        <v>107.60193017634131</v>
      </c>
      <c r="H159" s="50">
        <f>91.05007594703*Deflactores!$X$5</f>
        <v>103.84509005466425</v>
      </c>
      <c r="I159" s="50">
        <f>111.12206657677*Deflactores!$Y$5</f>
        <v>120.4731385355266</v>
      </c>
      <c r="J159" s="50">
        <f>154.43816694783*Deflactores!$Z$5</f>
        <v>159.30955970098591</v>
      </c>
      <c r="K159" s="50">
        <f>0.800854859*Deflactores!$AA$5</f>
        <v>0.80085485899999997</v>
      </c>
    </row>
    <row r="160" spans="3:11" x14ac:dyDescent="0.2">
      <c r="C160" s="87" t="s">
        <v>140</v>
      </c>
      <c r="D160" s="42">
        <f>252.911817751409*Deflactores!$T$5</f>
        <v>382.68150669895755</v>
      </c>
      <c r="E160" s="42">
        <f>123.47086796256*Deflactores!$U$5</f>
        <v>183.8638721051357</v>
      </c>
      <c r="F160" s="42">
        <f>324.929206469159*Deflactores!$V$5</f>
        <v>458.11497423180731</v>
      </c>
      <c r="G160" s="42">
        <f>336.997520192819*Deflactores!$W$5</f>
        <v>420.02297467316492</v>
      </c>
      <c r="H160" s="42">
        <f>213.09474133983*Deflactores!$X$5</f>
        <v>243.04035306333935</v>
      </c>
      <c r="I160" s="42">
        <f>402.88132446838*Deflactores!$Y$5</f>
        <v>436.7843319627579</v>
      </c>
      <c r="J160" s="42">
        <f>387.752853259039*Deflactores!$Z$5</f>
        <v>399.98361510186561</v>
      </c>
      <c r="K160" s="42">
        <f>1.90473440314*Deflactores!$AA$5</f>
        <v>1.90473440314</v>
      </c>
    </row>
    <row r="161" spans="1:11" x14ac:dyDescent="0.2">
      <c r="C161" s="88" t="s">
        <v>141</v>
      </c>
      <c r="D161" s="50">
        <f>0*Deflactores!$T$5</f>
        <v>0</v>
      </c>
      <c r="E161" s="50">
        <f>0*Deflactores!$U$5</f>
        <v>0</v>
      </c>
      <c r="F161" s="50">
        <f>0*Deflactores!$V$5</f>
        <v>0</v>
      </c>
      <c r="G161" s="50">
        <f>0*Deflactores!$W$5</f>
        <v>0</v>
      </c>
      <c r="H161" s="50">
        <f>0*Deflactores!$X$5</f>
        <v>0</v>
      </c>
      <c r="I161" s="50">
        <f>0*Deflactores!$Y$5</f>
        <v>0</v>
      </c>
      <c r="J161" s="50">
        <f>0*Deflactores!$Z$5</f>
        <v>0</v>
      </c>
      <c r="K161" s="50">
        <f>0*Deflactores!$AA$5</f>
        <v>0</v>
      </c>
    </row>
    <row r="162" spans="1:11" x14ac:dyDescent="0.2">
      <c r="C162" s="87" t="s">
        <v>142</v>
      </c>
      <c r="D162" s="42">
        <f>19.60636776143*Deflactores!$T$5</f>
        <v>29.666444306737425</v>
      </c>
      <c r="E162" s="42">
        <f>21.66352296682*Deflactores!$U$5</f>
        <v>32.259749055346944</v>
      </c>
      <c r="F162" s="42">
        <f>19.1582703819899*Deflactores!$V$5</f>
        <v>27.011085392240201</v>
      </c>
      <c r="G162" s="42">
        <f>25.93439401915*Deflactores!$W$5</f>
        <v>32.323802608507847</v>
      </c>
      <c r="H162" s="42">
        <f>20.39367335491*Deflactores!$X$5</f>
        <v>23.259539589160735</v>
      </c>
      <c r="I162" s="42">
        <f>23.22626359915*Deflactores!$Y$5</f>
        <v>25.180785045155076</v>
      </c>
      <c r="J162" s="42">
        <f>16.39045546012*Deflactores!$Z$5</f>
        <v>16.907454253406151</v>
      </c>
      <c r="K162" s="42">
        <f>0.51264801603*Deflactores!$AA$5</f>
        <v>0.51264801602999999</v>
      </c>
    </row>
    <row r="163" spans="1:11" x14ac:dyDescent="0.2">
      <c r="C163" s="88" t="s">
        <v>143</v>
      </c>
      <c r="D163" s="50">
        <f>34.30997968523*Deflactores!$T$5</f>
        <v>51.914516440904009</v>
      </c>
      <c r="E163" s="50">
        <f>9.04283904153*Deflactores!$U$5</f>
        <v>13.465940820172776</v>
      </c>
      <c r="F163" s="50">
        <f>49.19915078136*Deflactores!$V$5</f>
        <v>69.365471751056148</v>
      </c>
      <c r="G163" s="50">
        <f>69.58122759627*Deflactores!$W$5</f>
        <v>86.72382568178493</v>
      </c>
      <c r="H163" s="50">
        <f>6.69139617581*Deflactores!$X$5</f>
        <v>7.6317194822844261</v>
      </c>
      <c r="I163" s="50">
        <f>9.3469045964*Deflactores!$Y$5</f>
        <v>10.133459240001642</v>
      </c>
      <c r="J163" s="50">
        <f>4.44491553261*Deflactores!$Z$5</f>
        <v>4.5851200542115862</v>
      </c>
      <c r="K163" s="50">
        <f>0.058780018*Deflactores!$AA$5</f>
        <v>5.8780018000000003E-2</v>
      </c>
    </row>
    <row r="164" spans="1:11" x14ac:dyDescent="0.2">
      <c r="C164" s="87" t="s">
        <v>144</v>
      </c>
      <c r="D164" s="42">
        <f>0*Deflactores!$T$5</f>
        <v>0</v>
      </c>
      <c r="E164" s="42">
        <f>0*Deflactores!$U$5</f>
        <v>0</v>
      </c>
      <c r="F164" s="42">
        <f>0*Deflactores!$V$5</f>
        <v>0</v>
      </c>
      <c r="G164" s="42">
        <f>0*Deflactores!$W$5</f>
        <v>0</v>
      </c>
      <c r="H164" s="42">
        <f>0*Deflactores!$X$5</f>
        <v>0</v>
      </c>
      <c r="I164" s="42">
        <f>0*Deflactores!$Y$5</f>
        <v>0</v>
      </c>
      <c r="J164" s="42">
        <f>0*Deflactores!$Z$5</f>
        <v>0</v>
      </c>
      <c r="K164" s="42">
        <f>0*Deflactores!$AA$5</f>
        <v>0</v>
      </c>
    </row>
    <row r="165" spans="1:11" x14ac:dyDescent="0.2">
      <c r="C165" s="88" t="s">
        <v>145</v>
      </c>
      <c r="D165" s="50">
        <f>45.6700444313399*Deflactores!$T$5</f>
        <v>69.103458942246775</v>
      </c>
      <c r="E165" s="50">
        <f>30.363787967*Deflactores!$U$5</f>
        <v>45.215553429856961</v>
      </c>
      <c r="F165" s="50">
        <f>28.8154713565799*Deflactores!$V$5</f>
        <v>40.626692384607011</v>
      </c>
      <c r="G165" s="50">
        <f>48.76373414399*Deflactores!$W$5</f>
        <v>60.777564949471994</v>
      </c>
      <c r="H165" s="50">
        <f>72.4427048444*Deflactores!$X$5</f>
        <v>82.622876808435777</v>
      </c>
      <c r="I165" s="50">
        <f>55.58991133205*Deflactores!$Y$5</f>
        <v>60.267877437798866</v>
      </c>
      <c r="J165" s="50">
        <f>99.78353205347*Deflactores!$Z$5</f>
        <v>102.93097147557719</v>
      </c>
      <c r="K165" s="50">
        <f>0.03466365*Deflactores!$AA$5</f>
        <v>3.4663649999999997E-2</v>
      </c>
    </row>
    <row r="166" spans="1:11" x14ac:dyDescent="0.2">
      <c r="C166" s="87" t="s">
        <v>146</v>
      </c>
      <c r="D166" s="42">
        <f>9.07949346261*Deflactores!$T$5</f>
        <v>13.738204363981614</v>
      </c>
      <c r="E166" s="42">
        <f>3.07043943761*Deflactores!$U$5</f>
        <v>4.5722759820112042</v>
      </c>
      <c r="F166" s="42">
        <f>1.14634178*Deflactores!$V$5</f>
        <v>1.616217700809822</v>
      </c>
      <c r="G166" s="42">
        <f>1.072998397*Deflactores!$W$5</f>
        <v>1.3373510234425787</v>
      </c>
      <c r="H166" s="42">
        <f>17.83676064037*Deflactores!$X$5</f>
        <v>20.34331103754706</v>
      </c>
      <c r="I166" s="42">
        <f>52.23924751814*Deflactores!$Y$5</f>
        <v>56.635250739299892</v>
      </c>
      <c r="J166" s="42">
        <f>136.0220349676*Deflactores!$Z$5</f>
        <v>140.31253367336697</v>
      </c>
      <c r="K166" s="42">
        <f>12.0922473596199*Deflactores!$AA$5</f>
        <v>12.0922473596199</v>
      </c>
    </row>
    <row r="167" spans="1:11" x14ac:dyDescent="0.2">
      <c r="C167" s="88" t="s">
        <v>162</v>
      </c>
      <c r="D167" s="50">
        <f>96.6940808097099*Deflactores!$T$5</f>
        <v>146.30805654760431</v>
      </c>
      <c r="E167" s="50">
        <f>104.48842286789*Deflactores!$U$5</f>
        <v>155.59658999460987</v>
      </c>
      <c r="F167" s="50">
        <f>109.73119487096*Deflactores!$V$5</f>
        <v>154.70909511948304</v>
      </c>
      <c r="G167" s="50">
        <f>120.330471537979*Deflactores!$W$5</f>
        <v>149.97606679802362</v>
      </c>
      <c r="H167" s="50">
        <f>134.09033492299*Deflactores!$X$5</f>
        <v>152.93367699812666</v>
      </c>
      <c r="I167" s="50">
        <f>140.23862329668*Deflactores!$Y$5</f>
        <v>152.03989282165085</v>
      </c>
      <c r="J167" s="50">
        <f>134.63957693876*Deflactores!$Z$5</f>
        <v>138.8864692216049</v>
      </c>
      <c r="K167" s="50">
        <f>8.98137921878999*Deflactores!$AA$5</f>
        <v>8.9813792187899892</v>
      </c>
    </row>
    <row r="168" spans="1:11" x14ac:dyDescent="0.2">
      <c r="C168" s="87" t="s">
        <v>148</v>
      </c>
      <c r="D168" s="42">
        <f>0*Deflactores!$T$5</f>
        <v>0</v>
      </c>
      <c r="E168" s="42">
        <f>0*Deflactores!$U$5</f>
        <v>0</v>
      </c>
      <c r="F168" s="42">
        <f>0*Deflactores!$V$5</f>
        <v>0</v>
      </c>
      <c r="G168" s="42">
        <f>0*Deflactores!$W$5</f>
        <v>0</v>
      </c>
      <c r="H168" s="42">
        <f>0*Deflactores!$X$5</f>
        <v>0</v>
      </c>
      <c r="I168" s="42">
        <f>0*Deflactores!$Y$5</f>
        <v>0</v>
      </c>
      <c r="J168" s="42">
        <f>0*Deflactores!$Z$5</f>
        <v>0</v>
      </c>
      <c r="K168" s="42">
        <f>0*Deflactores!$AA$5</f>
        <v>0</v>
      </c>
    </row>
    <row r="169" spans="1:11" x14ac:dyDescent="0.2">
      <c r="C169" s="88" t="s">
        <v>149</v>
      </c>
      <c r="D169" s="50">
        <f>990.050903790369*Deflactores!$T$5</f>
        <v>1498.0485093170478</v>
      </c>
      <c r="E169" s="50">
        <f>1194.63780418195*Deflactores!$U$5</f>
        <v>1778.9680761511675</v>
      </c>
      <c r="F169" s="50">
        <f>1257.11616873044*Deflactores!$V$5</f>
        <v>1772.3975862385162</v>
      </c>
      <c r="G169" s="50">
        <f>1234.44921388694*Deflactores!$W$5</f>
        <v>1538.5781788633797</v>
      </c>
      <c r="H169" s="50">
        <f>1328.28218429712*Deflactores!$X$5</f>
        <v>1514.941987819835</v>
      </c>
      <c r="I169" s="50">
        <f>1965.83308838625*Deflactores!$Y$5</f>
        <v>2131.2605973833465</v>
      </c>
      <c r="J169" s="50">
        <f>941.40905160411*Deflactores!$Z$5</f>
        <v>971.10361041928161</v>
      </c>
      <c r="K169" s="50">
        <f>209.21248023925*Deflactores!$AA$5</f>
        <v>209.21248023925</v>
      </c>
    </row>
    <row r="170" spans="1:11" x14ac:dyDescent="0.2">
      <c r="C170" s="87" t="s">
        <v>163</v>
      </c>
      <c r="D170" s="42">
        <f>1369.79069781851*Deflactores!$T$5</f>
        <v>2072.6337454845307</v>
      </c>
      <c r="E170" s="42">
        <f>1387.69065948355*Deflactores!$U$5</f>
        <v>2066.4484031499856</v>
      </c>
      <c r="F170" s="42">
        <f>1436.03947994498*Deflactores!$V$5</f>
        <v>2024.660068264116</v>
      </c>
      <c r="G170" s="42">
        <f>1553.04516680285*Deflactores!$W$5</f>
        <v>1935.6660262339065</v>
      </c>
      <c r="H170" s="42">
        <f>2021.83341377527*Deflactores!$X$5</f>
        <v>2305.9560439155334</v>
      </c>
      <c r="I170" s="42">
        <f>1962.80050854738*Deflactores!$Y$5</f>
        <v>2127.9728218559194</v>
      </c>
      <c r="J170" s="42">
        <f>2565.12459232146*Deflactores!$Z$5</f>
        <v>2646.0354811058232</v>
      </c>
      <c r="K170" s="42">
        <f>170.35957636644*Deflactores!$AA$5</f>
        <v>170.35957636644</v>
      </c>
    </row>
    <row r="171" spans="1:11" x14ac:dyDescent="0.2">
      <c r="C171" s="88" t="s">
        <v>150</v>
      </c>
      <c r="D171" s="50">
        <f>1493.82307332468*Deflactores!$T$5</f>
        <v>2260.3074444051799</v>
      </c>
      <c r="E171" s="50">
        <f>1387.25391226702*Deflactores!$U$5</f>
        <v>2065.7980308339288</v>
      </c>
      <c r="F171" s="50">
        <f>1655.13366344163*Deflactores!$V$5</f>
        <v>2333.5591275933161</v>
      </c>
      <c r="G171" s="50">
        <f>1216.39529260637*Deflactores!$W$5</f>
        <v>1516.0763464568938</v>
      </c>
      <c r="H171" s="50">
        <f>929.26088947263*Deflactores!$X$5</f>
        <v>1059.8473394761668</v>
      </c>
      <c r="I171" s="50">
        <f>1508.90228064791*Deflactores!$Y$5</f>
        <v>1635.878445146458</v>
      </c>
      <c r="J171" s="50">
        <f>2099.74257744593*Deflactores!$Z$5</f>
        <v>2165.9740730497224</v>
      </c>
      <c r="K171" s="50">
        <f>221.45770922502*Deflactores!$AA$5</f>
        <v>221.45770922502001</v>
      </c>
    </row>
    <row r="172" spans="1:11" x14ac:dyDescent="0.2">
      <c r="C172" s="87" t="s">
        <v>151</v>
      </c>
      <c r="D172" s="42">
        <f>0*Deflactores!$T$5</f>
        <v>0</v>
      </c>
      <c r="E172" s="42">
        <f>0*Deflactores!$U$5</f>
        <v>0</v>
      </c>
      <c r="F172" s="42">
        <f>0*Deflactores!$V$5</f>
        <v>0</v>
      </c>
      <c r="G172" s="42">
        <f>0*Deflactores!$W$5</f>
        <v>0</v>
      </c>
      <c r="H172" s="42">
        <f>0*Deflactores!$X$5</f>
        <v>0</v>
      </c>
      <c r="I172" s="42">
        <f>0*Deflactores!$Y$5</f>
        <v>0</v>
      </c>
      <c r="J172" s="42">
        <f>0*Deflactores!$Z$5</f>
        <v>0</v>
      </c>
      <c r="K172" s="42">
        <f>0*Deflactores!$AA$5</f>
        <v>0</v>
      </c>
    </row>
    <row r="173" spans="1:11" x14ac:dyDescent="0.2">
      <c r="C173" s="79" t="s">
        <v>202</v>
      </c>
      <c r="D173" s="44">
        <f t="shared" ref="D173:K173" si="6">+SUM(D142:D172)</f>
        <v>10530.288235893257</v>
      </c>
      <c r="E173" s="44">
        <f t="shared" si="6"/>
        <v>10021.061914180751</v>
      </c>
      <c r="F173" s="44">
        <f t="shared" si="6"/>
        <v>10712.390024720815</v>
      </c>
      <c r="G173" s="44">
        <f t="shared" si="6"/>
        <v>9549.8165354074936</v>
      </c>
      <c r="H173" s="44">
        <f t="shared" si="6"/>
        <v>9533.3132769952899</v>
      </c>
      <c r="I173" s="44">
        <f t="shared" si="6"/>
        <v>11051.374347953039</v>
      </c>
      <c r="J173" s="44">
        <f t="shared" si="6"/>
        <v>10882.395534843195</v>
      </c>
      <c r="K173" s="44">
        <f t="shared" si="6"/>
        <v>868.95903661733985</v>
      </c>
    </row>
    <row r="174" spans="1:11" s="31" customFormat="1" x14ac:dyDescent="0.2">
      <c r="A174" s="5"/>
      <c r="B174" s="5"/>
      <c r="C174" s="72" t="str">
        <f>+'C1 Aprop Resumen 2000-2026'!B20</f>
        <v>* Información con corte a 28 de febrero</v>
      </c>
      <c r="D174" s="121">
        <f>+D173-'C7 Ejec. Prop 19-26'!D97</f>
        <v>-2.0008883439004421E-11</v>
      </c>
      <c r="E174" s="121">
        <f>+E173-'C7 Ejec. Prop 19-26'!E97</f>
        <v>-3.2741809263825417E-11</v>
      </c>
      <c r="F174" s="121">
        <f>+F173-'C7 Ejec. Prop 19-26'!F97</f>
        <v>-4.1836756281554699E-11</v>
      </c>
      <c r="G174" s="121">
        <f>+G173-'C7 Ejec. Prop 19-26'!G97</f>
        <v>-2.7284841053187847E-11</v>
      </c>
      <c r="H174" s="121">
        <f>+H173-'C7 Ejec. Prop 19-26'!H97</f>
        <v>0</v>
      </c>
      <c r="I174" s="121">
        <f>+I173-'C7 Ejec. Prop 19-26'!I97</f>
        <v>0</v>
      </c>
      <c r="J174" s="121">
        <f>+J173-'C7 Ejec. Prop 19-26'!J97</f>
        <v>7.0940586738288403E-11</v>
      </c>
      <c r="K174" s="121">
        <f>+K173-'C7 Ejec. Prop 19-26'!K97</f>
        <v>0</v>
      </c>
    </row>
    <row r="175" spans="1:11" x14ac:dyDescent="0.2">
      <c r="C175" s="1" t="s">
        <v>52</v>
      </c>
      <c r="D175" s="11"/>
      <c r="E175" s="11"/>
      <c r="F175" s="11"/>
    </row>
    <row r="176" spans="1:11" x14ac:dyDescent="0.2">
      <c r="B176" s="9"/>
      <c r="D176" s="11"/>
      <c r="E176" s="11"/>
      <c r="F176" s="11"/>
    </row>
    <row r="177" spans="3:11" x14ac:dyDescent="0.2">
      <c r="D177" s="11"/>
      <c r="E177" s="11"/>
      <c r="F177" s="11"/>
    </row>
    <row r="178" spans="3:11" x14ac:dyDescent="0.2">
      <c r="D178" s="11"/>
      <c r="E178" s="11"/>
      <c r="F178" s="11"/>
    </row>
    <row r="179" spans="3:11" ht="17.25" customHeight="1" x14ac:dyDescent="0.2">
      <c r="D179" s="131" t="s">
        <v>222</v>
      </c>
      <c r="E179" s="131"/>
      <c r="F179" s="131"/>
      <c r="G179" s="131"/>
      <c r="H179" s="131"/>
      <c r="I179" s="131"/>
      <c r="J179" s="131"/>
      <c r="K179" s="131"/>
    </row>
    <row r="180" spans="3:11" hidden="1" x14ac:dyDescent="0.2">
      <c r="D180" s="28"/>
      <c r="E180" s="28"/>
      <c r="F180" s="28"/>
    </row>
    <row r="181" spans="3:11" x14ac:dyDescent="0.2">
      <c r="E181" s="29"/>
      <c r="F181" s="29"/>
    </row>
    <row r="182" spans="3:11" ht="12" thickBot="1" x14ac:dyDescent="0.25">
      <c r="C182" s="177" t="s">
        <v>120</v>
      </c>
      <c r="D182" s="153">
        <v>2019</v>
      </c>
      <c r="E182" s="153">
        <v>2020</v>
      </c>
      <c r="F182" s="153">
        <v>2021</v>
      </c>
      <c r="G182" s="153">
        <v>2022</v>
      </c>
      <c r="H182" s="153">
        <v>2023</v>
      </c>
      <c r="I182" s="153">
        <v>2024</v>
      </c>
      <c r="J182" s="153">
        <v>2025</v>
      </c>
      <c r="K182" s="153" t="s">
        <v>36</v>
      </c>
    </row>
    <row r="183" spans="3:11" ht="12" customHeight="1" thickBot="1" x14ac:dyDescent="0.25">
      <c r="C183" s="156"/>
      <c r="D183" s="154"/>
      <c r="E183" s="154"/>
      <c r="F183" s="154"/>
      <c r="G183" s="154"/>
      <c r="H183" s="154"/>
      <c r="I183" s="154"/>
      <c r="J183" s="154"/>
      <c r="K183" s="154"/>
    </row>
    <row r="184" spans="3:11" x14ac:dyDescent="0.2">
      <c r="C184" s="87" t="s">
        <v>123</v>
      </c>
      <c r="D184" s="47">
        <f t="shared" ref="D184:K193" si="7">+IFERROR(IF(D142&gt;0,+((D142/D15)*100)," "),"")</f>
        <v>70.656585335982484</v>
      </c>
      <c r="E184" s="47">
        <f t="shared" si="7"/>
        <v>91.635968780517601</v>
      </c>
      <c r="F184" s="47">
        <f t="shared" si="7"/>
        <v>94.449496692563557</v>
      </c>
      <c r="G184" s="47">
        <f t="shared" si="7"/>
        <v>87.067515885512535</v>
      </c>
      <c r="H184" s="47">
        <f t="shared" si="7"/>
        <v>73.930314055439624</v>
      </c>
      <c r="I184" s="47">
        <f t="shared" si="7"/>
        <v>76.977333253066988</v>
      </c>
      <c r="J184" s="47">
        <f t="shared" si="7"/>
        <v>79.79664526541292</v>
      </c>
      <c r="K184" s="47">
        <f t="shared" si="7"/>
        <v>4.0309344042901074</v>
      </c>
    </row>
    <row r="185" spans="3:11" x14ac:dyDescent="0.2">
      <c r="C185" s="88" t="s">
        <v>124</v>
      </c>
      <c r="D185" s="116">
        <f t="shared" si="7"/>
        <v>93.725899269101703</v>
      </c>
      <c r="E185" s="116">
        <f t="shared" si="7"/>
        <v>89.100085646857082</v>
      </c>
      <c r="F185" s="116">
        <f t="shared" si="7"/>
        <v>79.26725058640038</v>
      </c>
      <c r="G185" s="116">
        <f t="shared" si="7"/>
        <v>77.904200736968605</v>
      </c>
      <c r="H185" s="116">
        <f t="shared" si="7"/>
        <v>73.978721437594032</v>
      </c>
      <c r="I185" s="116">
        <f t="shared" si="7"/>
        <v>71.494437596089838</v>
      </c>
      <c r="J185" s="116">
        <f t="shared" si="7"/>
        <v>87.225234458771467</v>
      </c>
      <c r="K185" s="116">
        <f t="shared" si="7"/>
        <v>3.0713956386236267</v>
      </c>
    </row>
    <row r="186" spans="3:11" x14ac:dyDescent="0.2">
      <c r="C186" s="87" t="s">
        <v>125</v>
      </c>
      <c r="D186" s="47" t="str">
        <f t="shared" si="7"/>
        <v xml:space="preserve"> </v>
      </c>
      <c r="E186" s="47" t="str">
        <f t="shared" si="7"/>
        <v xml:space="preserve"> </v>
      </c>
      <c r="F186" s="47" t="str">
        <f t="shared" si="7"/>
        <v xml:space="preserve"> </v>
      </c>
      <c r="G186" s="47" t="str">
        <f t="shared" si="7"/>
        <v xml:space="preserve"> </v>
      </c>
      <c r="H186" s="47" t="str">
        <f t="shared" si="7"/>
        <v xml:space="preserve"> </v>
      </c>
      <c r="I186" s="47" t="str">
        <f t="shared" si="7"/>
        <v xml:space="preserve"> </v>
      </c>
      <c r="J186" s="47" t="str">
        <f t="shared" si="7"/>
        <v xml:space="preserve"> </v>
      </c>
      <c r="K186" s="47" t="str">
        <f t="shared" si="7"/>
        <v xml:space="preserve"> </v>
      </c>
    </row>
    <row r="187" spans="3:11" x14ac:dyDescent="0.2">
      <c r="C187" s="88" t="s">
        <v>126</v>
      </c>
      <c r="D187" s="116">
        <f t="shared" si="7"/>
        <v>95.84231558088824</v>
      </c>
      <c r="E187" s="116">
        <f t="shared" si="7"/>
        <v>91.703320461872138</v>
      </c>
      <c r="F187" s="116">
        <f t="shared" si="7"/>
        <v>87.592763135858007</v>
      </c>
      <c r="G187" s="116">
        <f t="shared" si="7"/>
        <v>90.044990514331502</v>
      </c>
      <c r="H187" s="116">
        <f t="shared" si="7"/>
        <v>91.813527354376149</v>
      </c>
      <c r="I187" s="116">
        <f t="shared" si="7"/>
        <v>88.435621581572448</v>
      </c>
      <c r="J187" s="116">
        <f t="shared" si="7"/>
        <v>91.979841862579178</v>
      </c>
      <c r="K187" s="116">
        <f t="shared" si="7"/>
        <v>1.875968780663585</v>
      </c>
    </row>
    <row r="188" spans="3:11" x14ac:dyDescent="0.2">
      <c r="C188" s="87" t="s">
        <v>127</v>
      </c>
      <c r="D188" s="47" t="str">
        <f t="shared" si="7"/>
        <v xml:space="preserve"> </v>
      </c>
      <c r="E188" s="47" t="str">
        <f t="shared" si="7"/>
        <v xml:space="preserve"> </v>
      </c>
      <c r="F188" s="47" t="str">
        <f t="shared" si="7"/>
        <v xml:space="preserve"> </v>
      </c>
      <c r="G188" s="47" t="str">
        <f t="shared" si="7"/>
        <v xml:space="preserve"> </v>
      </c>
      <c r="H188" s="47" t="str">
        <f t="shared" si="7"/>
        <v xml:space="preserve"> </v>
      </c>
      <c r="I188" s="47" t="str">
        <f t="shared" si="7"/>
        <v xml:space="preserve"> </v>
      </c>
      <c r="J188" s="47" t="str">
        <f t="shared" si="7"/>
        <v xml:space="preserve"> </v>
      </c>
      <c r="K188" s="47" t="str">
        <f t="shared" si="7"/>
        <v xml:space="preserve"> </v>
      </c>
    </row>
    <row r="189" spans="3:11" x14ac:dyDescent="0.2">
      <c r="C189" s="88" t="s">
        <v>128</v>
      </c>
      <c r="D189" s="116">
        <f t="shared" si="7"/>
        <v>90.959806687395158</v>
      </c>
      <c r="E189" s="116">
        <f t="shared" si="7"/>
        <v>91.124245851373104</v>
      </c>
      <c r="F189" s="116">
        <f t="shared" si="7"/>
        <v>57.026525783529756</v>
      </c>
      <c r="G189" s="116">
        <f t="shared" si="7"/>
        <v>46.866218121574818</v>
      </c>
      <c r="H189" s="116">
        <f t="shared" si="7"/>
        <v>69.729244945690382</v>
      </c>
      <c r="I189" s="116">
        <f t="shared" si="7"/>
        <v>52.711098269182109</v>
      </c>
      <c r="J189" s="116">
        <f t="shared" si="7"/>
        <v>87.262276693931327</v>
      </c>
      <c r="K189" s="116">
        <f t="shared" si="7"/>
        <v>1.4931025997407894</v>
      </c>
    </row>
    <row r="190" spans="3:11" x14ac:dyDescent="0.2">
      <c r="C190" s="87" t="s">
        <v>129</v>
      </c>
      <c r="D190" s="47">
        <f t="shared" si="7"/>
        <v>82.789201313902566</v>
      </c>
      <c r="E190" s="47">
        <f t="shared" si="7"/>
        <v>86.43544391802854</v>
      </c>
      <c r="F190" s="47">
        <f t="shared" si="7"/>
        <v>66.138247733254147</v>
      </c>
      <c r="G190" s="47">
        <f t="shared" si="7"/>
        <v>55.66168327100609</v>
      </c>
      <c r="H190" s="47">
        <f t="shared" si="7"/>
        <v>39.925310847551614</v>
      </c>
      <c r="I190" s="47">
        <f t="shared" si="7"/>
        <v>57.69400625732419</v>
      </c>
      <c r="J190" s="47">
        <f t="shared" si="7"/>
        <v>72.206098455085993</v>
      </c>
      <c r="K190" s="47">
        <f t="shared" si="7"/>
        <v>0.61881759141951076</v>
      </c>
    </row>
    <row r="191" spans="3:11" x14ac:dyDescent="0.2">
      <c r="C191" s="88" t="s">
        <v>130</v>
      </c>
      <c r="D191" s="116" t="str">
        <f t="shared" si="7"/>
        <v xml:space="preserve"> </v>
      </c>
      <c r="E191" s="116" t="str">
        <f t="shared" si="7"/>
        <v xml:space="preserve"> </v>
      </c>
      <c r="F191" s="116" t="str">
        <f t="shared" si="7"/>
        <v xml:space="preserve"> </v>
      </c>
      <c r="G191" s="116" t="str">
        <f t="shared" si="7"/>
        <v xml:space="preserve"> </v>
      </c>
      <c r="H191" s="116" t="str">
        <f t="shared" si="7"/>
        <v xml:space="preserve"> </v>
      </c>
      <c r="I191" s="116" t="str">
        <f t="shared" si="7"/>
        <v xml:space="preserve"> </v>
      </c>
      <c r="J191" s="116" t="str">
        <f t="shared" si="7"/>
        <v xml:space="preserve"> </v>
      </c>
      <c r="K191" s="116" t="str">
        <f t="shared" si="7"/>
        <v xml:space="preserve"> </v>
      </c>
    </row>
    <row r="192" spans="3:11" x14ac:dyDescent="0.2">
      <c r="C192" s="87" t="s">
        <v>131</v>
      </c>
      <c r="D192" s="47">
        <f t="shared" si="7"/>
        <v>74.686476236599844</v>
      </c>
      <c r="E192" s="47">
        <f t="shared" si="7"/>
        <v>41.489520768483565</v>
      </c>
      <c r="F192" s="47">
        <f t="shared" si="7"/>
        <v>51.626621514011525</v>
      </c>
      <c r="G192" s="47">
        <f t="shared" si="7"/>
        <v>59.052697723297101</v>
      </c>
      <c r="H192" s="47">
        <f t="shared" si="7"/>
        <v>64.67351765787312</v>
      </c>
      <c r="I192" s="47">
        <f t="shared" si="7"/>
        <v>73.839822770949311</v>
      </c>
      <c r="J192" s="47">
        <f t="shared" si="7"/>
        <v>69.14624386111683</v>
      </c>
      <c r="K192" s="47">
        <f t="shared" si="7"/>
        <v>3.2973891456094964</v>
      </c>
    </row>
    <row r="193" spans="3:11" x14ac:dyDescent="0.2">
      <c r="C193" s="88" t="s">
        <v>132</v>
      </c>
      <c r="D193" s="116">
        <f t="shared" si="7"/>
        <v>84.119725095295038</v>
      </c>
      <c r="E193" s="116">
        <f t="shared" si="7"/>
        <v>62.607496491460793</v>
      </c>
      <c r="F193" s="116">
        <f t="shared" si="7"/>
        <v>59.065320954312703</v>
      </c>
      <c r="G193" s="116">
        <f t="shared" si="7"/>
        <v>60.474617103074621</v>
      </c>
      <c r="H193" s="116">
        <f t="shared" si="7"/>
        <v>61.578421088180157</v>
      </c>
      <c r="I193" s="116">
        <f t="shared" si="7"/>
        <v>84.1429887757063</v>
      </c>
      <c r="J193" s="116">
        <f t="shared" si="7"/>
        <v>81.396885235960042</v>
      </c>
      <c r="K193" s="116">
        <f t="shared" si="7"/>
        <v>2.0455902060960529</v>
      </c>
    </row>
    <row r="194" spans="3:11" x14ac:dyDescent="0.2">
      <c r="C194" s="87" t="s">
        <v>133</v>
      </c>
      <c r="D194" s="47">
        <f t="shared" ref="D194:K203" si="8">+IFERROR(IF(D152&gt;0,+((D152/D25)*100)," "),"")</f>
        <v>81.500440899305744</v>
      </c>
      <c r="E194" s="47">
        <f t="shared" si="8"/>
        <v>72.153498947276589</v>
      </c>
      <c r="F194" s="47">
        <f t="shared" si="8"/>
        <v>82.962157897500362</v>
      </c>
      <c r="G194" s="47">
        <f t="shared" si="8"/>
        <v>69.208967064179035</v>
      </c>
      <c r="H194" s="47">
        <f t="shared" si="8"/>
        <v>72.426093393822214</v>
      </c>
      <c r="I194" s="47">
        <f t="shared" si="8"/>
        <v>83.564628756717696</v>
      </c>
      <c r="J194" s="47">
        <f t="shared" si="8"/>
        <v>82.143573307868081</v>
      </c>
      <c r="K194" s="47" t="str">
        <f t="shared" si="8"/>
        <v xml:space="preserve"> </v>
      </c>
    </row>
    <row r="195" spans="3:11" x14ac:dyDescent="0.2">
      <c r="C195" s="88" t="s">
        <v>134</v>
      </c>
      <c r="D195" s="116">
        <f t="shared" si="8"/>
        <v>84.678618141980792</v>
      </c>
      <c r="E195" s="116">
        <f t="shared" si="8"/>
        <v>87.956047701917043</v>
      </c>
      <c r="F195" s="116">
        <f t="shared" si="8"/>
        <v>59.586364030385774</v>
      </c>
      <c r="G195" s="116">
        <f t="shared" si="8"/>
        <v>92.104991840609259</v>
      </c>
      <c r="H195" s="116">
        <f t="shared" si="8"/>
        <v>84.221952500257316</v>
      </c>
      <c r="I195" s="116">
        <f t="shared" si="8"/>
        <v>93.604928215313137</v>
      </c>
      <c r="J195" s="116">
        <f t="shared" si="8"/>
        <v>90.404352007561059</v>
      </c>
      <c r="K195" s="116">
        <f t="shared" si="8"/>
        <v>3.2493588917547429</v>
      </c>
    </row>
    <row r="196" spans="3:11" x14ac:dyDescent="0.2">
      <c r="C196" s="87" t="s">
        <v>135</v>
      </c>
      <c r="D196" s="47" t="str">
        <f t="shared" si="8"/>
        <v xml:space="preserve"> </v>
      </c>
      <c r="E196" s="47" t="str">
        <f t="shared" si="8"/>
        <v xml:space="preserve"> </v>
      </c>
      <c r="F196" s="47" t="str">
        <f t="shared" si="8"/>
        <v xml:space="preserve"> </v>
      </c>
      <c r="G196" s="47" t="str">
        <f t="shared" si="8"/>
        <v xml:space="preserve"> </v>
      </c>
      <c r="H196" s="47" t="str">
        <f t="shared" si="8"/>
        <v xml:space="preserve"> </v>
      </c>
      <c r="I196" s="47">
        <f t="shared" si="8"/>
        <v>89.443539675235385</v>
      </c>
      <c r="J196" s="47">
        <f t="shared" si="8"/>
        <v>95.31827998620544</v>
      </c>
      <c r="K196" s="47">
        <f t="shared" si="8"/>
        <v>6.4431039945262611</v>
      </c>
    </row>
    <row r="197" spans="3:11" x14ac:dyDescent="0.2">
      <c r="C197" s="88" t="s">
        <v>136</v>
      </c>
      <c r="D197" s="116">
        <f t="shared" si="8"/>
        <v>94.023021178118356</v>
      </c>
      <c r="E197" s="116">
        <f t="shared" si="8"/>
        <v>91.776236659224807</v>
      </c>
      <c r="F197" s="116">
        <f t="shared" si="8"/>
        <v>85.524430897411094</v>
      </c>
      <c r="G197" s="116">
        <f t="shared" si="8"/>
        <v>92.11180963849101</v>
      </c>
      <c r="H197" s="116">
        <f t="shared" si="8"/>
        <v>92.080709114219971</v>
      </c>
      <c r="I197" s="116" t="str">
        <f t="shared" si="8"/>
        <v xml:space="preserve"> </v>
      </c>
      <c r="J197" s="116" t="str">
        <f t="shared" si="8"/>
        <v xml:space="preserve"> </v>
      </c>
      <c r="K197" s="116" t="str">
        <f t="shared" si="8"/>
        <v xml:space="preserve"> </v>
      </c>
    </row>
    <row r="198" spans="3:11" x14ac:dyDescent="0.2">
      <c r="C198" s="87" t="s">
        <v>137</v>
      </c>
      <c r="D198" s="47">
        <f t="shared" si="8"/>
        <v>58.919751126242545</v>
      </c>
      <c r="E198" s="47">
        <f t="shared" si="8"/>
        <v>71.504537326206645</v>
      </c>
      <c r="F198" s="47">
        <f t="shared" si="8"/>
        <v>52.424495663100025</v>
      </c>
      <c r="G198" s="47">
        <f t="shared" si="8"/>
        <v>29.477888283531144</v>
      </c>
      <c r="H198" s="47">
        <f t="shared" si="8"/>
        <v>20.493015200958709</v>
      </c>
      <c r="I198" s="47">
        <f t="shared" si="8"/>
        <v>63.065039413668281</v>
      </c>
      <c r="J198" s="47">
        <f t="shared" si="8"/>
        <v>69.792827306132835</v>
      </c>
      <c r="K198" s="47">
        <f t="shared" si="8"/>
        <v>5.408363670167522</v>
      </c>
    </row>
    <row r="199" spans="3:11" x14ac:dyDescent="0.2">
      <c r="C199" s="88" t="s">
        <v>138</v>
      </c>
      <c r="D199" s="116" t="str">
        <f t="shared" si="8"/>
        <v xml:space="preserve"> </v>
      </c>
      <c r="E199" s="116" t="str">
        <f t="shared" si="8"/>
        <v xml:space="preserve"> </v>
      </c>
      <c r="F199" s="116" t="str">
        <f t="shared" si="8"/>
        <v xml:space="preserve"> </v>
      </c>
      <c r="G199" s="116" t="str">
        <f t="shared" si="8"/>
        <v xml:space="preserve"> </v>
      </c>
      <c r="H199" s="116" t="str">
        <f t="shared" si="8"/>
        <v xml:space="preserve"> </v>
      </c>
      <c r="I199" s="116" t="str">
        <f t="shared" si="8"/>
        <v xml:space="preserve"> </v>
      </c>
      <c r="J199" s="116" t="str">
        <f t="shared" si="8"/>
        <v xml:space="preserve"> </v>
      </c>
      <c r="K199" s="116" t="str">
        <f t="shared" si="8"/>
        <v xml:space="preserve"> </v>
      </c>
    </row>
    <row r="200" spans="3:11" x14ac:dyDescent="0.2">
      <c r="C200" s="87" t="s">
        <v>160</v>
      </c>
      <c r="D200" s="47" t="str">
        <f t="shared" si="8"/>
        <v xml:space="preserve"> </v>
      </c>
      <c r="E200" s="47" t="str">
        <f t="shared" si="8"/>
        <v xml:space="preserve"> </v>
      </c>
      <c r="F200" s="47" t="str">
        <f t="shared" si="8"/>
        <v xml:space="preserve"> </v>
      </c>
      <c r="G200" s="47" t="str">
        <f t="shared" si="8"/>
        <v xml:space="preserve"> </v>
      </c>
      <c r="H200" s="47" t="str">
        <f t="shared" si="8"/>
        <v xml:space="preserve"> </v>
      </c>
      <c r="I200" s="47" t="str">
        <f t="shared" si="8"/>
        <v xml:space="preserve"> </v>
      </c>
      <c r="J200" s="47" t="str">
        <f t="shared" si="8"/>
        <v xml:space="preserve"> </v>
      </c>
      <c r="K200" s="47" t="str">
        <f t="shared" si="8"/>
        <v xml:space="preserve"> </v>
      </c>
    </row>
    <row r="201" spans="3:11" x14ac:dyDescent="0.2">
      <c r="C201" s="88" t="s">
        <v>161</v>
      </c>
      <c r="D201" s="116">
        <f t="shared" si="8"/>
        <v>75.006365930446606</v>
      </c>
      <c r="E201" s="116">
        <f t="shared" si="8"/>
        <v>60.034915608993302</v>
      </c>
      <c r="F201" s="116">
        <f t="shared" si="8"/>
        <v>62.480457458786852</v>
      </c>
      <c r="G201" s="116">
        <f t="shared" si="8"/>
        <v>43.985034941128646</v>
      </c>
      <c r="H201" s="116">
        <f t="shared" si="8"/>
        <v>58.811985922489285</v>
      </c>
      <c r="I201" s="116">
        <f t="shared" si="8"/>
        <v>78.343888701252283</v>
      </c>
      <c r="J201" s="116">
        <f t="shared" si="8"/>
        <v>59.263194572749811</v>
      </c>
      <c r="K201" s="116">
        <f t="shared" si="8"/>
        <v>0.4362804124544043</v>
      </c>
    </row>
    <row r="202" spans="3:11" x14ac:dyDescent="0.2">
      <c r="C202" s="87" t="s">
        <v>140</v>
      </c>
      <c r="D202" s="47">
        <f t="shared" si="8"/>
        <v>81.820130936045516</v>
      </c>
      <c r="E202" s="47">
        <f t="shared" si="8"/>
        <v>71.933219815110206</v>
      </c>
      <c r="F202" s="47">
        <f t="shared" si="8"/>
        <v>64.111401946815477</v>
      </c>
      <c r="G202" s="47">
        <f t="shared" si="8"/>
        <v>67.815645450021023</v>
      </c>
      <c r="H202" s="47">
        <f t="shared" si="8"/>
        <v>39.238566940094188</v>
      </c>
      <c r="I202" s="47">
        <f t="shared" si="8"/>
        <v>70.951639922304025</v>
      </c>
      <c r="J202" s="47">
        <f t="shared" si="8"/>
        <v>74.156076713652723</v>
      </c>
      <c r="K202" s="47">
        <f t="shared" si="8"/>
        <v>0.3719615934954002</v>
      </c>
    </row>
    <row r="203" spans="3:11" x14ac:dyDescent="0.2">
      <c r="C203" s="88" t="s">
        <v>141</v>
      </c>
      <c r="D203" s="116" t="str">
        <f t="shared" si="8"/>
        <v xml:space="preserve"> </v>
      </c>
      <c r="E203" s="116" t="str">
        <f t="shared" si="8"/>
        <v xml:space="preserve"> </v>
      </c>
      <c r="F203" s="116" t="str">
        <f t="shared" si="8"/>
        <v xml:space="preserve"> </v>
      </c>
      <c r="G203" s="116" t="str">
        <f t="shared" si="8"/>
        <v xml:space="preserve"> </v>
      </c>
      <c r="H203" s="116" t="str">
        <f t="shared" si="8"/>
        <v xml:space="preserve"> </v>
      </c>
      <c r="I203" s="116" t="str">
        <f t="shared" si="8"/>
        <v xml:space="preserve"> </v>
      </c>
      <c r="J203" s="116" t="str">
        <f t="shared" si="8"/>
        <v xml:space="preserve"> </v>
      </c>
      <c r="K203" s="116" t="str">
        <f t="shared" si="8"/>
        <v xml:space="preserve"> </v>
      </c>
    </row>
    <row r="204" spans="3:11" x14ac:dyDescent="0.2">
      <c r="C204" s="87" t="s">
        <v>142</v>
      </c>
      <c r="D204" s="47">
        <f t="shared" ref="D204:K213" si="9">+IFERROR(IF(D162&gt;0,+((D162/D35)*100)," "),"")</f>
        <v>86.976844120405758</v>
      </c>
      <c r="E204" s="47">
        <f t="shared" si="9"/>
        <v>95.473761045795285</v>
      </c>
      <c r="F204" s="47">
        <f t="shared" si="9"/>
        <v>81.406774802370634</v>
      </c>
      <c r="G204" s="47">
        <f t="shared" si="9"/>
        <v>88.73454788523992</v>
      </c>
      <c r="H204" s="47">
        <f t="shared" si="9"/>
        <v>67.991376268682586</v>
      </c>
      <c r="I204" s="47">
        <f t="shared" si="9"/>
        <v>70.314433274249225</v>
      </c>
      <c r="J204" s="47">
        <f t="shared" si="9"/>
        <v>43.044423184305899</v>
      </c>
      <c r="K204" s="47">
        <f t="shared" si="9"/>
        <v>1.5443281618295719</v>
      </c>
    </row>
    <row r="205" spans="3:11" x14ac:dyDescent="0.2">
      <c r="C205" s="88" t="s">
        <v>143</v>
      </c>
      <c r="D205" s="116">
        <f t="shared" si="9"/>
        <v>52.509131839607612</v>
      </c>
      <c r="E205" s="116">
        <f t="shared" si="9"/>
        <v>24.324556812749833</v>
      </c>
      <c r="F205" s="116">
        <f t="shared" si="9"/>
        <v>35.081510611811936</v>
      </c>
      <c r="G205" s="116">
        <f t="shared" si="9"/>
        <v>53.551141238635893</v>
      </c>
      <c r="H205" s="116">
        <f t="shared" si="9"/>
        <v>7.8211674641053737</v>
      </c>
      <c r="I205" s="116">
        <f t="shared" si="9"/>
        <v>16.651080893497301</v>
      </c>
      <c r="J205" s="116">
        <f t="shared" si="9"/>
        <v>49.498392997229637</v>
      </c>
      <c r="K205" s="116">
        <f t="shared" si="9"/>
        <v>0.10884869308639603</v>
      </c>
    </row>
    <row r="206" spans="3:11" x14ac:dyDescent="0.2">
      <c r="C206" s="87" t="s">
        <v>144</v>
      </c>
      <c r="D206" s="47" t="str">
        <f t="shared" si="9"/>
        <v xml:space="preserve"> </v>
      </c>
      <c r="E206" s="47" t="str">
        <f t="shared" si="9"/>
        <v xml:space="preserve"> </v>
      </c>
      <c r="F206" s="47" t="str">
        <f t="shared" si="9"/>
        <v xml:space="preserve"> </v>
      </c>
      <c r="G206" s="47" t="str">
        <f t="shared" si="9"/>
        <v xml:space="preserve"> </v>
      </c>
      <c r="H206" s="47" t="str">
        <f t="shared" si="9"/>
        <v xml:space="preserve"> </v>
      </c>
      <c r="I206" s="47" t="str">
        <f t="shared" si="9"/>
        <v xml:space="preserve"> </v>
      </c>
      <c r="J206" s="47" t="str">
        <f t="shared" si="9"/>
        <v xml:space="preserve"> </v>
      </c>
      <c r="K206" s="47" t="str">
        <f t="shared" si="9"/>
        <v xml:space="preserve"> </v>
      </c>
    </row>
    <row r="207" spans="3:11" x14ac:dyDescent="0.2">
      <c r="C207" s="88" t="s">
        <v>145</v>
      </c>
      <c r="D207" s="116">
        <f t="shared" si="9"/>
        <v>91.645283675080506</v>
      </c>
      <c r="E207" s="116">
        <f t="shared" si="9"/>
        <v>98.698764821953986</v>
      </c>
      <c r="F207" s="116">
        <f t="shared" si="9"/>
        <v>52.759693016627594</v>
      </c>
      <c r="G207" s="116">
        <f t="shared" si="9"/>
        <v>77.578419072261013</v>
      </c>
      <c r="H207" s="116">
        <f t="shared" si="9"/>
        <v>78.1348141843646</v>
      </c>
      <c r="I207" s="116">
        <f t="shared" si="9"/>
        <v>45.009660415545611</v>
      </c>
      <c r="J207" s="116">
        <f t="shared" si="9"/>
        <v>60.819945438967714</v>
      </c>
      <c r="K207" s="116">
        <f t="shared" si="9"/>
        <v>2.0311213849373351E-2</v>
      </c>
    </row>
    <row r="208" spans="3:11" x14ac:dyDescent="0.2">
      <c r="C208" s="87" t="s">
        <v>146</v>
      </c>
      <c r="D208" s="47">
        <f t="shared" si="9"/>
        <v>98.905157544771242</v>
      </c>
      <c r="E208" s="47">
        <f t="shared" si="9"/>
        <v>98.20589777731054</v>
      </c>
      <c r="F208" s="47">
        <f t="shared" si="9"/>
        <v>98.290953333188824</v>
      </c>
      <c r="G208" s="47">
        <f t="shared" si="9"/>
        <v>24.907112279480046</v>
      </c>
      <c r="H208" s="47">
        <f t="shared" si="9"/>
        <v>58.441271223974887</v>
      </c>
      <c r="I208" s="47">
        <f t="shared" si="9"/>
        <v>77.520826442915535</v>
      </c>
      <c r="J208" s="47">
        <f t="shared" si="9"/>
        <v>80.527907382760361</v>
      </c>
      <c r="K208" s="47">
        <f t="shared" si="9"/>
        <v>6.3279396892462705</v>
      </c>
    </row>
    <row r="209" spans="1:11" x14ac:dyDescent="0.2">
      <c r="C209" s="88" t="s">
        <v>162</v>
      </c>
      <c r="D209" s="116">
        <f t="shared" si="9"/>
        <v>79.226193689951458</v>
      </c>
      <c r="E209" s="116">
        <f t="shared" si="9"/>
        <v>87.045342299603291</v>
      </c>
      <c r="F209" s="116">
        <f t="shared" si="9"/>
        <v>83.646454585460191</v>
      </c>
      <c r="G209" s="116">
        <f t="shared" si="9"/>
        <v>76.349292874648398</v>
      </c>
      <c r="H209" s="116">
        <f t="shared" si="9"/>
        <v>74.445324547154371</v>
      </c>
      <c r="I209" s="116">
        <f t="shared" si="9"/>
        <v>76.667951916275882</v>
      </c>
      <c r="J209" s="116">
        <f t="shared" si="9"/>
        <v>90.509500727419294</v>
      </c>
      <c r="K209" s="116">
        <f t="shared" si="9"/>
        <v>2.2341069729454777</v>
      </c>
    </row>
    <row r="210" spans="1:11" x14ac:dyDescent="0.2">
      <c r="C210" s="87" t="s">
        <v>148</v>
      </c>
      <c r="D210" s="47" t="str">
        <f t="shared" si="9"/>
        <v xml:space="preserve"> </v>
      </c>
      <c r="E210" s="47" t="str">
        <f t="shared" si="9"/>
        <v xml:space="preserve"> </v>
      </c>
      <c r="F210" s="47" t="str">
        <f t="shared" si="9"/>
        <v xml:space="preserve"> </v>
      </c>
      <c r="G210" s="47" t="str">
        <f t="shared" si="9"/>
        <v xml:space="preserve"> </v>
      </c>
      <c r="H210" s="47" t="str">
        <f t="shared" si="9"/>
        <v xml:space="preserve"> </v>
      </c>
      <c r="I210" s="47" t="str">
        <f t="shared" si="9"/>
        <v xml:space="preserve"> </v>
      </c>
      <c r="J210" s="47" t="str">
        <f t="shared" si="9"/>
        <v xml:space="preserve"> </v>
      </c>
      <c r="K210" s="47" t="str">
        <f t="shared" si="9"/>
        <v xml:space="preserve"> </v>
      </c>
    </row>
    <row r="211" spans="1:11" x14ac:dyDescent="0.2">
      <c r="C211" s="88" t="s">
        <v>149</v>
      </c>
      <c r="D211" s="116">
        <f t="shared" si="9"/>
        <v>87.880333631845929</v>
      </c>
      <c r="E211" s="116">
        <f t="shared" si="9"/>
        <v>94.156172403723488</v>
      </c>
      <c r="F211" s="116">
        <f t="shared" si="9"/>
        <v>78.243377529836692</v>
      </c>
      <c r="G211" s="116">
        <f t="shared" si="9"/>
        <v>78.848773074036174</v>
      </c>
      <c r="H211" s="116">
        <f t="shared" si="9"/>
        <v>88.830506488322214</v>
      </c>
      <c r="I211" s="116">
        <f t="shared" si="9"/>
        <v>80.117659777015476</v>
      </c>
      <c r="J211" s="116">
        <f t="shared" si="9"/>
        <v>67.449313852830556</v>
      </c>
      <c r="K211" s="116">
        <f t="shared" si="9"/>
        <v>13.874873224823631</v>
      </c>
    </row>
    <row r="212" spans="1:11" x14ac:dyDescent="0.2">
      <c r="C212" s="87" t="s">
        <v>163</v>
      </c>
      <c r="D212" s="47">
        <f t="shared" si="9"/>
        <v>87.263489226632416</v>
      </c>
      <c r="E212" s="47">
        <f t="shared" si="9"/>
        <v>91.091687289300651</v>
      </c>
      <c r="F212" s="47">
        <f t="shared" si="9"/>
        <v>89.076473594708574</v>
      </c>
      <c r="G212" s="47">
        <f t="shared" si="9"/>
        <v>93.27458368222598</v>
      </c>
      <c r="H212" s="47">
        <f t="shared" si="9"/>
        <v>92.182850386239323</v>
      </c>
      <c r="I212" s="47">
        <f t="shared" si="9"/>
        <v>90.857339901792997</v>
      </c>
      <c r="J212" s="47">
        <f t="shared" si="9"/>
        <v>87.177373547894319</v>
      </c>
      <c r="K212" s="47">
        <f t="shared" si="9"/>
        <v>5.8415735168751786</v>
      </c>
    </row>
    <row r="213" spans="1:11" x14ac:dyDescent="0.2">
      <c r="C213" s="88" t="s">
        <v>150</v>
      </c>
      <c r="D213" s="116">
        <f t="shared" si="9"/>
        <v>69.704699257709962</v>
      </c>
      <c r="E213" s="116">
        <f t="shared" si="9"/>
        <v>64.892491435087422</v>
      </c>
      <c r="F213" s="116">
        <f t="shared" si="9"/>
        <v>60.452441121137355</v>
      </c>
      <c r="G213" s="116">
        <f t="shared" si="9"/>
        <v>46.527256673275531</v>
      </c>
      <c r="H213" s="116">
        <f t="shared" si="9"/>
        <v>37.411032565376914</v>
      </c>
      <c r="I213" s="116">
        <f t="shared" si="9"/>
        <v>47.619036746503916</v>
      </c>
      <c r="J213" s="116">
        <f t="shared" si="9"/>
        <v>55.548087021030369</v>
      </c>
      <c r="K213" s="116">
        <f t="shared" si="9"/>
        <v>3.994896341189814</v>
      </c>
    </row>
    <row r="214" spans="1:11" x14ac:dyDescent="0.2">
      <c r="C214" s="87" t="s">
        <v>151</v>
      </c>
      <c r="D214" s="47" t="str">
        <f t="shared" ref="D214:K215" si="10">+IFERROR(IF(D172&gt;0,+((D172/D45)*100)," "),"")</f>
        <v xml:space="preserve"> </v>
      </c>
      <c r="E214" s="47" t="str">
        <f t="shared" si="10"/>
        <v xml:space="preserve"> </v>
      </c>
      <c r="F214" s="47" t="str">
        <f t="shared" si="10"/>
        <v xml:space="preserve"> </v>
      </c>
      <c r="G214" s="47" t="str">
        <f t="shared" si="10"/>
        <v xml:space="preserve"> </v>
      </c>
      <c r="H214" s="47" t="str">
        <f t="shared" si="10"/>
        <v xml:space="preserve"> </v>
      </c>
      <c r="I214" s="47" t="str">
        <f t="shared" si="10"/>
        <v xml:space="preserve"> </v>
      </c>
      <c r="J214" s="47" t="str">
        <f t="shared" si="10"/>
        <v xml:space="preserve"> </v>
      </c>
      <c r="K214" s="47" t="str">
        <f t="shared" si="10"/>
        <v xml:space="preserve"> </v>
      </c>
    </row>
    <row r="215" spans="1:11" x14ac:dyDescent="0.2">
      <c r="C215" s="91" t="s">
        <v>202</v>
      </c>
      <c r="D215" s="64">
        <f t="shared" si="10"/>
        <v>83.560200571574555</v>
      </c>
      <c r="E215" s="64">
        <f t="shared" si="10"/>
        <v>82.763814479801482</v>
      </c>
      <c r="F215" s="64">
        <f t="shared" si="10"/>
        <v>74.532166565739786</v>
      </c>
      <c r="G215" s="64">
        <f t="shared" si="10"/>
        <v>73.737791153056605</v>
      </c>
      <c r="H215" s="64">
        <f t="shared" si="10"/>
        <v>73.422092826627733</v>
      </c>
      <c r="I215" s="64">
        <f t="shared" si="10"/>
        <v>75.41452569777266</v>
      </c>
      <c r="J215" s="64">
        <f t="shared" si="10"/>
        <v>76.536563096069258</v>
      </c>
      <c r="K215" s="64">
        <f t="shared" si="10"/>
        <v>5.430346241327535</v>
      </c>
    </row>
    <row r="216" spans="1:11" s="31" customFormat="1" x14ac:dyDescent="0.2">
      <c r="A216" s="5"/>
      <c r="B216" s="5"/>
      <c r="C216" s="72" t="str">
        <f>+'C1 Aprop Resumen 2000-2026'!B20</f>
        <v>* Información con corte a 28 de febrero</v>
      </c>
      <c r="D216" s="47"/>
      <c r="E216" s="47"/>
      <c r="F216" s="47"/>
      <c r="G216" s="47"/>
      <c r="H216" s="47"/>
      <c r="I216" s="47"/>
      <c r="J216" s="47"/>
    </row>
    <row r="217" spans="1:11" x14ac:dyDescent="0.2">
      <c r="C217" s="1" t="s">
        <v>52</v>
      </c>
      <c r="D217" s="11"/>
      <c r="E217" s="11"/>
      <c r="F217" s="11"/>
    </row>
    <row r="218" spans="1:11" x14ac:dyDescent="0.2">
      <c r="E218" s="3"/>
      <c r="F218" s="3"/>
    </row>
    <row r="219" spans="1:11" x14ac:dyDescent="0.2">
      <c r="E219" s="3"/>
      <c r="F219" s="3"/>
    </row>
    <row r="220" spans="1:11" x14ac:dyDescent="0.2">
      <c r="E220" s="3"/>
      <c r="F220" s="3"/>
    </row>
    <row r="221" spans="1:11" ht="18" customHeight="1" x14ac:dyDescent="0.2">
      <c r="D221" s="160" t="s">
        <v>223</v>
      </c>
      <c r="E221" s="178"/>
      <c r="F221" s="178"/>
      <c r="G221" s="178"/>
      <c r="H221" s="178"/>
      <c r="I221" s="178"/>
      <c r="J221" s="178"/>
      <c r="K221" s="178"/>
    </row>
    <row r="222" spans="1:11" ht="15.75" customHeight="1" x14ac:dyDescent="0.2">
      <c r="C222" s="150"/>
      <c r="D222" s="150"/>
      <c r="E222" s="150"/>
      <c r="F222" s="150"/>
      <c r="G222" s="150"/>
      <c r="H222" s="150"/>
      <c r="I222" s="150"/>
      <c r="J222" s="150"/>
    </row>
    <row r="223" spans="1:11" x14ac:dyDescent="0.2">
      <c r="C223" s="177" t="s">
        <v>120</v>
      </c>
      <c r="D223" s="153">
        <v>2019</v>
      </c>
      <c r="E223" s="153">
        <v>2020</v>
      </c>
      <c r="F223" s="153">
        <v>2021</v>
      </c>
      <c r="G223" s="153">
        <v>2022</v>
      </c>
      <c r="H223" s="153">
        <v>2023</v>
      </c>
      <c r="I223" s="153">
        <v>2024</v>
      </c>
      <c r="J223" s="153">
        <v>2025</v>
      </c>
      <c r="K223" s="153" t="s">
        <v>36</v>
      </c>
    </row>
    <row r="224" spans="1:11" ht="12" customHeight="1" thickBot="1" x14ac:dyDescent="0.25">
      <c r="C224" s="156"/>
      <c r="D224" s="154"/>
      <c r="E224" s="154"/>
      <c r="F224" s="154"/>
      <c r="G224" s="154"/>
      <c r="H224" s="154"/>
      <c r="I224" s="154"/>
      <c r="J224" s="154"/>
      <c r="K224" s="154"/>
    </row>
    <row r="225" spans="3:11" x14ac:dyDescent="0.2">
      <c r="C225" s="87" t="s">
        <v>123</v>
      </c>
      <c r="D225" s="42">
        <f>39.39956667542*Deflactores!$T$5</f>
        <v>59.615583299692467</v>
      </c>
      <c r="E225" s="42">
        <f>74.2382047217699*Deflactores!$U$5</f>
        <v>110.55015651479327</v>
      </c>
      <c r="F225" s="42">
        <f>73.2417728361499*Deflactores!$V$5</f>
        <v>103.26296377026185</v>
      </c>
      <c r="G225" s="42">
        <f>55.98159254651*Deflactores!$W$5</f>
        <v>69.773673749505676</v>
      </c>
      <c r="H225" s="42">
        <f>41.54506841056*Deflactores!$X$5</f>
        <v>47.383281403649605</v>
      </c>
      <c r="I225" s="42">
        <f>72.27460350785*Deflactores!$Y$5</f>
        <v>78.356608990762737</v>
      </c>
      <c r="J225" s="42">
        <f>72.22324009489*Deflactores!$Z$5</f>
        <v>74.50135421240951</v>
      </c>
      <c r="K225" s="42">
        <f>0.571644842*Deflactores!$AA$5</f>
        <v>0.57164484199999999</v>
      </c>
    </row>
    <row r="226" spans="3:11" x14ac:dyDescent="0.2">
      <c r="C226" s="88" t="s">
        <v>124</v>
      </c>
      <c r="D226" s="50">
        <f>90.28605973814*Deflactores!$T$5</f>
        <v>136.61206376866119</v>
      </c>
      <c r="E226" s="50">
        <f>102.78713362297*Deflactores!$U$5</f>
        <v>153.06315329570643</v>
      </c>
      <c r="F226" s="50">
        <f>114.03426772062*Deflactores!$V$5</f>
        <v>160.775961588831</v>
      </c>
      <c r="G226" s="50">
        <f>126.09207630802*Deflactores!$W$5</f>
        <v>157.1571474570714</v>
      </c>
      <c r="H226" s="50">
        <f>122.448192265869*Deflactores!$X$5</f>
        <v>139.65549639165113</v>
      </c>
      <c r="I226" s="50">
        <f>128.56640378353*Deflactores!$Y$5</f>
        <v>139.38544027461046</v>
      </c>
      <c r="J226" s="50">
        <f>146.22140397215*Deflactores!$Z$5</f>
        <v>150.83361804943073</v>
      </c>
      <c r="K226" s="50">
        <f>5.94142525181*Deflactores!$AA$5</f>
        <v>5.9414252518100001</v>
      </c>
    </row>
    <row r="227" spans="3:11" x14ac:dyDescent="0.2">
      <c r="C227" s="87" t="s">
        <v>125</v>
      </c>
      <c r="D227" s="42">
        <f>0*Deflactores!$T$5</f>
        <v>0</v>
      </c>
      <c r="E227" s="42">
        <f>0*Deflactores!$U$5</f>
        <v>0</v>
      </c>
      <c r="F227" s="42">
        <f>0*Deflactores!$V$5</f>
        <v>0</v>
      </c>
      <c r="G227" s="42">
        <f>0*Deflactores!$W$5</f>
        <v>0</v>
      </c>
      <c r="H227" s="42">
        <f>0*Deflactores!$X$5</f>
        <v>0</v>
      </c>
      <c r="I227" s="42">
        <f>0*Deflactores!$Y$5</f>
        <v>0</v>
      </c>
      <c r="J227" s="42">
        <f>0*Deflactores!$Z$5</f>
        <v>0</v>
      </c>
      <c r="K227" s="42">
        <f>0*Deflactores!$AA$5</f>
        <v>0</v>
      </c>
    </row>
    <row r="228" spans="3:11" x14ac:dyDescent="0.2">
      <c r="C228" s="88" t="s">
        <v>126</v>
      </c>
      <c r="D228" s="50">
        <f>133.48549471671*Deflactores!$T$5</f>
        <v>201.97723734228998</v>
      </c>
      <c r="E228" s="50">
        <f>153.13202393237*Deflactores!$U$5</f>
        <v>228.03311686477667</v>
      </c>
      <c r="F228" s="50">
        <f>149.131139351079*Deflactores!$V$5</f>
        <v>210.25874775422571</v>
      </c>
      <c r="G228" s="50">
        <f>157.94779750798*Deflactores!$W$5</f>
        <v>196.86110364971793</v>
      </c>
      <c r="H228" s="50">
        <f>163.06114303008*Deflactores!$X$5</f>
        <v>185.97567224684445</v>
      </c>
      <c r="I228" s="50">
        <f>116.292618579829*Deflactores!$Y$5</f>
        <v>126.0787994718207</v>
      </c>
      <c r="J228" s="50">
        <f>146.30920537991*Deflactores!$Z$5</f>
        <v>150.92418894837243</v>
      </c>
      <c r="K228" s="50">
        <f>2.25016250140999*Deflactores!$AA$5</f>
        <v>2.25016250140999</v>
      </c>
    </row>
    <row r="229" spans="3:11" x14ac:dyDescent="0.2">
      <c r="C229" s="87" t="s">
        <v>127</v>
      </c>
      <c r="D229" s="42">
        <f>0*Deflactores!$T$5</f>
        <v>0</v>
      </c>
      <c r="E229" s="42">
        <f>0*Deflactores!$U$5</f>
        <v>0</v>
      </c>
      <c r="F229" s="42">
        <f>0*Deflactores!$V$5</f>
        <v>0</v>
      </c>
      <c r="G229" s="42">
        <f>0*Deflactores!$W$5</f>
        <v>0</v>
      </c>
      <c r="H229" s="42">
        <f>0*Deflactores!$X$5</f>
        <v>0</v>
      </c>
      <c r="I229" s="42">
        <f>0*Deflactores!$Y$5</f>
        <v>0</v>
      </c>
      <c r="J229" s="42">
        <f>0*Deflactores!$Z$5</f>
        <v>0</v>
      </c>
      <c r="K229" s="42">
        <f>0*Deflactores!$AA$5</f>
        <v>0</v>
      </c>
    </row>
    <row r="230" spans="3:11" x14ac:dyDescent="0.2">
      <c r="C230" s="88" t="s">
        <v>128</v>
      </c>
      <c r="D230" s="50">
        <f>6.42943748775*Deflactores!$T$5</f>
        <v>9.7283980120585838</v>
      </c>
      <c r="E230" s="50">
        <f>6.88070290043*Deflactores!$U$5</f>
        <v>10.24624430810446</v>
      </c>
      <c r="F230" s="50">
        <f>6.15438454497*Deflactores!$V$5</f>
        <v>8.6770153654967697</v>
      </c>
      <c r="G230" s="50">
        <f>8.43880989837*Deflactores!$W$5</f>
        <v>10.517863853083167</v>
      </c>
      <c r="H230" s="50">
        <f>7.73608470925*Deflactores!$X$5</f>
        <v>8.8232151917143167</v>
      </c>
      <c r="I230" s="50">
        <f>7.18737162679999*Deflactores!$Y$5</f>
        <v>7.7921986548331645</v>
      </c>
      <c r="J230" s="50">
        <f>13.18610025686*Deflactores!$Z$5</f>
        <v>13.602025118590285</v>
      </c>
      <c r="K230" s="50">
        <f>0.1999412616*Deflactores!$AA$5</f>
        <v>0.1999412616</v>
      </c>
    </row>
    <row r="231" spans="3:11" x14ac:dyDescent="0.2">
      <c r="C231" s="87" t="s">
        <v>129</v>
      </c>
      <c r="D231" s="42">
        <f>53.65452843397*Deflactores!$T$5</f>
        <v>81.184801741907961</v>
      </c>
      <c r="E231" s="42">
        <f>39.8574814817099*Deflactores!$U$5</f>
        <v>59.352874070732973</v>
      </c>
      <c r="F231" s="42">
        <f>42.50830713322*Deflactores!$V$5</f>
        <v>59.932107176771126</v>
      </c>
      <c r="G231" s="42">
        <f>31.71038436632*Deflactores!$W$5</f>
        <v>39.522812992660597</v>
      </c>
      <c r="H231" s="42">
        <f>20.71995748317*Deflactores!$X$5</f>
        <v>23.63167551908878</v>
      </c>
      <c r="I231" s="42">
        <f>48.54157659424*Deflactores!$Y$5</f>
        <v>52.626415813915962</v>
      </c>
      <c r="J231" s="42">
        <f>66.31776860997*Deflactores!$Z$5</f>
        <v>68.4096083656258</v>
      </c>
      <c r="K231" s="42">
        <f>0.764223207*Deflactores!$AA$5</f>
        <v>0.76422320700000002</v>
      </c>
    </row>
    <row r="232" spans="3:11" x14ac:dyDescent="0.2">
      <c r="C232" s="88" t="s">
        <v>130</v>
      </c>
      <c r="D232" s="50">
        <f>0*Deflactores!$T$5</f>
        <v>0</v>
      </c>
      <c r="E232" s="50">
        <f>0*Deflactores!$U$5</f>
        <v>0</v>
      </c>
      <c r="F232" s="50">
        <f>0*Deflactores!$V$5</f>
        <v>0</v>
      </c>
      <c r="G232" s="50">
        <f>0*Deflactores!$W$5</f>
        <v>0</v>
      </c>
      <c r="H232" s="50">
        <f>0*Deflactores!$X$5</f>
        <v>0</v>
      </c>
      <c r="I232" s="50">
        <f>0*Deflactores!$Y$5</f>
        <v>0</v>
      </c>
      <c r="J232" s="50">
        <f>0*Deflactores!$Z$5</f>
        <v>0</v>
      </c>
      <c r="K232" s="50">
        <f>0*Deflactores!$AA$5</f>
        <v>0</v>
      </c>
    </row>
    <row r="233" spans="3:11" x14ac:dyDescent="0.2">
      <c r="C233" s="87" t="s">
        <v>131</v>
      </c>
      <c r="D233" s="42">
        <f>6.97506142078*Deflactores!$T$5</f>
        <v>10.553982955614543</v>
      </c>
      <c r="E233" s="42">
        <f>3.86266872273999*Deflactores!$U$5</f>
        <v>5.7520064428293196</v>
      </c>
      <c r="F233" s="42">
        <f>5.00114107966*Deflactores!$V$5</f>
        <v>7.0510670362146586</v>
      </c>
      <c r="G233" s="42">
        <f>7.36126253014*Deflactores!$W$5</f>
        <v>9.1748431367994243</v>
      </c>
      <c r="H233" s="42">
        <f>10.66551894836*Deflactores!$X$5</f>
        <v>12.164314682356949</v>
      </c>
      <c r="I233" s="42">
        <f>14.13271113693*Deflactores!$Y$5</f>
        <v>15.321997863544754</v>
      </c>
      <c r="J233" s="42">
        <f>15.17574406081*Deflactores!$Z$5</f>
        <v>15.654427608423923</v>
      </c>
      <c r="K233" s="42">
        <f>1.339455602*Deflactores!$AA$5</f>
        <v>1.3394556019999999</v>
      </c>
    </row>
    <row r="234" spans="3:11" x14ac:dyDescent="0.2">
      <c r="C234" s="88" t="s">
        <v>132</v>
      </c>
      <c r="D234" s="50">
        <f>246.029072656319*Deflactores!$T$5</f>
        <v>372.26720780762304</v>
      </c>
      <c r="E234" s="50">
        <f>136.84670496924*Deflactores!$U$5</f>
        <v>203.78219960438915</v>
      </c>
      <c r="F234" s="50">
        <f>178.73488341591*Deflactores!$V$5</f>
        <v>251.99681924615331</v>
      </c>
      <c r="G234" s="50">
        <f>188.25335053521*Deflactores!$W$5</f>
        <v>234.6329796099011</v>
      </c>
      <c r="H234" s="50">
        <f>222.14392265288*Deflactores!$X$5</f>
        <v>253.36119067495605</v>
      </c>
      <c r="I234" s="50">
        <f>286.209498038649*Deflactores!$Y$5</f>
        <v>310.29441378839357</v>
      </c>
      <c r="J234" s="50">
        <f>300.07592100604*Deflactores!$Z$5</f>
        <v>309.54111795751123</v>
      </c>
      <c r="K234" s="50">
        <f>7.88129728038999*Deflactores!$AA$5</f>
        <v>7.8812972803899903</v>
      </c>
    </row>
    <row r="235" spans="3:11" x14ac:dyDescent="0.2">
      <c r="C235" s="87" t="s">
        <v>133</v>
      </c>
      <c r="D235" s="42">
        <f>30.89154833285*Deflactores!$T$5</f>
        <v>46.742079375264183</v>
      </c>
      <c r="E235" s="42">
        <f>29.25859269543*Deflactores!$U$5</f>
        <v>43.569776693884187</v>
      </c>
      <c r="F235" s="42">
        <f>65.15056328543*Deflactores!$V$5</f>
        <v>91.855235006476406</v>
      </c>
      <c r="G235" s="42">
        <f>19.22415498211*Deflactores!$W$5</f>
        <v>23.960374416238345</v>
      </c>
      <c r="H235" s="42">
        <f>29.46814694125*Deflactores!$X$5</f>
        <v>33.60922372693534</v>
      </c>
      <c r="I235" s="42">
        <f>23.56577634647*Deflactores!$Y$5</f>
        <v>25.548868248631155</v>
      </c>
      <c r="J235" s="42">
        <f>16.8153209250399*Deflactores!$Z$5</f>
        <v>17.345721111179774</v>
      </c>
      <c r="K235" s="42">
        <f>0*Deflactores!$AA$5</f>
        <v>0</v>
      </c>
    </row>
    <row r="236" spans="3:11" x14ac:dyDescent="0.2">
      <c r="C236" s="88" t="s">
        <v>134</v>
      </c>
      <c r="D236" s="50">
        <f>28.0424568890399*Deflactores!$T$5</f>
        <v>42.431111955339091</v>
      </c>
      <c r="E236" s="50">
        <f>38.96189761191*Deflactores!$U$5</f>
        <v>58.019235449627288</v>
      </c>
      <c r="F236" s="50">
        <f>40.01252946556*Deflactores!$V$5</f>
        <v>56.413331089103849</v>
      </c>
      <c r="G236" s="50">
        <f>69.73294333421*Deflactores!$W$5</f>
        <v>86.912919344901013</v>
      </c>
      <c r="H236" s="50">
        <f>65.23622351477*Deflactores!$X$5</f>
        <v>74.40368868729621</v>
      </c>
      <c r="I236" s="50">
        <f>58.5449317138099*Deflactores!$Y$5</f>
        <v>63.47156677506581</v>
      </c>
      <c r="J236" s="50">
        <f>51.5516343030799*Deflactores!$Z$5</f>
        <v>53.177710698056792</v>
      </c>
      <c r="K236" s="50">
        <f>2.60811084383*Deflactores!$AA$5</f>
        <v>2.60811084383</v>
      </c>
    </row>
    <row r="237" spans="3:11" x14ac:dyDescent="0.2">
      <c r="C237" s="87" t="s">
        <v>135</v>
      </c>
      <c r="D237" s="42">
        <f>0*Deflactores!$T$5</f>
        <v>0</v>
      </c>
      <c r="E237" s="42">
        <f>0*Deflactores!$U$5</f>
        <v>0</v>
      </c>
      <c r="F237" s="42">
        <f>0*Deflactores!$V$5</f>
        <v>0</v>
      </c>
      <c r="G237" s="42">
        <f>0*Deflactores!$W$5</f>
        <v>0</v>
      </c>
      <c r="H237" s="42">
        <f>0*Deflactores!$X$5</f>
        <v>0</v>
      </c>
      <c r="I237" s="42">
        <f>2897.21976471714*Deflactores!$Y$5</f>
        <v>3141.0247202475971</v>
      </c>
      <c r="J237" s="42">
        <f>3081.49690213936*Deflactores!$Z$5</f>
        <v>3178.695554354812</v>
      </c>
      <c r="K237" s="42">
        <f>216.142949405199*Deflactores!$AA$5</f>
        <v>216.142949405199</v>
      </c>
    </row>
    <row r="238" spans="3:11" x14ac:dyDescent="0.2">
      <c r="C238" s="88" t="s">
        <v>136</v>
      </c>
      <c r="D238" s="50">
        <f>1831.48425930101*Deflactores!$T$5</f>
        <v>2771.2234330371862</v>
      </c>
      <c r="E238" s="50">
        <f>1756.82046291225*Deflactores!$U$5</f>
        <v>2616.1297659503866</v>
      </c>
      <c r="F238" s="50">
        <f>1884.38219725178*Deflactores!$V$5</f>
        <v>2656.7747206153758</v>
      </c>
      <c r="G238" s="50">
        <f>2231.59453050636*Deflactores!$W$5</f>
        <v>2781.3883390932419</v>
      </c>
      <c r="H238" s="50">
        <f>2730.43142064751*Deflactores!$X$5</f>
        <v>3114.1313592113979</v>
      </c>
      <c r="I238" s="50">
        <f>0*Deflactores!$Y$5</f>
        <v>0</v>
      </c>
      <c r="J238" s="50">
        <f>0*Deflactores!$Z$5</f>
        <v>0</v>
      </c>
      <c r="K238" s="50">
        <f>0*Deflactores!$AA$5</f>
        <v>0</v>
      </c>
    </row>
    <row r="239" spans="3:11" x14ac:dyDescent="0.2">
      <c r="C239" s="87" t="s">
        <v>137</v>
      </c>
      <c r="D239" s="42">
        <f>24.07308287447*Deflactores!$T$5</f>
        <v>36.42504216369197</v>
      </c>
      <c r="E239" s="42">
        <f>22.98650997709*Deflactores!$U$5</f>
        <v>34.22984547134363</v>
      </c>
      <c r="F239" s="42">
        <f>49.66607687747*Deflactores!$V$5</f>
        <v>70.023786953964489</v>
      </c>
      <c r="G239" s="42">
        <f>25.39025852466*Deflactores!$W$5</f>
        <v>31.645609460706122</v>
      </c>
      <c r="H239" s="42">
        <f>9.78689317942*Deflactores!$X$5</f>
        <v>11.162218076166262</v>
      </c>
      <c r="I239" s="42">
        <f>35.687169316*Deflactores!$Y$5</f>
        <v>38.690292804957949</v>
      </c>
      <c r="J239" s="42">
        <f>35.64436773064*Deflactores!$Z$5</f>
        <v>36.768686401895138</v>
      </c>
      <c r="K239" s="42">
        <f>2.85499113551*Deflactores!$AA$5</f>
        <v>2.8549911355100002</v>
      </c>
    </row>
    <row r="240" spans="3:11" x14ac:dyDescent="0.2">
      <c r="C240" s="88" t="s">
        <v>138</v>
      </c>
      <c r="D240" s="50">
        <f>0*Deflactores!$T$5</f>
        <v>0</v>
      </c>
      <c r="E240" s="50">
        <f>0*Deflactores!$U$5</f>
        <v>0</v>
      </c>
      <c r="F240" s="50">
        <f>0*Deflactores!$V$5</f>
        <v>0</v>
      </c>
      <c r="G240" s="50">
        <f>0*Deflactores!$W$5</f>
        <v>0</v>
      </c>
      <c r="H240" s="50">
        <f>0*Deflactores!$X$5</f>
        <v>0</v>
      </c>
      <c r="I240" s="50">
        <f>0*Deflactores!$Y$5</f>
        <v>0</v>
      </c>
      <c r="J240" s="50">
        <f>0*Deflactores!$Z$5</f>
        <v>0</v>
      </c>
      <c r="K240" s="50">
        <f>0*Deflactores!$AA$5</f>
        <v>0</v>
      </c>
    </row>
    <row r="241" spans="3:11" x14ac:dyDescent="0.2">
      <c r="C241" s="87" t="s">
        <v>160</v>
      </c>
      <c r="D241" s="42">
        <f>0*Deflactores!$T$5</f>
        <v>0</v>
      </c>
      <c r="E241" s="42">
        <f>0*Deflactores!$U$5</f>
        <v>0</v>
      </c>
      <c r="F241" s="42">
        <f>0*Deflactores!$V$5</f>
        <v>0</v>
      </c>
      <c r="G241" s="42">
        <f>0*Deflactores!$W$5</f>
        <v>0</v>
      </c>
      <c r="H241" s="42">
        <f>0*Deflactores!$X$5</f>
        <v>0</v>
      </c>
      <c r="I241" s="42">
        <f>0*Deflactores!$Y$5</f>
        <v>0</v>
      </c>
      <c r="J241" s="42">
        <f>0*Deflactores!$Z$5</f>
        <v>0</v>
      </c>
      <c r="K241" s="42">
        <f>0*Deflactores!$AA$5</f>
        <v>0</v>
      </c>
    </row>
    <row r="242" spans="3:11" x14ac:dyDescent="0.2">
      <c r="C242" s="88" t="s">
        <v>161</v>
      </c>
      <c r="D242" s="50">
        <f>40.0510102192299*Deflactores!$T$5</f>
        <v>60.60128416211527</v>
      </c>
      <c r="E242" s="50">
        <f>31.36421886251*Deflactores!$U$5</f>
        <v>46.705322646332007</v>
      </c>
      <c r="F242" s="50">
        <f>38.24547411875*Deflactores!$V$5</f>
        <v>53.921974514954591</v>
      </c>
      <c r="G242" s="50">
        <f>78.6051075426799*Deflactores!$W$5</f>
        <v>97.970902206312346</v>
      </c>
      <c r="H242" s="50">
        <f>90.30493018081*Deflactores!$X$5</f>
        <v>102.9952310249806</v>
      </c>
      <c r="I242" s="50">
        <f>92.52852709385*Deflactores!$Y$5</f>
        <v>100.31492759689131</v>
      </c>
      <c r="J242" s="50">
        <f>145.45981500413*Deflactores!$Z$5</f>
        <v>150.04800652887067</v>
      </c>
      <c r="K242" s="50">
        <f>0.637136509*Deflactores!$AA$5</f>
        <v>0.63713650899999996</v>
      </c>
    </row>
    <row r="243" spans="3:11" x14ac:dyDescent="0.2">
      <c r="C243" s="87" t="s">
        <v>140</v>
      </c>
      <c r="D243" s="42">
        <f>241.17571338528*Deflactores!$T$5</f>
        <v>364.92357770403447</v>
      </c>
      <c r="E243" s="42">
        <f>118.113061994129*Deflactores!$U$5</f>
        <v>175.88541558661146</v>
      </c>
      <c r="F243" s="42">
        <f>311.27096187729*Deflactores!$V$5</f>
        <v>438.85832926212936</v>
      </c>
      <c r="G243" s="42">
        <f>323.84606070404*Deflactores!$W$5</f>
        <v>403.63141448420566</v>
      </c>
      <c r="H243" s="42">
        <f>129.92802379721*Deflactores!$X$5</f>
        <v>148.18644785859672</v>
      </c>
      <c r="I243" s="42">
        <f>318.62848516984*Deflactores!$Y$5</f>
        <v>345.44150246442348</v>
      </c>
      <c r="J243" s="42">
        <f>382.84314915078*Deflactores!$Z$5</f>
        <v>394.9190457974845</v>
      </c>
      <c r="K243" s="42">
        <f>0.92105968514*Deflactores!$AA$5</f>
        <v>0.92105968514000003</v>
      </c>
    </row>
    <row r="244" spans="3:11" x14ac:dyDescent="0.2">
      <c r="C244" s="88" t="s">
        <v>141</v>
      </c>
      <c r="D244" s="50">
        <f>0*Deflactores!$T$5</f>
        <v>0</v>
      </c>
      <c r="E244" s="50">
        <f>0*Deflactores!$U$5</f>
        <v>0</v>
      </c>
      <c r="F244" s="50">
        <f>0*Deflactores!$V$5</f>
        <v>0</v>
      </c>
      <c r="G244" s="50">
        <f>0*Deflactores!$W$5</f>
        <v>0</v>
      </c>
      <c r="H244" s="50">
        <f>0*Deflactores!$X$5</f>
        <v>0</v>
      </c>
      <c r="I244" s="50">
        <f>0*Deflactores!$Y$5</f>
        <v>0</v>
      </c>
      <c r="J244" s="50">
        <f>0*Deflactores!$Z$5</f>
        <v>0</v>
      </c>
      <c r="K244" s="50">
        <f>0*Deflactores!$AA$5</f>
        <v>0</v>
      </c>
    </row>
    <row r="245" spans="3:11" x14ac:dyDescent="0.2">
      <c r="C245" s="87" t="s">
        <v>142</v>
      </c>
      <c r="D245" s="42">
        <f>18.29044376351*Deflactores!$T$5</f>
        <v>27.675316400170725</v>
      </c>
      <c r="E245" s="42">
        <f>20.87862824586*Deflactores!$U$5</f>
        <v>31.090940696160985</v>
      </c>
      <c r="F245" s="42">
        <f>18.815348402*Deflactores!$V$5</f>
        <v>26.527602556906025</v>
      </c>
      <c r="G245" s="42">
        <f>23.77207277016*Deflactores!$W$5</f>
        <v>29.628754280911501</v>
      </c>
      <c r="H245" s="42">
        <f>17.78744134881*Deflactores!$X$5</f>
        <v>20.287061043022508</v>
      </c>
      <c r="I245" s="42">
        <f>22.4827617319*Deflactores!$Y$5</f>
        <v>24.374716491770585</v>
      </c>
      <c r="J245" s="42">
        <f>11.15902667012*Deflactores!$Z$5</f>
        <v>11.511012210530222</v>
      </c>
      <c r="K245" s="42">
        <f>0.426227778829999*Deflactores!$AA$5</f>
        <v>0.42622777882999902</v>
      </c>
    </row>
    <row r="246" spans="3:11" x14ac:dyDescent="0.2">
      <c r="C246" s="88" t="s">
        <v>143</v>
      </c>
      <c r="D246" s="50">
        <f>28.51178707623*Deflactores!$T$5</f>
        <v>43.14125664043145</v>
      </c>
      <c r="E246" s="50">
        <f>9.04283904153*Deflactores!$U$5</f>
        <v>13.465940820172776</v>
      </c>
      <c r="F246" s="50">
        <f>49.19915078136*Deflactores!$V$5</f>
        <v>69.365471751056148</v>
      </c>
      <c r="G246" s="50">
        <f>69.58122759627*Deflactores!$W$5</f>
        <v>86.72382568178493</v>
      </c>
      <c r="H246" s="50">
        <f>6.69139617581*Deflactores!$X$5</f>
        <v>7.6317194822844261</v>
      </c>
      <c r="I246" s="50">
        <f>9.34254185839999*Deflactores!$Y$5</f>
        <v>10.128729371707605</v>
      </c>
      <c r="J246" s="50">
        <f>4.44491553261*Deflactores!$Z$5</f>
        <v>4.5851200542115862</v>
      </c>
      <c r="K246" s="50">
        <f>0.058780018*Deflactores!$AA$5</f>
        <v>5.8780018000000003E-2</v>
      </c>
    </row>
    <row r="247" spans="3:11" x14ac:dyDescent="0.2">
      <c r="C247" s="87" t="s">
        <v>144</v>
      </c>
      <c r="D247" s="42">
        <f>0*Deflactores!$T$5</f>
        <v>0</v>
      </c>
      <c r="E247" s="42">
        <f>0*Deflactores!$U$5</f>
        <v>0</v>
      </c>
      <c r="F247" s="42">
        <f>0*Deflactores!$V$5</f>
        <v>0</v>
      </c>
      <c r="G247" s="42">
        <f>0*Deflactores!$W$5</f>
        <v>0</v>
      </c>
      <c r="H247" s="42">
        <f>0*Deflactores!$X$5</f>
        <v>0</v>
      </c>
      <c r="I247" s="42">
        <f>0*Deflactores!$Y$5</f>
        <v>0</v>
      </c>
      <c r="J247" s="42">
        <f>0*Deflactores!$Z$5</f>
        <v>0</v>
      </c>
      <c r="K247" s="42">
        <f>0*Deflactores!$AA$5</f>
        <v>0</v>
      </c>
    </row>
    <row r="248" spans="3:11" x14ac:dyDescent="0.2">
      <c r="C248" s="88" t="s">
        <v>145</v>
      </c>
      <c r="D248" s="50">
        <f>41.02808181999*Deflactores!$T$5</f>
        <v>62.079693655416037</v>
      </c>
      <c r="E248" s="50">
        <f>27.490047027*Deflactores!$U$5</f>
        <v>40.936186601272972</v>
      </c>
      <c r="F248" s="50">
        <f>28.76240754608*Deflactores!$V$5</f>
        <v>40.551878161398335</v>
      </c>
      <c r="G248" s="50">
        <f>46.53722811699*Deflactores!$W$5</f>
        <v>58.002518759063271</v>
      </c>
      <c r="H248" s="50">
        <f>70.8988014552*Deflactores!$X$5</f>
        <v>80.862012967087111</v>
      </c>
      <c r="I248" s="50">
        <f>40.04599349643*Deflactores!$Y$5</f>
        <v>43.415917926212877</v>
      </c>
      <c r="J248" s="50">
        <f>99.64628614253*Deflactores!$Z$5</f>
        <v>102.78939646161062</v>
      </c>
      <c r="K248" s="50">
        <f>0.03466365*Deflactores!$AA$5</f>
        <v>3.4663649999999997E-2</v>
      </c>
    </row>
    <row r="249" spans="3:11" x14ac:dyDescent="0.2">
      <c r="C249" s="87" t="s">
        <v>146</v>
      </c>
      <c r="D249" s="42">
        <f>8.9348978775*Deflactores!$T$5</f>
        <v>13.519416420959114</v>
      </c>
      <c r="E249" s="42">
        <f>2.98871410261*Deflactores!$U$5</f>
        <v>4.4505765334680403</v>
      </c>
      <c r="F249" s="42">
        <f>1.14634178*Deflactores!$V$5</f>
        <v>1.616217700809822</v>
      </c>
      <c r="G249" s="42">
        <f>1.072998397*Deflactores!$W$5</f>
        <v>1.3373510234425787</v>
      </c>
      <c r="H249" s="42">
        <f>17.80076064037*Deflactores!$X$5</f>
        <v>20.30225205760571</v>
      </c>
      <c r="I249" s="42">
        <f>50.13435654348*Deflactores!$Y$5</f>
        <v>54.353230346732744</v>
      </c>
      <c r="J249" s="42">
        <f>128.68067849358*Deflactores!$Z$5</f>
        <v>132.7396111853709</v>
      </c>
      <c r="K249" s="42">
        <f>12.07694652695*Deflactores!$AA$5</f>
        <v>12.07694652695</v>
      </c>
    </row>
    <row r="250" spans="3:11" x14ac:dyDescent="0.2">
      <c r="C250" s="88" t="s">
        <v>162</v>
      </c>
      <c r="D250" s="50">
        <f>88.99743611313*Deflactores!$T$5</f>
        <v>134.66224412491718</v>
      </c>
      <c r="E250" s="50">
        <f>92.10482807768*Deflactores!$U$5</f>
        <v>137.1558377242086</v>
      </c>
      <c r="F250" s="50">
        <f>104.6805926783*Deflactores!$V$5</f>
        <v>147.58829327317332</v>
      </c>
      <c r="G250" s="50">
        <f>108.941106294699*Deflactores!$W$5</f>
        <v>135.78072474807476</v>
      </c>
      <c r="H250" s="50">
        <f>120.05849712368*Deflactores!$X$5</f>
        <v>136.9299840330653</v>
      </c>
      <c r="I250" s="50">
        <f>121.18878561864*Deflactores!$Y$5</f>
        <v>131.38698557860309</v>
      </c>
      <c r="J250" s="50">
        <f>110.44850214388*Deflactores!$Z$5</f>
        <v>113.9323432407662</v>
      </c>
      <c r="K250" s="50">
        <f>8.58791996329*Deflactores!$AA$5</f>
        <v>8.5879199632900001</v>
      </c>
    </row>
    <row r="251" spans="3:11" x14ac:dyDescent="0.2">
      <c r="C251" s="87" t="s">
        <v>148</v>
      </c>
      <c r="D251" s="42">
        <f>0*Deflactores!$T$5</f>
        <v>0</v>
      </c>
      <c r="E251" s="42">
        <f>0*Deflactores!$U$5</f>
        <v>0</v>
      </c>
      <c r="F251" s="42">
        <f>0*Deflactores!$V$5</f>
        <v>0</v>
      </c>
      <c r="G251" s="42">
        <f>0*Deflactores!$W$5</f>
        <v>0</v>
      </c>
      <c r="H251" s="42">
        <f>0*Deflactores!$X$5</f>
        <v>0</v>
      </c>
      <c r="I251" s="42">
        <f>0*Deflactores!$Y$5</f>
        <v>0</v>
      </c>
      <c r="J251" s="42">
        <f>0*Deflactores!$Z$5</f>
        <v>0</v>
      </c>
      <c r="K251" s="42">
        <f>0*Deflactores!$AA$5</f>
        <v>0</v>
      </c>
    </row>
    <row r="252" spans="3:11" x14ac:dyDescent="0.2">
      <c r="C252" s="88" t="s">
        <v>149</v>
      </c>
      <c r="D252" s="50">
        <f>887.104038574589*Deflactores!$T$5</f>
        <v>1342.2793489789888</v>
      </c>
      <c r="E252" s="50">
        <f>938.82415410774*Deflactores!$U$5</f>
        <v>1398.0289200884204</v>
      </c>
      <c r="F252" s="50">
        <f>1186.41208293331*Deflactores!$V$5</f>
        <v>1672.7124862285543</v>
      </c>
      <c r="G252" s="50">
        <f>1119.63767808898*Deflactores!$W$5</f>
        <v>1395.4807377752024</v>
      </c>
      <c r="H252" s="50">
        <f>1214.31160980754*Deflactores!$X$5</f>
        <v>1384.955445267826</v>
      </c>
      <c r="I252" s="50">
        <f>1679.1170389762*Deflactores!$Y$5</f>
        <v>1820.4170052416148</v>
      </c>
      <c r="J252" s="50">
        <f>903.247777179439*Deflactores!$Z$5</f>
        <v>931.7386273560179</v>
      </c>
      <c r="K252" s="50">
        <f>147.41973355624*Deflactores!$AA$5</f>
        <v>147.41973355624</v>
      </c>
    </row>
    <row r="253" spans="3:11" x14ac:dyDescent="0.2">
      <c r="C253" s="87" t="s">
        <v>163</v>
      </c>
      <c r="D253" s="42">
        <f>1357.03740397934*Deflactores!$T$5</f>
        <v>2053.3367045429914</v>
      </c>
      <c r="E253" s="42">
        <f>1385.53100447926*Deflactores!$U$5</f>
        <v>2063.2324013671164</v>
      </c>
      <c r="F253" s="42">
        <f>1432.61352807683*Deflactores!$V$5</f>
        <v>2019.8298473404518</v>
      </c>
      <c r="G253" s="42">
        <f>1549.55421742184*Deflactores!$W$5</f>
        <v>1931.3150181237982</v>
      </c>
      <c r="H253" s="42">
        <f>2004.76146361069*Deflactores!$X$5</f>
        <v>2286.4850200442197</v>
      </c>
      <c r="I253" s="42">
        <f>1937.93899084035*Deflactores!$Y$5</f>
        <v>2101.0191738615022</v>
      </c>
      <c r="J253" s="42">
        <f>2526.70100486194*Deflactores!$Z$5</f>
        <v>2606.399910953166</v>
      </c>
      <c r="K253" s="42">
        <f>168.18443839764*Deflactores!$AA$5</f>
        <v>168.18443839764001</v>
      </c>
    </row>
    <row r="254" spans="3:11" x14ac:dyDescent="0.2">
      <c r="C254" s="88" t="s">
        <v>150</v>
      </c>
      <c r="D254" s="50">
        <f>1331.05121543515*Deflactores!$T$5</f>
        <v>2014.016937385142</v>
      </c>
      <c r="E254" s="50">
        <f>1241.89668228314*Deflactores!$U$5</f>
        <v>1849.3425738963704</v>
      </c>
      <c r="F254" s="50">
        <f>1536.50333025369*Deflactores!$V$5</f>
        <v>2166.303211690717</v>
      </c>
      <c r="G254" s="50">
        <f>1078.58341552447*Deflactores!$W$5</f>
        <v>1344.3120126300075</v>
      </c>
      <c r="H254" s="50">
        <f>812.49827776128*Deflactores!$X$5</f>
        <v>926.67640247181976</v>
      </c>
      <c r="I254" s="50">
        <f>1432.25631537507*Deflactores!$Y$5</f>
        <v>1552.7826183952095</v>
      </c>
      <c r="J254" s="50">
        <f>1949.44944260926*Deflactores!$Z$5</f>
        <v>2010.9402908564975</v>
      </c>
      <c r="K254" s="50">
        <f>220.43366221047*Deflactores!$AA$5</f>
        <v>220.43366221047</v>
      </c>
    </row>
    <row r="255" spans="3:11" x14ac:dyDescent="0.2">
      <c r="C255" s="87" t="s">
        <v>151</v>
      </c>
      <c r="D255" s="42">
        <f>0*Deflactores!$T$5</f>
        <v>0</v>
      </c>
      <c r="E255" s="42">
        <f>0*Deflactores!$U$5</f>
        <v>0</v>
      </c>
      <c r="F255" s="42">
        <f>0*Deflactores!$V$5</f>
        <v>0</v>
      </c>
      <c r="G255" s="42">
        <f>0*Deflactores!$W$5</f>
        <v>0</v>
      </c>
      <c r="H255" s="42">
        <f>0*Deflactores!$X$5</f>
        <v>0</v>
      </c>
      <c r="I255" s="42">
        <f>0*Deflactores!$Y$5</f>
        <v>0</v>
      </c>
      <c r="J255" s="42">
        <f>0*Deflactores!$Z$5</f>
        <v>0</v>
      </c>
      <c r="K255" s="42">
        <f>0*Deflactores!$AA$5</f>
        <v>0</v>
      </c>
    </row>
    <row r="256" spans="3:11" x14ac:dyDescent="0.2">
      <c r="C256" s="79" t="s">
        <v>202</v>
      </c>
      <c r="D256" s="44">
        <f t="shared" ref="D256:K256" si="11">+SUM(D225:D255)</f>
        <v>9884.9967214744975</v>
      </c>
      <c r="E256" s="44">
        <f t="shared" si="11"/>
        <v>9283.0224906267085</v>
      </c>
      <c r="F256" s="44">
        <f t="shared" si="11"/>
        <v>10314.297068083026</v>
      </c>
      <c r="G256" s="44">
        <f t="shared" si="11"/>
        <v>9125.73092647663</v>
      </c>
      <c r="H256" s="44">
        <f t="shared" si="11"/>
        <v>9019.6129120625646</v>
      </c>
      <c r="I256" s="44">
        <f t="shared" si="11"/>
        <v>10182.226130208801</v>
      </c>
      <c r="J256" s="44">
        <f t="shared" si="11"/>
        <v>10529.057377470834</v>
      </c>
      <c r="K256" s="44">
        <f t="shared" si="11"/>
        <v>799.3347696263088</v>
      </c>
    </row>
    <row r="257" spans="1:11" s="31" customFormat="1" x14ac:dyDescent="0.2">
      <c r="A257" s="5"/>
      <c r="B257" s="5"/>
      <c r="C257" s="72" t="str">
        <f>+'C1 Aprop Resumen 2000-2026'!B20</f>
        <v>* Información con corte a 28 de febrero</v>
      </c>
      <c r="D257" s="121">
        <f>+D256-'C7 Ejec. Prop 19-26'!D130</f>
        <v>-1.6370904631912708E-11</v>
      </c>
      <c r="E257" s="121">
        <f>+E256-'C7 Ejec. Prop 19-26'!E130</f>
        <v>0</v>
      </c>
      <c r="F257" s="121">
        <f>+F256-'C7 Ejec. Prop 19-26'!F130</f>
        <v>-4.3655745685100555E-11</v>
      </c>
      <c r="G257" s="121">
        <f>+G256-'C7 Ejec. Prop 19-26'!G130</f>
        <v>-2.5465851649641991E-11</v>
      </c>
      <c r="H257" s="121">
        <f>+H256-'C7 Ejec. Prop 19-26'!H130</f>
        <v>0</v>
      </c>
      <c r="I257" s="121">
        <f>+I256-'C7 Ejec. Prop 19-26'!I130</f>
        <v>0</v>
      </c>
      <c r="J257" s="121">
        <f>+J256-'C7 Ejec. Prop 19-26'!J130</f>
        <v>2.0008883439004421E-11</v>
      </c>
      <c r="K257" s="121">
        <f>+K256-'C7 Ejec. Prop 19-26'!K130</f>
        <v>-1.2505552149377763E-12</v>
      </c>
    </row>
    <row r="258" spans="1:11" x14ac:dyDescent="0.2">
      <c r="C258" s="1" t="s">
        <v>52</v>
      </c>
      <c r="E258" s="3"/>
      <c r="F258" s="3"/>
    </row>
    <row r="259" spans="1:11" x14ac:dyDescent="0.2">
      <c r="B259" s="9"/>
      <c r="E259" s="3"/>
      <c r="F259" s="3"/>
    </row>
    <row r="260" spans="1:11" x14ac:dyDescent="0.2">
      <c r="E260" s="3"/>
      <c r="F260" s="3"/>
    </row>
    <row r="261" spans="1:11" x14ac:dyDescent="0.2">
      <c r="E261" s="3"/>
      <c r="F261" s="3"/>
    </row>
    <row r="262" spans="1:11" ht="18" customHeight="1" x14ac:dyDescent="0.2">
      <c r="D262" s="131" t="s">
        <v>224</v>
      </c>
      <c r="E262" s="131"/>
      <c r="F262" s="131"/>
      <c r="G262" s="131"/>
      <c r="H262" s="131"/>
      <c r="I262" s="131"/>
      <c r="J262" s="131"/>
      <c r="K262" s="131"/>
    </row>
    <row r="263" spans="1:11" hidden="1" x14ac:dyDescent="0.2">
      <c r="D263" s="28"/>
      <c r="E263" s="28"/>
      <c r="F263" s="28"/>
    </row>
    <row r="264" spans="1:11" x14ac:dyDescent="0.2">
      <c r="D264" s="29"/>
      <c r="E264" s="29"/>
      <c r="F264" s="29"/>
    </row>
    <row r="265" spans="1:11" ht="13.5" customHeight="1" thickBot="1" x14ac:dyDescent="0.25">
      <c r="C265" s="177" t="s">
        <v>120</v>
      </c>
      <c r="D265" s="153">
        <v>2019</v>
      </c>
      <c r="E265" s="153">
        <v>2020</v>
      </c>
      <c r="F265" s="153">
        <v>2021</v>
      </c>
      <c r="G265" s="153">
        <v>2022</v>
      </c>
      <c r="H265" s="153">
        <v>2023</v>
      </c>
      <c r="I265" s="153">
        <v>2024</v>
      </c>
      <c r="J265" s="153">
        <v>2025</v>
      </c>
      <c r="K265" s="153" t="s">
        <v>36</v>
      </c>
    </row>
    <row r="266" spans="1:11" ht="12" customHeight="1" thickBot="1" x14ac:dyDescent="0.25">
      <c r="C266" s="156"/>
      <c r="D266" s="154"/>
      <c r="E266" s="154"/>
      <c r="F266" s="154"/>
      <c r="G266" s="154"/>
      <c r="H266" s="154"/>
      <c r="I266" s="154"/>
      <c r="J266" s="154"/>
      <c r="K266" s="154"/>
    </row>
    <row r="267" spans="1:11" x14ac:dyDescent="0.2">
      <c r="C267" s="87" t="s">
        <v>123</v>
      </c>
      <c r="D267" s="47">
        <f t="shared" ref="D267:K276" si="12">+IFERROR(IF(D225&gt;0,+((D225/D15)*100)," "),"")</f>
        <v>66.338592355726661</v>
      </c>
      <c r="E267" s="47">
        <f t="shared" si="12"/>
        <v>91.292602479432006</v>
      </c>
      <c r="F267" s="47">
        <f t="shared" si="12"/>
        <v>93.462546263161229</v>
      </c>
      <c r="G267" s="47">
        <f t="shared" si="12"/>
        <v>85.867068747852997</v>
      </c>
      <c r="H267" s="47">
        <f t="shared" si="12"/>
        <v>60.74773778665493</v>
      </c>
      <c r="I267" s="47">
        <f t="shared" si="12"/>
        <v>65.192322612720162</v>
      </c>
      <c r="J267" s="47">
        <f t="shared" si="12"/>
        <v>74.71287745461585</v>
      </c>
      <c r="K267" s="47">
        <f t="shared" si="12"/>
        <v>0.78277186090725781</v>
      </c>
    </row>
    <row r="268" spans="1:11" x14ac:dyDescent="0.2">
      <c r="C268" s="88" t="s">
        <v>124</v>
      </c>
      <c r="D268" s="116">
        <f t="shared" si="12"/>
        <v>90.974894561079125</v>
      </c>
      <c r="E268" s="116">
        <f t="shared" si="12"/>
        <v>87.224364274226602</v>
      </c>
      <c r="F268" s="116">
        <f t="shared" si="12"/>
        <v>76.953774255278731</v>
      </c>
      <c r="G268" s="116">
        <f t="shared" si="12"/>
        <v>77.369716977170171</v>
      </c>
      <c r="H268" s="116">
        <f t="shared" si="12"/>
        <v>72.550197045681827</v>
      </c>
      <c r="I268" s="116">
        <f t="shared" si="12"/>
        <v>69.112578683945486</v>
      </c>
      <c r="J268" s="116">
        <f t="shared" si="12"/>
        <v>86.733098346051236</v>
      </c>
      <c r="K268" s="116">
        <f t="shared" si="12"/>
        <v>3.062831616039241</v>
      </c>
    </row>
    <row r="269" spans="1:11" x14ac:dyDescent="0.2">
      <c r="C269" s="87" t="s">
        <v>125</v>
      </c>
      <c r="D269" s="47" t="str">
        <f t="shared" si="12"/>
        <v xml:space="preserve"> </v>
      </c>
      <c r="E269" s="47" t="str">
        <f t="shared" si="12"/>
        <v xml:space="preserve"> </v>
      </c>
      <c r="F269" s="47" t="str">
        <f t="shared" si="12"/>
        <v xml:space="preserve"> </v>
      </c>
      <c r="G269" s="47" t="str">
        <f t="shared" si="12"/>
        <v xml:space="preserve"> </v>
      </c>
      <c r="H269" s="47" t="str">
        <f t="shared" si="12"/>
        <v xml:space="preserve"> </v>
      </c>
      <c r="I269" s="47" t="str">
        <f t="shared" si="12"/>
        <v xml:space="preserve"> </v>
      </c>
      <c r="J269" s="47" t="str">
        <f t="shared" si="12"/>
        <v xml:space="preserve"> </v>
      </c>
      <c r="K269" s="47" t="str">
        <f t="shared" si="12"/>
        <v xml:space="preserve"> </v>
      </c>
    </row>
    <row r="270" spans="1:11" x14ac:dyDescent="0.2">
      <c r="C270" s="88" t="s">
        <v>126</v>
      </c>
      <c r="D270" s="116">
        <f t="shared" si="12"/>
        <v>91.274846021526002</v>
      </c>
      <c r="E270" s="116">
        <f t="shared" si="12"/>
        <v>87.189730843814004</v>
      </c>
      <c r="F270" s="116">
        <f t="shared" si="12"/>
        <v>85.347175960447146</v>
      </c>
      <c r="G270" s="116">
        <f t="shared" si="12"/>
        <v>86.747655066456787</v>
      </c>
      <c r="H270" s="116">
        <f t="shared" si="12"/>
        <v>88.679272540928693</v>
      </c>
      <c r="I270" s="116">
        <f t="shared" si="12"/>
        <v>74.781732954147898</v>
      </c>
      <c r="J270" s="116">
        <f t="shared" si="12"/>
        <v>85.519482959730126</v>
      </c>
      <c r="K270" s="116">
        <f t="shared" si="12"/>
        <v>1.8018383047522653</v>
      </c>
    </row>
    <row r="271" spans="1:11" x14ac:dyDescent="0.2">
      <c r="C271" s="87" t="s">
        <v>127</v>
      </c>
      <c r="D271" s="47" t="str">
        <f t="shared" si="12"/>
        <v xml:space="preserve"> </v>
      </c>
      <c r="E271" s="47" t="str">
        <f t="shared" si="12"/>
        <v xml:space="preserve"> </v>
      </c>
      <c r="F271" s="47" t="str">
        <f t="shared" si="12"/>
        <v xml:space="preserve"> </v>
      </c>
      <c r="G271" s="47" t="str">
        <f t="shared" si="12"/>
        <v xml:space="preserve"> </v>
      </c>
      <c r="H271" s="47" t="str">
        <f t="shared" si="12"/>
        <v xml:space="preserve"> </v>
      </c>
      <c r="I271" s="47" t="str">
        <f t="shared" si="12"/>
        <v xml:space="preserve"> </v>
      </c>
      <c r="J271" s="47" t="str">
        <f t="shared" si="12"/>
        <v xml:space="preserve"> </v>
      </c>
      <c r="K271" s="47" t="str">
        <f t="shared" si="12"/>
        <v xml:space="preserve"> </v>
      </c>
    </row>
    <row r="272" spans="1:11" x14ac:dyDescent="0.2">
      <c r="C272" s="88" t="s">
        <v>128</v>
      </c>
      <c r="D272" s="116">
        <f t="shared" si="12"/>
        <v>90.902936609780639</v>
      </c>
      <c r="E272" s="116">
        <f t="shared" si="12"/>
        <v>88.695902917066221</v>
      </c>
      <c r="F272" s="116">
        <f t="shared" si="12"/>
        <v>55.353922064894419</v>
      </c>
      <c r="G272" s="116">
        <f t="shared" si="12"/>
        <v>45.683863112021008</v>
      </c>
      <c r="H272" s="116">
        <f t="shared" si="12"/>
        <v>64.697891974913603</v>
      </c>
      <c r="I272" s="116">
        <f t="shared" si="12"/>
        <v>48.126287035656709</v>
      </c>
      <c r="J272" s="116">
        <f t="shared" si="12"/>
        <v>84.057822700344062</v>
      </c>
      <c r="K272" s="116">
        <f t="shared" si="12"/>
        <v>1.0219037956785917</v>
      </c>
    </row>
    <row r="273" spans="3:11" x14ac:dyDescent="0.2">
      <c r="C273" s="87" t="s">
        <v>129</v>
      </c>
      <c r="D273" s="47">
        <f t="shared" si="12"/>
        <v>69.897272047807093</v>
      </c>
      <c r="E273" s="47">
        <f t="shared" si="12"/>
        <v>73.181314306881745</v>
      </c>
      <c r="F273" s="47">
        <f t="shared" si="12"/>
        <v>56.252206155170704</v>
      </c>
      <c r="G273" s="47">
        <f t="shared" si="12"/>
        <v>52.857256577148249</v>
      </c>
      <c r="H273" s="47">
        <f t="shared" si="12"/>
        <v>33.113784892875401</v>
      </c>
      <c r="I273" s="47">
        <f t="shared" si="12"/>
        <v>53.705939761727741</v>
      </c>
      <c r="J273" s="47">
        <f t="shared" si="12"/>
        <v>60.678684654040062</v>
      </c>
      <c r="K273" s="47">
        <f t="shared" si="12"/>
        <v>0.6013764721157705</v>
      </c>
    </row>
    <row r="274" spans="3:11" x14ac:dyDescent="0.2">
      <c r="C274" s="88" t="s">
        <v>130</v>
      </c>
      <c r="D274" s="116" t="str">
        <f t="shared" si="12"/>
        <v xml:space="preserve"> </v>
      </c>
      <c r="E274" s="116" t="str">
        <f t="shared" si="12"/>
        <v xml:space="preserve"> </v>
      </c>
      <c r="F274" s="116" t="str">
        <f t="shared" si="12"/>
        <v xml:space="preserve"> </v>
      </c>
      <c r="G274" s="116" t="str">
        <f t="shared" si="12"/>
        <v xml:space="preserve"> </v>
      </c>
      <c r="H274" s="116" t="str">
        <f t="shared" si="12"/>
        <v xml:space="preserve"> </v>
      </c>
      <c r="I274" s="116" t="str">
        <f t="shared" si="12"/>
        <v xml:space="preserve"> </v>
      </c>
      <c r="J274" s="116" t="str">
        <f t="shared" si="12"/>
        <v xml:space="preserve"> </v>
      </c>
      <c r="K274" s="116" t="str">
        <f t="shared" si="12"/>
        <v xml:space="preserve"> </v>
      </c>
    </row>
    <row r="275" spans="3:11" x14ac:dyDescent="0.2">
      <c r="C275" s="87" t="s">
        <v>131</v>
      </c>
      <c r="D275" s="47">
        <f t="shared" si="12"/>
        <v>74.686476236599844</v>
      </c>
      <c r="E275" s="47">
        <f t="shared" si="12"/>
        <v>39.066576013851197</v>
      </c>
      <c r="F275" s="47">
        <f t="shared" si="12"/>
        <v>43.651180788406293</v>
      </c>
      <c r="G275" s="47">
        <f t="shared" si="12"/>
        <v>58.881243512890769</v>
      </c>
      <c r="H275" s="47">
        <f t="shared" si="12"/>
        <v>63.86812615594075</v>
      </c>
      <c r="I275" s="47">
        <f t="shared" si="12"/>
        <v>73.839822770949311</v>
      </c>
      <c r="J275" s="47">
        <f t="shared" si="12"/>
        <v>69.14624386111683</v>
      </c>
      <c r="K275" s="47">
        <f t="shared" si="12"/>
        <v>3.1795760951664547</v>
      </c>
    </row>
    <row r="276" spans="3:11" x14ac:dyDescent="0.2">
      <c r="C276" s="88" t="s">
        <v>132</v>
      </c>
      <c r="D276" s="116">
        <f t="shared" si="12"/>
        <v>80.284328300526397</v>
      </c>
      <c r="E276" s="116">
        <f t="shared" si="12"/>
        <v>57.123466172154778</v>
      </c>
      <c r="F276" s="116">
        <f t="shared" si="12"/>
        <v>56.878096544746114</v>
      </c>
      <c r="G276" s="116">
        <f t="shared" si="12"/>
        <v>59.27296234167865</v>
      </c>
      <c r="H276" s="116">
        <f t="shared" si="12"/>
        <v>59.527645718414504</v>
      </c>
      <c r="I276" s="116">
        <f t="shared" si="12"/>
        <v>80.202109219844175</v>
      </c>
      <c r="J276" s="116">
        <f t="shared" si="12"/>
        <v>78.853600454386182</v>
      </c>
      <c r="K276" s="116">
        <f t="shared" si="12"/>
        <v>1.9633405900017231</v>
      </c>
    </row>
    <row r="277" spans="3:11" x14ac:dyDescent="0.2">
      <c r="C277" s="87" t="s">
        <v>133</v>
      </c>
      <c r="D277" s="47">
        <f t="shared" ref="D277:K286" si="13">+IFERROR(IF(D235&gt;0,+((D235/D25)*100)," "),"")</f>
        <v>53.072790318609755</v>
      </c>
      <c r="E277" s="47">
        <f t="shared" si="13"/>
        <v>57.322163872416354</v>
      </c>
      <c r="F277" s="47">
        <f t="shared" si="13"/>
        <v>82.925058071690444</v>
      </c>
      <c r="G277" s="47">
        <f t="shared" si="13"/>
        <v>64.669133334130365</v>
      </c>
      <c r="H277" s="47">
        <f t="shared" si="13"/>
        <v>72.196224425552728</v>
      </c>
      <c r="I277" s="47">
        <f t="shared" si="13"/>
        <v>82.788597564111456</v>
      </c>
      <c r="J277" s="47">
        <f t="shared" si="13"/>
        <v>82.143573307868081</v>
      </c>
      <c r="K277" s="47" t="str">
        <f t="shared" si="13"/>
        <v xml:space="preserve"> </v>
      </c>
    </row>
    <row r="278" spans="3:11" x14ac:dyDescent="0.2">
      <c r="C278" s="88" t="s">
        <v>134</v>
      </c>
      <c r="D278" s="116">
        <f t="shared" si="13"/>
        <v>74.769915715344354</v>
      </c>
      <c r="E278" s="116">
        <f t="shared" si="13"/>
        <v>84.343708213964902</v>
      </c>
      <c r="F278" s="116">
        <f t="shared" si="13"/>
        <v>53.820791813138925</v>
      </c>
      <c r="G278" s="116">
        <f t="shared" si="13"/>
        <v>85.659382632308109</v>
      </c>
      <c r="H278" s="116">
        <f t="shared" si="13"/>
        <v>80.730824625537551</v>
      </c>
      <c r="I278" s="116">
        <f t="shared" si="13"/>
        <v>78.37187720081107</v>
      </c>
      <c r="J278" s="116">
        <f t="shared" si="13"/>
        <v>74.959501353632717</v>
      </c>
      <c r="K278" s="116">
        <f t="shared" si="13"/>
        <v>3.2354974510809669</v>
      </c>
    </row>
    <row r="279" spans="3:11" x14ac:dyDescent="0.2">
      <c r="C279" s="87" t="s">
        <v>135</v>
      </c>
      <c r="D279" s="47" t="str">
        <f t="shared" si="13"/>
        <v xml:space="preserve"> </v>
      </c>
      <c r="E279" s="47" t="str">
        <f t="shared" si="13"/>
        <v xml:space="preserve"> </v>
      </c>
      <c r="F279" s="47" t="str">
        <f t="shared" si="13"/>
        <v xml:space="preserve"> </v>
      </c>
      <c r="G279" s="47" t="str">
        <f t="shared" si="13"/>
        <v xml:space="preserve"> </v>
      </c>
      <c r="H279" s="47" t="str">
        <f t="shared" si="13"/>
        <v xml:space="preserve"> </v>
      </c>
      <c r="I279" s="47">
        <f t="shared" si="13"/>
        <v>83.554869062492443</v>
      </c>
      <c r="J279" s="47">
        <f t="shared" si="13"/>
        <v>94.870235909827485</v>
      </c>
      <c r="K279" s="47">
        <f t="shared" si="13"/>
        <v>6.4430096042628993</v>
      </c>
    </row>
    <row r="280" spans="3:11" x14ac:dyDescent="0.2">
      <c r="C280" s="88" t="s">
        <v>136</v>
      </c>
      <c r="D280" s="116">
        <f t="shared" si="13"/>
        <v>91.257323251405765</v>
      </c>
      <c r="E280" s="116">
        <f t="shared" si="13"/>
        <v>90.236762671905765</v>
      </c>
      <c r="F280" s="116">
        <f t="shared" si="13"/>
        <v>83.979902268458346</v>
      </c>
      <c r="G280" s="116">
        <f t="shared" si="13"/>
        <v>90.995498350258515</v>
      </c>
      <c r="H280" s="116">
        <f t="shared" si="13"/>
        <v>89.865074472292989</v>
      </c>
      <c r="I280" s="116" t="str">
        <f t="shared" si="13"/>
        <v xml:space="preserve"> </v>
      </c>
      <c r="J280" s="116" t="str">
        <f t="shared" si="13"/>
        <v xml:space="preserve"> </v>
      </c>
      <c r="K280" s="116" t="str">
        <f t="shared" si="13"/>
        <v xml:space="preserve"> </v>
      </c>
    </row>
    <row r="281" spans="3:11" x14ac:dyDescent="0.2">
      <c r="C281" s="87" t="s">
        <v>137</v>
      </c>
      <c r="D281" s="47">
        <f t="shared" si="13"/>
        <v>58.417844861592926</v>
      </c>
      <c r="E281" s="47">
        <f t="shared" si="13"/>
        <v>70.407319725481116</v>
      </c>
      <c r="F281" s="47">
        <f t="shared" si="13"/>
        <v>49.519776206751857</v>
      </c>
      <c r="G281" s="47">
        <f t="shared" si="13"/>
        <v>29.343605475397581</v>
      </c>
      <c r="H281" s="47">
        <f t="shared" si="13"/>
        <v>19.69588921832991</v>
      </c>
      <c r="I281" s="47">
        <f t="shared" si="13"/>
        <v>62.538815769629132</v>
      </c>
      <c r="J281" s="47">
        <f t="shared" si="13"/>
        <v>69.567748973421899</v>
      </c>
      <c r="K281" s="47">
        <f t="shared" si="13"/>
        <v>5.408363670167522</v>
      </c>
    </row>
    <row r="282" spans="3:11" x14ac:dyDescent="0.2">
      <c r="C282" s="88" t="s">
        <v>138</v>
      </c>
      <c r="D282" s="116" t="str">
        <f t="shared" si="13"/>
        <v xml:space="preserve"> </v>
      </c>
      <c r="E282" s="116" t="str">
        <f t="shared" si="13"/>
        <v xml:space="preserve"> </v>
      </c>
      <c r="F282" s="116" t="str">
        <f t="shared" si="13"/>
        <v xml:space="preserve"> </v>
      </c>
      <c r="G282" s="116" t="str">
        <f t="shared" si="13"/>
        <v xml:space="preserve"> </v>
      </c>
      <c r="H282" s="116" t="str">
        <f t="shared" si="13"/>
        <v xml:space="preserve"> </v>
      </c>
      <c r="I282" s="116" t="str">
        <f t="shared" si="13"/>
        <v xml:space="preserve"> </v>
      </c>
      <c r="J282" s="116" t="str">
        <f t="shared" si="13"/>
        <v xml:space="preserve"> </v>
      </c>
      <c r="K282" s="116" t="str">
        <f t="shared" si="13"/>
        <v xml:space="preserve"> </v>
      </c>
    </row>
    <row r="283" spans="3:11" x14ac:dyDescent="0.2">
      <c r="C283" s="87" t="s">
        <v>160</v>
      </c>
      <c r="D283" s="47" t="str">
        <f t="shared" si="13"/>
        <v xml:space="preserve"> </v>
      </c>
      <c r="E283" s="47" t="str">
        <f t="shared" si="13"/>
        <v xml:space="preserve"> </v>
      </c>
      <c r="F283" s="47" t="str">
        <f t="shared" si="13"/>
        <v xml:space="preserve"> </v>
      </c>
      <c r="G283" s="47" t="str">
        <f t="shared" si="13"/>
        <v xml:space="preserve"> </v>
      </c>
      <c r="H283" s="47" t="str">
        <f t="shared" si="13"/>
        <v xml:space="preserve"> </v>
      </c>
      <c r="I283" s="47" t="str">
        <f t="shared" si="13"/>
        <v xml:space="preserve"> </v>
      </c>
      <c r="J283" s="47" t="str">
        <f t="shared" si="13"/>
        <v xml:space="preserve"> </v>
      </c>
      <c r="K283" s="47" t="str">
        <f t="shared" si="13"/>
        <v xml:space="preserve"> </v>
      </c>
    </row>
    <row r="284" spans="3:11" x14ac:dyDescent="0.2">
      <c r="C284" s="88" t="s">
        <v>161</v>
      </c>
      <c r="D284" s="116">
        <f t="shared" si="13"/>
        <v>63.766060997216066</v>
      </c>
      <c r="E284" s="116">
        <f t="shared" si="13"/>
        <v>59.966258125804018</v>
      </c>
      <c r="F284" s="116">
        <f t="shared" si="13"/>
        <v>55.208987670338082</v>
      </c>
      <c r="G284" s="116">
        <f t="shared" si="13"/>
        <v>40.048106476309577</v>
      </c>
      <c r="H284" s="116">
        <f t="shared" si="13"/>
        <v>58.330673832880187</v>
      </c>
      <c r="I284" s="116">
        <f t="shared" si="13"/>
        <v>65.234969539765558</v>
      </c>
      <c r="J284" s="116">
        <f t="shared" si="13"/>
        <v>55.81789456241065</v>
      </c>
      <c r="K284" s="116">
        <f t="shared" si="13"/>
        <v>0.34709183045148917</v>
      </c>
    </row>
    <row r="285" spans="3:11" x14ac:dyDescent="0.2">
      <c r="C285" s="87" t="s">
        <v>140</v>
      </c>
      <c r="D285" s="47">
        <f t="shared" si="13"/>
        <v>78.023354634909552</v>
      </c>
      <c r="E285" s="47">
        <f t="shared" si="13"/>
        <v>68.811801452920321</v>
      </c>
      <c r="F285" s="47">
        <f t="shared" si="13"/>
        <v>61.416509670333276</v>
      </c>
      <c r="G285" s="47">
        <f t="shared" si="13"/>
        <v>65.169113471592652</v>
      </c>
      <c r="H285" s="47">
        <f t="shared" si="13"/>
        <v>23.924520272561324</v>
      </c>
      <c r="I285" s="47">
        <f t="shared" si="13"/>
        <v>56.113828504190188</v>
      </c>
      <c r="J285" s="47">
        <f t="shared" si="13"/>
        <v>73.217116777102191</v>
      </c>
      <c r="K285" s="47">
        <f t="shared" si="13"/>
        <v>0.17986698178195534</v>
      </c>
    </row>
    <row r="286" spans="3:11" x14ac:dyDescent="0.2">
      <c r="C286" s="88" t="s">
        <v>141</v>
      </c>
      <c r="D286" s="116" t="str">
        <f t="shared" si="13"/>
        <v xml:space="preserve"> </v>
      </c>
      <c r="E286" s="116" t="str">
        <f t="shared" si="13"/>
        <v xml:space="preserve"> </v>
      </c>
      <c r="F286" s="116" t="str">
        <f t="shared" si="13"/>
        <v xml:space="preserve"> </v>
      </c>
      <c r="G286" s="116" t="str">
        <f t="shared" si="13"/>
        <v xml:space="preserve"> </v>
      </c>
      <c r="H286" s="116" t="str">
        <f t="shared" si="13"/>
        <v xml:space="preserve"> </v>
      </c>
      <c r="I286" s="116" t="str">
        <f t="shared" si="13"/>
        <v xml:space="preserve"> </v>
      </c>
      <c r="J286" s="116" t="str">
        <f t="shared" si="13"/>
        <v xml:space="preserve"> </v>
      </c>
      <c r="K286" s="116" t="str">
        <f t="shared" si="13"/>
        <v xml:space="preserve"> </v>
      </c>
    </row>
    <row r="287" spans="3:11" x14ac:dyDescent="0.2">
      <c r="C287" s="87" t="s">
        <v>142</v>
      </c>
      <c r="D287" s="47">
        <f t="shared" ref="D287:K296" si="14">+IFERROR(IF(D245&gt;0,+((D245/D35)*100)," "),"")</f>
        <v>81.139204133536452</v>
      </c>
      <c r="E287" s="47">
        <f t="shared" si="14"/>
        <v>92.014635254029329</v>
      </c>
      <c r="F287" s="47">
        <f t="shared" si="14"/>
        <v>79.949640528596944</v>
      </c>
      <c r="G287" s="47">
        <f t="shared" si="14"/>
        <v>81.336164168616506</v>
      </c>
      <c r="H287" s="47">
        <f t="shared" si="14"/>
        <v>59.302343258964143</v>
      </c>
      <c r="I287" s="47">
        <f t="shared" si="14"/>
        <v>68.063579958525068</v>
      </c>
      <c r="J287" s="47">
        <f t="shared" si="14"/>
        <v>29.30570584095803</v>
      </c>
      <c r="K287" s="47">
        <f t="shared" si="14"/>
        <v>1.2839912408101739</v>
      </c>
    </row>
    <row r="288" spans="3:11" x14ac:dyDescent="0.2">
      <c r="C288" s="88" t="s">
        <v>143</v>
      </c>
      <c r="D288" s="116">
        <f t="shared" si="14"/>
        <v>43.635385398175458</v>
      </c>
      <c r="E288" s="116">
        <f t="shared" si="14"/>
        <v>24.324556812749833</v>
      </c>
      <c r="F288" s="116">
        <f t="shared" si="14"/>
        <v>35.081510611811936</v>
      </c>
      <c r="G288" s="116">
        <f t="shared" si="14"/>
        <v>53.551141238635893</v>
      </c>
      <c r="H288" s="116">
        <f t="shared" si="14"/>
        <v>7.8211674641053737</v>
      </c>
      <c r="I288" s="116">
        <f t="shared" si="14"/>
        <v>16.643308876290313</v>
      </c>
      <c r="J288" s="116">
        <f t="shared" si="14"/>
        <v>49.498392997229637</v>
      </c>
      <c r="K288" s="116">
        <f t="shared" si="14"/>
        <v>0.10884869308639603</v>
      </c>
    </row>
    <row r="289" spans="1:11" x14ac:dyDescent="0.2">
      <c r="C289" s="87" t="s">
        <v>144</v>
      </c>
      <c r="D289" s="47" t="str">
        <f t="shared" si="14"/>
        <v xml:space="preserve"> </v>
      </c>
      <c r="E289" s="47" t="str">
        <f t="shared" si="14"/>
        <v xml:space="preserve"> </v>
      </c>
      <c r="F289" s="47" t="str">
        <f t="shared" si="14"/>
        <v xml:space="preserve"> </v>
      </c>
      <c r="G289" s="47" t="str">
        <f t="shared" si="14"/>
        <v xml:space="preserve"> </v>
      </c>
      <c r="H289" s="47" t="str">
        <f t="shared" si="14"/>
        <v xml:space="preserve"> </v>
      </c>
      <c r="I289" s="47" t="str">
        <f t="shared" si="14"/>
        <v xml:space="preserve"> </v>
      </c>
      <c r="J289" s="47" t="str">
        <f t="shared" si="14"/>
        <v xml:space="preserve"> </v>
      </c>
      <c r="K289" s="47" t="str">
        <f t="shared" si="14"/>
        <v xml:space="preserve"> </v>
      </c>
    </row>
    <row r="290" spans="1:11" x14ac:dyDescent="0.2">
      <c r="C290" s="88" t="s">
        <v>145</v>
      </c>
      <c r="D290" s="116">
        <f t="shared" si="14"/>
        <v>82.330338055400972</v>
      </c>
      <c r="E290" s="116">
        <f t="shared" si="14"/>
        <v>89.357549506376728</v>
      </c>
      <c r="F290" s="116">
        <f t="shared" si="14"/>
        <v>52.662535822229387</v>
      </c>
      <c r="G290" s="116">
        <f t="shared" si="14"/>
        <v>74.036261756755067</v>
      </c>
      <c r="H290" s="116">
        <f t="shared" si="14"/>
        <v>76.469600210192041</v>
      </c>
      <c r="I290" s="116">
        <f t="shared" si="14"/>
        <v>32.42416699517684</v>
      </c>
      <c r="J290" s="116">
        <f t="shared" si="14"/>
        <v>60.736291466781012</v>
      </c>
      <c r="K290" s="116">
        <f t="shared" si="14"/>
        <v>2.0311213849373351E-2</v>
      </c>
    </row>
    <row r="291" spans="1:11" x14ac:dyDescent="0.2">
      <c r="C291" s="87" t="s">
        <v>146</v>
      </c>
      <c r="D291" s="47">
        <f t="shared" si="14"/>
        <v>97.330042238562086</v>
      </c>
      <c r="E291" s="47">
        <f t="shared" si="14"/>
        <v>95.591969035868317</v>
      </c>
      <c r="F291" s="47">
        <f t="shared" si="14"/>
        <v>98.290953333188824</v>
      </c>
      <c r="G291" s="47">
        <f t="shared" si="14"/>
        <v>24.907112279480046</v>
      </c>
      <c r="H291" s="47">
        <f t="shared" si="14"/>
        <v>58.323318990019288</v>
      </c>
      <c r="I291" s="47">
        <f t="shared" si="14"/>
        <v>74.397257561659828</v>
      </c>
      <c r="J291" s="47">
        <f t="shared" si="14"/>
        <v>76.181669845992644</v>
      </c>
      <c r="K291" s="47">
        <f t="shared" si="14"/>
        <v>6.319932679180158</v>
      </c>
    </row>
    <row r="292" spans="1:11" x14ac:dyDescent="0.2">
      <c r="C292" s="88" t="s">
        <v>162</v>
      </c>
      <c r="D292" s="116">
        <f t="shared" si="14"/>
        <v>72.919955930744749</v>
      </c>
      <c r="E292" s="116">
        <f t="shared" si="14"/>
        <v>76.729039135794423</v>
      </c>
      <c r="F292" s="116">
        <f t="shared" si="14"/>
        <v>79.796455800389424</v>
      </c>
      <c r="G292" s="116">
        <f t="shared" si="14"/>
        <v>69.122777666145552</v>
      </c>
      <c r="H292" s="116">
        <f t="shared" si="14"/>
        <v>66.65501870920869</v>
      </c>
      <c r="I292" s="116">
        <f t="shared" si="14"/>
        <v>66.253474044348508</v>
      </c>
      <c r="J292" s="116">
        <f t="shared" si="14"/>
        <v>74.247401933539862</v>
      </c>
      <c r="K292" s="116">
        <f t="shared" si="14"/>
        <v>2.1362344697509301</v>
      </c>
    </row>
    <row r="293" spans="1:11" x14ac:dyDescent="0.2">
      <c r="C293" s="87" t="s">
        <v>148</v>
      </c>
      <c r="D293" s="47" t="str">
        <f t="shared" si="14"/>
        <v xml:space="preserve"> </v>
      </c>
      <c r="E293" s="47" t="str">
        <f t="shared" si="14"/>
        <v xml:space="preserve"> </v>
      </c>
      <c r="F293" s="47" t="str">
        <f t="shared" si="14"/>
        <v xml:space="preserve"> </v>
      </c>
      <c r="G293" s="47" t="str">
        <f t="shared" si="14"/>
        <v xml:space="preserve"> </v>
      </c>
      <c r="H293" s="47" t="str">
        <f t="shared" si="14"/>
        <v xml:space="preserve"> </v>
      </c>
      <c r="I293" s="47" t="str">
        <f t="shared" si="14"/>
        <v xml:space="preserve"> </v>
      </c>
      <c r="J293" s="47" t="str">
        <f t="shared" si="14"/>
        <v xml:space="preserve"> </v>
      </c>
      <c r="K293" s="47" t="str">
        <f t="shared" si="14"/>
        <v xml:space="preserve"> </v>
      </c>
    </row>
    <row r="294" spans="1:11" x14ac:dyDescent="0.2">
      <c r="C294" s="88" t="s">
        <v>149</v>
      </c>
      <c r="D294" s="116">
        <f t="shared" si="14"/>
        <v>78.742414736080732</v>
      </c>
      <c r="E294" s="116">
        <f t="shared" si="14"/>
        <v>73.994049578465393</v>
      </c>
      <c r="F294" s="116">
        <f t="shared" si="14"/>
        <v>73.842728953728013</v>
      </c>
      <c r="G294" s="116">
        <f t="shared" si="14"/>
        <v>71.515341588499126</v>
      </c>
      <c r="H294" s="116">
        <f t="shared" si="14"/>
        <v>81.208583995977904</v>
      </c>
      <c r="I294" s="116">
        <f t="shared" si="14"/>
        <v>68.432527893259646</v>
      </c>
      <c r="J294" s="116">
        <f t="shared" si="14"/>
        <v>64.715165746534197</v>
      </c>
      <c r="K294" s="116">
        <f t="shared" si="14"/>
        <v>9.776807347205132</v>
      </c>
    </row>
    <row r="295" spans="1:11" x14ac:dyDescent="0.2">
      <c r="C295" s="87" t="s">
        <v>163</v>
      </c>
      <c r="D295" s="47">
        <f t="shared" si="14"/>
        <v>86.451031585249069</v>
      </c>
      <c r="E295" s="47">
        <f t="shared" si="14"/>
        <v>90.949921819482782</v>
      </c>
      <c r="F295" s="47">
        <f t="shared" si="14"/>
        <v>88.863964318061321</v>
      </c>
      <c r="G295" s="47">
        <f t="shared" si="14"/>
        <v>93.064920204865714</v>
      </c>
      <c r="H295" s="47">
        <f t="shared" si="14"/>
        <v>91.404477144853303</v>
      </c>
      <c r="I295" s="47">
        <f t="shared" si="14"/>
        <v>89.706509058339748</v>
      </c>
      <c r="J295" s="47">
        <f t="shared" si="14"/>
        <v>85.871523747445707</v>
      </c>
      <c r="K295" s="47">
        <f t="shared" si="14"/>
        <v>5.766988755483422</v>
      </c>
    </row>
    <row r="296" spans="1:11" x14ac:dyDescent="0.2">
      <c r="C296" s="88" t="s">
        <v>150</v>
      </c>
      <c r="D296" s="116">
        <f t="shared" si="14"/>
        <v>62.109446778072865</v>
      </c>
      <c r="E296" s="116">
        <f t="shared" si="14"/>
        <v>58.093020394964398</v>
      </c>
      <c r="F296" s="116">
        <f t="shared" si="14"/>
        <v>56.119562520074581</v>
      </c>
      <c r="G296" s="116">
        <f t="shared" si="14"/>
        <v>41.255936883903068</v>
      </c>
      <c r="H296" s="116">
        <f t="shared" si="14"/>
        <v>32.710296831593041</v>
      </c>
      <c r="I296" s="116">
        <f t="shared" si="14"/>
        <v>45.200187571439102</v>
      </c>
      <c r="J296" s="116">
        <f t="shared" si="14"/>
        <v>51.572125290175883</v>
      </c>
      <c r="K296" s="116">
        <f t="shared" si="14"/>
        <v>3.9764234612618661</v>
      </c>
    </row>
    <row r="297" spans="1:11" x14ac:dyDescent="0.2">
      <c r="C297" s="87" t="s">
        <v>151</v>
      </c>
      <c r="D297" s="47" t="str">
        <f t="shared" ref="D297:K298" si="15">+IFERROR(IF(D255&gt;0,+((D255/D45)*100)," "),"")</f>
        <v xml:space="preserve"> </v>
      </c>
      <c r="E297" s="47" t="str">
        <f t="shared" si="15"/>
        <v xml:space="preserve"> </v>
      </c>
      <c r="F297" s="47" t="str">
        <f t="shared" si="15"/>
        <v xml:space="preserve"> </v>
      </c>
      <c r="G297" s="47" t="str">
        <f t="shared" si="15"/>
        <v xml:space="preserve"> </v>
      </c>
      <c r="H297" s="47" t="str">
        <f t="shared" si="15"/>
        <v xml:space="preserve"> </v>
      </c>
      <c r="I297" s="47" t="str">
        <f t="shared" si="15"/>
        <v xml:space="preserve"> </v>
      </c>
      <c r="J297" s="47" t="str">
        <f t="shared" si="15"/>
        <v xml:space="preserve"> </v>
      </c>
      <c r="K297" s="47" t="str">
        <f t="shared" si="15"/>
        <v xml:space="preserve"> </v>
      </c>
    </row>
    <row r="298" spans="1:11" x14ac:dyDescent="0.2">
      <c r="C298" s="91" t="s">
        <v>202</v>
      </c>
      <c r="D298" s="64">
        <f t="shared" si="15"/>
        <v>78.439667575319632</v>
      </c>
      <c r="E298" s="64">
        <f t="shared" si="15"/>
        <v>76.668356887291424</v>
      </c>
      <c r="F298" s="64">
        <f t="shared" si="15"/>
        <v>71.762408324646543</v>
      </c>
      <c r="G298" s="64">
        <f t="shared" si="15"/>
        <v>70.463263737119547</v>
      </c>
      <c r="H298" s="64">
        <f t="shared" si="15"/>
        <v>69.465760459980629</v>
      </c>
      <c r="I298" s="64">
        <f t="shared" si="15"/>
        <v>69.483462416544953</v>
      </c>
      <c r="J298" s="64">
        <f t="shared" si="15"/>
        <v>74.051513909114817</v>
      </c>
      <c r="K298" s="64">
        <f t="shared" si="15"/>
        <v>4.9952464718013152</v>
      </c>
    </row>
    <row r="299" spans="1:11" s="31" customFormat="1" x14ac:dyDescent="0.2">
      <c r="A299" s="5"/>
      <c r="B299" s="5"/>
      <c r="C299" s="72" t="str">
        <f>+'C1 Aprop Resumen 2000-2026'!B20</f>
        <v>* Información con corte a 28 de febrero</v>
      </c>
      <c r="D299" s="47"/>
      <c r="E299" s="47"/>
      <c r="F299" s="47"/>
      <c r="G299" s="47"/>
      <c r="H299" s="47"/>
      <c r="I299" s="47"/>
    </row>
    <row r="300" spans="1:11" x14ac:dyDescent="0.2">
      <c r="C300" s="1" t="s">
        <v>52</v>
      </c>
      <c r="D300" s="11"/>
    </row>
  </sheetData>
  <mergeCells count="79">
    <mergeCell ref="D2:K4"/>
    <mergeCell ref="K182:K183"/>
    <mergeCell ref="K223:K224"/>
    <mergeCell ref="I56:I57"/>
    <mergeCell ref="K56:K57"/>
    <mergeCell ref="D223:D224"/>
    <mergeCell ref="E223:E224"/>
    <mergeCell ref="G223:G224"/>
    <mergeCell ref="K13:K14"/>
    <mergeCell ref="E8:E9"/>
    <mergeCell ref="G8:G9"/>
    <mergeCell ref="E140:E141"/>
    <mergeCell ref="H182:H183"/>
    <mergeCell ref="J182:J183"/>
    <mergeCell ref="J98:J99"/>
    <mergeCell ref="D6:K6"/>
    <mergeCell ref="A7:C8"/>
    <mergeCell ref="F13:F14"/>
    <mergeCell ref="H13:H14"/>
    <mergeCell ref="J265:J266"/>
    <mergeCell ref="D8:D9"/>
    <mergeCell ref="H8:H9"/>
    <mergeCell ref="J8:J9"/>
    <mergeCell ref="D98:D99"/>
    <mergeCell ref="F98:F99"/>
    <mergeCell ref="J140:J141"/>
    <mergeCell ref="C98:C99"/>
    <mergeCell ref="C265:C266"/>
    <mergeCell ref="D140:D141"/>
    <mergeCell ref="E265:E266"/>
    <mergeCell ref="E13:E14"/>
    <mergeCell ref="G13:G14"/>
    <mergeCell ref="C56:C57"/>
    <mergeCell ref="C140:C141"/>
    <mergeCell ref="I98:I99"/>
    <mergeCell ref="D182:D183"/>
    <mergeCell ref="F182:F183"/>
    <mergeCell ref="G140:G141"/>
    <mergeCell ref="I140:I141"/>
    <mergeCell ref="C182:C183"/>
    <mergeCell ref="E182:E183"/>
    <mergeCell ref="F8:F9"/>
    <mergeCell ref="D11:K11"/>
    <mergeCell ref="F140:F141"/>
    <mergeCell ref="K98:K99"/>
    <mergeCell ref="I8:I9"/>
    <mergeCell ref="K8:K9"/>
    <mergeCell ref="E56:E57"/>
    <mergeCell ref="G56:G57"/>
    <mergeCell ref="K140:K141"/>
    <mergeCell ref="D13:D14"/>
    <mergeCell ref="H98:H99"/>
    <mergeCell ref="F56:F57"/>
    <mergeCell ref="I13:I14"/>
    <mergeCell ref="F265:F266"/>
    <mergeCell ref="D138:K138"/>
    <mergeCell ref="H56:H57"/>
    <mergeCell ref="I223:I224"/>
    <mergeCell ref="D265:D266"/>
    <mergeCell ref="J223:J224"/>
    <mergeCell ref="K265:K266"/>
    <mergeCell ref="F223:F224"/>
    <mergeCell ref="H223:H224"/>
    <mergeCell ref="A9:C9"/>
    <mergeCell ref="D221:K221"/>
    <mergeCell ref="C13:C14"/>
    <mergeCell ref="C223:C224"/>
    <mergeCell ref="G265:G266"/>
    <mergeCell ref="H140:H141"/>
    <mergeCell ref="I265:I266"/>
    <mergeCell ref="D53:K53"/>
    <mergeCell ref="J56:J57"/>
    <mergeCell ref="G182:G183"/>
    <mergeCell ref="I182:I183"/>
    <mergeCell ref="H265:H266"/>
    <mergeCell ref="J13:J14"/>
    <mergeCell ref="E98:E99"/>
    <mergeCell ref="G98:G99"/>
    <mergeCell ref="D56:D57"/>
  </mergeCells>
  <pageMargins left="0.7" right="0.7" top="0.75" bottom="0.75" header="0.3" footer="0.3"/>
  <pageSetup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2"/>
  <dimension ref="A1:AD55"/>
  <sheetViews>
    <sheetView showGridLines="0" zoomScaleNormal="100" workbookViewId="0">
      <pane xSplit="3" ySplit="7" topLeftCell="D8" activePane="bottomRight" state="frozen"/>
      <selection activeCell="C204" sqref="C204:V204"/>
      <selection pane="topRight" activeCell="C204" sqref="C204:V204"/>
      <selection pane="bottomLeft" activeCell="C204" sqref="C204:V204"/>
      <selection pane="bottomRight" activeCell="A7" sqref="A7:C7"/>
    </sheetView>
  </sheetViews>
  <sheetFormatPr baseColWidth="10" defaultColWidth="11.42578125" defaultRowHeight="11.25" x14ac:dyDescent="0.2"/>
  <cols>
    <col min="1" max="2" width="2.7109375" style="3" customWidth="1"/>
    <col min="3" max="3" width="46.28515625" style="3" customWidth="1"/>
    <col min="4" max="33" width="10.7109375" style="3" customWidth="1"/>
    <col min="34" max="34" width="11.42578125" style="3" customWidth="1"/>
    <col min="35" max="16384" width="11.42578125" style="3"/>
  </cols>
  <sheetData>
    <row r="1" spans="1:30" ht="16.5" customHeight="1" x14ac:dyDescent="0.2">
      <c r="E1" s="129"/>
      <c r="F1" s="129"/>
      <c r="G1" s="129"/>
    </row>
    <row r="2" spans="1:30" ht="16.5" customHeight="1" x14ac:dyDescent="0.2">
      <c r="D2" s="159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  <c r="Q2" s="158"/>
      <c r="R2" s="158"/>
      <c r="S2" s="158"/>
      <c r="T2" s="158"/>
      <c r="U2" s="158"/>
      <c r="V2" s="158"/>
      <c r="W2" s="158"/>
      <c r="X2" s="158"/>
      <c r="Y2" s="158"/>
      <c r="Z2" s="158"/>
      <c r="AA2" s="158"/>
      <c r="AB2" s="158"/>
      <c r="AC2" s="158"/>
      <c r="AD2" s="158"/>
    </row>
    <row r="3" spans="1:30" s="98" customFormat="1" ht="16.5" customHeight="1" x14ac:dyDescent="0.25"/>
    <row r="4" spans="1:30" s="98" customFormat="1" ht="16.5" customHeight="1" x14ac:dyDescent="0.25">
      <c r="A4" s="120"/>
      <c r="C4" s="130"/>
      <c r="D4" s="161"/>
      <c r="E4" s="152"/>
      <c r="F4" s="152"/>
      <c r="G4" s="152"/>
      <c r="H4" s="152"/>
      <c r="I4" s="152"/>
      <c r="J4" s="152"/>
      <c r="K4" s="152"/>
      <c r="L4" s="152"/>
      <c r="M4" s="152"/>
      <c r="N4" s="152"/>
      <c r="O4" s="152"/>
      <c r="P4" s="152"/>
      <c r="Q4" s="152"/>
      <c r="R4" s="152"/>
      <c r="S4" s="152"/>
      <c r="T4" s="152"/>
      <c r="U4" s="152"/>
      <c r="V4" s="152"/>
      <c r="W4" s="152"/>
      <c r="X4" s="152"/>
      <c r="Y4" s="152"/>
      <c r="Z4" s="152"/>
      <c r="AA4" s="152"/>
      <c r="AB4" s="152"/>
      <c r="AC4" s="152"/>
      <c r="AD4" s="152"/>
    </row>
    <row r="5" spans="1:30" s="98" customFormat="1" ht="16.5" customHeight="1" x14ac:dyDescent="0.25">
      <c r="A5" s="164" t="s">
        <v>1</v>
      </c>
      <c r="B5" s="152"/>
      <c r="C5" s="152"/>
      <c r="D5" s="147"/>
      <c r="E5" s="147"/>
      <c r="F5" s="147"/>
      <c r="G5" s="147"/>
      <c r="H5" s="147"/>
      <c r="I5" s="147"/>
      <c r="J5" s="147"/>
      <c r="K5" s="147"/>
      <c r="L5" s="147"/>
      <c r="M5" s="147"/>
      <c r="N5" s="147"/>
      <c r="O5" s="147"/>
      <c r="P5" s="147"/>
      <c r="Q5" s="147"/>
      <c r="R5" s="147"/>
      <c r="S5" s="147"/>
      <c r="T5" s="147"/>
      <c r="U5" s="147"/>
      <c r="V5" s="147"/>
      <c r="W5" s="147"/>
      <c r="X5" s="147"/>
      <c r="Y5" s="147"/>
      <c r="Z5" s="147"/>
      <c r="AA5" s="147"/>
      <c r="AB5" s="147"/>
      <c r="AC5" s="147"/>
      <c r="AD5" s="147"/>
    </row>
    <row r="6" spans="1:30" s="98" customFormat="1" ht="16.5" customHeight="1" x14ac:dyDescent="0.25">
      <c r="A6" s="152"/>
      <c r="B6" s="152"/>
      <c r="C6" s="152"/>
      <c r="D6" s="151" t="s">
        <v>27</v>
      </c>
      <c r="E6" s="151" t="s">
        <v>28</v>
      </c>
      <c r="F6" s="151" t="s">
        <v>29</v>
      </c>
      <c r="G6" s="151" t="s">
        <v>30</v>
      </c>
      <c r="H6" s="151">
        <v>2004</v>
      </c>
      <c r="I6" s="151" t="s">
        <v>31</v>
      </c>
      <c r="J6" s="151" t="s">
        <v>32</v>
      </c>
      <c r="K6" s="151" t="s">
        <v>33</v>
      </c>
      <c r="L6" s="151" t="s">
        <v>34</v>
      </c>
      <c r="M6" s="151" t="s">
        <v>35</v>
      </c>
      <c r="N6" s="151">
        <v>2010</v>
      </c>
      <c r="O6" s="151">
        <v>2011</v>
      </c>
      <c r="P6" s="151">
        <v>2012</v>
      </c>
      <c r="Q6" s="151">
        <v>2013</v>
      </c>
      <c r="R6" s="151">
        <v>2014</v>
      </c>
      <c r="S6" s="151">
        <v>2015</v>
      </c>
      <c r="T6" s="151">
        <v>2016</v>
      </c>
      <c r="U6" s="151">
        <v>2017</v>
      </c>
      <c r="V6" s="151">
        <v>2018</v>
      </c>
      <c r="W6" s="151">
        <v>2019</v>
      </c>
      <c r="X6" s="151">
        <v>2020</v>
      </c>
      <c r="Y6" s="151">
        <v>2021</v>
      </c>
      <c r="Z6" s="151">
        <v>2022</v>
      </c>
      <c r="AA6" s="151">
        <v>2023</v>
      </c>
      <c r="AB6" s="151">
        <v>2024</v>
      </c>
      <c r="AC6" s="151">
        <v>2025</v>
      </c>
      <c r="AD6" s="151" t="s">
        <v>36</v>
      </c>
    </row>
    <row r="7" spans="1:30" s="98" customFormat="1" ht="16.5" customHeight="1" x14ac:dyDescent="0.25">
      <c r="A7" s="162" t="s">
        <v>227</v>
      </c>
      <c r="B7" s="152"/>
      <c r="C7" s="152"/>
      <c r="D7" s="152"/>
      <c r="E7" s="152"/>
      <c r="F7" s="152"/>
      <c r="G7" s="152"/>
      <c r="H7" s="152"/>
      <c r="I7" s="152"/>
      <c r="J7" s="152"/>
      <c r="K7" s="152"/>
      <c r="L7" s="152"/>
      <c r="M7" s="152"/>
      <c r="N7" s="152"/>
      <c r="O7" s="152"/>
      <c r="P7" s="152"/>
      <c r="Q7" s="152"/>
      <c r="R7" s="152"/>
      <c r="S7" s="152"/>
      <c r="T7" s="152"/>
      <c r="U7" s="152"/>
      <c r="V7" s="152"/>
      <c r="W7" s="152"/>
      <c r="X7" s="152"/>
      <c r="Y7" s="152"/>
      <c r="Z7" s="152"/>
      <c r="AA7" s="152"/>
      <c r="AB7" s="152"/>
      <c r="AC7" s="152"/>
      <c r="AD7" s="152"/>
    </row>
    <row r="8" spans="1:30" s="98" customFormat="1" ht="12.75" customHeight="1" x14ac:dyDescent="0.25">
      <c r="A8" s="99"/>
      <c r="B8" s="125"/>
      <c r="C8" s="128"/>
      <c r="D8" s="114"/>
      <c r="E8" s="114"/>
      <c r="F8" s="114"/>
      <c r="G8" s="114"/>
      <c r="H8" s="114"/>
      <c r="I8" s="114"/>
      <c r="J8" s="114"/>
      <c r="K8" s="114"/>
      <c r="L8" s="114"/>
      <c r="M8" s="114"/>
      <c r="N8" s="114"/>
      <c r="O8" s="114"/>
      <c r="P8" s="114"/>
      <c r="Q8" s="114"/>
      <c r="R8" s="114"/>
      <c r="S8" s="114"/>
      <c r="T8" s="114"/>
      <c r="U8" s="114"/>
      <c r="V8" s="114"/>
      <c r="W8" s="114"/>
      <c r="X8" s="114"/>
      <c r="Y8" s="114"/>
      <c r="Z8" s="114"/>
      <c r="AA8" s="114"/>
      <c r="AB8" s="114"/>
      <c r="AC8" s="114"/>
      <c r="AD8" s="114"/>
    </row>
    <row r="9" spans="1:30" s="98" customFormat="1" ht="18" customHeight="1" x14ac:dyDescent="0.25">
      <c r="D9" s="160" t="s">
        <v>37</v>
      </c>
      <c r="E9" s="152"/>
      <c r="F9" s="152"/>
      <c r="G9" s="152"/>
      <c r="H9" s="152"/>
      <c r="I9" s="152"/>
      <c r="J9" s="152"/>
      <c r="K9" s="152"/>
      <c r="L9" s="152"/>
      <c r="M9" s="152"/>
      <c r="N9" s="152"/>
      <c r="O9" s="152"/>
      <c r="P9" s="152"/>
      <c r="Q9" s="152"/>
      <c r="R9" s="152"/>
      <c r="S9" s="152"/>
      <c r="T9" s="152"/>
      <c r="U9" s="152"/>
      <c r="V9" s="152"/>
      <c r="W9" s="152"/>
      <c r="X9" s="152"/>
      <c r="Y9" s="152"/>
      <c r="Z9" s="152"/>
      <c r="AA9" s="152"/>
      <c r="AB9" s="152"/>
      <c r="AC9" s="152"/>
      <c r="AD9" s="152"/>
    </row>
    <row r="10" spans="1:30" x14ac:dyDescent="0.2">
      <c r="C10" s="157"/>
      <c r="D10" s="158"/>
      <c r="E10" s="158"/>
      <c r="F10" s="158"/>
      <c r="G10" s="158"/>
      <c r="H10" s="158"/>
      <c r="I10" s="158"/>
      <c r="J10" s="158"/>
      <c r="K10" s="158"/>
      <c r="L10" s="158"/>
      <c r="M10" s="158"/>
      <c r="N10" s="158"/>
      <c r="O10" s="158"/>
      <c r="P10" s="158"/>
      <c r="Q10" s="158"/>
      <c r="R10" s="158"/>
      <c r="S10" s="158"/>
      <c r="T10" s="158"/>
      <c r="U10" s="158"/>
      <c r="V10" s="158"/>
      <c r="W10" s="158"/>
      <c r="X10" s="158"/>
      <c r="Y10" s="158"/>
      <c r="Z10" s="158"/>
      <c r="AA10" s="158"/>
      <c r="AB10" s="158"/>
      <c r="AC10" s="158"/>
      <c r="AD10" s="158"/>
    </row>
    <row r="11" spans="1:30" x14ac:dyDescent="0.2">
      <c r="B11" s="163"/>
      <c r="C11" s="155" t="s">
        <v>38</v>
      </c>
      <c r="D11" s="153" t="s">
        <v>27</v>
      </c>
      <c r="E11" s="153" t="s">
        <v>28</v>
      </c>
      <c r="F11" s="153" t="s">
        <v>29</v>
      </c>
      <c r="G11" s="153" t="s">
        <v>30</v>
      </c>
      <c r="H11" s="153">
        <v>2004</v>
      </c>
      <c r="I11" s="153" t="s">
        <v>31</v>
      </c>
      <c r="J11" s="153" t="s">
        <v>32</v>
      </c>
      <c r="K11" s="153" t="s">
        <v>33</v>
      </c>
      <c r="L11" s="153" t="s">
        <v>34</v>
      </c>
      <c r="M11" s="153" t="s">
        <v>35</v>
      </c>
      <c r="N11" s="153">
        <v>2010</v>
      </c>
      <c r="O11" s="153">
        <v>2011</v>
      </c>
      <c r="P11" s="153">
        <v>2012</v>
      </c>
      <c r="Q11" s="153">
        <v>2013</v>
      </c>
      <c r="R11" s="153">
        <v>2014</v>
      </c>
      <c r="S11" s="153">
        <v>2015</v>
      </c>
      <c r="T11" s="153">
        <v>2016</v>
      </c>
      <c r="U11" s="153">
        <v>2017</v>
      </c>
      <c r="V11" s="153">
        <v>2018</v>
      </c>
      <c r="W11" s="153">
        <v>2019</v>
      </c>
      <c r="X11" s="153">
        <v>2020</v>
      </c>
      <c r="Y11" s="153">
        <v>2021</v>
      </c>
      <c r="Z11" s="153">
        <v>2022</v>
      </c>
      <c r="AA11" s="153">
        <v>2023</v>
      </c>
      <c r="AB11" s="153">
        <v>2024</v>
      </c>
      <c r="AC11" s="153">
        <v>2025</v>
      </c>
      <c r="AD11" s="153" t="s">
        <v>36</v>
      </c>
    </row>
    <row r="12" spans="1:30" ht="12" customHeight="1" thickBot="1" x14ac:dyDescent="0.25">
      <c r="B12" s="154"/>
      <c r="C12" s="156"/>
      <c r="D12" s="154"/>
      <c r="E12" s="154"/>
      <c r="F12" s="154"/>
      <c r="G12" s="154"/>
      <c r="H12" s="154"/>
      <c r="I12" s="154"/>
      <c r="J12" s="154"/>
      <c r="K12" s="154"/>
      <c r="L12" s="154"/>
      <c r="M12" s="154"/>
      <c r="N12" s="154"/>
      <c r="O12" s="154"/>
      <c r="P12" s="154"/>
      <c r="Q12" s="154"/>
      <c r="R12" s="154"/>
      <c r="S12" s="154"/>
      <c r="T12" s="154"/>
      <c r="U12" s="154"/>
      <c r="V12" s="154"/>
      <c r="W12" s="154"/>
      <c r="X12" s="154"/>
      <c r="Y12" s="154"/>
      <c r="Z12" s="154"/>
      <c r="AA12" s="154"/>
      <c r="AB12" s="154"/>
      <c r="AC12" s="154"/>
      <c r="AD12" s="154"/>
    </row>
    <row r="13" spans="1:30" x14ac:dyDescent="0.2">
      <c r="B13" s="34" t="s">
        <v>39</v>
      </c>
      <c r="C13" s="76" t="s">
        <v>40</v>
      </c>
      <c r="D13" s="35">
        <f t="shared" ref="D13:AD13" si="0">+D27+D46</f>
        <v>95943.017435011934</v>
      </c>
      <c r="E13" s="35">
        <f t="shared" si="0"/>
        <v>100782.70841119144</v>
      </c>
      <c r="F13" s="35">
        <f t="shared" si="0"/>
        <v>104530.42921593226</v>
      </c>
      <c r="G13" s="35">
        <f t="shared" si="0"/>
        <v>104905.67723836239</v>
      </c>
      <c r="H13" s="35">
        <f t="shared" si="0"/>
        <v>122456.11370540928</v>
      </c>
      <c r="I13" s="35">
        <f t="shared" si="0"/>
        <v>131972.30424043364</v>
      </c>
      <c r="J13" s="35">
        <f t="shared" si="0"/>
        <v>133212.19774574033</v>
      </c>
      <c r="K13" s="35">
        <f t="shared" si="0"/>
        <v>137802.13070965087</v>
      </c>
      <c r="L13" s="35">
        <f t="shared" si="0"/>
        <v>144745.77808256334</v>
      </c>
      <c r="M13" s="35">
        <f t="shared" si="0"/>
        <v>162875.42402274284</v>
      </c>
      <c r="N13" s="35">
        <f t="shared" si="0"/>
        <v>180029.2244837546</v>
      </c>
      <c r="O13" s="35">
        <f t="shared" si="0"/>
        <v>171666.1069026941</v>
      </c>
      <c r="P13" s="35">
        <f t="shared" si="0"/>
        <v>183403.16619493792</v>
      </c>
      <c r="Q13" s="35">
        <f t="shared" si="0"/>
        <v>198957.38090133312</v>
      </c>
      <c r="R13" s="35">
        <f t="shared" si="0"/>
        <v>212407.16729080689</v>
      </c>
      <c r="S13" s="35">
        <f t="shared" si="0"/>
        <v>204299.419984098</v>
      </c>
      <c r="T13" s="35">
        <f t="shared" si="0"/>
        <v>206769.2221546431</v>
      </c>
      <c r="U13" s="35">
        <f t="shared" si="0"/>
        <v>225078.53704024811</v>
      </c>
      <c r="V13" s="35">
        <f t="shared" si="0"/>
        <v>230420.47782359301</v>
      </c>
      <c r="W13" s="35">
        <f t="shared" si="0"/>
        <v>237070.75097867177</v>
      </c>
      <c r="X13" s="35">
        <f t="shared" si="0"/>
        <v>315460.78678001446</v>
      </c>
      <c r="Y13" s="35">
        <f t="shared" si="0"/>
        <v>301554.15323845536</v>
      </c>
      <c r="Z13" s="35">
        <f t="shared" si="0"/>
        <v>263372.32518972666</v>
      </c>
      <c r="AA13" s="35">
        <f t="shared" si="0"/>
        <v>298060.61887747102</v>
      </c>
      <c r="AB13" s="35">
        <f t="shared" si="0"/>
        <v>314578.2945334168</v>
      </c>
      <c r="AC13" s="35">
        <f t="shared" si="0"/>
        <v>329840.07114521012</v>
      </c>
      <c r="AD13" s="35">
        <f t="shared" si="0"/>
        <v>358166.14840307803</v>
      </c>
    </row>
    <row r="14" spans="1:30" x14ac:dyDescent="0.2">
      <c r="B14" s="34" t="s">
        <v>41</v>
      </c>
      <c r="C14" s="76" t="s">
        <v>42</v>
      </c>
      <c r="D14" s="35">
        <f t="shared" ref="D14:AD14" si="1">+D15+D16</f>
        <v>60075.088443094857</v>
      </c>
      <c r="E14" s="35">
        <f t="shared" si="1"/>
        <v>72184.165806214063</v>
      </c>
      <c r="F14" s="35">
        <f t="shared" si="1"/>
        <v>72388.722267519828</v>
      </c>
      <c r="G14" s="35">
        <f t="shared" si="1"/>
        <v>80930.901975623798</v>
      </c>
      <c r="H14" s="35">
        <f t="shared" si="1"/>
        <v>75443.408493805517</v>
      </c>
      <c r="I14" s="35">
        <f t="shared" si="1"/>
        <v>84446.467036813119</v>
      </c>
      <c r="J14" s="35">
        <f t="shared" si="1"/>
        <v>99708.16545708901</v>
      </c>
      <c r="K14" s="35">
        <f t="shared" si="1"/>
        <v>95280.883308692108</v>
      </c>
      <c r="L14" s="35">
        <f t="shared" si="1"/>
        <v>87509.851555070374</v>
      </c>
      <c r="M14" s="35">
        <f t="shared" si="1"/>
        <v>81710.637856573041</v>
      </c>
      <c r="N14" s="35">
        <f t="shared" si="1"/>
        <v>85308.441892317074</v>
      </c>
      <c r="O14" s="35">
        <f t="shared" si="1"/>
        <v>72544.37275099961</v>
      </c>
      <c r="P14" s="35">
        <f t="shared" si="1"/>
        <v>73280.542754101712</v>
      </c>
      <c r="Q14" s="35">
        <f t="shared" si="1"/>
        <v>87936.513513450467</v>
      </c>
      <c r="R14" s="35">
        <f t="shared" si="1"/>
        <v>77996.930048656955</v>
      </c>
      <c r="S14" s="35">
        <f t="shared" si="1"/>
        <v>83798.433128115823</v>
      </c>
      <c r="T14" s="35">
        <f t="shared" si="1"/>
        <v>78785.230590799969</v>
      </c>
      <c r="U14" s="35">
        <f t="shared" si="1"/>
        <v>81038.561705346146</v>
      </c>
      <c r="V14" s="35">
        <f t="shared" si="1"/>
        <v>75278.859009681822</v>
      </c>
      <c r="W14" s="35">
        <f t="shared" si="1"/>
        <v>78582.697000050626</v>
      </c>
      <c r="X14" s="35">
        <f t="shared" si="1"/>
        <v>79837.63955720322</v>
      </c>
      <c r="Y14" s="35">
        <f t="shared" si="1"/>
        <v>99425.157744641503</v>
      </c>
      <c r="Z14" s="35">
        <f t="shared" si="1"/>
        <v>89320.449254617823</v>
      </c>
      <c r="AA14" s="35">
        <f t="shared" si="1"/>
        <v>89529.104546659175</v>
      </c>
      <c r="AB14" s="35">
        <f t="shared" si="1"/>
        <v>102379.49892175748</v>
      </c>
      <c r="AC14" s="35">
        <f t="shared" si="1"/>
        <v>116157.05507914322</v>
      </c>
      <c r="AD14" s="35">
        <f t="shared" si="1"/>
        <v>100449.70846832701</v>
      </c>
    </row>
    <row r="15" spans="1:30" x14ac:dyDescent="0.2">
      <c r="B15" s="32"/>
      <c r="C15" s="77" t="s">
        <v>43</v>
      </c>
      <c r="D15" s="33">
        <f t="shared" ref="D15:AD15" si="2">+D29+D48</f>
        <v>18607.153353298745</v>
      </c>
      <c r="E15" s="33">
        <f t="shared" si="2"/>
        <v>26759.919581455051</v>
      </c>
      <c r="F15" s="33">
        <f t="shared" si="2"/>
        <v>30247.60934085173</v>
      </c>
      <c r="G15" s="33">
        <f t="shared" si="2"/>
        <v>39515.065704751047</v>
      </c>
      <c r="H15" s="33">
        <f t="shared" si="2"/>
        <v>26393.263641609738</v>
      </c>
      <c r="I15" s="33">
        <f t="shared" si="2"/>
        <v>35060.350884725362</v>
      </c>
      <c r="J15" s="33">
        <f t="shared" si="2"/>
        <v>27198.367813244491</v>
      </c>
      <c r="K15" s="33">
        <f t="shared" si="2"/>
        <v>18698.037591899301</v>
      </c>
      <c r="L15" s="33">
        <f t="shared" si="2"/>
        <v>18437.38991086241</v>
      </c>
      <c r="M15" s="33">
        <f t="shared" si="2"/>
        <v>18245.495853467866</v>
      </c>
      <c r="N15" s="33">
        <f t="shared" si="2"/>
        <v>18437.860113643197</v>
      </c>
      <c r="O15" s="33">
        <f t="shared" si="2"/>
        <v>14495.506512011583</v>
      </c>
      <c r="P15" s="33">
        <f t="shared" si="2"/>
        <v>13205.901640279215</v>
      </c>
      <c r="Q15" s="33">
        <f t="shared" si="2"/>
        <v>13938.167071247619</v>
      </c>
      <c r="R15" s="33">
        <f t="shared" si="2"/>
        <v>17164.955174070052</v>
      </c>
      <c r="S15" s="33">
        <f t="shared" si="2"/>
        <v>19868.179299163236</v>
      </c>
      <c r="T15" s="33">
        <f t="shared" si="2"/>
        <v>16324.519745562624</v>
      </c>
      <c r="U15" s="33">
        <f t="shared" si="2"/>
        <v>23345.814529210671</v>
      </c>
      <c r="V15" s="33">
        <f t="shared" si="2"/>
        <v>17550.668067666324</v>
      </c>
      <c r="W15" s="33">
        <f t="shared" si="2"/>
        <v>21785.09119912859</v>
      </c>
      <c r="X15" s="33">
        <f t="shared" si="2"/>
        <v>22327.198196694211</v>
      </c>
      <c r="Y15" s="33">
        <f t="shared" si="2"/>
        <v>35539.334820121454</v>
      </c>
      <c r="Z15" s="33">
        <f t="shared" si="2"/>
        <v>20921.970426761705</v>
      </c>
      <c r="AA15" s="33">
        <f t="shared" si="2"/>
        <v>30274.711384718317</v>
      </c>
      <c r="AB15" s="33">
        <f t="shared" si="2"/>
        <v>40395.303021221087</v>
      </c>
      <c r="AC15" s="33">
        <f t="shared" si="2"/>
        <v>55515.988624900769</v>
      </c>
      <c r="AD15" s="33">
        <f t="shared" si="2"/>
        <v>38406.044999037003</v>
      </c>
    </row>
    <row r="16" spans="1:30" x14ac:dyDescent="0.2">
      <c r="B16" s="32"/>
      <c r="C16" s="77" t="s">
        <v>44</v>
      </c>
      <c r="D16" s="33">
        <f t="shared" ref="D16:AD16" si="3">+D30+D49</f>
        <v>41467.935089796112</v>
      </c>
      <c r="E16" s="33">
        <f t="shared" si="3"/>
        <v>45424.246224759016</v>
      </c>
      <c r="F16" s="33">
        <f t="shared" si="3"/>
        <v>42141.112926668102</v>
      </c>
      <c r="G16" s="33">
        <f t="shared" si="3"/>
        <v>41415.836270872751</v>
      </c>
      <c r="H16" s="33">
        <f t="shared" si="3"/>
        <v>49050.144852195779</v>
      </c>
      <c r="I16" s="33">
        <f t="shared" si="3"/>
        <v>49386.116152087758</v>
      </c>
      <c r="J16" s="33">
        <f t="shared" si="3"/>
        <v>72509.797643844518</v>
      </c>
      <c r="K16" s="33">
        <f t="shared" si="3"/>
        <v>76582.845716792814</v>
      </c>
      <c r="L16" s="33">
        <f t="shared" si="3"/>
        <v>69072.461644207957</v>
      </c>
      <c r="M16" s="33">
        <f t="shared" si="3"/>
        <v>63465.142003105182</v>
      </c>
      <c r="N16" s="33">
        <f t="shared" si="3"/>
        <v>66870.581778673877</v>
      </c>
      <c r="O16" s="33">
        <f t="shared" si="3"/>
        <v>58048.866238988019</v>
      </c>
      <c r="P16" s="33">
        <f t="shared" si="3"/>
        <v>60074.641113822501</v>
      </c>
      <c r="Q16" s="33">
        <f t="shared" si="3"/>
        <v>73998.346442202848</v>
      </c>
      <c r="R16" s="33">
        <f t="shared" si="3"/>
        <v>60831.974874586907</v>
      </c>
      <c r="S16" s="33">
        <f t="shared" si="3"/>
        <v>63930.253828952584</v>
      </c>
      <c r="T16" s="33">
        <f t="shared" si="3"/>
        <v>62460.71084523735</v>
      </c>
      <c r="U16" s="33">
        <f t="shared" si="3"/>
        <v>57692.747176135475</v>
      </c>
      <c r="V16" s="33">
        <f t="shared" si="3"/>
        <v>57728.190942015492</v>
      </c>
      <c r="W16" s="33">
        <f t="shared" si="3"/>
        <v>56797.605800922029</v>
      </c>
      <c r="X16" s="33">
        <f t="shared" si="3"/>
        <v>57510.441360509001</v>
      </c>
      <c r="Y16" s="33">
        <f t="shared" si="3"/>
        <v>63885.822924520042</v>
      </c>
      <c r="Z16" s="33">
        <f t="shared" si="3"/>
        <v>68398.478827856117</v>
      </c>
      <c r="AA16" s="33">
        <f t="shared" si="3"/>
        <v>59254.393161940861</v>
      </c>
      <c r="AB16" s="33">
        <f t="shared" si="3"/>
        <v>61984.195900536382</v>
      </c>
      <c r="AC16" s="33">
        <f t="shared" si="3"/>
        <v>60641.066454242449</v>
      </c>
      <c r="AD16" s="33">
        <f t="shared" si="3"/>
        <v>62043.663469289997</v>
      </c>
    </row>
    <row r="17" spans="2:30" x14ac:dyDescent="0.2">
      <c r="B17" s="34" t="s">
        <v>45</v>
      </c>
      <c r="C17" s="76" t="s">
        <v>46</v>
      </c>
      <c r="D17" s="35">
        <f t="shared" ref="D17:AD17" si="4">+D31+D50</f>
        <v>27667.884143548014</v>
      </c>
      <c r="E17" s="35">
        <f t="shared" si="4"/>
        <v>38671.732439935869</v>
      </c>
      <c r="F17" s="35">
        <f t="shared" si="4"/>
        <v>33516.419190854947</v>
      </c>
      <c r="G17" s="35">
        <f t="shared" si="4"/>
        <v>26530.634573605752</v>
      </c>
      <c r="H17" s="35">
        <f t="shared" si="4"/>
        <v>31356.754460154982</v>
      </c>
      <c r="I17" s="35">
        <f t="shared" si="4"/>
        <v>33712.314849448783</v>
      </c>
      <c r="J17" s="35">
        <f t="shared" si="4"/>
        <v>38371.707197132477</v>
      </c>
      <c r="K17" s="35">
        <f t="shared" si="4"/>
        <v>50868.9642945835</v>
      </c>
      <c r="L17" s="35">
        <f t="shared" si="4"/>
        <v>49714.244508707532</v>
      </c>
      <c r="M17" s="35">
        <f t="shared" si="4"/>
        <v>68815.898485367856</v>
      </c>
      <c r="N17" s="35">
        <f t="shared" si="4"/>
        <v>54927.363488901487</v>
      </c>
      <c r="O17" s="35">
        <f t="shared" si="4"/>
        <v>67748.923174292722</v>
      </c>
      <c r="P17" s="35">
        <f t="shared" si="4"/>
        <v>76640.171209205233</v>
      </c>
      <c r="Q17" s="35">
        <f t="shared" si="4"/>
        <v>86169.049479367313</v>
      </c>
      <c r="R17" s="35">
        <f t="shared" si="4"/>
        <v>84724.960070151952</v>
      </c>
      <c r="S17" s="35">
        <f t="shared" si="4"/>
        <v>82213.829121511109</v>
      </c>
      <c r="T17" s="35">
        <f t="shared" si="4"/>
        <v>69397.788272314225</v>
      </c>
      <c r="U17" s="35">
        <f t="shared" si="4"/>
        <v>65500.046721906037</v>
      </c>
      <c r="V17" s="35">
        <f t="shared" si="4"/>
        <v>60659.260128135902</v>
      </c>
      <c r="W17" s="35">
        <f t="shared" si="4"/>
        <v>63244.403201505789</v>
      </c>
      <c r="X17" s="35">
        <f t="shared" si="4"/>
        <v>65170.236951824896</v>
      </c>
      <c r="Y17" s="35">
        <f t="shared" si="4"/>
        <v>83989.7611508665</v>
      </c>
      <c r="Z17" s="35">
        <f t="shared" si="4"/>
        <v>86849.763027706984</v>
      </c>
      <c r="AA17" s="35">
        <f t="shared" si="4"/>
        <v>95050.226789446591</v>
      </c>
      <c r="AB17" s="35">
        <f t="shared" si="4"/>
        <v>98226.711446896443</v>
      </c>
      <c r="AC17" s="35">
        <f t="shared" si="4"/>
        <v>80583.666925493773</v>
      </c>
      <c r="AD17" s="35">
        <f t="shared" si="4"/>
        <v>88400.742916215007</v>
      </c>
    </row>
    <row r="18" spans="2:30" ht="14.25" customHeight="1" x14ac:dyDescent="0.2">
      <c r="B18" s="36" t="s">
        <v>47</v>
      </c>
      <c r="C18" s="78" t="s">
        <v>48</v>
      </c>
      <c r="D18" s="37">
        <f t="shared" ref="D18:M19" si="5">+D13+D17</f>
        <v>123610.90157855995</v>
      </c>
      <c r="E18" s="37">
        <f t="shared" si="5"/>
        <v>139454.44085112732</v>
      </c>
      <c r="F18" s="37">
        <f t="shared" si="5"/>
        <v>138046.84840678721</v>
      </c>
      <c r="G18" s="37">
        <f t="shared" si="5"/>
        <v>131436.31181196813</v>
      </c>
      <c r="H18" s="37">
        <f t="shared" si="5"/>
        <v>153812.86816556426</v>
      </c>
      <c r="I18" s="37">
        <f t="shared" si="5"/>
        <v>165684.61908988241</v>
      </c>
      <c r="J18" s="37">
        <f t="shared" si="5"/>
        <v>171583.90494287282</v>
      </c>
      <c r="K18" s="37">
        <f t="shared" si="5"/>
        <v>188671.09500423438</v>
      </c>
      <c r="L18" s="37">
        <f t="shared" si="5"/>
        <v>194460.02259127086</v>
      </c>
      <c r="M18" s="37">
        <f t="shared" si="5"/>
        <v>231691.32250811069</v>
      </c>
      <c r="N18" s="37">
        <f t="shared" ref="N18:W19" si="6">+N13+N17</f>
        <v>234956.5879726561</v>
      </c>
      <c r="O18" s="37">
        <f t="shared" si="6"/>
        <v>239415.03007698682</v>
      </c>
      <c r="P18" s="37">
        <f t="shared" si="6"/>
        <v>260043.33740414315</v>
      </c>
      <c r="Q18" s="37">
        <f t="shared" si="6"/>
        <v>285126.43038070045</v>
      </c>
      <c r="R18" s="37">
        <f t="shared" si="6"/>
        <v>297132.12736095884</v>
      </c>
      <c r="S18" s="37">
        <f t="shared" si="6"/>
        <v>286513.24910560914</v>
      </c>
      <c r="T18" s="37">
        <f t="shared" si="6"/>
        <v>276167.01042695733</v>
      </c>
      <c r="U18" s="37">
        <f t="shared" si="6"/>
        <v>290578.58376215416</v>
      </c>
      <c r="V18" s="37">
        <f t="shared" si="6"/>
        <v>291079.73795172892</v>
      </c>
      <c r="W18" s="37">
        <f t="shared" si="6"/>
        <v>300315.15418017755</v>
      </c>
      <c r="X18" s="37">
        <f t="shared" ref="X18:AD19" si="7">+X13+X17</f>
        <v>380631.02373183938</v>
      </c>
      <c r="Y18" s="37">
        <f t="shared" si="7"/>
        <v>385543.91438932187</v>
      </c>
      <c r="Z18" s="37">
        <f t="shared" si="7"/>
        <v>350222.08821743366</v>
      </c>
      <c r="AA18" s="37">
        <f t="shared" si="7"/>
        <v>393110.84566691762</v>
      </c>
      <c r="AB18" s="37">
        <f t="shared" si="7"/>
        <v>412805.00598031323</v>
      </c>
      <c r="AC18" s="37">
        <f t="shared" si="7"/>
        <v>410423.73807070393</v>
      </c>
      <c r="AD18" s="37">
        <f t="shared" si="7"/>
        <v>446566.89131929306</v>
      </c>
    </row>
    <row r="19" spans="2:30" ht="14.25" customHeight="1" x14ac:dyDescent="0.2">
      <c r="B19" s="38" t="s">
        <v>49</v>
      </c>
      <c r="C19" s="78" t="s">
        <v>50</v>
      </c>
      <c r="D19" s="39">
        <f t="shared" si="5"/>
        <v>183685.99002165481</v>
      </c>
      <c r="E19" s="39">
        <f t="shared" si="5"/>
        <v>211638.60665734138</v>
      </c>
      <c r="F19" s="39">
        <f t="shared" si="5"/>
        <v>210435.57067430703</v>
      </c>
      <c r="G19" s="39">
        <f t="shared" si="5"/>
        <v>212367.21378759193</v>
      </c>
      <c r="H19" s="39">
        <f t="shared" si="5"/>
        <v>229256.27665936976</v>
      </c>
      <c r="I19" s="39">
        <f t="shared" si="5"/>
        <v>250131.08612669553</v>
      </c>
      <c r="J19" s="39">
        <f t="shared" si="5"/>
        <v>271292.07039996184</v>
      </c>
      <c r="K19" s="39">
        <f t="shared" si="5"/>
        <v>283951.97831292648</v>
      </c>
      <c r="L19" s="39">
        <f t="shared" si="5"/>
        <v>281969.87414634123</v>
      </c>
      <c r="M19" s="39">
        <f t="shared" si="5"/>
        <v>313401.96036468376</v>
      </c>
      <c r="N19" s="39">
        <f t="shared" si="6"/>
        <v>320265.02986497316</v>
      </c>
      <c r="O19" s="39">
        <f t="shared" si="6"/>
        <v>311959.4028279864</v>
      </c>
      <c r="P19" s="39">
        <f t="shared" si="6"/>
        <v>333323.88015824487</v>
      </c>
      <c r="Q19" s="39">
        <f t="shared" si="6"/>
        <v>373062.9438941509</v>
      </c>
      <c r="R19" s="39">
        <f t="shared" si="6"/>
        <v>375129.05740961578</v>
      </c>
      <c r="S19" s="39">
        <f t="shared" si="6"/>
        <v>370311.68223372498</v>
      </c>
      <c r="T19" s="39">
        <f t="shared" si="6"/>
        <v>354952.24101775733</v>
      </c>
      <c r="U19" s="39">
        <f t="shared" si="6"/>
        <v>371617.14546750032</v>
      </c>
      <c r="V19" s="39">
        <f t="shared" si="6"/>
        <v>366358.59696141072</v>
      </c>
      <c r="W19" s="39">
        <f t="shared" si="6"/>
        <v>378897.85118022817</v>
      </c>
      <c r="X19" s="39">
        <f t="shared" si="7"/>
        <v>460468.6632890426</v>
      </c>
      <c r="Y19" s="39">
        <f t="shared" si="7"/>
        <v>484969.07213396335</v>
      </c>
      <c r="Z19" s="39">
        <f t="shared" si="7"/>
        <v>439542.53747205145</v>
      </c>
      <c r="AA19" s="39">
        <f t="shared" si="7"/>
        <v>482639.95021357678</v>
      </c>
      <c r="AB19" s="39">
        <f t="shared" si="7"/>
        <v>515184.50490207074</v>
      </c>
      <c r="AC19" s="39">
        <f t="shared" si="7"/>
        <v>526580.79314984719</v>
      </c>
      <c r="AD19" s="39">
        <f t="shared" si="7"/>
        <v>547016.59978762013</v>
      </c>
    </row>
    <row r="20" spans="2:30" x14ac:dyDescent="0.2">
      <c r="B20" s="72" t="s">
        <v>51</v>
      </c>
      <c r="R20" s="8"/>
    </row>
    <row r="21" spans="2:30" x14ac:dyDescent="0.2">
      <c r="B21" s="1" t="s">
        <v>52</v>
      </c>
      <c r="R21" s="8"/>
    </row>
    <row r="22" spans="2:30" x14ac:dyDescent="0.2">
      <c r="B22" s="1"/>
      <c r="R22" s="8"/>
    </row>
    <row r="23" spans="2:30" ht="18" customHeight="1" x14ac:dyDescent="0.2">
      <c r="C23" s="131"/>
      <c r="D23" s="160" t="s">
        <v>53</v>
      </c>
      <c r="E23" s="158"/>
      <c r="F23" s="158"/>
      <c r="G23" s="158"/>
      <c r="H23" s="158"/>
      <c r="I23" s="158"/>
      <c r="J23" s="158"/>
      <c r="K23" s="158"/>
      <c r="L23" s="158"/>
      <c r="M23" s="158"/>
      <c r="N23" s="158"/>
      <c r="O23" s="158"/>
      <c r="P23" s="158"/>
      <c r="Q23" s="158"/>
      <c r="R23" s="158"/>
      <c r="S23" s="158"/>
      <c r="T23" s="158"/>
      <c r="U23" s="158"/>
      <c r="V23" s="158"/>
      <c r="W23" s="158"/>
      <c r="X23" s="158"/>
      <c r="Y23" s="158"/>
      <c r="Z23" s="158"/>
      <c r="AA23" s="158"/>
      <c r="AB23" s="158"/>
      <c r="AC23" s="158"/>
      <c r="AD23" s="158"/>
    </row>
    <row r="24" spans="2:30" x14ac:dyDescent="0.2">
      <c r="B24" s="157"/>
      <c r="C24" s="158"/>
      <c r="D24" s="158"/>
      <c r="E24" s="158"/>
      <c r="F24" s="158"/>
      <c r="G24" s="158"/>
      <c r="H24" s="158"/>
      <c r="I24" s="158"/>
      <c r="J24" s="158"/>
      <c r="K24" s="158"/>
      <c r="L24" s="158"/>
      <c r="M24" s="158"/>
      <c r="N24" s="158"/>
      <c r="O24" s="158"/>
      <c r="P24" s="158"/>
      <c r="Q24" s="158"/>
      <c r="R24" s="158"/>
      <c r="S24" s="158"/>
      <c r="T24" s="158"/>
      <c r="U24" s="158"/>
      <c r="V24" s="158"/>
      <c r="W24" s="158"/>
      <c r="X24" s="158"/>
      <c r="Y24" s="158"/>
      <c r="Z24" s="158"/>
      <c r="AA24" s="158"/>
      <c r="AB24" s="158"/>
      <c r="AC24" s="158"/>
      <c r="AD24" s="158"/>
    </row>
    <row r="25" spans="2:30" x14ac:dyDescent="0.2">
      <c r="B25" s="163"/>
      <c r="C25" s="155" t="s">
        <v>38</v>
      </c>
      <c r="D25" s="153" t="s">
        <v>27</v>
      </c>
      <c r="E25" s="153" t="s">
        <v>28</v>
      </c>
      <c r="F25" s="153" t="s">
        <v>29</v>
      </c>
      <c r="G25" s="153" t="s">
        <v>30</v>
      </c>
      <c r="H25" s="153">
        <v>2004</v>
      </c>
      <c r="I25" s="153" t="s">
        <v>31</v>
      </c>
      <c r="J25" s="153" t="s">
        <v>32</v>
      </c>
      <c r="K25" s="153" t="s">
        <v>33</v>
      </c>
      <c r="L25" s="153" t="s">
        <v>34</v>
      </c>
      <c r="M25" s="153" t="s">
        <v>35</v>
      </c>
      <c r="N25" s="153">
        <v>2010</v>
      </c>
      <c r="O25" s="153">
        <v>2011</v>
      </c>
      <c r="P25" s="153">
        <v>2012</v>
      </c>
      <c r="Q25" s="153">
        <v>2013</v>
      </c>
      <c r="R25" s="153">
        <v>2014</v>
      </c>
      <c r="S25" s="153">
        <v>2015</v>
      </c>
      <c r="T25" s="153">
        <v>2016</v>
      </c>
      <c r="U25" s="153">
        <v>2017</v>
      </c>
      <c r="V25" s="153">
        <v>2018</v>
      </c>
      <c r="W25" s="153">
        <v>2019</v>
      </c>
      <c r="X25" s="153">
        <v>2020</v>
      </c>
      <c r="Y25" s="153">
        <v>2021</v>
      </c>
      <c r="Z25" s="153">
        <v>2022</v>
      </c>
      <c r="AA25" s="153">
        <v>2023</v>
      </c>
      <c r="AB25" s="153">
        <v>2024</v>
      </c>
      <c r="AC25" s="153">
        <v>2025</v>
      </c>
      <c r="AD25" s="153" t="s">
        <v>36</v>
      </c>
    </row>
    <row r="26" spans="2:30" ht="12" customHeight="1" thickBot="1" x14ac:dyDescent="0.25">
      <c r="B26" s="154"/>
      <c r="C26" s="156"/>
      <c r="D26" s="154"/>
      <c r="E26" s="154"/>
      <c r="F26" s="154"/>
      <c r="G26" s="154"/>
      <c r="H26" s="154"/>
      <c r="I26" s="154"/>
      <c r="J26" s="154"/>
      <c r="K26" s="154"/>
      <c r="L26" s="154"/>
      <c r="M26" s="154"/>
      <c r="N26" s="154"/>
      <c r="O26" s="154"/>
      <c r="P26" s="154"/>
      <c r="Q26" s="154"/>
      <c r="R26" s="154"/>
      <c r="S26" s="154"/>
      <c r="T26" s="154"/>
      <c r="U26" s="154"/>
      <c r="V26" s="154"/>
      <c r="W26" s="154"/>
      <c r="X26" s="154"/>
      <c r="Y26" s="154"/>
      <c r="Z26" s="154"/>
      <c r="AA26" s="154"/>
      <c r="AB26" s="154"/>
      <c r="AC26" s="154"/>
      <c r="AD26" s="154"/>
    </row>
    <row r="27" spans="2:30" x14ac:dyDescent="0.2">
      <c r="B27" s="34" t="s">
        <v>39</v>
      </c>
      <c r="C27" s="76" t="s">
        <v>40</v>
      </c>
      <c r="D27" s="35">
        <f>24624.058214003*Deflactores!$A$5</f>
        <v>89399.099330566038</v>
      </c>
      <c r="E27" s="35">
        <f>27903.5422457542*Deflactores!$B$5</f>
        <v>94107.808711745995</v>
      </c>
      <c r="F27" s="35">
        <f>31051.6495802533*Deflactores!$C$5</f>
        <v>97881.437924106329</v>
      </c>
      <c r="G27" s="35">
        <f>33240.8601535007*Deflactores!$D$5</f>
        <v>98395.114786574632</v>
      </c>
      <c r="H27" s="35">
        <f>39137.8888526023*Deflactores!$E$5</f>
        <v>109814.23484579167</v>
      </c>
      <c r="I27" s="35">
        <f>44992.0890386328*Deflactores!$F$5</f>
        <v>120394.75660439588</v>
      </c>
      <c r="J27" s="35">
        <f>49274.0349259904*Deflactores!$G$5</f>
        <v>126201.61304812111</v>
      </c>
      <c r="K27" s="35">
        <f>54094.0402412814*Deflactores!$H$5</f>
        <v>131082.27474914578</v>
      </c>
      <c r="L27" s="35">
        <f>61379.630372517*Deflactores!$I$5</f>
        <v>138135.87194533861</v>
      </c>
      <c r="M27" s="35">
        <f>70099.835293442*Deflactores!$J$5</f>
        <v>154664.74589285901</v>
      </c>
      <c r="N27" s="35">
        <f>79059.3018448911*Deflactores!$K$5</f>
        <v>169070.84929289969</v>
      </c>
      <c r="O27" s="35">
        <f>78195.918324145*Deflactores!$L$5</f>
        <v>161216.44655369842</v>
      </c>
      <c r="P27" s="35">
        <f>86113.9407639059*Deflactores!$M$5</f>
        <v>173312.20762761534</v>
      </c>
      <c r="Q27" s="35">
        <f>95291.720963454*Deflactores!$N$5</f>
        <v>188133.5417255119</v>
      </c>
      <c r="R27" s="35">
        <f>106016.736742201*Deflactores!$O$5</f>
        <v>201917.65266116231</v>
      </c>
      <c r="S27" s="35">
        <f>108631.880046319*Deflactores!$P$5</f>
        <v>193779.53507697184</v>
      </c>
      <c r="T27" s="35">
        <f>116955.517493496*Deflactores!$Q$5</f>
        <v>197283.58566288391</v>
      </c>
      <c r="U27" s="35">
        <f>132991.642817151*Deflactores!$R$5</f>
        <v>215519.00832880088</v>
      </c>
      <c r="V27" s="35">
        <f>140635.922359453*Deflactores!$S$5</f>
        <v>220882.8369288542</v>
      </c>
      <c r="W27" s="35">
        <f>150153.646139681*Deflactores!$T$5</f>
        <v>227197.85912714674</v>
      </c>
      <c r="X27" s="35">
        <f>205166.440089547*Deflactores!$U$5</f>
        <v>305518.99993388791</v>
      </c>
      <c r="Y27" s="35">
        <f>205343.450850703*Deflactores!$V$5</f>
        <v>289512.01622458349</v>
      </c>
      <c r="Z27" s="35">
        <f>202823.239448963*Deflactores!$W$5</f>
        <v>252792.42505243912</v>
      </c>
      <c r="AA27" s="35">
        <f>250994.411505787*Deflactores!$X$5</f>
        <v>286265.9585391166</v>
      </c>
      <c r="AB27" s="35">
        <f>276692.862798945*Deflactores!$Y$5</f>
        <v>299976.94084225409</v>
      </c>
      <c r="AC27" s="35">
        <f>307210.35149333*Deflactores!$Z$5</f>
        <v>316900.58745983575</v>
      </c>
      <c r="AD27" s="35">
        <f>344510.622806865*Deflactores!$AA$5</f>
        <v>344510.62280686502</v>
      </c>
    </row>
    <row r="28" spans="2:30" x14ac:dyDescent="0.2">
      <c r="B28" s="34" t="s">
        <v>41</v>
      </c>
      <c r="C28" s="76" t="s">
        <v>42</v>
      </c>
      <c r="D28" s="35">
        <f t="shared" ref="D28:AD28" si="8">+D29+D30</f>
        <v>59932.753885746439</v>
      </c>
      <c r="E28" s="35">
        <f t="shared" si="8"/>
        <v>72170.883432701434</v>
      </c>
      <c r="F28" s="35">
        <f t="shared" si="8"/>
        <v>72374.026005525724</v>
      </c>
      <c r="G28" s="35">
        <f t="shared" si="8"/>
        <v>80916.9192604704</v>
      </c>
      <c r="H28" s="35">
        <f t="shared" si="8"/>
        <v>75432.14421154256</v>
      </c>
      <c r="I28" s="35">
        <f t="shared" si="8"/>
        <v>84435.240899534634</v>
      </c>
      <c r="J28" s="35">
        <f t="shared" si="8"/>
        <v>99700.484872420493</v>
      </c>
      <c r="K28" s="35">
        <f t="shared" si="8"/>
        <v>95273.964668568369</v>
      </c>
      <c r="L28" s="35">
        <f t="shared" si="8"/>
        <v>87504.590522609156</v>
      </c>
      <c r="M28" s="35">
        <f t="shared" si="8"/>
        <v>81701.82415169297</v>
      </c>
      <c r="N28" s="35">
        <f t="shared" si="8"/>
        <v>85303.58849387418</v>
      </c>
      <c r="O28" s="35">
        <f t="shared" si="8"/>
        <v>72540.474902871632</v>
      </c>
      <c r="P28" s="35">
        <f t="shared" si="8"/>
        <v>73278.086989635805</v>
      </c>
      <c r="Q28" s="35">
        <f t="shared" si="8"/>
        <v>87933.792941108215</v>
      </c>
      <c r="R28" s="35">
        <f t="shared" si="8"/>
        <v>77994.923761141894</v>
      </c>
      <c r="S28" s="35">
        <f t="shared" si="8"/>
        <v>83795.630689209531</v>
      </c>
      <c r="T28" s="35">
        <f t="shared" si="8"/>
        <v>78783.058294622722</v>
      </c>
      <c r="U28" s="35">
        <f t="shared" si="8"/>
        <v>81036.057800493814</v>
      </c>
      <c r="V28" s="35">
        <f t="shared" si="8"/>
        <v>75276.837971505011</v>
      </c>
      <c r="W28" s="35">
        <f t="shared" si="8"/>
        <v>78580.705757145115</v>
      </c>
      <c r="X28" s="35">
        <f t="shared" si="8"/>
        <v>79835.90472359804</v>
      </c>
      <c r="Y28" s="35">
        <f t="shared" si="8"/>
        <v>99423.347443766106</v>
      </c>
      <c r="Z28" s="35">
        <f t="shared" si="8"/>
        <v>89298.988069185987</v>
      </c>
      <c r="AA28" s="35">
        <f t="shared" si="8"/>
        <v>89469.101550901934</v>
      </c>
      <c r="AB28" s="35">
        <f t="shared" si="8"/>
        <v>102379.49892175748</v>
      </c>
      <c r="AC28" s="35">
        <f t="shared" si="8"/>
        <v>116157.05507914322</v>
      </c>
      <c r="AD28" s="35">
        <f t="shared" si="8"/>
        <v>100449.70846832701</v>
      </c>
    </row>
    <row r="29" spans="2:30" x14ac:dyDescent="0.2">
      <c r="B29" s="32"/>
      <c r="C29" s="77" t="s">
        <v>43</v>
      </c>
      <c r="D29" s="33">
        <f>5118.685043496*Deflactores!$A$5</f>
        <v>18583.68871078912</v>
      </c>
      <c r="E29" s="33">
        <f>7930.94681748399*Deflactores!$B$5</f>
        <v>26748.002795823555</v>
      </c>
      <c r="F29" s="33">
        <f>9592.132325261*Deflactores!$C$5</f>
        <v>30236.451764930338</v>
      </c>
      <c r="G29" s="33">
        <f>13345.9083405457*Deflactores!$D$5</f>
        <v>39504.759414620734</v>
      </c>
      <c r="H29" s="33">
        <f>9403.76372765699*Deflactores!$E$5</f>
        <v>26385.355692342084</v>
      </c>
      <c r="I29" s="33">
        <f>13099.977408416*Deflactores!$F$5</f>
        <v>35054.353449893853</v>
      </c>
      <c r="J29" s="33">
        <f>10617.952448106*Deflactores!$G$5</f>
        <v>27194.905556890313</v>
      </c>
      <c r="K29" s="33">
        <f>7714.89399035686*Deflactores!$H$5</f>
        <v>18694.958801260651</v>
      </c>
      <c r="L29" s="33">
        <f>8191.355017661*Deflactores!$I$5</f>
        <v>18434.779761806283</v>
      </c>
      <c r="M29" s="33">
        <f>8268.53668593*Deflactores!$J$5</f>
        <v>18243.282884785684</v>
      </c>
      <c r="N29" s="33">
        <f>8620.58365653199*Deflactores!$K$5</f>
        <v>18435.394269858945</v>
      </c>
      <c r="O29" s="33">
        <f>7029.92120042*Deflactores!$L$5</f>
        <v>14493.581503655991</v>
      </c>
      <c r="P29" s="33">
        <f>6561.469324138*Deflactores!$M$5</f>
        <v>13205.559097161613</v>
      </c>
      <c r="Q29" s="33">
        <f>7059.316775695*Deflactores!$N$5</f>
        <v>13937.142217036546</v>
      </c>
      <c r="R29" s="33">
        <f>9012.280235977*Deflactores!$O$5</f>
        <v>17164.633870952726</v>
      </c>
      <c r="S29" s="33">
        <f>11137.815655388*Deflactores!$P$5</f>
        <v>19867.839335504887</v>
      </c>
      <c r="T29" s="33">
        <f>9677.42432937875*Deflactores!$Q$5</f>
        <v>16324.129144118759</v>
      </c>
      <c r="U29" s="33">
        <f>14405.848663066*Deflactores!$R$5</f>
        <v>23345.333227197119</v>
      </c>
      <c r="V29" s="33">
        <f>11174.35506334*Deflactores!$S$5</f>
        <v>17550.446613008906</v>
      </c>
      <c r="W29" s="33">
        <f>14397.630715367*Deflactores!$T$5</f>
        <v>21785.09119912859</v>
      </c>
      <c r="X29" s="33">
        <f>14993.475928439*Deflactores!$U$5</f>
        <v>22327.198196694211</v>
      </c>
      <c r="Y29" s="33">
        <f>25207.139061341*Deflactores!$V$5</f>
        <v>35539.334820121454</v>
      </c>
      <c r="Z29" s="33">
        <f>16786.348786879*Deflactores!$W$5</f>
        <v>20921.970426761705</v>
      </c>
      <c r="AA29" s="33">
        <f>26544.48823148*Deflactores!$X$5</f>
        <v>30274.711384718317</v>
      </c>
      <c r="AB29" s="33">
        <f>37259.837390135*Deflactores!$Y$5</f>
        <v>40395.303021221087</v>
      </c>
      <c r="AC29" s="33">
        <f>53818.412*Deflactores!$Z$5</f>
        <v>55515.988624900769</v>
      </c>
      <c r="AD29" s="33">
        <f>38406.044999037*Deflactores!$AA$5</f>
        <v>38406.044999037003</v>
      </c>
    </row>
    <row r="30" spans="2:30" x14ac:dyDescent="0.2">
      <c r="B30" s="32"/>
      <c r="C30" s="77" t="s">
        <v>44</v>
      </c>
      <c r="D30" s="33">
        <f>11389.172772288*Deflactores!$A$5</f>
        <v>41349.065174957323</v>
      </c>
      <c r="E30" s="33">
        <f>13468.162590601*Deflactores!$B$5</f>
        <v>45422.880636877875</v>
      </c>
      <c r="F30" s="33">
        <f>13367.6130758867*Deflactores!$C$5</f>
        <v>42137.574240595386</v>
      </c>
      <c r="G30" s="33">
        <f>13990.2861750422*Deflactores!$D$5</f>
        <v>41412.159845849659</v>
      </c>
      <c r="H30" s="33">
        <f>17480.318105728*Deflactores!$E$5</f>
        <v>49046.788519200476</v>
      </c>
      <c r="I30" s="33">
        <f>18453.870813007*Deflactores!$F$5</f>
        <v>49380.887449640781</v>
      </c>
      <c r="J30" s="33">
        <f>28309.007795014*Deflactores!$G$5</f>
        <v>72505.57931553018</v>
      </c>
      <c r="K30" s="33">
        <f>31602.0440822451*Deflactores!$H$5</f>
        <v>76579.005867307715</v>
      </c>
      <c r="L30" s="33">
        <f>30690.648234192*Deflactores!$I$5</f>
        <v>69069.81076080288</v>
      </c>
      <c r="M30" s="33">
        <f>28761.7793252889*Deflactores!$J$5</f>
        <v>63458.54126690729</v>
      </c>
      <c r="N30" s="33">
        <f>31268.268735202*Deflactores!$K$5</f>
        <v>66868.194224015242</v>
      </c>
      <c r="O30" s="33">
        <f>28154.882657729*Deflactores!$L$5</f>
        <v>58046.893399215645</v>
      </c>
      <c r="P30" s="33">
        <f>29848.342360197*Deflactores!$M$5</f>
        <v>60072.527892474194</v>
      </c>
      <c r="Q30" s="33">
        <f>37480.122514869*Deflactores!$N$5</f>
        <v>73996.650724071675</v>
      </c>
      <c r="R30" s="33">
        <f>31938.905510466*Deflactores!$O$5</f>
        <v>60830.289890189175</v>
      </c>
      <c r="S30" s="33">
        <f>35837.613911104*Deflactores!$P$5</f>
        <v>63927.791353704641</v>
      </c>
      <c r="T30" s="33">
        <f>37027.4919544972*Deflactores!$Q$5</f>
        <v>62458.929150503958</v>
      </c>
      <c r="U30" s="33">
        <f>35599.570988232*Deflactores!$R$5</f>
        <v>57690.724573296699</v>
      </c>
      <c r="V30" s="33">
        <f>36754.346358743*Deflactores!$S$5</f>
        <v>57726.391358496105</v>
      </c>
      <c r="W30" s="33">
        <f>37535.866946077*Deflactores!$T$5</f>
        <v>56795.614558016525</v>
      </c>
      <c r="X30" s="33">
        <f>38619.060008813*Deflactores!$U$5</f>
        <v>57508.706526903821</v>
      </c>
      <c r="Y30" s="33">
        <f>45311.292351171*Deflactores!$V$5</f>
        <v>63884.012623644645</v>
      </c>
      <c r="Z30" s="33">
        <f>54861.011833003*Deflactores!$W$5</f>
        <v>68377.017642424282</v>
      </c>
      <c r="AA30" s="33">
        <f>51900.900826722*Deflactores!$X$5</f>
        <v>59194.390166183621</v>
      </c>
      <c r="AB30" s="33">
        <f>57173.009911548*Deflactores!$Y$5</f>
        <v>61984.195900536382</v>
      </c>
      <c r="AC30" s="33">
        <f>58786.774394034*Deflactores!$Z$5</f>
        <v>60641.066454242449</v>
      </c>
      <c r="AD30" s="33">
        <f>62043.66346929*Deflactores!$AA$5</f>
        <v>62043.663469289997</v>
      </c>
    </row>
    <row r="31" spans="2:30" x14ac:dyDescent="0.2">
      <c r="B31" s="34" t="s">
        <v>45</v>
      </c>
      <c r="C31" s="76" t="s">
        <v>46</v>
      </c>
      <c r="D31" s="35">
        <f>5282.46193920199*Deflactores!$A$5</f>
        <v>19178.290414538562</v>
      </c>
      <c r="E31" s="35">
        <f>8682.710599852*Deflactores!$B$5</f>
        <v>29283.410007009159</v>
      </c>
      <c r="F31" s="35">
        <f>7691.33760007117*Deflactores!$C$5</f>
        <v>24244.74042543185</v>
      </c>
      <c r="G31" s="35">
        <f>6270.8732041031*Deflactores!$D$5</f>
        <v>18562.193814494265</v>
      </c>
      <c r="H31" s="35">
        <f>7963.9756075135*Deflactores!$E$5</f>
        <v>22345.556015127117</v>
      </c>
      <c r="I31" s="35">
        <f>9163.73950241747*Deflactores!$F$5</f>
        <v>24521.337207354634</v>
      </c>
      <c r="J31" s="35">
        <f>10749.1531497432*Deflactores!$G$5</f>
        <v>27530.939336233321</v>
      </c>
      <c r="K31" s="35">
        <f>16125.835038255*Deflactores!$H$5</f>
        <v>39076.599374265388</v>
      </c>
      <c r="L31" s="35">
        <f>16219.0159494324*Deflactores!$I$5</f>
        <v>36501.163279623783</v>
      </c>
      <c r="M31" s="35">
        <f>23698.743583883*Deflactores!$J$5</f>
        <v>52287.714215559499</v>
      </c>
      <c r="N31" s="35">
        <f>18202.9908133394*Deflactores!$K$5</f>
        <v>38927.678902606203</v>
      </c>
      <c r="O31" s="35">
        <f>25037.590831207*Deflactores!$L$5</f>
        <v>51619.975960129988</v>
      </c>
      <c r="P31" s="35">
        <f>29848.254958601*Deflactores!$M$5</f>
        <v>60072.351988742252</v>
      </c>
      <c r="Q31" s="35">
        <f>34723.8330709731*Deflactores!$N$5</f>
        <v>68554.934593247992</v>
      </c>
      <c r="R31" s="35">
        <f>38578.938422624*Deflactores!$O$5</f>
        <v>73476.782325398322</v>
      </c>
      <c r="S31" s="35">
        <f>39728.7584789163*Deflactores!$P$5</f>
        <v>70868.886223336347</v>
      </c>
      <c r="T31" s="35">
        <f>33408.0358796063*Deflactores!$Q$5</f>
        <v>56353.537221102306</v>
      </c>
      <c r="U31" s="35">
        <f>31702.147465306*Deflactores!$R$5</f>
        <v>51374.772420925598</v>
      </c>
      <c r="V31" s="35">
        <f>30951.1046466839*Deflactores!$S$5</f>
        <v>48611.817562284821</v>
      </c>
      <c r="W31" s="35">
        <f>33469.222870768*Deflactores!$T$5</f>
        <v>50642.365193143894</v>
      </c>
      <c r="X31" s="35">
        <f>35633.088244153*Deflactores!$U$5</f>
        <v>53062.213684450733</v>
      </c>
      <c r="Y31" s="35">
        <f>49377.4964657*Deflactores!$V$5</f>
        <v>69616.919841775962</v>
      </c>
      <c r="Z31" s="35">
        <f>59291.241905104*Deflactores!$W$5</f>
        <v>73898.715286684936</v>
      </c>
      <c r="AA31" s="35">
        <f>71954.415677339*Deflactores!$X$5</f>
        <v>82065.969721881935</v>
      </c>
      <c r="AB31" s="35">
        <f>77085.675691022*Deflactores!$Y$5</f>
        <v>83572.539394894222</v>
      </c>
      <c r="AC31" s="35">
        <f>64335.7862965803*Deflactores!$Z$5</f>
        <v>66365.109030251551</v>
      </c>
      <c r="AD31" s="35">
        <f>72398.834419034*Deflactores!$AA$5</f>
        <v>72398.834419033999</v>
      </c>
    </row>
    <row r="32" spans="2:30" x14ac:dyDescent="0.2">
      <c r="B32" s="36" t="s">
        <v>47</v>
      </c>
      <c r="C32" s="78" t="s">
        <v>48</v>
      </c>
      <c r="D32" s="37">
        <f t="shared" ref="D32:M33" si="9">+D27+D31</f>
        <v>108577.38974510459</v>
      </c>
      <c r="E32" s="37">
        <f t="shared" si="9"/>
        <v>123391.21871875515</v>
      </c>
      <c r="F32" s="37">
        <f t="shared" si="9"/>
        <v>122126.17834953818</v>
      </c>
      <c r="G32" s="37">
        <f t="shared" si="9"/>
        <v>116957.3086010689</v>
      </c>
      <c r="H32" s="37">
        <f t="shared" si="9"/>
        <v>132159.79086091879</v>
      </c>
      <c r="I32" s="37">
        <f t="shared" si="9"/>
        <v>144916.09381175053</v>
      </c>
      <c r="J32" s="37">
        <f t="shared" si="9"/>
        <v>153732.55238435444</v>
      </c>
      <c r="K32" s="37">
        <f t="shared" si="9"/>
        <v>170158.87412341117</v>
      </c>
      <c r="L32" s="37">
        <f t="shared" si="9"/>
        <v>174637.0352249624</v>
      </c>
      <c r="M32" s="37">
        <f t="shared" si="9"/>
        <v>206952.46010841851</v>
      </c>
      <c r="N32" s="37">
        <f t="shared" ref="N32:W33" si="10">+N27+N31</f>
        <v>207998.5281955059</v>
      </c>
      <c r="O32" s="37">
        <f t="shared" si="10"/>
        <v>212836.42251382841</v>
      </c>
      <c r="P32" s="37">
        <f t="shared" si="10"/>
        <v>233384.55961635758</v>
      </c>
      <c r="Q32" s="37">
        <f t="shared" si="10"/>
        <v>256688.4763187599</v>
      </c>
      <c r="R32" s="37">
        <f t="shared" si="10"/>
        <v>275394.43498656061</v>
      </c>
      <c r="S32" s="37">
        <f t="shared" si="10"/>
        <v>264648.4213003082</v>
      </c>
      <c r="T32" s="37">
        <f t="shared" si="10"/>
        <v>253637.12288398622</v>
      </c>
      <c r="U32" s="37">
        <f t="shared" si="10"/>
        <v>266893.78074972646</v>
      </c>
      <c r="V32" s="37">
        <f t="shared" si="10"/>
        <v>269494.65449113899</v>
      </c>
      <c r="W32" s="37">
        <f t="shared" si="10"/>
        <v>277840.22432029061</v>
      </c>
      <c r="X32" s="37">
        <f t="shared" ref="X32:AD33" si="11">+X27+X31</f>
        <v>358581.21361833863</v>
      </c>
      <c r="Y32" s="37">
        <f t="shared" si="11"/>
        <v>359128.93606635946</v>
      </c>
      <c r="Z32" s="37">
        <f t="shared" si="11"/>
        <v>326691.14033912407</v>
      </c>
      <c r="AA32" s="37">
        <f t="shared" si="11"/>
        <v>368331.92826099857</v>
      </c>
      <c r="AB32" s="37">
        <f t="shared" si="11"/>
        <v>383549.48023714829</v>
      </c>
      <c r="AC32" s="37">
        <f t="shared" si="11"/>
        <v>383265.69649008731</v>
      </c>
      <c r="AD32" s="37">
        <f t="shared" si="11"/>
        <v>416909.45722589904</v>
      </c>
    </row>
    <row r="33" spans="2:30" x14ac:dyDescent="0.2">
      <c r="B33" s="38" t="s">
        <v>49</v>
      </c>
      <c r="C33" s="78" t="s">
        <v>50</v>
      </c>
      <c r="D33" s="39">
        <f t="shared" si="9"/>
        <v>168510.14363085103</v>
      </c>
      <c r="E33" s="39">
        <f t="shared" si="9"/>
        <v>195562.10215145658</v>
      </c>
      <c r="F33" s="39">
        <f t="shared" si="9"/>
        <v>194500.20435506391</v>
      </c>
      <c r="G33" s="39">
        <f t="shared" si="9"/>
        <v>197874.22786153929</v>
      </c>
      <c r="H33" s="39">
        <f t="shared" si="9"/>
        <v>207591.93507246135</v>
      </c>
      <c r="I33" s="39">
        <f t="shared" si="9"/>
        <v>229351.33471128516</v>
      </c>
      <c r="J33" s="39">
        <f t="shared" si="9"/>
        <v>253433.03725677493</v>
      </c>
      <c r="K33" s="39">
        <f t="shared" si="9"/>
        <v>265432.83879197954</v>
      </c>
      <c r="L33" s="39">
        <f t="shared" si="9"/>
        <v>262141.62574757155</v>
      </c>
      <c r="M33" s="39">
        <f t="shared" si="9"/>
        <v>288654.28426011151</v>
      </c>
      <c r="N33" s="39">
        <f t="shared" si="10"/>
        <v>293302.11668938008</v>
      </c>
      <c r="O33" s="39">
        <f t="shared" si="10"/>
        <v>285376.89741670003</v>
      </c>
      <c r="P33" s="39">
        <f t="shared" si="10"/>
        <v>306662.64660599339</v>
      </c>
      <c r="Q33" s="39">
        <f t="shared" si="10"/>
        <v>344622.26925986813</v>
      </c>
      <c r="R33" s="39">
        <f t="shared" si="10"/>
        <v>353389.3587477025</v>
      </c>
      <c r="S33" s="39">
        <f t="shared" si="10"/>
        <v>348444.05198951776</v>
      </c>
      <c r="T33" s="39">
        <f t="shared" si="10"/>
        <v>332420.18117860891</v>
      </c>
      <c r="U33" s="39">
        <f t="shared" si="10"/>
        <v>347929.83855022024</v>
      </c>
      <c r="V33" s="39">
        <f t="shared" si="10"/>
        <v>344771.492462644</v>
      </c>
      <c r="W33" s="39">
        <f t="shared" si="10"/>
        <v>356420.93007743574</v>
      </c>
      <c r="X33" s="39">
        <f t="shared" si="11"/>
        <v>438417.11834193667</v>
      </c>
      <c r="Y33" s="39">
        <f t="shared" si="11"/>
        <v>458552.28351012559</v>
      </c>
      <c r="Z33" s="39">
        <f t="shared" si="11"/>
        <v>415990.12840831006</v>
      </c>
      <c r="AA33" s="39">
        <f t="shared" si="11"/>
        <v>457801.02981190052</v>
      </c>
      <c r="AB33" s="39">
        <f t="shared" si="11"/>
        <v>485928.9791589058</v>
      </c>
      <c r="AC33" s="39">
        <f t="shared" si="11"/>
        <v>499422.75156923052</v>
      </c>
      <c r="AD33" s="39">
        <f t="shared" si="11"/>
        <v>517359.16569422605</v>
      </c>
    </row>
    <row r="34" spans="2:30" x14ac:dyDescent="0.2">
      <c r="B34" s="72" t="str">
        <f>+B20</f>
        <v>* Información con corte a 28 de febrero</v>
      </c>
    </row>
    <row r="35" spans="2:30" x14ac:dyDescent="0.2">
      <c r="B35" s="1" t="s">
        <v>52</v>
      </c>
      <c r="AB35" s="8"/>
    </row>
    <row r="37" spans="2:30" x14ac:dyDescent="0.2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</row>
    <row r="38" spans="2:30" x14ac:dyDescent="0.2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</row>
    <row r="39" spans="2:30" x14ac:dyDescent="0.2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</row>
    <row r="42" spans="2:30" ht="18" customHeight="1" x14ac:dyDescent="0.2">
      <c r="C42" s="131"/>
      <c r="D42" s="160" t="s">
        <v>54</v>
      </c>
      <c r="E42" s="158"/>
      <c r="F42" s="158"/>
      <c r="G42" s="158"/>
      <c r="H42" s="158"/>
      <c r="I42" s="158"/>
      <c r="J42" s="158"/>
      <c r="K42" s="158"/>
      <c r="L42" s="158"/>
      <c r="M42" s="158"/>
      <c r="N42" s="158"/>
      <c r="O42" s="158"/>
      <c r="P42" s="158"/>
      <c r="Q42" s="158"/>
      <c r="R42" s="158"/>
      <c r="S42" s="158"/>
      <c r="T42" s="158"/>
      <c r="U42" s="158"/>
      <c r="V42" s="158"/>
      <c r="W42" s="158"/>
      <c r="X42" s="158"/>
      <c r="Y42" s="158"/>
      <c r="Z42" s="158"/>
      <c r="AA42" s="158"/>
      <c r="AB42" s="158"/>
      <c r="AC42" s="158"/>
      <c r="AD42" s="158"/>
    </row>
    <row r="43" spans="2:30" x14ac:dyDescent="0.2">
      <c r="B43" s="157"/>
      <c r="C43" s="158"/>
      <c r="D43" s="158"/>
      <c r="E43" s="158"/>
      <c r="F43" s="158"/>
      <c r="G43" s="158"/>
      <c r="H43" s="158"/>
      <c r="I43" s="158"/>
      <c r="J43" s="158"/>
      <c r="K43" s="158"/>
      <c r="L43" s="158"/>
      <c r="M43" s="158"/>
      <c r="N43" s="158"/>
      <c r="O43" s="158"/>
      <c r="P43" s="158"/>
      <c r="Q43" s="158"/>
      <c r="R43" s="158"/>
      <c r="S43" s="158"/>
      <c r="T43" s="158"/>
      <c r="U43" s="158"/>
      <c r="V43" s="158"/>
      <c r="W43" s="158"/>
      <c r="X43" s="158"/>
      <c r="Y43" s="158"/>
      <c r="Z43" s="158"/>
      <c r="AA43" s="158"/>
      <c r="AB43" s="158"/>
      <c r="AC43" s="158"/>
      <c r="AD43" s="158"/>
    </row>
    <row r="44" spans="2:30" x14ac:dyDescent="0.2">
      <c r="B44" s="163"/>
      <c r="C44" s="155" t="s">
        <v>38</v>
      </c>
      <c r="D44" s="153" t="s">
        <v>27</v>
      </c>
      <c r="E44" s="153" t="s">
        <v>28</v>
      </c>
      <c r="F44" s="153" t="s">
        <v>29</v>
      </c>
      <c r="G44" s="153" t="s">
        <v>30</v>
      </c>
      <c r="H44" s="153">
        <v>2004</v>
      </c>
      <c r="I44" s="153" t="s">
        <v>31</v>
      </c>
      <c r="J44" s="153" t="s">
        <v>32</v>
      </c>
      <c r="K44" s="153" t="s">
        <v>33</v>
      </c>
      <c r="L44" s="153" t="s">
        <v>34</v>
      </c>
      <c r="M44" s="153" t="s">
        <v>35</v>
      </c>
      <c r="N44" s="153">
        <v>2010</v>
      </c>
      <c r="O44" s="153">
        <v>2011</v>
      </c>
      <c r="P44" s="153">
        <v>2012</v>
      </c>
      <c r="Q44" s="153">
        <v>2013</v>
      </c>
      <c r="R44" s="153">
        <v>2014</v>
      </c>
      <c r="S44" s="153">
        <v>2015</v>
      </c>
      <c r="T44" s="153">
        <v>2016</v>
      </c>
      <c r="U44" s="153">
        <v>2017</v>
      </c>
      <c r="V44" s="153">
        <v>2018</v>
      </c>
      <c r="W44" s="153">
        <v>2019</v>
      </c>
      <c r="X44" s="153">
        <v>2020</v>
      </c>
      <c r="Y44" s="153">
        <v>2021</v>
      </c>
      <c r="Z44" s="153">
        <v>2022</v>
      </c>
      <c r="AA44" s="153">
        <v>2023</v>
      </c>
      <c r="AB44" s="153">
        <v>2024</v>
      </c>
      <c r="AC44" s="153">
        <v>2025</v>
      </c>
      <c r="AD44" s="153" t="s">
        <v>36</v>
      </c>
    </row>
    <row r="45" spans="2:30" ht="12" customHeight="1" thickBot="1" x14ac:dyDescent="0.25">
      <c r="B45" s="154"/>
      <c r="C45" s="156"/>
      <c r="D45" s="154"/>
      <c r="E45" s="154"/>
      <c r="F45" s="154"/>
      <c r="G45" s="154"/>
      <c r="H45" s="154"/>
      <c r="I45" s="154"/>
      <c r="J45" s="154"/>
      <c r="K45" s="154"/>
      <c r="L45" s="154"/>
      <c r="M45" s="154"/>
      <c r="N45" s="154"/>
      <c r="O45" s="154"/>
      <c r="P45" s="154"/>
      <c r="Q45" s="154"/>
      <c r="R45" s="154"/>
      <c r="S45" s="154"/>
      <c r="T45" s="154"/>
      <c r="U45" s="154"/>
      <c r="V45" s="154"/>
      <c r="W45" s="154"/>
      <c r="X45" s="154"/>
      <c r="Y45" s="154"/>
      <c r="Z45" s="154"/>
      <c r="AA45" s="154"/>
      <c r="AB45" s="154"/>
      <c r="AC45" s="154"/>
      <c r="AD45" s="154"/>
    </row>
    <row r="46" spans="2:30" x14ac:dyDescent="0.2">
      <c r="B46" s="34" t="s">
        <v>39</v>
      </c>
      <c r="C46" s="76" t="s">
        <v>40</v>
      </c>
      <c r="D46" s="35">
        <f>1802.45462826995*Deflactores!$A$5</f>
        <v>6543.9181044458901</v>
      </c>
      <c r="E46" s="35">
        <f>1979.1486838265*Deflactores!$B$5</f>
        <v>6674.8996994454501</v>
      </c>
      <c r="F46" s="35">
        <f>2109.30848621184*Deflactores!$C$5</f>
        <v>6648.9912918259424</v>
      </c>
      <c r="G46" s="35">
        <f>2199.46586220191*Deflactores!$D$5</f>
        <v>6510.5624517877523</v>
      </c>
      <c r="H46" s="35">
        <f>4505.57662574961*Deflactores!$E$5</f>
        <v>12641.878859617622</v>
      </c>
      <c r="I46" s="35">
        <f>4326.58421995269*Deflactores!$F$5</f>
        <v>11577.547636037771</v>
      </c>
      <c r="J46" s="35">
        <f>2737.20586368722*Deflactores!$G$5</f>
        <v>7010.584697619207</v>
      </c>
      <c r="K46" s="35">
        <f>2773.0992572323*Deflactores!$H$5</f>
        <v>6719.8559605050787</v>
      </c>
      <c r="L46" s="35">
        <f>2937.06182026656*Deflactores!$I$5</f>
        <v>6609.9061372247152</v>
      </c>
      <c r="M46" s="35">
        <f>3721.38577042655*Deflactores!$J$5</f>
        <v>8210.6781298838414</v>
      </c>
      <c r="N46" s="35">
        <f>5124.25113830518*Deflactores!$K$5</f>
        <v>10958.375190854913</v>
      </c>
      <c r="O46" s="35">
        <f>5068.47039884949*Deflactores!$L$5</f>
        <v>10449.660348995663</v>
      </c>
      <c r="P46" s="35">
        <f>5013.912292806*Deflactores!$M$5</f>
        <v>10090.95856732259</v>
      </c>
      <c r="Q46" s="35">
        <f>5482.39433030241*Deflactores!$N$5</f>
        <v>10823.839175821226</v>
      </c>
      <c r="R46" s="35">
        <f>5507.51306974952*Deflactores!$O$5</f>
        <v>10489.514629644578</v>
      </c>
      <c r="S46" s="35">
        <f>5897.397136793*Deflactores!$P$5</f>
        <v>10519.884907126176</v>
      </c>
      <c r="T46" s="35">
        <f>5623.364563865*Deflactores!$Q$5</f>
        <v>9485.6364917591945</v>
      </c>
      <c r="U46" s="35">
        <f>5898.9573019634*Deflactores!$R$5</f>
        <v>9559.5287114472376</v>
      </c>
      <c r="V46" s="35">
        <f>6072.60818909562*Deflactores!$S$5</f>
        <v>9537.6408947388209</v>
      </c>
      <c r="W46" s="35">
        <f>6524.9325638214*Deflactores!$T$5</f>
        <v>9872.8918515250152</v>
      </c>
      <c r="X46" s="35">
        <f>6676.249319323*Deflactores!$U$5</f>
        <v>9941.7868461265189</v>
      </c>
      <c r="Y46" s="35">
        <f>8541.179058099*Deflactores!$V$5</f>
        <v>12042.137013871872</v>
      </c>
      <c r="Z46" s="35">
        <f>8488.583542193*Deflactores!$W$5</f>
        <v>10579.900137287565</v>
      </c>
      <c r="AA46" s="35">
        <f>10341.410643597*Deflactores!$X$5</f>
        <v>11794.660338354437</v>
      </c>
      <c r="AB46" s="35">
        <f>13468.0030478485*Deflactores!$Y$5</f>
        <v>14601.353691162692</v>
      </c>
      <c r="AC46" s="35">
        <f>12543.818119712*Deflactores!$Z$5</f>
        <v>12939.483685374356</v>
      </c>
      <c r="AD46" s="35">
        <f>13655.525596213*Deflactores!$AA$5</f>
        <v>13655.525596213</v>
      </c>
    </row>
    <row r="47" spans="2:30" x14ac:dyDescent="0.2">
      <c r="B47" s="34" t="s">
        <v>41</v>
      </c>
      <c r="C47" s="76" t="s">
        <v>42</v>
      </c>
      <c r="D47" s="35">
        <f t="shared" ref="D47:AD47" si="12">+D48+D49</f>
        <v>142.33455734841249</v>
      </c>
      <c r="E47" s="35">
        <f t="shared" si="12"/>
        <v>13.282373512639058</v>
      </c>
      <c r="F47" s="35">
        <f t="shared" si="12"/>
        <v>14.696261994111</v>
      </c>
      <c r="G47" s="35">
        <f t="shared" si="12"/>
        <v>13.982715153404492</v>
      </c>
      <c r="H47" s="35">
        <f t="shared" si="12"/>
        <v>11.264282262956096</v>
      </c>
      <c r="I47" s="35">
        <f t="shared" si="12"/>
        <v>11.226137278484371</v>
      </c>
      <c r="J47" s="35">
        <f t="shared" si="12"/>
        <v>7.6805846685205017</v>
      </c>
      <c r="K47" s="35">
        <f t="shared" si="12"/>
        <v>6.918640123750027</v>
      </c>
      <c r="L47" s="35">
        <f t="shared" si="12"/>
        <v>5.26103246120568</v>
      </c>
      <c r="M47" s="35">
        <f t="shared" si="12"/>
        <v>8.8137048800741482</v>
      </c>
      <c r="N47" s="35">
        <f t="shared" si="12"/>
        <v>4.8533984428934049</v>
      </c>
      <c r="O47" s="35">
        <f t="shared" si="12"/>
        <v>3.8978481279669133</v>
      </c>
      <c r="P47" s="35">
        <f t="shared" si="12"/>
        <v>2.4557644659069511</v>
      </c>
      <c r="Q47" s="35">
        <f t="shared" si="12"/>
        <v>2.7205723422413728</v>
      </c>
      <c r="R47" s="35">
        <f t="shared" si="12"/>
        <v>2.0062875150598822</v>
      </c>
      <c r="S47" s="35">
        <f t="shared" si="12"/>
        <v>2.8024389062914277</v>
      </c>
      <c r="T47" s="35">
        <f t="shared" si="12"/>
        <v>2.172296177260935</v>
      </c>
      <c r="U47" s="35">
        <f t="shared" si="12"/>
        <v>2.5039048523272003</v>
      </c>
      <c r="V47" s="35">
        <f t="shared" si="12"/>
        <v>2.021038176806826</v>
      </c>
      <c r="W47" s="35">
        <f t="shared" si="12"/>
        <v>1.9912429055048477</v>
      </c>
      <c r="X47" s="35">
        <f t="shared" si="12"/>
        <v>1.7348336051823596</v>
      </c>
      <c r="Y47" s="35">
        <f t="shared" si="12"/>
        <v>1.8103008753984449</v>
      </c>
      <c r="Z47" s="35">
        <f t="shared" si="12"/>
        <v>21.461185431835716</v>
      </c>
      <c r="AA47" s="35">
        <f t="shared" si="12"/>
        <v>60.002995757241514</v>
      </c>
      <c r="AB47" s="35">
        <f t="shared" si="12"/>
        <v>0</v>
      </c>
      <c r="AC47" s="35">
        <f t="shared" si="12"/>
        <v>0</v>
      </c>
      <c r="AD47" s="35">
        <f t="shared" si="12"/>
        <v>0</v>
      </c>
    </row>
    <row r="48" spans="2:30" x14ac:dyDescent="0.2">
      <c r="B48" s="32"/>
      <c r="C48" s="77" t="s">
        <v>43</v>
      </c>
      <c r="D48" s="33">
        <f>6.463093336*Deflactores!$A$5</f>
        <v>23.464642509625328</v>
      </c>
      <c r="E48" s="33">
        <f>3.5334*Deflactores!$B$5</f>
        <v>11.916785631497362</v>
      </c>
      <c r="F48" s="33">
        <f>3.5396*Deflactores!$C$5</f>
        <v>11.157575921392983</v>
      </c>
      <c r="G48" s="33">
        <f>3.48177802999999*Deflactores!$D$5</f>
        <v>10.306290130315521</v>
      </c>
      <c r="H48" s="33">
        <f>2.8184*Deflactores!$E$5</f>
        <v>7.9079492676519356</v>
      </c>
      <c r="I48" s="33">
        <f>2.241269716*Deflactores!$F$5</f>
        <v>5.9974348315083965</v>
      </c>
      <c r="J48" s="33">
        <f>1.3518*Deflactores!$G$5</f>
        <v>3.4622563541770086</v>
      </c>
      <c r="K48" s="33">
        <f>1.270532*Deflactores!$H$5</f>
        <v>3.0787906386494104</v>
      </c>
      <c r="L48" s="33">
        <f>1.1598*Deflactores!$I$5</f>
        <v>2.6101490561262555</v>
      </c>
      <c r="M48" s="33">
        <f>1.003*Deflactores!$J$5</f>
        <v>2.2129686821824848</v>
      </c>
      <c r="N48" s="33">
        <f>1.153054408*Deflactores!$K$5</f>
        <v>2.4658437842514216</v>
      </c>
      <c r="O48" s="33">
        <f>0.9337*Deflactores!$L$5</f>
        <v>1.9250083555922497</v>
      </c>
      <c r="P48" s="33">
        <f>0.1702*Deflactores!$M$5</f>
        <v>0.34254311760151046</v>
      </c>
      <c r="Q48" s="33">
        <f>0.5191*Deflactores!$N$5</f>
        <v>1.0248542110722036</v>
      </c>
      <c r="R48" s="33">
        <f>0.1687*Deflactores!$O$5</f>
        <v>0.32130311732542477</v>
      </c>
      <c r="S48" s="33">
        <f>0.190582*Deflactores!$P$5</f>
        <v>0.33996365835050141</v>
      </c>
      <c r="T48" s="33">
        <f>0.231560035*Deflactores!$Q$5</f>
        <v>0.39060144386572759</v>
      </c>
      <c r="U48" s="33">
        <f>0.297*Deflactores!$R$5</f>
        <v>0.48130201355328356</v>
      </c>
      <c r="V48" s="33">
        <f>0.141*Deflactores!$S$5</f>
        <v>0.22145465741936046</v>
      </c>
      <c r="W48" s="33"/>
      <c r="X48" s="33">
        <f>0*Deflactores!$U$5</f>
        <v>0</v>
      </c>
      <c r="Y48" s="33">
        <f>0*Deflactores!$V$5</f>
        <v>0</v>
      </c>
      <c r="Z48" s="33">
        <f>0*Deflactores!$W$5</f>
        <v>0</v>
      </c>
      <c r="AA48" s="33">
        <f>0*Deflactores!$X$5</f>
        <v>0</v>
      </c>
      <c r="AB48" s="33">
        <f>0*Deflactores!$Y$5</f>
        <v>0</v>
      </c>
      <c r="AC48" s="33">
        <f>0*Deflactores!$Z$5</f>
        <v>0</v>
      </c>
      <c r="AD48" s="33">
        <f>0*Deflactores!$AA$5</f>
        <v>0</v>
      </c>
    </row>
    <row r="49" spans="2:30" x14ac:dyDescent="0.2">
      <c r="B49" s="32"/>
      <c r="C49" s="77" t="s">
        <v>44</v>
      </c>
      <c r="D49" s="33">
        <f>32.741489845*Deflactores!$A$5</f>
        <v>118.86991483878717</v>
      </c>
      <c r="E49" s="33">
        <f>0.404905179*Deflactores!$B$5</f>
        <v>1.3655878811416957</v>
      </c>
      <c r="F49" s="33">
        <f>1.12260345*Deflactores!$C$5</f>
        <v>3.5386860727180163</v>
      </c>
      <c r="G49" s="33">
        <f>1.242008105*Deflactores!$D$5</f>
        <v>3.6764250230889708</v>
      </c>
      <c r="H49" s="33">
        <f>1.1962*Deflactores!$E$5</f>
        <v>3.3563329953041601</v>
      </c>
      <c r="I49" s="33">
        <f>1.953990794*Deflactores!$F$5</f>
        <v>5.2287024469759746</v>
      </c>
      <c r="J49" s="33">
        <f>1.647*Deflactores!$G$5</f>
        <v>4.2183283143434931</v>
      </c>
      <c r="K49" s="33">
        <f>1.5846*Deflactores!$H$5</f>
        <v>3.8398494851006162</v>
      </c>
      <c r="L49" s="33">
        <f>1.1779*Deflactores!$I$5</f>
        <v>2.6508834050794245</v>
      </c>
      <c r="M49" s="33">
        <f>2.9917*Deflactores!$J$5</f>
        <v>6.6007361978916643</v>
      </c>
      <c r="N49" s="33">
        <f>1.11644559199999*Deflactores!$K$5</f>
        <v>2.3875546586419834</v>
      </c>
      <c r="O49" s="33">
        <f>0.9569*Deflactores!$L$5</f>
        <v>1.9728397723746638</v>
      </c>
      <c r="P49" s="33">
        <f>1.05*Deflactores!$M$5</f>
        <v>2.1132213483054407</v>
      </c>
      <c r="Q49" s="33">
        <f>0.8589*Deflactores!$N$5</f>
        <v>1.6957181311691691</v>
      </c>
      <c r="R49" s="33">
        <f>0.884699999999999*Deflactores!$O$5</f>
        <v>1.6849843977344576</v>
      </c>
      <c r="S49" s="33">
        <f>1.38045183999999*Deflactores!$P$5</f>
        <v>2.4624752479409264</v>
      </c>
      <c r="T49" s="33">
        <f>1.05624109*Deflactores!$Q$5</f>
        <v>1.7816947333952076</v>
      </c>
      <c r="U49" s="33">
        <f>1.2481*Deflactores!$R$5</f>
        <v>2.0226028387739166</v>
      </c>
      <c r="V49" s="33">
        <f>1.145793361*Deflactores!$S$5</f>
        <v>1.7995835193874654</v>
      </c>
      <c r="W49" s="33">
        <f>1.316*Deflactores!$T$5</f>
        <v>1.9912429055048477</v>
      </c>
      <c r="X49" s="33">
        <f>1.165*Deflactores!$U$5</f>
        <v>1.7348336051823596</v>
      </c>
      <c r="Y49" s="33">
        <f>1.284*Deflactores!$V$5</f>
        <v>1.8103008753984449</v>
      </c>
      <c r="Z49" s="33">
        <f>17.218977787*Deflactores!$W$5</f>
        <v>21.461185431835716</v>
      </c>
      <c r="AA49" s="33">
        <f>52.609876094*Deflactores!$X$5</f>
        <v>60.002995757241514</v>
      </c>
      <c r="AB49" s="33">
        <f>0*Deflactores!$Y$5</f>
        <v>0</v>
      </c>
      <c r="AC49" s="33">
        <f>0*Deflactores!$Z$5</f>
        <v>0</v>
      </c>
      <c r="AD49" s="33">
        <f>0*Deflactores!$AA$5</f>
        <v>0</v>
      </c>
    </row>
    <row r="50" spans="2:30" x14ac:dyDescent="0.2">
      <c r="B50" s="34" t="s">
        <v>45</v>
      </c>
      <c r="C50" s="76" t="s">
        <v>46</v>
      </c>
      <c r="D50" s="35">
        <f>2338.370875789*Deflactores!$A$5</f>
        <v>8489.5937290094516</v>
      </c>
      <c r="E50" s="35">
        <f>2783.69515994516*Deflactores!$B$5</f>
        <v>9388.3224329267086</v>
      </c>
      <c r="F50" s="35">
        <f>2941.322953059*Deflactores!$C$5</f>
        <v>9271.6787654230993</v>
      </c>
      <c r="G50" s="35">
        <f>2691.98146157578*Deflactores!$D$5</f>
        <v>7968.4407591114859</v>
      </c>
      <c r="H50" s="35">
        <f>3211.59896679605*Deflactores!$E$5</f>
        <v>9011.1984450278651</v>
      </c>
      <c r="I50" s="35">
        <f>3434.71174400036*Deflactores!$F$5</f>
        <v>9190.9776420941507</v>
      </c>
      <c r="J50" s="35">
        <f>4232.65884881217*Deflactores!$G$5</f>
        <v>10840.767860899155</v>
      </c>
      <c r="K50" s="35">
        <f>4866.383832294*Deflactores!$H$5</f>
        <v>11792.364920318112</v>
      </c>
      <c r="L50" s="35">
        <f>5871.13275141252*Deflactores!$I$5</f>
        <v>13213.081229083751</v>
      </c>
      <c r="M50" s="35">
        <f>7491.189982078*Deflactores!$J$5</f>
        <v>16528.18426980836</v>
      </c>
      <c r="N50" s="35">
        <f>7481.620269971*Deflactores!$K$5</f>
        <v>15999.684586295283</v>
      </c>
      <c r="O50" s="35">
        <f>7823.13384257*Deflactores!$L$5</f>
        <v>16128.947214162741</v>
      </c>
      <c r="P50" s="35">
        <f>8232.081412312*Deflactores!$M$5</f>
        <v>16567.819220462974</v>
      </c>
      <c r="Q50" s="35">
        <f>8921.74412575093*Deflactores!$N$5</f>
        <v>17614.114886119318</v>
      </c>
      <c r="R50" s="35">
        <f>5905.84866196*Deflactores!$O$5</f>
        <v>11248.177744753628</v>
      </c>
      <c r="S50" s="35">
        <f>6359.92069832*Deflactores!$P$5</f>
        <v>11344.942898174764</v>
      </c>
      <c r="T50" s="35">
        <f>7733.01603822476*Deflactores!$Q$5</f>
        <v>13044.251051211924</v>
      </c>
      <c r="U50" s="35">
        <f>8716.370073791*Deflactores!$R$5</f>
        <v>14125.274300980444</v>
      </c>
      <c r="V50" s="35">
        <f>7670.596868813*Deflactores!$S$5</f>
        <v>12047.442565851079</v>
      </c>
      <c r="W50" s="35">
        <f>8328.608214074*Deflactores!$T$5</f>
        <v>12602.038008361893</v>
      </c>
      <c r="X50" s="35">
        <f>8130.951040119*Deflactores!$U$5</f>
        <v>12108.023267374165</v>
      </c>
      <c r="Y50" s="35">
        <f>10194.287862127*Deflactores!$V$5</f>
        <v>14372.841309090536</v>
      </c>
      <c r="Z50" s="35">
        <f>10391.029147916*Deflactores!$W$5</f>
        <v>12951.047741022046</v>
      </c>
      <c r="AA50" s="35">
        <f>11384.434174935*Deflactores!$X$5</f>
        <v>12984.257067564651</v>
      </c>
      <c r="AB50" s="35">
        <f>13516.72167078*Deflactores!$Y$5</f>
        <v>14654.172052002226</v>
      </c>
      <c r="AC50" s="35">
        <f>13783.780597375*Deflactores!$Z$5</f>
        <v>14218.557895242217</v>
      </c>
      <c r="AD50" s="35">
        <f>16001.908497181*Deflactores!$AA$5</f>
        <v>16001.908497181001</v>
      </c>
    </row>
    <row r="51" spans="2:30" x14ac:dyDescent="0.2">
      <c r="B51" s="36" t="s">
        <v>47</v>
      </c>
      <c r="C51" s="78" t="s">
        <v>48</v>
      </c>
      <c r="D51" s="37">
        <f t="shared" ref="D51:M52" si="13">+D46+D50</f>
        <v>15033.511833455341</v>
      </c>
      <c r="E51" s="37">
        <f t="shared" si="13"/>
        <v>16063.222132372159</v>
      </c>
      <c r="F51" s="37">
        <f t="shared" si="13"/>
        <v>15920.670057249041</v>
      </c>
      <c r="G51" s="37">
        <f t="shared" si="13"/>
        <v>14479.003210899238</v>
      </c>
      <c r="H51" s="37">
        <f t="shared" si="13"/>
        <v>21653.077304645485</v>
      </c>
      <c r="I51" s="37">
        <f t="shared" si="13"/>
        <v>20768.525278131921</v>
      </c>
      <c r="J51" s="37">
        <f t="shared" si="13"/>
        <v>17851.352558518363</v>
      </c>
      <c r="K51" s="37">
        <f t="shared" si="13"/>
        <v>18512.220880823192</v>
      </c>
      <c r="L51" s="37">
        <f t="shared" si="13"/>
        <v>19822.987366308465</v>
      </c>
      <c r="M51" s="37">
        <f t="shared" si="13"/>
        <v>24738.862399692203</v>
      </c>
      <c r="N51" s="37">
        <f t="shared" ref="N51:W52" si="14">+N46+N50</f>
        <v>26958.059777150196</v>
      </c>
      <c r="O51" s="37">
        <f t="shared" si="14"/>
        <v>26578.607563158403</v>
      </c>
      <c r="P51" s="37">
        <f t="shared" si="14"/>
        <v>26658.777787785562</v>
      </c>
      <c r="Q51" s="37">
        <f t="shared" si="14"/>
        <v>28437.954061940545</v>
      </c>
      <c r="R51" s="37">
        <f t="shared" si="14"/>
        <v>21737.692374398204</v>
      </c>
      <c r="S51" s="37">
        <f t="shared" si="14"/>
        <v>21864.827805300942</v>
      </c>
      <c r="T51" s="37">
        <f t="shared" si="14"/>
        <v>22529.887542971119</v>
      </c>
      <c r="U51" s="37">
        <f t="shared" si="14"/>
        <v>23684.803012427681</v>
      </c>
      <c r="V51" s="37">
        <f t="shared" si="14"/>
        <v>21585.0834605899</v>
      </c>
      <c r="W51" s="37">
        <f t="shared" si="14"/>
        <v>22474.929859886906</v>
      </c>
      <c r="X51" s="37">
        <f t="shared" ref="X51:AD52" si="15">+X46+X50</f>
        <v>22049.810113500684</v>
      </c>
      <c r="Y51" s="37">
        <f t="shared" si="15"/>
        <v>26414.978322962408</v>
      </c>
      <c r="Z51" s="37">
        <f t="shared" si="15"/>
        <v>23530.947878309613</v>
      </c>
      <c r="AA51" s="37">
        <f t="shared" si="15"/>
        <v>24778.917405919088</v>
      </c>
      <c r="AB51" s="37">
        <f t="shared" si="15"/>
        <v>29255.525743164919</v>
      </c>
      <c r="AC51" s="37">
        <f t="shared" si="15"/>
        <v>27158.041580616573</v>
      </c>
      <c r="AD51" s="37">
        <f t="shared" si="15"/>
        <v>29657.434093394</v>
      </c>
    </row>
    <row r="52" spans="2:30" x14ac:dyDescent="0.2">
      <c r="B52" s="38" t="s">
        <v>49</v>
      </c>
      <c r="C52" s="78" t="s">
        <v>50</v>
      </c>
      <c r="D52" s="39">
        <f t="shared" si="13"/>
        <v>15175.846390803754</v>
      </c>
      <c r="E52" s="39">
        <f t="shared" si="13"/>
        <v>16076.504505884797</v>
      </c>
      <c r="F52" s="39">
        <f t="shared" si="13"/>
        <v>15935.366319243152</v>
      </c>
      <c r="G52" s="39">
        <f t="shared" si="13"/>
        <v>14492.985926052643</v>
      </c>
      <c r="H52" s="39">
        <f t="shared" si="13"/>
        <v>21664.341586908442</v>
      </c>
      <c r="I52" s="39">
        <f t="shared" si="13"/>
        <v>20779.751415410406</v>
      </c>
      <c r="J52" s="39">
        <f t="shared" si="13"/>
        <v>17859.033143186884</v>
      </c>
      <c r="K52" s="39">
        <f t="shared" si="13"/>
        <v>18519.139520946941</v>
      </c>
      <c r="L52" s="39">
        <f t="shared" si="13"/>
        <v>19828.248398769672</v>
      </c>
      <c r="M52" s="39">
        <f t="shared" si="13"/>
        <v>24747.676104572278</v>
      </c>
      <c r="N52" s="39">
        <f t="shared" si="14"/>
        <v>26962.91317559309</v>
      </c>
      <c r="O52" s="39">
        <f t="shared" si="14"/>
        <v>26582.505411286369</v>
      </c>
      <c r="P52" s="39">
        <f t="shared" si="14"/>
        <v>26661.23355225147</v>
      </c>
      <c r="Q52" s="39">
        <f t="shared" si="14"/>
        <v>28440.674634282786</v>
      </c>
      <c r="R52" s="39">
        <f t="shared" si="14"/>
        <v>21739.698661913266</v>
      </c>
      <c r="S52" s="39">
        <f t="shared" si="14"/>
        <v>21867.630244207234</v>
      </c>
      <c r="T52" s="39">
        <f t="shared" si="14"/>
        <v>22532.05983914838</v>
      </c>
      <c r="U52" s="39">
        <f t="shared" si="14"/>
        <v>23687.30691728001</v>
      </c>
      <c r="V52" s="39">
        <f t="shared" si="14"/>
        <v>21587.104498766708</v>
      </c>
      <c r="W52" s="39">
        <f t="shared" si="14"/>
        <v>22476.92110279241</v>
      </c>
      <c r="X52" s="39">
        <f t="shared" si="15"/>
        <v>22051.544947105867</v>
      </c>
      <c r="Y52" s="39">
        <f t="shared" si="15"/>
        <v>26416.788623837805</v>
      </c>
      <c r="Z52" s="39">
        <f t="shared" si="15"/>
        <v>23552.409063741448</v>
      </c>
      <c r="AA52" s="39">
        <f t="shared" si="15"/>
        <v>24838.920401676329</v>
      </c>
      <c r="AB52" s="39">
        <f t="shared" si="15"/>
        <v>29255.525743164919</v>
      </c>
      <c r="AC52" s="39">
        <f t="shared" si="15"/>
        <v>27158.041580616573</v>
      </c>
      <c r="AD52" s="39">
        <f t="shared" si="15"/>
        <v>29657.434093394</v>
      </c>
    </row>
    <row r="53" spans="2:30" x14ac:dyDescent="0.2">
      <c r="B53" s="72" t="str">
        <f>+B20</f>
        <v>* Información con corte a 28 de febrero</v>
      </c>
    </row>
    <row r="54" spans="2:30" x14ac:dyDescent="0.2">
      <c r="B54" s="1" t="s">
        <v>52</v>
      </c>
    </row>
    <row r="55" spans="2:30" x14ac:dyDescent="0.2">
      <c r="B55" s="7"/>
      <c r="AB55" s="8"/>
    </row>
  </sheetData>
  <mergeCells count="124">
    <mergeCell ref="P44:P45"/>
    <mergeCell ref="R44:R45"/>
    <mergeCell ref="N25:N26"/>
    <mergeCell ref="P6:P7"/>
    <mergeCell ref="V44:V45"/>
    <mergeCell ref="AD6:AD7"/>
    <mergeCell ref="R25:R26"/>
    <mergeCell ref="T25:T26"/>
    <mergeCell ref="AD25:AD26"/>
    <mergeCell ref="W11:W12"/>
    <mergeCell ref="T11:T12"/>
    <mergeCell ref="D42:AD42"/>
    <mergeCell ref="Q11:Q12"/>
    <mergeCell ref="AC11:AC12"/>
    <mergeCell ref="E25:E26"/>
    <mergeCell ref="Q25:Q26"/>
    <mergeCell ref="I6:I7"/>
    <mergeCell ref="S25:S26"/>
    <mergeCell ref="AB44:AB45"/>
    <mergeCell ref="AD44:AD45"/>
    <mergeCell ref="H6:H7"/>
    <mergeCell ref="J6:J7"/>
    <mergeCell ref="V6:V7"/>
    <mergeCell ref="G44:G45"/>
    <mergeCell ref="I44:I45"/>
    <mergeCell ref="S44:S45"/>
    <mergeCell ref="U44:U45"/>
    <mergeCell ref="W44:W45"/>
    <mergeCell ref="AA44:AA45"/>
    <mergeCell ref="W25:W26"/>
    <mergeCell ref="B11:B12"/>
    <mergeCell ref="AA6:AA7"/>
    <mergeCell ref="D11:D12"/>
    <mergeCell ref="P11:P12"/>
    <mergeCell ref="V11:V12"/>
    <mergeCell ref="B44:B45"/>
    <mergeCell ref="H44:H45"/>
    <mergeCell ref="J44:J45"/>
    <mergeCell ref="F25:F26"/>
    <mergeCell ref="AA11:AA12"/>
    <mergeCell ref="A5:C6"/>
    <mergeCell ref="K25:K26"/>
    <mergeCell ref="X11:X12"/>
    <mergeCell ref="O6:O7"/>
    <mergeCell ref="H25:H26"/>
    <mergeCell ref="D44:D45"/>
    <mergeCell ref="F44:F45"/>
    <mergeCell ref="Z25:Z26"/>
    <mergeCell ref="R6:R7"/>
    <mergeCell ref="H11:H12"/>
    <mergeCell ref="T44:T45"/>
    <mergeCell ref="J11:J12"/>
    <mergeCell ref="D4:AD4"/>
    <mergeCell ref="L44:L45"/>
    <mergeCell ref="N44:N45"/>
    <mergeCell ref="J25:J26"/>
    <mergeCell ref="X44:X45"/>
    <mergeCell ref="D25:D26"/>
    <mergeCell ref="L6:L7"/>
    <mergeCell ref="N6:N7"/>
    <mergeCell ref="G25:G26"/>
    <mergeCell ref="F11:F12"/>
    <mergeCell ref="Z6:Z7"/>
    <mergeCell ref="AB6:AB7"/>
    <mergeCell ref="G11:G12"/>
    <mergeCell ref="B24:AD24"/>
    <mergeCell ref="A7:C7"/>
    <mergeCell ref="I11:I12"/>
    <mergeCell ref="S11:S12"/>
    <mergeCell ref="U11:U12"/>
    <mergeCell ref="M11:M12"/>
    <mergeCell ref="X25:X26"/>
    <mergeCell ref="C10:AD10"/>
    <mergeCell ref="R11:R12"/>
    <mergeCell ref="D6:D7"/>
    <mergeCell ref="F6:F7"/>
    <mergeCell ref="D2:AD2"/>
    <mergeCell ref="AB25:AB26"/>
    <mergeCell ref="Y11:Y12"/>
    <mergeCell ref="C44:C45"/>
    <mergeCell ref="E44:E45"/>
    <mergeCell ref="K11:K12"/>
    <mergeCell ref="O44:O45"/>
    <mergeCell ref="Q44:Q45"/>
    <mergeCell ref="M25:M26"/>
    <mergeCell ref="O25:O26"/>
    <mergeCell ref="G6:G7"/>
    <mergeCell ref="Q6:Q7"/>
    <mergeCell ref="AB11:AB12"/>
    <mergeCell ref="S6:S7"/>
    <mergeCell ref="AD11:AD12"/>
    <mergeCell ref="L25:L26"/>
    <mergeCell ref="D9:AD9"/>
    <mergeCell ref="O11:O12"/>
    <mergeCell ref="T6:T7"/>
    <mergeCell ref="D23:AD23"/>
    <mergeCell ref="L11:L12"/>
    <mergeCell ref="N11:N12"/>
    <mergeCell ref="Z44:Z45"/>
    <mergeCell ref="V25:V26"/>
    <mergeCell ref="X6:X7"/>
    <mergeCell ref="K44:K45"/>
    <mergeCell ref="I25:I26"/>
    <mergeCell ref="C25:C26"/>
    <mergeCell ref="Y44:Y45"/>
    <mergeCell ref="U25:U26"/>
    <mergeCell ref="M6:M7"/>
    <mergeCell ref="B43:AD43"/>
    <mergeCell ref="C11:C12"/>
    <mergeCell ref="E6:E7"/>
    <mergeCell ref="E11:E12"/>
    <mergeCell ref="Y6:Y7"/>
    <mergeCell ref="AC44:AC45"/>
    <mergeCell ref="Y25:Y26"/>
    <mergeCell ref="AA25:AA26"/>
    <mergeCell ref="AC25:AC26"/>
    <mergeCell ref="AC6:AC7"/>
    <mergeCell ref="Z11:Z12"/>
    <mergeCell ref="M44:M45"/>
    <mergeCell ref="B25:B26"/>
    <mergeCell ref="K6:K7"/>
    <mergeCell ref="U6:U7"/>
    <mergeCell ref="W6:W7"/>
    <mergeCell ref="P25:P26"/>
  </mergeCells>
  <pageMargins left="0.7" right="0.7" top="0.75" bottom="0.75" header="0.3" footer="0.3"/>
  <pageSetup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1:AD181"/>
  <sheetViews>
    <sheetView showGridLines="0" zoomScaleNormal="100" workbookViewId="0">
      <pane xSplit="3" ySplit="7" topLeftCell="D86" activePane="bottomRight" state="frozen"/>
      <selection activeCell="O5" sqref="O5:O6"/>
      <selection pane="topRight" activeCell="O5" sqref="O5:O6"/>
      <selection pane="bottomLeft" activeCell="O5" sqref="O5:O6"/>
      <selection pane="bottomRight" activeCell="D76" sqref="D76"/>
    </sheetView>
  </sheetViews>
  <sheetFormatPr baseColWidth="10" defaultColWidth="11.42578125" defaultRowHeight="11.25" x14ac:dyDescent="0.2"/>
  <cols>
    <col min="1" max="2" width="2.7109375" style="3" customWidth="1"/>
    <col min="3" max="3" width="45" style="3" customWidth="1"/>
    <col min="4" max="33" width="10.7109375" style="3" customWidth="1"/>
    <col min="34" max="34" width="11.42578125" style="3" customWidth="1"/>
    <col min="35" max="16384" width="11.42578125" style="3"/>
  </cols>
  <sheetData>
    <row r="1" spans="1:30" s="98" customFormat="1" ht="16.5" customHeight="1" x14ac:dyDescent="0.25"/>
    <row r="2" spans="1:30" s="98" customFormat="1" ht="16.5" customHeight="1" x14ac:dyDescent="0.25">
      <c r="A2" s="120"/>
      <c r="D2" s="159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  <c r="U2" s="152"/>
      <c r="V2" s="152"/>
    </row>
    <row r="3" spans="1:30" s="98" customFormat="1" ht="16.5" customHeight="1" x14ac:dyDescent="0.25">
      <c r="A3" s="120"/>
    </row>
    <row r="4" spans="1:30" s="98" customFormat="1" ht="16.5" customHeight="1" x14ac:dyDescent="0.25">
      <c r="A4" s="120"/>
      <c r="D4" s="161"/>
      <c r="E4" s="152"/>
      <c r="F4" s="152"/>
      <c r="G4" s="152"/>
      <c r="H4" s="152"/>
      <c r="I4" s="152"/>
      <c r="J4" s="152"/>
      <c r="K4" s="152"/>
      <c r="L4" s="152"/>
      <c r="M4" s="152"/>
      <c r="N4" s="152"/>
      <c r="O4" s="152"/>
      <c r="P4" s="152"/>
      <c r="Q4" s="152"/>
      <c r="R4" s="152"/>
      <c r="S4" s="152"/>
      <c r="T4" s="152"/>
      <c r="U4" s="152"/>
      <c r="V4" s="152"/>
      <c r="W4" s="133"/>
      <c r="X4" s="133"/>
      <c r="Y4" s="133"/>
      <c r="Z4" s="133"/>
      <c r="AA4" s="133"/>
      <c r="AB4" s="133"/>
      <c r="AC4" s="133"/>
      <c r="AD4" s="133"/>
    </row>
    <row r="5" spans="1:30" s="98" customFormat="1" ht="16.5" customHeight="1" x14ac:dyDescent="0.25">
      <c r="A5" s="165" t="s">
        <v>2</v>
      </c>
      <c r="B5" s="152"/>
      <c r="C5" s="152"/>
      <c r="D5" s="147"/>
      <c r="E5" s="147"/>
      <c r="F5" s="147"/>
      <c r="G5" s="147"/>
      <c r="H5" s="147"/>
      <c r="I5" s="147"/>
      <c r="J5" s="147"/>
      <c r="K5" s="147"/>
      <c r="L5" s="147"/>
      <c r="M5" s="147"/>
      <c r="N5" s="147"/>
      <c r="O5" s="147"/>
      <c r="P5" s="147"/>
      <c r="Q5" s="147"/>
      <c r="R5" s="147"/>
      <c r="S5" s="147"/>
      <c r="T5" s="147"/>
      <c r="U5" s="147"/>
      <c r="V5" s="147"/>
      <c r="W5" s="133"/>
      <c r="X5" s="133"/>
      <c r="Y5" s="133"/>
      <c r="Z5" s="133"/>
      <c r="AA5" s="133"/>
      <c r="AB5" s="133"/>
      <c r="AC5" s="133"/>
      <c r="AD5" s="133"/>
    </row>
    <row r="6" spans="1:30" s="98" customFormat="1" ht="16.5" customHeight="1" x14ac:dyDescent="0.25">
      <c r="A6" s="152"/>
      <c r="B6" s="152"/>
      <c r="C6" s="152"/>
      <c r="D6" s="151" t="s">
        <v>27</v>
      </c>
      <c r="E6" s="151" t="s">
        <v>28</v>
      </c>
      <c r="F6" s="151" t="s">
        <v>29</v>
      </c>
      <c r="G6" s="151" t="s">
        <v>30</v>
      </c>
      <c r="H6" s="151">
        <v>2004</v>
      </c>
      <c r="I6" s="151" t="s">
        <v>31</v>
      </c>
      <c r="J6" s="151" t="s">
        <v>32</v>
      </c>
      <c r="K6" s="151" t="s">
        <v>33</v>
      </c>
      <c r="L6" s="151" t="s">
        <v>34</v>
      </c>
      <c r="M6" s="151" t="s">
        <v>35</v>
      </c>
      <c r="N6" s="151">
        <v>2010</v>
      </c>
      <c r="O6" s="151">
        <v>2011</v>
      </c>
      <c r="P6" s="151">
        <v>2012</v>
      </c>
      <c r="Q6" s="151">
        <v>2013</v>
      </c>
      <c r="R6" s="151">
        <v>2014</v>
      </c>
      <c r="S6" s="151">
        <v>2015</v>
      </c>
      <c r="T6" s="151">
        <v>2016</v>
      </c>
      <c r="U6" s="151">
        <v>2017</v>
      </c>
      <c r="V6" s="151">
        <v>2018</v>
      </c>
      <c r="W6" s="151"/>
      <c r="X6" s="151"/>
      <c r="Y6" s="151"/>
      <c r="Z6" s="151"/>
      <c r="AA6" s="151"/>
      <c r="AB6" s="151"/>
      <c r="AC6" s="151"/>
      <c r="AD6" s="151"/>
    </row>
    <row r="7" spans="1:30" s="98" customFormat="1" ht="16.5" customHeight="1" x14ac:dyDescent="0.25">
      <c r="A7" s="162" t="s">
        <v>227</v>
      </c>
      <c r="B7" s="152"/>
      <c r="C7" s="152"/>
      <c r="D7" s="152"/>
      <c r="E7" s="152"/>
      <c r="F7" s="152"/>
      <c r="G7" s="152"/>
      <c r="H7" s="152"/>
      <c r="I7" s="152"/>
      <c r="J7" s="152"/>
      <c r="K7" s="152"/>
      <c r="L7" s="152"/>
      <c r="M7" s="152"/>
      <c r="N7" s="152"/>
      <c r="O7" s="152"/>
      <c r="P7" s="152"/>
      <c r="Q7" s="152"/>
      <c r="R7" s="152"/>
      <c r="S7" s="152"/>
      <c r="T7" s="152"/>
      <c r="U7" s="152"/>
      <c r="V7" s="152"/>
      <c r="W7" s="152"/>
      <c r="X7" s="152"/>
      <c r="Y7" s="152"/>
      <c r="Z7" s="152"/>
      <c r="AA7" s="152"/>
      <c r="AB7" s="152"/>
      <c r="AC7" s="152"/>
      <c r="AD7" s="152"/>
    </row>
    <row r="8" spans="1:30" s="98" customFormat="1" ht="15" customHeight="1" x14ac:dyDescent="0.25">
      <c r="A8" s="99"/>
      <c r="B8" s="125"/>
      <c r="C8" s="128"/>
      <c r="D8" s="114"/>
      <c r="E8" s="114"/>
      <c r="F8" s="114"/>
      <c r="G8" s="114"/>
      <c r="H8" s="114"/>
      <c r="I8" s="114"/>
      <c r="J8" s="114"/>
      <c r="K8" s="114"/>
      <c r="L8" s="114"/>
      <c r="M8" s="114"/>
      <c r="N8" s="114"/>
      <c r="O8" s="114"/>
      <c r="P8" s="114"/>
      <c r="Q8" s="114"/>
      <c r="R8" s="114"/>
      <c r="S8" s="114"/>
      <c r="T8" s="114"/>
      <c r="U8" s="114"/>
      <c r="V8" s="114"/>
      <c r="W8" s="114"/>
      <c r="X8" s="114"/>
      <c r="Y8" s="114"/>
      <c r="Z8" s="114"/>
      <c r="AA8" s="114"/>
      <c r="AB8" s="114"/>
      <c r="AC8" s="114"/>
      <c r="AD8" s="114"/>
    </row>
    <row r="9" spans="1:30" ht="18" customHeight="1" x14ac:dyDescent="0.2">
      <c r="C9" s="131"/>
      <c r="D9" s="160" t="s">
        <v>55</v>
      </c>
      <c r="E9" s="158"/>
      <c r="F9" s="158"/>
      <c r="G9" s="158"/>
      <c r="H9" s="158"/>
      <c r="I9" s="158"/>
      <c r="J9" s="158"/>
      <c r="K9" s="158"/>
      <c r="L9" s="158"/>
      <c r="M9" s="158"/>
      <c r="N9" s="158"/>
      <c r="O9" s="158"/>
      <c r="P9" s="158"/>
      <c r="Q9" s="158"/>
      <c r="R9" s="158"/>
      <c r="S9" s="158"/>
      <c r="T9" s="158"/>
      <c r="U9" s="158"/>
      <c r="V9" s="158"/>
    </row>
    <row r="10" spans="1:30" ht="18" customHeight="1" x14ac:dyDescent="0.2">
      <c r="B10" s="144"/>
      <c r="C10" s="161"/>
      <c r="D10" s="158"/>
      <c r="E10" s="158"/>
      <c r="F10" s="158"/>
      <c r="G10" s="158"/>
      <c r="H10" s="158"/>
      <c r="I10" s="158"/>
      <c r="J10" s="158"/>
      <c r="K10" s="158"/>
      <c r="L10" s="158"/>
      <c r="M10" s="158"/>
      <c r="N10" s="158"/>
      <c r="O10" s="158"/>
      <c r="P10" s="158"/>
      <c r="Q10" s="158"/>
      <c r="R10" s="158"/>
      <c r="S10" s="158"/>
      <c r="T10" s="158"/>
      <c r="U10" s="158"/>
      <c r="V10" s="158"/>
    </row>
    <row r="11" spans="1:30" ht="15" customHeight="1" x14ac:dyDescent="0.2">
      <c r="C11" s="140" t="s">
        <v>38</v>
      </c>
      <c r="D11" s="153">
        <v>2000</v>
      </c>
      <c r="E11" s="153">
        <v>2001</v>
      </c>
      <c r="F11" s="153">
        <v>2002</v>
      </c>
      <c r="G11" s="153">
        <v>2003</v>
      </c>
      <c r="H11" s="153">
        <v>2004</v>
      </c>
      <c r="I11" s="153">
        <v>2005</v>
      </c>
      <c r="J11" s="153">
        <v>2006</v>
      </c>
      <c r="K11" s="153">
        <v>2007</v>
      </c>
      <c r="L11" s="153">
        <v>2008</v>
      </c>
      <c r="M11" s="153">
        <v>2009</v>
      </c>
      <c r="N11" s="153">
        <v>2010</v>
      </c>
      <c r="O11" s="153">
        <v>2011</v>
      </c>
      <c r="P11" s="153">
        <v>2012</v>
      </c>
      <c r="Q11" s="153">
        <v>2013</v>
      </c>
      <c r="R11" s="153">
        <v>2014</v>
      </c>
      <c r="S11" s="153">
        <v>2015</v>
      </c>
      <c r="T11" s="153">
        <v>2016</v>
      </c>
      <c r="U11" s="153">
        <v>2017</v>
      </c>
      <c r="V11" s="153">
        <v>2018</v>
      </c>
      <c r="W11" s="49"/>
      <c r="X11" s="49"/>
      <c r="Y11" s="49"/>
      <c r="Z11" s="49"/>
      <c r="AA11" s="49"/>
      <c r="AB11" s="49"/>
      <c r="AC11" s="49"/>
      <c r="AD11" s="49"/>
    </row>
    <row r="12" spans="1:30" ht="12" customHeight="1" thickBot="1" x14ac:dyDescent="0.25">
      <c r="B12" s="126"/>
      <c r="C12" s="127"/>
      <c r="D12" s="154"/>
      <c r="E12" s="154"/>
      <c r="F12" s="154"/>
      <c r="G12" s="154"/>
      <c r="H12" s="154"/>
      <c r="I12" s="154"/>
      <c r="J12" s="154"/>
      <c r="K12" s="154"/>
      <c r="L12" s="154"/>
      <c r="M12" s="154"/>
      <c r="N12" s="154"/>
      <c r="O12" s="154"/>
      <c r="P12" s="154"/>
      <c r="Q12" s="154"/>
      <c r="R12" s="154"/>
      <c r="S12" s="154"/>
      <c r="T12" s="154"/>
      <c r="U12" s="154"/>
      <c r="V12" s="154"/>
    </row>
    <row r="13" spans="1:30" x14ac:dyDescent="0.2">
      <c r="B13" s="34" t="s">
        <v>39</v>
      </c>
      <c r="C13" s="76" t="s">
        <v>40</v>
      </c>
      <c r="D13" s="35">
        <f t="shared" ref="D13:V13" si="0">+D14+D15+D16+D17</f>
        <v>95943.01743501176</v>
      </c>
      <c r="E13" s="35">
        <f t="shared" si="0"/>
        <v>100782.70841119155</v>
      </c>
      <c r="F13" s="35">
        <f t="shared" si="0"/>
        <v>104530.42921593231</v>
      </c>
      <c r="G13" s="35">
        <f t="shared" si="0"/>
        <v>104905.67723836254</v>
      </c>
      <c r="H13" s="35">
        <f t="shared" si="0"/>
        <v>122456.11370540933</v>
      </c>
      <c r="I13" s="35">
        <f t="shared" si="0"/>
        <v>131972.30424043364</v>
      </c>
      <c r="J13" s="35">
        <f t="shared" si="0"/>
        <v>133212.19774574018</v>
      </c>
      <c r="K13" s="35">
        <f t="shared" si="0"/>
        <v>137802.13070965084</v>
      </c>
      <c r="L13" s="35">
        <f t="shared" si="0"/>
        <v>144745.77808256316</v>
      </c>
      <c r="M13" s="35">
        <f t="shared" si="0"/>
        <v>162875.42402274266</v>
      </c>
      <c r="N13" s="35">
        <f t="shared" si="0"/>
        <v>180029.22448375454</v>
      </c>
      <c r="O13" s="35">
        <f t="shared" si="0"/>
        <v>171666.10690269398</v>
      </c>
      <c r="P13" s="35">
        <f t="shared" si="0"/>
        <v>183403.16619493769</v>
      </c>
      <c r="Q13" s="35">
        <f t="shared" si="0"/>
        <v>198957.38090133283</v>
      </c>
      <c r="R13" s="35">
        <f t="shared" si="0"/>
        <v>212407.1672908075</v>
      </c>
      <c r="S13" s="35">
        <f t="shared" si="0"/>
        <v>204299.41998409893</v>
      </c>
      <c r="T13" s="35">
        <f t="shared" si="0"/>
        <v>206769.2221546435</v>
      </c>
      <c r="U13" s="35">
        <f t="shared" si="0"/>
        <v>225078.53704024866</v>
      </c>
      <c r="V13" s="35">
        <f t="shared" si="0"/>
        <v>230420.47782359226</v>
      </c>
    </row>
    <row r="14" spans="1:30" x14ac:dyDescent="0.2">
      <c r="B14" s="40"/>
      <c r="C14" s="77" t="s">
        <v>56</v>
      </c>
      <c r="D14" s="33">
        <f>6350.82082902892*Deflactores!$A$5</f>
        <v>23057.030534557325</v>
      </c>
      <c r="E14" s="33">
        <f>6865.33672753427*Deflactores!$B$5</f>
        <v>23154.113904474871</v>
      </c>
      <c r="F14" s="33">
        <f>7377.30776703215*Deflactores!$C$5</f>
        <v>23254.851256114631</v>
      </c>
      <c r="G14" s="33">
        <f>7984.19858228026*Deflactores!$D$5</f>
        <v>23633.748716323094</v>
      </c>
      <c r="H14" s="33">
        <f>8757.65407471757*Deflactores!$E$5</f>
        <v>24572.482304325786</v>
      </c>
      <c r="I14" s="33">
        <f>9312.44009046649*Deflactores!$F$5</f>
        <v>24919.246517360669</v>
      </c>
      <c r="J14" s="33">
        <f>10394.9254232771*Deflactores!$G$5</f>
        <v>26623.68441924639</v>
      </c>
      <c r="K14" s="33">
        <f>11444.0998626958*Deflactores!$H$5</f>
        <v>27731.680528343117</v>
      </c>
      <c r="L14" s="33">
        <f>12826.5617732095*Deflactores!$I$5</f>
        <v>28866.389123717789</v>
      </c>
      <c r="M14" s="33">
        <f>14437.7509237135*Deflactores!$J$5</f>
        <v>31854.726455961332</v>
      </c>
      <c r="N14" s="33">
        <f>15821.8078504302*Deflactores!$K$5</f>
        <v>33835.442866286365</v>
      </c>
      <c r="O14" s="33">
        <f>16210.7391587004*Deflactores!$L$5</f>
        <v>33421.664700465619</v>
      </c>
      <c r="P14" s="33">
        <f>18512.8092471676*Deflactores!$M$5</f>
        <v>37258.727350686619</v>
      </c>
      <c r="Q14" s="33">
        <f>20879.2946499316*Deflactores!$N$5</f>
        <v>41221.793577730168</v>
      </c>
      <c r="R14" s="33">
        <f>23398.3097202748*Deflactores!$O$5</f>
        <v>44564.018098814944</v>
      </c>
      <c r="S14" s="33">
        <f>24611.1027690406*Deflactores!$P$5</f>
        <v>43901.735386359665</v>
      </c>
      <c r="T14" s="33">
        <f>26048.172816223*Deflactores!$Q$5</f>
        <v>43938.73023935542</v>
      </c>
      <c r="U14" s="33">
        <f>28040.9315457181*Deflactores!$R$5</f>
        <v>45441.605437252227</v>
      </c>
      <c r="V14" s="33">
        <f>31596.6920411505*Deflactores!$S$5</f>
        <v>49625.777386936301</v>
      </c>
    </row>
    <row r="15" spans="1:30" x14ac:dyDescent="0.2">
      <c r="B15" s="40"/>
      <c r="C15" s="77" t="s">
        <v>57</v>
      </c>
      <c r="D15" s="33">
        <f>1714.16456367333*Deflactores!$A$5</f>
        <v>6223.3758044651831</v>
      </c>
      <c r="E15" s="33">
        <f>1912.43428699245*Deflactores!$B$5</f>
        <v>6449.8979544955373</v>
      </c>
      <c r="F15" s="33">
        <f>2299.48400530397*Deflactores!$C$5</f>
        <v>7248.4651851078861</v>
      </c>
      <c r="G15" s="33">
        <f>2474.23329626649*Deflactores!$D$5</f>
        <v>7323.8919832604715</v>
      </c>
      <c r="H15" s="33">
        <f>2898.51753963936*Deflactores!$E$5</f>
        <v>8132.7454069214336</v>
      </c>
      <c r="I15" s="33">
        <f>3147.72067606199*Deflactores!$F$5</f>
        <v>8423.0155289678387</v>
      </c>
      <c r="J15" s="33">
        <f>3489.93259680068*Deflactores!$G$5</f>
        <v>8938.4829922493154</v>
      </c>
      <c r="K15" s="33">
        <f>3839.44810975289*Deflactores!$H$5</f>
        <v>9303.8639702796718</v>
      </c>
      <c r="L15" s="33">
        <f>4114.81138446093*Deflactores!$I$5</f>
        <v>9260.4509840388582</v>
      </c>
      <c r="M15" s="33">
        <f>4809.08272481174*Deflactores!$J$5</f>
        <v>10610.517906314248</v>
      </c>
      <c r="N15" s="33">
        <f>5254.96021240178*Deflactores!$K$5</f>
        <v>11237.900732468695</v>
      </c>
      <c r="O15" s="33">
        <f>5725.77122898844*Deflactores!$L$5</f>
        <v>11804.816812694069</v>
      </c>
      <c r="P15" s="33">
        <f>6590.908372509*Deflactores!$M$5</f>
        <v>13264.807883343894</v>
      </c>
      <c r="Q15" s="33">
        <f>7517.06210851268*Deflactores!$N$5</f>
        <v>14840.864490079983</v>
      </c>
      <c r="R15" s="33">
        <f>7910.72822031681*Deflactores!$O$5</f>
        <v>15066.636855376413</v>
      </c>
      <c r="S15" s="33">
        <f>7738.58757009967*Deflactores!$P$5</f>
        <v>13804.234087147795</v>
      </c>
      <c r="T15" s="33">
        <f>7952.55278064811*Deflactores!$Q$5</f>
        <v>13414.571294824507</v>
      </c>
      <c r="U15" s="33">
        <f>7995.3687425446*Deflactores!$R$5</f>
        <v>12956.858838005726</v>
      </c>
      <c r="V15" s="33">
        <f>8648.03723906201*Deflactores!$S$5</f>
        <v>13582.610809406735</v>
      </c>
    </row>
    <row r="16" spans="1:30" x14ac:dyDescent="0.2">
      <c r="B16" s="40"/>
      <c r="C16" s="77" t="s">
        <v>58</v>
      </c>
      <c r="D16" s="33">
        <f>17971.3334324807*Deflactores!$A$5</f>
        <v>65245.988645341371</v>
      </c>
      <c r="E16" s="33">
        <f>20683.275105762*Deflactores!$B$5</f>
        <v>69756.652400705192</v>
      </c>
      <c r="F16" s="33">
        <f>22950.4890051025*Deflactores!$C$5</f>
        <v>72344.84786629169</v>
      </c>
      <c r="G16" s="33">
        <f>24374.091501765*Deflactores!$D$5</f>
        <v>72148.90108317697</v>
      </c>
      <c r="H16" s="33">
        <f>31397.6635369893*Deflactores!$E$5</f>
        <v>88096.483953064308</v>
      </c>
      <c r="I16" s="33">
        <f>36050.4257702134*Deflactores!$F$5</f>
        <v>96467.675292046712</v>
      </c>
      <c r="J16" s="33">
        <f>37181.9743832462*Deflactores!$G$5</f>
        <v>95231.193275070953</v>
      </c>
      <c r="K16" s="33">
        <f>40731.3006449932*Deflactores!$H$5</f>
        <v>98701.289794999073</v>
      </c>
      <c r="L16" s="33">
        <f>46457.4168132035*Deflactores!$I$5</f>
        <v>104553.18386363784</v>
      </c>
      <c r="M16" s="33">
        <f>53429.7211472849*Deflactores!$J$5</f>
        <v>117884.64565970559</v>
      </c>
      <c r="N16" s="33">
        <f>61693.5585504471*Deflactores!$K$5</f>
        <v>131933.65102678756</v>
      </c>
      <c r="O16" s="33">
        <f>59782.1181228111*Deflactores!$L$5</f>
        <v>123252.73310636632</v>
      </c>
      <c r="P16" s="33">
        <f>64413.4048268942*Deflactores!$M$5</f>
        <v>129637.88780688909</v>
      </c>
      <c r="Q16" s="33">
        <f>70782.9764602634*Deflactores!$N$5</f>
        <v>139746.15969471316</v>
      </c>
      <c r="R16" s="33">
        <f>78646.0474393343*Deflactores!$O$5</f>
        <v>149787.90875863281</v>
      </c>
      <c r="S16" s="33">
        <f>80437.0279452304*Deflactores!$P$5</f>
        <v>143485.04206641781</v>
      </c>
      <c r="T16" s="33">
        <f>86850.1209874696*Deflactores!$Q$5</f>
        <v>146501.02578201267</v>
      </c>
      <c r="U16" s="33">
        <f>101265.163524896*Deflactores!$R$5</f>
        <v>164104.80507520193</v>
      </c>
      <c r="V16" s="33">
        <f>104873.640910614*Deflactores!$S$5</f>
        <v>164714.58312185144</v>
      </c>
    </row>
    <row r="17" spans="2:22" x14ac:dyDescent="0.2">
      <c r="B17" s="40"/>
      <c r="C17" s="77" t="s">
        <v>59</v>
      </c>
      <c r="D17" s="33">
        <f>390.19401708995*Deflactores!$A$5</f>
        <v>1416.6224506478816</v>
      </c>
      <c r="E17" s="33">
        <f>421.644809292009*Deflactores!$B$5</f>
        <v>1422.04415151595</v>
      </c>
      <c r="F17" s="33">
        <f>533.67728902653*Deflactores!$C$5</f>
        <v>1682.2649084180969</v>
      </c>
      <c r="G17" s="33">
        <f>607.80263539091*Deflactores!$D$5</f>
        <v>1799.1354556020096</v>
      </c>
      <c r="H17" s="33">
        <f>589.63032700569*Deflactores!$E$5</f>
        <v>1654.4020410977923</v>
      </c>
      <c r="I17" s="33">
        <f>808.08672184361*Deflactores!$F$5</f>
        <v>2162.366902058433</v>
      </c>
      <c r="J17" s="33">
        <f>944.40838635359*Deflactores!$G$5</f>
        <v>2418.8370591735261</v>
      </c>
      <c r="K17" s="33">
        <f>852.29088107181*Deflactores!$H$5</f>
        <v>2065.2964160289916</v>
      </c>
      <c r="L17" s="33">
        <f>917.90222190956*Deflactores!$I$5</f>
        <v>2065.7541111686764</v>
      </c>
      <c r="M17" s="33">
        <f>1144.66626805832*Deflactores!$J$5</f>
        <v>2525.5340007614786</v>
      </c>
      <c r="N17" s="33">
        <f>1413.22636991718*Deflactores!$K$5</f>
        <v>3022.2298582119274</v>
      </c>
      <c r="O17" s="33">
        <f>1545.76021249449*Deflactores!$L$5</f>
        <v>3186.8922831679815</v>
      </c>
      <c r="P17" s="33">
        <f>1610.730610141*Deflactores!$M$5</f>
        <v>3241.7431540181042</v>
      </c>
      <c r="Q17" s="33">
        <f>1594.78207504859*Deflactores!$N$5</f>
        <v>3148.5631388095062</v>
      </c>
      <c r="R17" s="33">
        <f>1569.16443202493*Deflactores!$O$5</f>
        <v>2988.603577983341</v>
      </c>
      <c r="S17" s="33">
        <f>1742.55889874187*Deflactores!$P$5</f>
        <v>3108.4084441736736</v>
      </c>
      <c r="T17" s="33">
        <f>1728.03547302052*Deflactores!$Q$5</f>
        <v>2914.8948384509035</v>
      </c>
      <c r="U17" s="33">
        <f>1589.13630595604*Deflactores!$R$5</f>
        <v>2575.2676897887841</v>
      </c>
      <c r="V17" s="33">
        <f>1590.16035772162*Deflactores!$S$5</f>
        <v>2497.5065053977946</v>
      </c>
    </row>
    <row r="18" spans="2:22" x14ac:dyDescent="0.2">
      <c r="B18" s="34" t="s">
        <v>41</v>
      </c>
      <c r="C18" s="76" t="s">
        <v>42</v>
      </c>
      <c r="D18" s="35">
        <f t="shared" ref="D18:V18" si="1">+D19+D22</f>
        <v>60075.088443094821</v>
      </c>
      <c r="E18" s="35">
        <f t="shared" si="1"/>
        <v>72184.165806214063</v>
      </c>
      <c r="F18" s="35">
        <f t="shared" si="1"/>
        <v>72388.722267519872</v>
      </c>
      <c r="G18" s="35">
        <f t="shared" si="1"/>
        <v>80930.901975624089</v>
      </c>
      <c r="H18" s="35">
        <f t="shared" si="1"/>
        <v>75443.408493805546</v>
      </c>
      <c r="I18" s="35">
        <f t="shared" si="1"/>
        <v>84446.467036813105</v>
      </c>
      <c r="J18" s="35">
        <f t="shared" si="1"/>
        <v>99708.16545708898</v>
      </c>
      <c r="K18" s="35">
        <f t="shared" si="1"/>
        <v>95280.883308692137</v>
      </c>
      <c r="L18" s="35">
        <f t="shared" si="1"/>
        <v>87509.851555070127</v>
      </c>
      <c r="M18" s="35">
        <f t="shared" si="1"/>
        <v>81710.637856573274</v>
      </c>
      <c r="N18" s="35">
        <f t="shared" si="1"/>
        <v>85308.441892316885</v>
      </c>
      <c r="O18" s="35">
        <f t="shared" si="1"/>
        <v>72544.372750999159</v>
      </c>
      <c r="P18" s="35">
        <f t="shared" si="1"/>
        <v>73280.542754101698</v>
      </c>
      <c r="Q18" s="35">
        <f t="shared" si="1"/>
        <v>87936.513513450438</v>
      </c>
      <c r="R18" s="35">
        <f t="shared" si="1"/>
        <v>77996.93004865697</v>
      </c>
      <c r="S18" s="35">
        <f t="shared" si="1"/>
        <v>83798.433128115823</v>
      </c>
      <c r="T18" s="35">
        <f t="shared" si="1"/>
        <v>78785.230590799983</v>
      </c>
      <c r="U18" s="35">
        <f t="shared" si="1"/>
        <v>81038.561705346132</v>
      </c>
      <c r="V18" s="35">
        <f t="shared" si="1"/>
        <v>75278.859009681808</v>
      </c>
    </row>
    <row r="19" spans="2:22" x14ac:dyDescent="0.2">
      <c r="B19" s="34"/>
      <c r="C19" s="76" t="s">
        <v>43</v>
      </c>
      <c r="D19" s="35">
        <f t="shared" ref="D19:V19" si="2">+D20+D21</f>
        <v>18607.153353298709</v>
      </c>
      <c r="E19" s="35">
        <f t="shared" si="2"/>
        <v>26759.919581455051</v>
      </c>
      <c r="F19" s="35">
        <f t="shared" si="2"/>
        <v>30247.60934085173</v>
      </c>
      <c r="G19" s="35">
        <f t="shared" si="2"/>
        <v>39515.065704751141</v>
      </c>
      <c r="H19" s="35">
        <f t="shared" si="2"/>
        <v>26393.263641609767</v>
      </c>
      <c r="I19" s="35">
        <f t="shared" si="2"/>
        <v>35060.350884725354</v>
      </c>
      <c r="J19" s="35">
        <f t="shared" si="2"/>
        <v>27198.367813244466</v>
      </c>
      <c r="K19" s="35">
        <f t="shared" si="2"/>
        <v>18698.037591899301</v>
      </c>
      <c r="L19" s="35">
        <f t="shared" si="2"/>
        <v>18437.389910862388</v>
      </c>
      <c r="M19" s="35">
        <f t="shared" si="2"/>
        <v>18245.495853467866</v>
      </c>
      <c r="N19" s="35">
        <f t="shared" si="2"/>
        <v>18437.860113643219</v>
      </c>
      <c r="O19" s="35">
        <f t="shared" si="2"/>
        <v>14495.506512011543</v>
      </c>
      <c r="P19" s="35">
        <f t="shared" si="2"/>
        <v>13205.901640279195</v>
      </c>
      <c r="Q19" s="35">
        <f t="shared" si="2"/>
        <v>13938.167071247601</v>
      </c>
      <c r="R19" s="35">
        <f t="shared" si="2"/>
        <v>17164.955174070055</v>
      </c>
      <c r="S19" s="35">
        <f t="shared" si="2"/>
        <v>19868.179299163236</v>
      </c>
      <c r="T19" s="35">
        <f t="shared" si="2"/>
        <v>16324.519745562626</v>
      </c>
      <c r="U19" s="35">
        <f t="shared" si="2"/>
        <v>23345.814529210656</v>
      </c>
      <c r="V19" s="35">
        <f t="shared" si="2"/>
        <v>17550.668067666327</v>
      </c>
    </row>
    <row r="20" spans="2:22" x14ac:dyDescent="0.2">
      <c r="B20" s="32"/>
      <c r="C20" s="77" t="s">
        <v>60</v>
      </c>
      <c r="D20" s="33">
        <f>2597.811754969*Deflactores!$A$5</f>
        <v>9431.5091812330229</v>
      </c>
      <c r="E20" s="33">
        <f>4468.950432136*Deflactores!$B$5</f>
        <v>15072.033819423845</v>
      </c>
      <c r="F20" s="33">
        <f>5714.492299244*Deflactores!$C$5</f>
        <v>18013.301412880122</v>
      </c>
      <c r="G20" s="33">
        <f>7912.438625826*Deflactores!$D$5</f>
        <v>23421.334563386295</v>
      </c>
      <c r="H20" s="33">
        <f>4471.902937483*Deflactores!$E$5</f>
        <v>12547.396238816076</v>
      </c>
      <c r="I20" s="33">
        <f>8569.800247307*Deflactores!$F$5</f>
        <v>22932.009536985268</v>
      </c>
      <c r="J20" s="33">
        <f>5421.29476510999*Deflactores!$G$5</f>
        <v>13885.125202225639</v>
      </c>
      <c r="K20" s="33">
        <f>3721.7109980418*Deflactores!$H$5</f>
        <v>9018.5599264950815</v>
      </c>
      <c r="L20" s="33">
        <f>4133.19942000899*Deflactores!$I$5</f>
        <v>9301.833561750349</v>
      </c>
      <c r="M20" s="33">
        <f>3405.221544954*Deflactores!$J$5</f>
        <v>7513.1093069553917</v>
      </c>
      <c r="N20" s="33">
        <f>3880.239324386*Deflactores!$K$5</f>
        <v>8298.016080647214</v>
      </c>
      <c r="O20" s="33">
        <f>3024.23696236699*Deflactores!$L$5</f>
        <v>6235.0663187826713</v>
      </c>
      <c r="P20" s="33">
        <f>3394.20485377999*Deflactores!$M$5</f>
        <v>6831.1487214569734</v>
      </c>
      <c r="Q20" s="33">
        <f>2963.426497922*Deflactores!$N$5</f>
        <v>5850.6648537821511</v>
      </c>
      <c r="R20" s="33">
        <f>4984.381737812*Deflactores!$O$5</f>
        <v>9493.1676959034612</v>
      </c>
      <c r="S20" s="33">
        <f>6079.614994828*Deflactores!$P$5</f>
        <v>10844.928456015214</v>
      </c>
      <c r="T20" s="33">
        <f>3557.16656030847*Deflactores!$Q$5</f>
        <v>6000.3203684408327</v>
      </c>
      <c r="U20" s="33">
        <f>7884.659597283*Deflactores!$R$5</f>
        <v>12777.449630823334</v>
      </c>
      <c r="V20" s="33">
        <f>3074.634157762*Deflactores!$S$5</f>
        <v>4829.0216602627497</v>
      </c>
    </row>
    <row r="21" spans="2:22" x14ac:dyDescent="0.2">
      <c r="B21" s="32"/>
      <c r="C21" s="77" t="s">
        <v>61</v>
      </c>
      <c r="D21" s="33">
        <f>2527.33638186299*Deflactores!$A$5</f>
        <v>9175.6441720656876</v>
      </c>
      <c r="E21" s="33">
        <f>3465.52978534799*Deflactores!$B$5</f>
        <v>11687.885762031206</v>
      </c>
      <c r="F21" s="33">
        <f>3881.179626017*Deflactores!$C$5</f>
        <v>12234.307927971608</v>
      </c>
      <c r="G21" s="33">
        <f>5436.95149274973*Deflactores!$D$5</f>
        <v>16093.731141364846</v>
      </c>
      <c r="H21" s="33">
        <f>4934.679190174*Deflactores!$E$5</f>
        <v>13845.867402793689</v>
      </c>
      <c r="I21" s="33">
        <f>4532.418430825*Deflactores!$F$5</f>
        <v>12128.341347740086</v>
      </c>
      <c r="J21" s="33">
        <f>5198.009482996*Deflactores!$G$5</f>
        <v>13313.242611018826</v>
      </c>
      <c r="K21" s="33">
        <f>3994.45352431506*Deflactores!$H$5</f>
        <v>9679.477665404218</v>
      </c>
      <c r="L21" s="33">
        <f>4059.315397652*Deflactores!$I$5</f>
        <v>9135.5563491120392</v>
      </c>
      <c r="M21" s="33">
        <f>4864.318140976*Deflactores!$J$5</f>
        <v>10732.386546512476</v>
      </c>
      <c r="N21" s="33">
        <f>4741.497386554*Deflactores!$K$5</f>
        <v>10139.844032996003</v>
      </c>
      <c r="O21" s="33">
        <f>4006.61793805299*Deflactores!$L$5</f>
        <v>8260.4401932288711</v>
      </c>
      <c r="P21" s="33">
        <f>3167.434670358*Deflactores!$M$5</f>
        <v>6374.7529188222215</v>
      </c>
      <c r="Q21" s="33">
        <f>4096.40937777299*Deflactores!$N$5</f>
        <v>8087.5022174654496</v>
      </c>
      <c r="R21" s="33">
        <f>4028.067198165*Deflactores!$O$5</f>
        <v>7671.7874781665923</v>
      </c>
      <c r="S21" s="33">
        <f>5058.39124256*Deflactores!$P$5</f>
        <v>9023.2508431480219</v>
      </c>
      <c r="T21" s="33">
        <f>6120.48932910528*Deflactores!$Q$5</f>
        <v>10324.199377121793</v>
      </c>
      <c r="U21" s="33">
        <f>6521.48606578299*Deflactores!$R$5</f>
        <v>10568.364898387323</v>
      </c>
      <c r="V21" s="33">
        <f>8099.861905578*Deflactores!$S$5</f>
        <v>12721.646407403578</v>
      </c>
    </row>
    <row r="22" spans="2:22" x14ac:dyDescent="0.2">
      <c r="B22" s="34"/>
      <c r="C22" s="76" t="s">
        <v>44</v>
      </c>
      <c r="D22" s="35">
        <f t="shared" ref="D22:V22" si="3">+D23+D24</f>
        <v>41467.935089796112</v>
      </c>
      <c r="E22" s="35">
        <f t="shared" si="3"/>
        <v>45424.246224759016</v>
      </c>
      <c r="F22" s="35">
        <f t="shared" si="3"/>
        <v>42141.112926668138</v>
      </c>
      <c r="G22" s="35">
        <f t="shared" si="3"/>
        <v>41415.836270872955</v>
      </c>
      <c r="H22" s="35">
        <f t="shared" si="3"/>
        <v>49050.144852195779</v>
      </c>
      <c r="I22" s="35">
        <f t="shared" si="3"/>
        <v>49386.11615208775</v>
      </c>
      <c r="J22" s="35">
        <f t="shared" si="3"/>
        <v>72509.797643844518</v>
      </c>
      <c r="K22" s="35">
        <f t="shared" si="3"/>
        <v>76582.845716792828</v>
      </c>
      <c r="L22" s="35">
        <f t="shared" si="3"/>
        <v>69072.461644207739</v>
      </c>
      <c r="M22" s="35">
        <f t="shared" si="3"/>
        <v>63465.1420031054</v>
      </c>
      <c r="N22" s="35">
        <f t="shared" si="3"/>
        <v>66870.581778673659</v>
      </c>
      <c r="O22" s="35">
        <f t="shared" si="3"/>
        <v>58048.866238987612</v>
      </c>
      <c r="P22" s="35">
        <f t="shared" si="3"/>
        <v>60074.641113822501</v>
      </c>
      <c r="Q22" s="35">
        <f t="shared" si="3"/>
        <v>73998.346442202834</v>
      </c>
      <c r="R22" s="35">
        <f t="shared" si="3"/>
        <v>60831.974874586907</v>
      </c>
      <c r="S22" s="35">
        <f t="shared" si="3"/>
        <v>63930.253828952584</v>
      </c>
      <c r="T22" s="35">
        <f t="shared" si="3"/>
        <v>62460.710845237358</v>
      </c>
      <c r="U22" s="35">
        <f t="shared" si="3"/>
        <v>57692.747176135468</v>
      </c>
      <c r="V22" s="35">
        <f t="shared" si="3"/>
        <v>57728.190942015484</v>
      </c>
    </row>
    <row r="23" spans="2:22" x14ac:dyDescent="0.2">
      <c r="B23" s="32"/>
      <c r="C23" s="77" t="s">
        <v>60</v>
      </c>
      <c r="D23" s="33">
        <f>6406.742457902*Deflactores!$A$5</f>
        <v>23260.057314745347</v>
      </c>
      <c r="E23" s="33">
        <f>8411.172914122*Deflactores!$B$5</f>
        <v>28367.618873336971</v>
      </c>
      <c r="F23" s="33">
        <f>8119.82798196799*Deflactores!$C$5</f>
        <v>25595.433714956216</v>
      </c>
      <c r="G23" s="33">
        <f>7146.908390074*Deflactores!$D$5</f>
        <v>21155.315120099447</v>
      </c>
      <c r="H23" s="33">
        <f>9691.918690262*Deflactores!$E$5</f>
        <v>27193.869326142314</v>
      </c>
      <c r="I23" s="33">
        <f>9625.750090896*Deflactores!$F$5</f>
        <v>25757.635710870763</v>
      </c>
      <c r="J23" s="33">
        <f>17122.88794468*Deflactores!$G$5</f>
        <v>43855.472398527316</v>
      </c>
      <c r="K23" s="33">
        <f>19127.6098796461*Deflactores!$H$5</f>
        <v>46350.588759033533</v>
      </c>
      <c r="L23" s="33">
        <f>18574.5947914869*Deflactores!$I$5</f>
        <v>41802.432370173476</v>
      </c>
      <c r="M23" s="33">
        <f>16048.553246971*Deflactores!$J$5</f>
        <v>35408.719571171336</v>
      </c>
      <c r="N23" s="33">
        <f>18160.8963324009*Deflactores!$K$5</f>
        <v>38837.658506817999</v>
      </c>
      <c r="O23" s="33">
        <f>14794.3622569999*Deflactores!$L$5</f>
        <v>30501.521859680219</v>
      </c>
      <c r="P23" s="33">
        <f>16672.829632408*Deflactores!$M$5</f>
        <v>33555.599538918228</v>
      </c>
      <c r="Q23" s="33">
        <f>22809.372832281*Deflactores!$N$5</f>
        <v>45032.328643958965</v>
      </c>
      <c r="R23" s="33">
        <f>17783.707620987*Deflactores!$O$5</f>
        <v>33870.543546099805</v>
      </c>
      <c r="S23" s="33">
        <f>20399.347354253*Deflactores!$P$5</f>
        <v>36388.729022229134</v>
      </c>
      <c r="T23" s="33">
        <f>19919.9671423345*Deflactores!$Q$5</f>
        <v>33601.51473268566</v>
      </c>
      <c r="U23" s="33">
        <f>17105.835220066*Deflactores!$R$5</f>
        <v>27720.784292688357</v>
      </c>
      <c r="V23" s="33">
        <f>16114.577057565*Deflactores!$S$5</f>
        <v>25309.561288942859</v>
      </c>
    </row>
    <row r="24" spans="2:22" x14ac:dyDescent="0.2">
      <c r="B24" s="32"/>
      <c r="C24" s="77" t="s">
        <v>61</v>
      </c>
      <c r="D24" s="33">
        <f>5015.171804231*Deflactores!$A$5</f>
        <v>18207.877775050762</v>
      </c>
      <c r="E24" s="33">
        <f>5057.394581658*Deflactores!$B$5</f>
        <v>17056.627351422048</v>
      </c>
      <c r="F24" s="33">
        <f>5248.90769736872*Deflactores!$C$5</f>
        <v>16545.679211711922</v>
      </c>
      <c r="G24" s="33">
        <f>6844.61979307327*Deflactores!$D$5</f>
        <v>20260.521150773504</v>
      </c>
      <c r="H24" s="33">
        <f>7789.595615466*Deflactores!$E$5</f>
        <v>21856.275526053465</v>
      </c>
      <c r="I24" s="33">
        <f>8830.074712905*Deflactores!$F$5</f>
        <v>23628.480441216987</v>
      </c>
      <c r="J24" s="33">
        <f>11187.766850334*Deflactores!$G$5</f>
        <v>28654.325245317199</v>
      </c>
      <c r="K24" s="33">
        <f>12476.018802599*Deflactores!$H$5</f>
        <v>30232.256957759291</v>
      </c>
      <c r="L24" s="33">
        <f>12117.231342705*Deflactores!$I$5</f>
        <v>27270.029274034263</v>
      </c>
      <c r="M24" s="33">
        <f>12716.217778318*Deflactores!$J$5</f>
        <v>28056.422431934065</v>
      </c>
      <c r="N24" s="33">
        <f>13108.488848393*Deflactores!$K$5</f>
        <v>28032.923271855663</v>
      </c>
      <c r="O24" s="33">
        <f>13361.4773007289*Deflactores!$L$5</f>
        <v>27547.344379307393</v>
      </c>
      <c r="P24" s="33">
        <f>13176.562727789*Deflactores!$M$5</f>
        <v>26519.041574904273</v>
      </c>
      <c r="Q24" s="33">
        <f>14671.608582588*Deflactores!$N$5</f>
        <v>28966.017798243876</v>
      </c>
      <c r="R24" s="33">
        <f>14156.082589479*Deflactores!$O$5</f>
        <v>26961.431328487102</v>
      </c>
      <c r="S24" s="33">
        <f>15439.647008691*Deflactores!$P$5</f>
        <v>27541.524806723446</v>
      </c>
      <c r="T24" s="33">
        <f>17108.5810532527*Deflactores!$Q$5</f>
        <v>28859.196112551697</v>
      </c>
      <c r="U24" s="33">
        <f>18494.983868166*Deflactores!$R$5</f>
        <v>29971.962883447115</v>
      </c>
      <c r="V24" s="33">
        <f>20640.915094539*Deflactores!$S$5</f>
        <v>32418.629653072629</v>
      </c>
    </row>
    <row r="25" spans="2:22" x14ac:dyDescent="0.2">
      <c r="B25" s="34" t="s">
        <v>45</v>
      </c>
      <c r="C25" s="76" t="s">
        <v>46</v>
      </c>
      <c r="D25" s="35">
        <f>7620.83281499099*Deflactores!$A$5</f>
        <v>27667.884143548014</v>
      </c>
      <c r="E25" s="35">
        <f>11466.4057597971*Deflactores!$B$5</f>
        <v>38671.732439935666</v>
      </c>
      <c r="F25" s="35">
        <f>10632.6605531301*Deflactores!$C$5</f>
        <v>33516.419190854729</v>
      </c>
      <c r="G25" s="35">
        <f>8962.85466567888*Deflactores!$D$5</f>
        <v>26530.634573605752</v>
      </c>
      <c r="H25" s="35">
        <f>11175.5745743095*Deflactores!$E$5</f>
        <v>31356.75446015484</v>
      </c>
      <c r="I25" s="35">
        <f>12598.4512464178*Deflactores!$F$5</f>
        <v>33712.31484944871</v>
      </c>
      <c r="J25" s="35">
        <f>14981.8119985554*Deflactores!$G$5</f>
        <v>38371.707197132557</v>
      </c>
      <c r="K25" s="35">
        <f>20992.218870549*Deflactores!$H$5</f>
        <v>50868.9642945835</v>
      </c>
      <c r="L25" s="35">
        <f>22090.1487008449*Deflactores!$I$5</f>
        <v>49714.244508707496</v>
      </c>
      <c r="M25" s="35">
        <f>31189.933565961*Deflactores!$J$5</f>
        <v>68815.898485367856</v>
      </c>
      <c r="N25" s="35">
        <f>25684.6110833104*Deflactores!$K$5</f>
        <v>54927.363488901487</v>
      </c>
      <c r="O25" s="35">
        <f>32860.724673777*Deflactores!$L$5</f>
        <v>67748.923174292722</v>
      </c>
      <c r="P25" s="35">
        <f>38080.336370913*Deflactores!$M$5</f>
        <v>76640.171209205218</v>
      </c>
      <c r="Q25" s="35">
        <f>43645.577196724*Deflactores!$N$5</f>
        <v>86169.049479367241</v>
      </c>
      <c r="R25" s="35">
        <f>44484.787084584*Deflactores!$O$5</f>
        <v>84724.960070151952</v>
      </c>
      <c r="S25" s="35">
        <f>46088.6791772363*Deflactores!$P$5</f>
        <v>82213.829121511109</v>
      </c>
      <c r="T25" s="35">
        <f>41141.0519178311*Deflactores!$Q$5</f>
        <v>69397.788272314298</v>
      </c>
      <c r="U25" s="35">
        <f>40418.5175390969*Deflactores!$R$5</f>
        <v>65500.046721905885</v>
      </c>
      <c r="V25" s="35">
        <f>38621.7015154969*Deflactores!$S$5</f>
        <v>60659.260128135895</v>
      </c>
    </row>
    <row r="26" spans="2:22" ht="14.25" customHeight="1" x14ac:dyDescent="0.2">
      <c r="B26" s="36" t="s">
        <v>47</v>
      </c>
      <c r="C26" s="78" t="s">
        <v>48</v>
      </c>
      <c r="D26" s="37">
        <f t="shared" ref="D26:V26" si="4">+D13+D25</f>
        <v>123610.90157855977</v>
      </c>
      <c r="E26" s="37">
        <f t="shared" si="4"/>
        <v>139454.4408511272</v>
      </c>
      <c r="F26" s="37">
        <f t="shared" si="4"/>
        <v>138046.84840678703</v>
      </c>
      <c r="G26" s="37">
        <f t="shared" si="4"/>
        <v>131436.31181196828</v>
      </c>
      <c r="H26" s="37">
        <f t="shared" si="4"/>
        <v>153812.86816556417</v>
      </c>
      <c r="I26" s="37">
        <f t="shared" si="4"/>
        <v>165684.61908988236</v>
      </c>
      <c r="J26" s="37">
        <f t="shared" si="4"/>
        <v>171583.90494287273</v>
      </c>
      <c r="K26" s="37">
        <f t="shared" si="4"/>
        <v>188671.09500423435</v>
      </c>
      <c r="L26" s="37">
        <f t="shared" si="4"/>
        <v>194460.02259127065</v>
      </c>
      <c r="M26" s="37">
        <f t="shared" si="4"/>
        <v>231691.32250811052</v>
      </c>
      <c r="N26" s="37">
        <f t="shared" si="4"/>
        <v>234956.58797265604</v>
      </c>
      <c r="O26" s="37">
        <f t="shared" si="4"/>
        <v>239415.0300769867</v>
      </c>
      <c r="P26" s="37">
        <f t="shared" si="4"/>
        <v>260043.33740414289</v>
      </c>
      <c r="Q26" s="37">
        <f t="shared" si="4"/>
        <v>285126.43038070004</v>
      </c>
      <c r="R26" s="37">
        <f t="shared" si="4"/>
        <v>297132.12736095942</v>
      </c>
      <c r="S26" s="37">
        <f t="shared" si="4"/>
        <v>286513.24910561007</v>
      </c>
      <c r="T26" s="37">
        <f t="shared" si="4"/>
        <v>276167.0104269578</v>
      </c>
      <c r="U26" s="37">
        <f t="shared" si="4"/>
        <v>290578.58376215457</v>
      </c>
      <c r="V26" s="37">
        <f t="shared" si="4"/>
        <v>291079.73795172817</v>
      </c>
    </row>
    <row r="27" spans="2:22" ht="14.25" customHeight="1" x14ac:dyDescent="0.2">
      <c r="B27" s="38" t="s">
        <v>49</v>
      </c>
      <c r="C27" s="79" t="s">
        <v>50</v>
      </c>
      <c r="D27" s="39">
        <f t="shared" ref="D27:V27" si="5">+D18+D26</f>
        <v>183685.99002165458</v>
      </c>
      <c r="E27" s="39">
        <f t="shared" si="5"/>
        <v>211638.60665734127</v>
      </c>
      <c r="F27" s="39">
        <f t="shared" si="5"/>
        <v>210435.57067430689</v>
      </c>
      <c r="G27" s="39">
        <f t="shared" si="5"/>
        <v>212367.21378759237</v>
      </c>
      <c r="H27" s="39">
        <f t="shared" si="5"/>
        <v>229256.2766593697</v>
      </c>
      <c r="I27" s="39">
        <f t="shared" si="5"/>
        <v>250131.08612669545</v>
      </c>
      <c r="J27" s="39">
        <f t="shared" si="5"/>
        <v>271292.07039996173</v>
      </c>
      <c r="K27" s="39">
        <f t="shared" si="5"/>
        <v>283951.97831292648</v>
      </c>
      <c r="L27" s="39">
        <f t="shared" si="5"/>
        <v>281969.87414634076</v>
      </c>
      <c r="M27" s="39">
        <f t="shared" si="5"/>
        <v>313401.96036468376</v>
      </c>
      <c r="N27" s="39">
        <f t="shared" si="5"/>
        <v>320265.02986497292</v>
      </c>
      <c r="O27" s="39">
        <f t="shared" si="5"/>
        <v>311959.40282798588</v>
      </c>
      <c r="P27" s="39">
        <f t="shared" si="5"/>
        <v>333323.88015824457</v>
      </c>
      <c r="Q27" s="39">
        <f t="shared" si="5"/>
        <v>373062.94389415049</v>
      </c>
      <c r="R27" s="39">
        <f t="shared" si="5"/>
        <v>375129.05740961642</v>
      </c>
      <c r="S27" s="39">
        <f t="shared" si="5"/>
        <v>370311.68223372591</v>
      </c>
      <c r="T27" s="39">
        <f t="shared" si="5"/>
        <v>354952.2410177578</v>
      </c>
      <c r="U27" s="39">
        <f t="shared" si="5"/>
        <v>371617.14546750067</v>
      </c>
      <c r="V27" s="39">
        <f t="shared" si="5"/>
        <v>366358.59696140996</v>
      </c>
    </row>
    <row r="28" spans="2:22" x14ac:dyDescent="0.2">
      <c r="B28" s="1" t="s">
        <v>52</v>
      </c>
      <c r="C28" s="75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</row>
    <row r="29" spans="2:22" x14ac:dyDescent="0.2">
      <c r="B29" s="1"/>
    </row>
    <row r="32" spans="2:22" x14ac:dyDescent="0.2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</row>
    <row r="33" spans="1:22" x14ac:dyDescent="0.2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</row>
    <row r="35" spans="1:22" ht="18" customHeight="1" x14ac:dyDescent="0.2">
      <c r="C35" s="131"/>
      <c r="D35" s="160" t="s">
        <v>62</v>
      </c>
      <c r="E35" s="158"/>
      <c r="F35" s="158"/>
      <c r="G35" s="158"/>
      <c r="H35" s="158"/>
      <c r="I35" s="158"/>
      <c r="J35" s="158"/>
      <c r="K35" s="158"/>
      <c r="L35" s="158"/>
      <c r="M35" s="158"/>
      <c r="N35" s="158"/>
      <c r="O35" s="158"/>
      <c r="P35" s="158"/>
      <c r="Q35" s="158"/>
      <c r="R35" s="158"/>
      <c r="S35" s="158"/>
      <c r="T35" s="158"/>
      <c r="U35" s="158"/>
      <c r="V35" s="158"/>
    </row>
    <row r="36" spans="1:22" x14ac:dyDescent="0.2">
      <c r="B36" s="157"/>
      <c r="C36" s="158"/>
      <c r="D36" s="158"/>
      <c r="E36" s="158"/>
      <c r="F36" s="158"/>
      <c r="G36" s="158"/>
      <c r="H36" s="158"/>
      <c r="I36" s="158"/>
      <c r="J36" s="158"/>
      <c r="K36" s="158"/>
      <c r="L36" s="158"/>
      <c r="M36" s="158"/>
      <c r="N36" s="158"/>
      <c r="O36" s="158"/>
      <c r="P36" s="158"/>
      <c r="Q36" s="158"/>
      <c r="R36" s="158"/>
      <c r="S36" s="158"/>
      <c r="T36" s="158"/>
      <c r="U36" s="158"/>
      <c r="V36" s="158"/>
    </row>
    <row r="37" spans="1:22" x14ac:dyDescent="0.2">
      <c r="A37" s="17"/>
      <c r="B37" s="163"/>
      <c r="C37" s="155" t="s">
        <v>38</v>
      </c>
      <c r="D37" s="153">
        <v>2000</v>
      </c>
      <c r="E37" s="153">
        <v>2001</v>
      </c>
      <c r="F37" s="153">
        <v>2002</v>
      </c>
      <c r="G37" s="153">
        <v>2003</v>
      </c>
      <c r="H37" s="153">
        <v>2004</v>
      </c>
      <c r="I37" s="153">
        <v>2005</v>
      </c>
      <c r="J37" s="153">
        <v>2006</v>
      </c>
      <c r="K37" s="153">
        <v>2007</v>
      </c>
      <c r="L37" s="153">
        <v>2008</v>
      </c>
      <c r="M37" s="153">
        <v>2009</v>
      </c>
      <c r="N37" s="153">
        <v>2010</v>
      </c>
      <c r="O37" s="153">
        <v>2011</v>
      </c>
      <c r="P37" s="153">
        <v>2012</v>
      </c>
      <c r="Q37" s="153">
        <v>2013</v>
      </c>
      <c r="R37" s="153">
        <v>2014</v>
      </c>
      <c r="S37" s="153">
        <v>2015</v>
      </c>
      <c r="T37" s="153">
        <v>2016</v>
      </c>
      <c r="U37" s="153">
        <v>2017</v>
      </c>
      <c r="V37" s="153">
        <v>2018</v>
      </c>
    </row>
    <row r="38" spans="1:22" ht="12" customHeight="1" thickBot="1" x14ac:dyDescent="0.25">
      <c r="A38" s="17"/>
      <c r="B38" s="154"/>
      <c r="C38" s="156"/>
      <c r="D38" s="154"/>
      <c r="E38" s="154"/>
      <c r="F38" s="154"/>
      <c r="G38" s="154"/>
      <c r="H38" s="154"/>
      <c r="I38" s="154"/>
      <c r="J38" s="154"/>
      <c r="K38" s="154"/>
      <c r="L38" s="154"/>
      <c r="M38" s="154"/>
      <c r="N38" s="154"/>
      <c r="O38" s="154"/>
      <c r="P38" s="154"/>
      <c r="Q38" s="154"/>
      <c r="R38" s="154"/>
      <c r="S38" s="154"/>
      <c r="T38" s="154"/>
      <c r="U38" s="154"/>
      <c r="V38" s="154"/>
    </row>
    <row r="39" spans="1:22" x14ac:dyDescent="0.2">
      <c r="A39" s="18"/>
      <c r="B39" s="34" t="s">
        <v>39</v>
      </c>
      <c r="C39" s="76" t="s">
        <v>40</v>
      </c>
      <c r="D39" s="41">
        <f t="shared" ref="D39:V39" si="6">+D40+D41+D42+D43</f>
        <v>91080.903104391618</v>
      </c>
      <c r="E39" s="41">
        <f t="shared" si="6"/>
        <v>96990.982151345466</v>
      </c>
      <c r="F39" s="41">
        <f t="shared" si="6"/>
        <v>102328.49177837456</v>
      </c>
      <c r="G39" s="41">
        <f t="shared" si="6"/>
        <v>102961.31288591147</v>
      </c>
      <c r="H39" s="41">
        <f t="shared" si="6"/>
        <v>120769.13414727674</v>
      </c>
      <c r="I39" s="41">
        <f t="shared" si="6"/>
        <v>129544.55916225693</v>
      </c>
      <c r="J39" s="41">
        <f t="shared" si="6"/>
        <v>130396.28482951885</v>
      </c>
      <c r="K39" s="41">
        <f t="shared" si="6"/>
        <v>131848.79660089794</v>
      </c>
      <c r="L39" s="41">
        <f t="shared" si="6"/>
        <v>141161.46480482875</v>
      </c>
      <c r="M39" s="41">
        <f t="shared" si="6"/>
        <v>153964.66099275241</v>
      </c>
      <c r="N39" s="41">
        <f t="shared" si="6"/>
        <v>165596.80397476049</v>
      </c>
      <c r="O39" s="41">
        <f t="shared" si="6"/>
        <v>168340.65162062511</v>
      </c>
      <c r="P39" s="41">
        <f t="shared" si="6"/>
        <v>179307.25022995856</v>
      </c>
      <c r="Q39" s="41">
        <f t="shared" si="6"/>
        <v>192323.33899090378</v>
      </c>
      <c r="R39" s="41">
        <f t="shared" si="6"/>
        <v>201953.91126171869</v>
      </c>
      <c r="S39" s="41">
        <f t="shared" si="6"/>
        <v>199858.54273340097</v>
      </c>
      <c r="T39" s="41">
        <f t="shared" si="6"/>
        <v>204612.37881769703</v>
      </c>
      <c r="U39" s="41">
        <f t="shared" si="6"/>
        <v>223136.14165567138</v>
      </c>
      <c r="V39" s="41">
        <f t="shared" si="6"/>
        <v>223969.47757316125</v>
      </c>
    </row>
    <row r="40" spans="1:22" x14ac:dyDescent="0.2">
      <c r="A40" s="19"/>
      <c r="B40" s="40"/>
      <c r="C40" s="77" t="s">
        <v>56</v>
      </c>
      <c r="D40" s="42">
        <f>6229.34470914813*Deflactores!$A$5</f>
        <v>22616.004298624419</v>
      </c>
      <c r="E40" s="42">
        <f>6726.46650103465*Deflactores!$B$5</f>
        <v>22685.758575388594</v>
      </c>
      <c r="F40" s="42">
        <f>7268.31370541013*Deflactores!$C$5</f>
        <v>22911.278672340002</v>
      </c>
      <c r="G40" s="42">
        <f>7871.33608497666*Deflactores!$D$5</f>
        <v>23299.668360820691</v>
      </c>
      <c r="H40" s="42">
        <f>8637.75072587096*Deflactores!$E$5</f>
        <v>24236.053976302592</v>
      </c>
      <c r="I40" s="42">
        <f>9205.8149212342*Deflactores!$F$5</f>
        <v>24633.927218525678</v>
      </c>
      <c r="J40" s="42">
        <f>10208.7169930046*Deflactores!$G$5</f>
        <v>26146.76377942372</v>
      </c>
      <c r="K40" s="42">
        <f>11156.1130705759*Deflactores!$H$5</f>
        <v>27033.822434541918</v>
      </c>
      <c r="L40" s="42">
        <f>12493.0049102242*Deflactores!$I$5</f>
        <v>28115.713894294164</v>
      </c>
      <c r="M40" s="42">
        <f>14056.3603982619*Deflactores!$J$5</f>
        <v>31013.245609993723</v>
      </c>
      <c r="N40" s="42">
        <f>15117.7111655028*Deflactores!$K$5</f>
        <v>32329.709553101497</v>
      </c>
      <c r="O40" s="42">
        <f>15971.7121530199*Deflactores!$L$5</f>
        <v>32928.862962062318</v>
      </c>
      <c r="P40" s="42">
        <f>18009.2414348955*Deflactores!$M$5</f>
        <v>36245.250920960076</v>
      </c>
      <c r="Q40" s="42">
        <f>19954.0662497947*Deflactores!$N$5</f>
        <v>39395.123914690492</v>
      </c>
      <c r="R40" s="42">
        <f>22135.4433816682*Deflactores!$O$5</f>
        <v>42158.78459935054</v>
      </c>
      <c r="S40" s="42">
        <f>23620.5928754438*Deflactores!$P$5</f>
        <v>42134.845716508717</v>
      </c>
      <c r="T40" s="42">
        <f>25682.0221128836*Deflactores!$Q$5</f>
        <v>43321.097782196644</v>
      </c>
      <c r="U40" s="42">
        <f>27697.2227396041*Deflactores!$R$5</f>
        <v>44884.609678132147</v>
      </c>
      <c r="V40" s="42">
        <f>30597.1369734961*Deflactores!$S$5</f>
        <v>48055.87579062998</v>
      </c>
    </row>
    <row r="41" spans="1:22" x14ac:dyDescent="0.2">
      <c r="A41" s="19"/>
      <c r="B41" s="40"/>
      <c r="C41" s="77" t="s">
        <v>57</v>
      </c>
      <c r="D41" s="42">
        <f>1596.57007627469*Deflactores!$A$5</f>
        <v>5796.442064773988</v>
      </c>
      <c r="E41" s="42">
        <f>1829.54278383933*Deflactores!$B$5</f>
        <v>6170.3371140165882</v>
      </c>
      <c r="F41" s="42">
        <f>2226.05470737772*Deflactores!$C$5</f>
        <v>7017.0003397957835</v>
      </c>
      <c r="G41" s="42">
        <f>2417.68016574717*Deflactores!$D$5</f>
        <v>7156.4910272294765</v>
      </c>
      <c r="H41" s="42">
        <f>2828.14770289286*Deflactores!$E$5</f>
        <v>7935.2996579275814</v>
      </c>
      <c r="I41" s="42">
        <f>3077.40431181113*Deflactores!$F$5</f>
        <v>8234.8553048000031</v>
      </c>
      <c r="J41" s="42">
        <f>3405.41970167447*Deflactores!$G$5</f>
        <v>8722.0269276239142</v>
      </c>
      <c r="K41" s="42">
        <f>3660.57232159174*Deflactores!$H$5</f>
        <v>8870.4068813818067</v>
      </c>
      <c r="L41" s="42">
        <f>4040.32346250055*Deflactores!$I$5</f>
        <v>9092.814685368663</v>
      </c>
      <c r="M41" s="42">
        <f>4714.56557007867*Deflactores!$J$5</f>
        <v>10401.980016630019</v>
      </c>
      <c r="N41" s="42">
        <f>5115.03328875987*Deflactores!$K$5</f>
        <v>10938.662524351263</v>
      </c>
      <c r="O41" s="42">
        <f>5538.64446035544*Deflactores!$L$5</f>
        <v>11419.017741072024</v>
      </c>
      <c r="P41" s="42">
        <f>6339.27391526422*Deflactores!$M$5</f>
        <v>12758.370448087777</v>
      </c>
      <c r="Q41" s="42">
        <f>7298.75466031102*Deflactores!$N$5</f>
        <v>14409.862163749991</v>
      </c>
      <c r="R41" s="42">
        <f>7705.7529421135*Deflactores!$O$5</f>
        <v>14676.244467342212</v>
      </c>
      <c r="S41" s="42">
        <f>7555.74307359211*Deflactores!$P$5</f>
        <v>13478.072729086878</v>
      </c>
      <c r="T41" s="42">
        <f>7831.48943369265*Deflactores!$Q$5</f>
        <v>13210.358516397435</v>
      </c>
      <c r="U41" s="42">
        <f>7888.59478150278*Deflactores!$R$5</f>
        <v>12783.826775903075</v>
      </c>
      <c r="V41" s="42">
        <f>8495.0124562587*Deflactores!$S$5</f>
        <v>13342.270023219649</v>
      </c>
    </row>
    <row r="42" spans="1:22" x14ac:dyDescent="0.2">
      <c r="A42" s="19"/>
      <c r="B42" s="40"/>
      <c r="C42" s="77" t="s">
        <v>58</v>
      </c>
      <c r="D42" s="42">
        <f>16896.717733324*Deflactores!$A$5</f>
        <v>61344.532809094868</v>
      </c>
      <c r="E42" s="42">
        <f>19814.7527644027*Deflactores!$B$5</f>
        <v>66827.463925541044</v>
      </c>
      <c r="F42" s="42">
        <f>22488.2350405503*Deflactores!$C$5</f>
        <v>70887.724546013662</v>
      </c>
      <c r="G42" s="42">
        <f>23913.5827532928*Deflactores!$D$5</f>
        <v>70785.765142743971</v>
      </c>
      <c r="H42" s="42">
        <f>31009.4681464219*Deflactores!$E$5</f>
        <v>87007.273956419638</v>
      </c>
      <c r="I42" s="42">
        <f>35355.9534924003*Deflactores!$F$5</f>
        <v>94609.330355362064</v>
      </c>
      <c r="J42" s="42">
        <f>36413.0400920942*Deflactores!$G$5</f>
        <v>93261.783868734507</v>
      </c>
      <c r="K42" s="42">
        <f>38831.5536958484*Deflactores!$H$5</f>
        <v>94097.766922037365</v>
      </c>
      <c r="L42" s="42">
        <f>45345.3529492324*Deflactores!$I$5</f>
        <v>102050.46577009044</v>
      </c>
      <c r="M42" s="42">
        <f>49968.2824841892*Deflactores!$J$5</f>
        <v>110247.50173475406</v>
      </c>
      <c r="N42" s="42">
        <f>55854.780206257*Deflactores!$K$5</f>
        <v>119447.2365195868</v>
      </c>
      <c r="O42" s="42">
        <f>58806.1827981491*Deflactores!$L$5</f>
        <v>121240.64822418576</v>
      </c>
      <c r="P42" s="42">
        <f>63379.4659801904*Deflactores!$M$5</f>
        <v>127556.99100336836</v>
      </c>
      <c r="Q42" s="42">
        <f>68834.5395314248*Deflactores!$N$5</f>
        <v>135899.37912925598</v>
      </c>
      <c r="R42" s="42">
        <f>74778.5653516604*Deflactores!$O$5</f>
        <v>142421.96891885885</v>
      </c>
      <c r="S42" s="42">
        <f>79382.531331979*Deflactores!$P$5</f>
        <v>141604.01171539223</v>
      </c>
      <c r="T42" s="42">
        <f>86181.6360799038*Deflactores!$Q$5</f>
        <v>145373.4081855753</v>
      </c>
      <c r="U42" s="42">
        <f>100569.729085475*Deflactores!$R$5</f>
        <v>162977.82192372845</v>
      </c>
      <c r="V42" s="42">
        <f>101954.562562704*Deflactores!$S$5</f>
        <v>160129.87747988914</v>
      </c>
    </row>
    <row r="43" spans="1:22" x14ac:dyDescent="0.2">
      <c r="A43" s="19"/>
      <c r="B43" s="40"/>
      <c r="C43" s="77" t="s">
        <v>59</v>
      </c>
      <c r="D43" s="42">
        <f>364.66116788752*Deflactores!$A$5</f>
        <v>1323.9239318983462</v>
      </c>
      <c r="E43" s="42">
        <f>387.65879767971*Deflactores!$B$5</f>
        <v>1307.4225363992505</v>
      </c>
      <c r="F43" s="42">
        <f>479.817779598889*Deflactores!$C$5</f>
        <v>1512.4882202251126</v>
      </c>
      <c r="G43" s="42">
        <f>580.86164121037*Deflactores!$D$5</f>
        <v>1719.3883551173217</v>
      </c>
      <c r="H43" s="42">
        <f>566.85792074237*Deflactores!$E$5</f>
        <v>1590.5065566269243</v>
      </c>
      <c r="I43" s="42">
        <f>772.24073378377*Deflactores!$F$5</f>
        <v>2066.4462835691947</v>
      </c>
      <c r="J43" s="42">
        <f>884.62170552628*Deflactores!$G$5</f>
        <v>2265.7102537366959</v>
      </c>
      <c r="K43" s="42">
        <f>762.12358491262*Deflactores!$H$5</f>
        <v>1846.800362936867</v>
      </c>
      <c r="L43" s="42">
        <f>845.34836377169*Deflactores!$I$5</f>
        <v>1902.4704550754882</v>
      </c>
      <c r="M43" s="42">
        <f>1043.32223535658*Deflactores!$J$5</f>
        <v>2301.9336313746112</v>
      </c>
      <c r="N43" s="42">
        <f>1347.27716808666*Deflactores!$K$5</f>
        <v>2881.1953777209342</v>
      </c>
      <c r="O43" s="42">
        <f>1334.88093767173*Deflactores!$L$5</f>
        <v>2752.1226933050202</v>
      </c>
      <c r="P43" s="42">
        <f>1364.72677257973*Deflactores!$M$5</f>
        <v>2746.6378575423523</v>
      </c>
      <c r="Q43" s="42">
        <f>1326.53920545499*Deflactores!$N$5</f>
        <v>2618.9737832073233</v>
      </c>
      <c r="R43" s="42">
        <f>1416.01262221363*Deflactores!$O$5</f>
        <v>2696.9132761670917</v>
      </c>
      <c r="S43" s="42">
        <f>1480.87536685052*Deflactores!$P$5</f>
        <v>2641.6125724131539</v>
      </c>
      <c r="T43" s="42">
        <f>1605.09420454212*Deflactores!$Q$5</f>
        <v>2707.5143335276466</v>
      </c>
      <c r="U43" s="42">
        <f>1536.44762065123*Deflactores!$R$5</f>
        <v>2489.8832779077056</v>
      </c>
      <c r="V43" s="42">
        <f>1554.47195109871*Deflactores!$S$5</f>
        <v>2441.4542794224803</v>
      </c>
    </row>
    <row r="44" spans="1:22" x14ac:dyDescent="0.2">
      <c r="A44" s="20"/>
      <c r="B44" s="34" t="s">
        <v>41</v>
      </c>
      <c r="C44" s="76" t="s">
        <v>42</v>
      </c>
      <c r="D44" s="41">
        <f t="shared" ref="D44:V44" si="7">+D45+D48</f>
        <v>57151.818119080126</v>
      </c>
      <c r="E44" s="41">
        <f t="shared" si="7"/>
        <v>71184.460177439672</v>
      </c>
      <c r="F44" s="41">
        <f t="shared" si="7"/>
        <v>71639.452319639284</v>
      </c>
      <c r="G44" s="41">
        <f t="shared" si="7"/>
        <v>80278.624904045195</v>
      </c>
      <c r="H44" s="41">
        <f t="shared" si="7"/>
        <v>72053.908817448813</v>
      </c>
      <c r="I44" s="41">
        <f t="shared" si="7"/>
        <v>82621.45189865306</v>
      </c>
      <c r="J44" s="41">
        <f t="shared" si="7"/>
        <v>96281.961346592696</v>
      </c>
      <c r="K44" s="41">
        <f t="shared" si="7"/>
        <v>92126.944531510075</v>
      </c>
      <c r="L44" s="41">
        <f t="shared" si="7"/>
        <v>80067.65501095436</v>
      </c>
      <c r="M44" s="41">
        <f t="shared" si="7"/>
        <v>72254.945057805337</v>
      </c>
      <c r="N44" s="41">
        <f t="shared" si="7"/>
        <v>69173.791006305371</v>
      </c>
      <c r="O44" s="41">
        <f t="shared" si="7"/>
        <v>69507.51270513708</v>
      </c>
      <c r="P44" s="41">
        <f t="shared" si="7"/>
        <v>72942.282644163002</v>
      </c>
      <c r="Q44" s="41">
        <f t="shared" si="7"/>
        <v>74893.241503195808</v>
      </c>
      <c r="R44" s="41">
        <f t="shared" si="7"/>
        <v>76162.041984676587</v>
      </c>
      <c r="S44" s="41">
        <f t="shared" si="7"/>
        <v>82618.01558493718</v>
      </c>
      <c r="T44" s="41">
        <f t="shared" si="7"/>
        <v>66915.712049519803</v>
      </c>
      <c r="U44" s="41">
        <f t="shared" si="7"/>
        <v>79277.306349667662</v>
      </c>
      <c r="V44" s="41">
        <f t="shared" si="7"/>
        <v>73772.684485213831</v>
      </c>
    </row>
    <row r="45" spans="1:22" x14ac:dyDescent="0.2">
      <c r="A45" s="20"/>
      <c r="B45" s="34"/>
      <c r="C45" s="76" t="s">
        <v>43</v>
      </c>
      <c r="D45" s="41">
        <f t="shared" ref="D45:V45" si="8">+D46+D47</f>
        <v>18099.730800501027</v>
      </c>
      <c r="E45" s="41">
        <f t="shared" si="8"/>
        <v>26287.915668355396</v>
      </c>
      <c r="F45" s="41">
        <f t="shared" si="8"/>
        <v>29799.356777733381</v>
      </c>
      <c r="G45" s="41">
        <f t="shared" si="8"/>
        <v>39224.819378457018</v>
      </c>
      <c r="H45" s="41">
        <f t="shared" si="8"/>
        <v>23819.811842968491</v>
      </c>
      <c r="I45" s="41">
        <f t="shared" si="8"/>
        <v>34292.776577054625</v>
      </c>
      <c r="J45" s="41">
        <f t="shared" si="8"/>
        <v>24701.282767891527</v>
      </c>
      <c r="K45" s="41">
        <f t="shared" si="8"/>
        <v>18058.486555029114</v>
      </c>
      <c r="L45" s="41">
        <f t="shared" si="8"/>
        <v>16510.780148405647</v>
      </c>
      <c r="M45" s="41">
        <f t="shared" si="8"/>
        <v>15160.027389456203</v>
      </c>
      <c r="N45" s="41">
        <f t="shared" si="8"/>
        <v>15051.613057828927</v>
      </c>
      <c r="O45" s="41">
        <f t="shared" si="8"/>
        <v>12630.54829154483</v>
      </c>
      <c r="P45" s="41">
        <f t="shared" si="8"/>
        <v>13036.585028817644</v>
      </c>
      <c r="Q45" s="41">
        <f t="shared" si="8"/>
        <v>13549.041684525582</v>
      </c>
      <c r="R45" s="41">
        <f t="shared" si="8"/>
        <v>16842.689560590134</v>
      </c>
      <c r="S45" s="41">
        <f t="shared" si="8"/>
        <v>19642.537021278215</v>
      </c>
      <c r="T45" s="41">
        <f t="shared" si="8"/>
        <v>15678.627065943178</v>
      </c>
      <c r="U45" s="41">
        <f t="shared" si="8"/>
        <v>22656.601865493602</v>
      </c>
      <c r="V45" s="41">
        <f t="shared" si="8"/>
        <v>17542.131847924662</v>
      </c>
    </row>
    <row r="46" spans="1:22" x14ac:dyDescent="0.2">
      <c r="A46" s="20"/>
      <c r="B46" s="32"/>
      <c r="C46" s="77" t="s">
        <v>60</v>
      </c>
      <c r="D46" s="42">
        <f>2529.12285638793*Deflactores!$A$5</f>
        <v>9182.1300734601136</v>
      </c>
      <c r="E46" s="42">
        <f>4401.08491145749*Deflactores!$B$5</f>
        <v>14843.149780906906</v>
      </c>
      <c r="F46" s="42">
        <f>5653.35639142516*Deflactores!$C$5</f>
        <v>17820.587961356789</v>
      </c>
      <c r="G46" s="42">
        <f>7846.01808666962*Deflactores!$D$5</f>
        <v>23224.725434010623</v>
      </c>
      <c r="H46" s="42">
        <f>4063.2054549756*Deflactores!$E$5</f>
        <v>11400.660872123774</v>
      </c>
      <c r="I46" s="42">
        <f>8412.98639776208*Deflactores!$F$5</f>
        <v>22512.389873805198</v>
      </c>
      <c r="J46" s="42">
        <f>4943.76835664344*Deflactores!$G$5</f>
        <v>12662.075311708817</v>
      </c>
      <c r="K46" s="42">
        <f>3520.36640878998*Deflactores!$H$5</f>
        <v>8530.6557756895818</v>
      </c>
      <c r="L46" s="42">
        <f>3472.57379676566*Deflactores!$I$5</f>
        <v>7815.0846852531959</v>
      </c>
      <c r="M46" s="42">
        <f>2846.32466081057*Deflactores!$J$5</f>
        <v>6279.9873715827271</v>
      </c>
      <c r="N46" s="42">
        <f>3361.86607698633*Deflactores!$K$5</f>
        <v>7189.458287403254</v>
      </c>
      <c r="O46" s="42">
        <f>2373.50938587854*Deflactores!$L$5</f>
        <v>4893.4619255572652</v>
      </c>
      <c r="P46" s="42">
        <f>3393.41661617164*Deflactores!$M$5</f>
        <v>6829.5623209412561</v>
      </c>
      <c r="Q46" s="42">
        <f>2909.260866124*Deflactores!$N$5</f>
        <v>5743.7261601902292</v>
      </c>
      <c r="R46" s="42">
        <f>4841.01924007462*Deflactores!$O$5</f>
        <v>9220.1219494269972</v>
      </c>
      <c r="S46" s="42">
        <f>5998.70697983921*Deflactores!$P$5</f>
        <v>10700.603258643658</v>
      </c>
      <c r="T46" s="42">
        <f>3415.50685603909*Deflactores!$Q$5</f>
        <v>5761.365122881245</v>
      </c>
      <c r="U46" s="42">
        <f>7662.71728925502*Deflactores!$R$5</f>
        <v>12417.782022249157</v>
      </c>
      <c r="V46" s="42">
        <f>3074.46566123586*Deflactores!$S$5</f>
        <v>4828.7570195501767</v>
      </c>
    </row>
    <row r="47" spans="1:22" x14ac:dyDescent="0.2">
      <c r="A47" s="20"/>
      <c r="B47" s="32"/>
      <c r="C47" s="77" t="s">
        <v>61</v>
      </c>
      <c r="D47" s="42">
        <f>2456.26098110826*Deflactores!$A$5</f>
        <v>8917.6007270409136</v>
      </c>
      <c r="E47" s="42">
        <f>3393.44325199792*Deflactores!$B$5</f>
        <v>11444.765887448491</v>
      </c>
      <c r="F47" s="42">
        <f>3800.11307125868*Deflactores!$C$5</f>
        <v>11978.768816376592</v>
      </c>
      <c r="G47" s="42">
        <f>5405.31800185251*Deflactores!$D$5</f>
        <v>16000.093944446395</v>
      </c>
      <c r="H47" s="42">
        <f>4426.1962123869*Deflactores!$E$5</f>
        <v>12419.150970844719</v>
      </c>
      <c r="I47" s="42">
        <f>4402.38613716149*Deflactores!$F$5</f>
        <v>11780.386703249429</v>
      </c>
      <c r="J47" s="42">
        <f>4700.57643756894*Deflactores!$G$5</f>
        <v>12039.20745618271</v>
      </c>
      <c r="K47" s="42">
        <f>3931.87303604579*Deflactores!$H$5</f>
        <v>9527.8307793395325</v>
      </c>
      <c r="L47" s="42">
        <f>3863.8665383853*Deflactores!$I$5</f>
        <v>8695.6954631524513</v>
      </c>
      <c r="M47" s="42">
        <f>4024.76556023518*Deflactores!$J$5</f>
        <v>8880.0400178734762</v>
      </c>
      <c r="N47" s="42">
        <f>3676.42600570078*Deflactores!$K$5</f>
        <v>7862.1547704256718</v>
      </c>
      <c r="O47" s="42">
        <f>3752.77204326732*Deflactores!$L$5</f>
        <v>7737.0863659875658</v>
      </c>
      <c r="P47" s="42">
        <f>3084.09426608168*Deflactores!$M$5</f>
        <v>6207.0227078763874</v>
      </c>
      <c r="Q47" s="42">
        <f>3953.4786947341*Deflactores!$N$5</f>
        <v>7805.3155243353522</v>
      </c>
      <c r="R47" s="42">
        <f>4002.22433790083*Deflactores!$O$5</f>
        <v>7622.5676111631356</v>
      </c>
      <c r="S47" s="42">
        <f>5012.80527636111*Deflactores!$P$5</f>
        <v>8941.9337626345587</v>
      </c>
      <c r="T47" s="42">
        <f>5879.24483819627*Deflactores!$Q$5</f>
        <v>9917.2619430619325</v>
      </c>
      <c r="U47" s="42">
        <f>6318.1316674607*Deflactores!$R$5</f>
        <v>10238.819843244444</v>
      </c>
      <c r="V47" s="42">
        <f>8094.59539794753*Deflactores!$S$5</f>
        <v>12713.374828374484</v>
      </c>
    </row>
    <row r="48" spans="1:22" x14ac:dyDescent="0.2">
      <c r="A48" s="20"/>
      <c r="B48" s="34"/>
      <c r="C48" s="76" t="s">
        <v>44</v>
      </c>
      <c r="D48" s="41">
        <f t="shared" ref="D48:V48" si="9">+D49+D50</f>
        <v>39052.087318579099</v>
      </c>
      <c r="E48" s="41">
        <f t="shared" si="9"/>
        <v>44896.54450908427</v>
      </c>
      <c r="F48" s="41">
        <f t="shared" si="9"/>
        <v>41840.095541905903</v>
      </c>
      <c r="G48" s="41">
        <f t="shared" si="9"/>
        <v>41053.805525588177</v>
      </c>
      <c r="H48" s="41">
        <f t="shared" si="9"/>
        <v>48234.096974480322</v>
      </c>
      <c r="I48" s="41">
        <f t="shared" si="9"/>
        <v>48328.675321598435</v>
      </c>
      <c r="J48" s="41">
        <f t="shared" si="9"/>
        <v>71580.678578701176</v>
      </c>
      <c r="K48" s="41">
        <f t="shared" si="9"/>
        <v>74068.45797648096</v>
      </c>
      <c r="L48" s="41">
        <f t="shared" si="9"/>
        <v>63556.874862548706</v>
      </c>
      <c r="M48" s="41">
        <f t="shared" si="9"/>
        <v>57094.917668349139</v>
      </c>
      <c r="N48" s="41">
        <f t="shared" si="9"/>
        <v>54122.177948476441</v>
      </c>
      <c r="O48" s="41">
        <f t="shared" si="9"/>
        <v>56876.964413592257</v>
      </c>
      <c r="P48" s="41">
        <f t="shared" si="9"/>
        <v>59905.697615345358</v>
      </c>
      <c r="Q48" s="41">
        <f t="shared" si="9"/>
        <v>61344.199818670226</v>
      </c>
      <c r="R48" s="41">
        <f t="shared" si="9"/>
        <v>59319.35242408645</v>
      </c>
      <c r="S48" s="41">
        <f t="shared" si="9"/>
        <v>62975.478563658973</v>
      </c>
      <c r="T48" s="41">
        <f t="shared" si="9"/>
        <v>51237.084983576628</v>
      </c>
      <c r="U48" s="41">
        <f t="shared" si="9"/>
        <v>56620.704484174064</v>
      </c>
      <c r="V48" s="41">
        <f t="shared" si="9"/>
        <v>56230.552637289169</v>
      </c>
    </row>
    <row r="49" spans="1:23" x14ac:dyDescent="0.2">
      <c r="A49" s="20"/>
      <c r="B49" s="32"/>
      <c r="C49" s="77" t="s">
        <v>60</v>
      </c>
      <c r="D49" s="42">
        <f>6097.3360698846*Deflactores!$A$5</f>
        <v>22136.739128299974</v>
      </c>
      <c r="E49" s="42">
        <f>8299.71921353252*Deflactores!$B$5</f>
        <v>27991.728836046565</v>
      </c>
      <c r="F49" s="42">
        <f>8073.9692020217*Deflactores!$C$5</f>
        <v>25450.877036542501</v>
      </c>
      <c r="G49" s="42">
        <f>7122.00538144606*Deflactores!$D$5</f>
        <v>21081.600589814672</v>
      </c>
      <c r="H49" s="42">
        <f>9585.33095689588*Deflactores!$E$5</f>
        <v>26894.802342033137</v>
      </c>
      <c r="I49" s="42">
        <f>9500.55414984848*Deflactores!$F$5</f>
        <v>25422.622708088613</v>
      </c>
      <c r="J49" s="42">
        <f>17042.9660504578*Deflactores!$G$5</f>
        <v>43650.774894378279</v>
      </c>
      <c r="K49" s="42">
        <f>18284.2117513306*Deflactores!$H$5</f>
        <v>44306.841523928713</v>
      </c>
      <c r="L49" s="42">
        <f>16320.6135952349*Deflactores!$I$5</f>
        <v>36729.810459565197</v>
      </c>
      <c r="M49" s="42">
        <f>13697.4375719467*Deflactores!$J$5</f>
        <v>30221.336363776416</v>
      </c>
      <c r="N49" s="42">
        <f>13846.3351238026*Deflactores!$K$5</f>
        <v>29610.831165298125</v>
      </c>
      <c r="O49" s="42">
        <f>14339.7438762528*Deflactores!$L$5</f>
        <v>29564.235599056909</v>
      </c>
      <c r="P49" s="42">
        <f>16597.5153211496*Deflactores!$M$5</f>
        <v>33404.022576647592</v>
      </c>
      <c r="Q49" s="42">
        <f>18015.9348243149*Deflactores!$N$5</f>
        <v>35568.689406860889</v>
      </c>
      <c r="R49" s="42">
        <f>17332.1654576053*Deflactores!$O$5</f>
        <v>33010.544111017371</v>
      </c>
      <c r="S49" s="42">
        <f>20378.0256286111*Deflactores!$P$5</f>
        <v>36350.694937942229</v>
      </c>
      <c r="T49" s="42">
        <f>13863.0831808706*Deflactores!$Q$5</f>
        <v>23384.606531428188</v>
      </c>
      <c r="U49" s="42">
        <f>17064.1076072919*Deflactores!$R$5</f>
        <v>27653.162797574056</v>
      </c>
      <c r="V49" s="42">
        <f>15625.5341167473*Deflactores!$S$5</f>
        <v>24541.470246941863</v>
      </c>
    </row>
    <row r="50" spans="1:23" x14ac:dyDescent="0.2">
      <c r="A50" s="20"/>
      <c r="B50" s="32"/>
      <c r="C50" s="77" t="s">
        <v>61</v>
      </c>
      <c r="D50" s="42">
        <f>4659.15788488432*Deflactores!$A$5</f>
        <v>16915.348190279121</v>
      </c>
      <c r="E50" s="42">
        <f>5012.38148827941*Deflactores!$B$5</f>
        <v>16904.815673037709</v>
      </c>
      <c r="F50" s="42">
        <f>5199.2725149516*Deflactores!$C$5</f>
        <v>16389.218505363406</v>
      </c>
      <c r="G50" s="42">
        <f>6747.21781327387*Deflactores!$D$5</f>
        <v>19972.204935773509</v>
      </c>
      <c r="H50" s="42">
        <f>7605.34317513989*Deflactores!$E$5</f>
        <v>21339.294632447185</v>
      </c>
      <c r="I50" s="42">
        <f>8560.10002243746*Deflactores!$F$5</f>
        <v>22906.052613509826</v>
      </c>
      <c r="J50" s="42">
        <f>10904.9244013713*Deflactores!$G$5</f>
        <v>27929.903684322901</v>
      </c>
      <c r="K50" s="42">
        <f>12281.7984438467*Deflactores!$H$5</f>
        <v>29761.616452552251</v>
      </c>
      <c r="L50" s="42">
        <f>11920.4032511296*Deflactores!$I$5</f>
        <v>26827.064402983513</v>
      </c>
      <c r="M50" s="42">
        <f>12180.1100329642*Deflactores!$J$5</f>
        <v>26873.581304572726</v>
      </c>
      <c r="N50" s="42">
        <f>11461.7627583981*Deflactores!$K$5</f>
        <v>24511.346783178316</v>
      </c>
      <c r="O50" s="42">
        <f>13247.6801048927*Deflactores!$L$5</f>
        <v>27312.728814535349</v>
      </c>
      <c r="P50" s="42">
        <f>13167.9337864661*Deflactores!$M$5</f>
        <v>26501.675038697769</v>
      </c>
      <c r="Q50" s="42">
        <f>13055.5812819191*Deflactores!$N$5</f>
        <v>25775.51041180934</v>
      </c>
      <c r="R50" s="42">
        <f>13813.4232850269*Deflactores!$O$5</f>
        <v>26308.808313069076</v>
      </c>
      <c r="S50" s="42">
        <f>14925.7262896167*Deflactores!$P$5</f>
        <v>26624.783625716744</v>
      </c>
      <c r="T50" s="42">
        <f>16511.7691869908*Deflactores!$Q$5</f>
        <v>27852.478452148436</v>
      </c>
      <c r="U50" s="42">
        <f>17875.1794894948*Deflactores!$R$5</f>
        <v>28967.541686600009</v>
      </c>
      <c r="V50" s="42">
        <f>20176.4129465915*Deflactores!$S$5</f>
        <v>31689.082390347307</v>
      </c>
      <c r="W50" s="8"/>
    </row>
    <row r="51" spans="1:23" x14ac:dyDescent="0.2">
      <c r="A51" s="20"/>
      <c r="B51" s="34" t="s">
        <v>45</v>
      </c>
      <c r="C51" s="76" t="s">
        <v>46</v>
      </c>
      <c r="D51" s="41">
        <f>6121.69409217148*Deflactores!$A$5</f>
        <v>22225.172368466803</v>
      </c>
      <c r="E51" s="41">
        <f>10492.4693544647*Deflactores!$B$5</f>
        <v>35387.023275658386</v>
      </c>
      <c r="F51" s="41">
        <f>9102.44983691707*Deflactores!$C$5</f>
        <v>28692.867873791783</v>
      </c>
      <c r="G51" s="41">
        <f>8778.31985272493*Deflactores!$D$5</f>
        <v>25984.399487664065</v>
      </c>
      <c r="H51" s="41">
        <f>10641.5272262762*Deflactores!$E$5</f>
        <v>29858.308769418465</v>
      </c>
      <c r="I51" s="41">
        <f>11840.0308939321*Deflactores!$F$5</f>
        <v>31682.850654911483</v>
      </c>
      <c r="J51" s="41">
        <f>13883.9606047052*Deflactores!$G$5</f>
        <v>35559.868933854006</v>
      </c>
      <c r="K51" s="41">
        <f>18532.0549980688*Deflactores!$H$5</f>
        <v>44907.422593834905</v>
      </c>
      <c r="L51" s="41">
        <f>21521.435365871*Deflactores!$I$5</f>
        <v>48434.345755052949</v>
      </c>
      <c r="M51" s="41">
        <f>29111.3938450518*Deflactores!$J$5</f>
        <v>64229.913134376453</v>
      </c>
      <c r="N51" s="41">
        <f>24032.3175212147*Deflactores!$K$5</f>
        <v>51393.880782808468</v>
      </c>
      <c r="O51" s="41">
        <f>31114.3666888396*Deflactores!$L$5</f>
        <v>64148.458664429032</v>
      </c>
      <c r="P51" s="41">
        <f>35903.2676563934*Deflactores!$M$5</f>
        <v>72258.620652775993</v>
      </c>
      <c r="Q51" s="41">
        <f>41561.2131226722*Deflactores!$N$5</f>
        <v>82053.909239144545</v>
      </c>
      <c r="R51" s="41">
        <f>42707.1147641359*Deflactores!$O$5</f>
        <v>81339.23595549223</v>
      </c>
      <c r="S51" s="41">
        <f>44603.1725570932*Deflactores!$P$5</f>
        <v>79563.955234744601</v>
      </c>
      <c r="T51" s="41">
        <f>39927.7164345177*Deflactores!$Q$5</f>
        <v>67351.102661493176</v>
      </c>
      <c r="U51" s="41">
        <f>39636.1358050744*Deflactores!$R$5</f>
        <v>64232.16152341316</v>
      </c>
      <c r="V51" s="41">
        <f>37423.5730461529*Deflactores!$S$5</f>
        <v>58777.479066270949</v>
      </c>
    </row>
    <row r="52" spans="1:23" x14ac:dyDescent="0.2">
      <c r="A52" s="21"/>
      <c r="B52" s="36" t="s">
        <v>47</v>
      </c>
      <c r="C52" s="78" t="s">
        <v>48</v>
      </c>
      <c r="D52" s="43">
        <f t="shared" ref="D52:V52" si="10">+D39+D51</f>
        <v>113306.07547285841</v>
      </c>
      <c r="E52" s="43">
        <f t="shared" si="10"/>
        <v>132378.00542700384</v>
      </c>
      <c r="F52" s="43">
        <f t="shared" si="10"/>
        <v>131021.35965216634</v>
      </c>
      <c r="G52" s="43">
        <f t="shared" si="10"/>
        <v>128945.71237357553</v>
      </c>
      <c r="H52" s="43">
        <f t="shared" si="10"/>
        <v>150627.4429166952</v>
      </c>
      <c r="I52" s="43">
        <f t="shared" si="10"/>
        <v>161227.40981716843</v>
      </c>
      <c r="J52" s="43">
        <f t="shared" si="10"/>
        <v>165956.15376337286</v>
      </c>
      <c r="K52" s="43">
        <f t="shared" si="10"/>
        <v>176756.21919473284</v>
      </c>
      <c r="L52" s="43">
        <f t="shared" si="10"/>
        <v>189595.81055988171</v>
      </c>
      <c r="M52" s="43">
        <f t="shared" si="10"/>
        <v>218194.57412712887</v>
      </c>
      <c r="N52" s="43">
        <f t="shared" si="10"/>
        <v>216990.68475756896</v>
      </c>
      <c r="O52" s="43">
        <f t="shared" si="10"/>
        <v>232489.11028505414</v>
      </c>
      <c r="P52" s="43">
        <f t="shared" si="10"/>
        <v>251565.87088273454</v>
      </c>
      <c r="Q52" s="43">
        <f t="shared" si="10"/>
        <v>274377.24823004834</v>
      </c>
      <c r="R52" s="43">
        <f t="shared" si="10"/>
        <v>283293.14721721091</v>
      </c>
      <c r="S52" s="43">
        <f t="shared" si="10"/>
        <v>279422.49796814559</v>
      </c>
      <c r="T52" s="43">
        <f t="shared" si="10"/>
        <v>271963.48147919017</v>
      </c>
      <c r="U52" s="43">
        <f t="shared" si="10"/>
        <v>287368.30317908456</v>
      </c>
      <c r="V52" s="43">
        <f t="shared" si="10"/>
        <v>282746.95663943217</v>
      </c>
    </row>
    <row r="53" spans="1:23" x14ac:dyDescent="0.2">
      <c r="A53" s="20"/>
      <c r="B53" s="38" t="s">
        <v>49</v>
      </c>
      <c r="C53" s="79" t="s">
        <v>63</v>
      </c>
      <c r="D53" s="44">
        <f t="shared" ref="D53:V53" si="11">+D39+D44+D51</f>
        <v>170457.89359193854</v>
      </c>
      <c r="E53" s="44">
        <f t="shared" si="11"/>
        <v>203562.46560444351</v>
      </c>
      <c r="F53" s="44">
        <f t="shared" si="11"/>
        <v>202660.81197180564</v>
      </c>
      <c r="G53" s="44">
        <f t="shared" si="11"/>
        <v>209224.33727762074</v>
      </c>
      <c r="H53" s="44">
        <f t="shared" si="11"/>
        <v>222681.35173414403</v>
      </c>
      <c r="I53" s="44">
        <f t="shared" si="11"/>
        <v>243848.86171582149</v>
      </c>
      <c r="J53" s="44">
        <f t="shared" si="11"/>
        <v>262238.11510996555</v>
      </c>
      <c r="K53" s="44">
        <f t="shared" si="11"/>
        <v>268883.16372624296</v>
      </c>
      <c r="L53" s="44">
        <f t="shared" si="11"/>
        <v>269663.46557083604</v>
      </c>
      <c r="M53" s="44">
        <f t="shared" si="11"/>
        <v>290449.51918493421</v>
      </c>
      <c r="N53" s="44">
        <f t="shared" si="11"/>
        <v>286164.47576387436</v>
      </c>
      <c r="O53" s="44">
        <f t="shared" si="11"/>
        <v>301996.62299019122</v>
      </c>
      <c r="P53" s="44">
        <f t="shared" si="11"/>
        <v>324508.15352689754</v>
      </c>
      <c r="Q53" s="44">
        <f t="shared" si="11"/>
        <v>349270.48973324412</v>
      </c>
      <c r="R53" s="44">
        <f t="shared" si="11"/>
        <v>359455.18920188752</v>
      </c>
      <c r="S53" s="44">
        <f t="shared" si="11"/>
        <v>362040.51355308271</v>
      </c>
      <c r="T53" s="44">
        <f t="shared" si="11"/>
        <v>338879.19352870999</v>
      </c>
      <c r="U53" s="44">
        <f t="shared" si="11"/>
        <v>366645.60952875216</v>
      </c>
      <c r="V53" s="44">
        <f t="shared" si="11"/>
        <v>356519.641124646</v>
      </c>
    </row>
    <row r="54" spans="1:23" x14ac:dyDescent="0.2">
      <c r="A54" s="20"/>
      <c r="B54" s="36" t="s">
        <v>64</v>
      </c>
      <c r="C54" s="78" t="s">
        <v>65</v>
      </c>
      <c r="D54" s="43">
        <f t="shared" ref="D54:V54" si="12">+D26</f>
        <v>123610.90157855977</v>
      </c>
      <c r="E54" s="43">
        <f t="shared" si="12"/>
        <v>139454.4408511272</v>
      </c>
      <c r="F54" s="43">
        <f t="shared" si="12"/>
        <v>138046.84840678703</v>
      </c>
      <c r="G54" s="43">
        <f t="shared" si="12"/>
        <v>131436.31181196828</v>
      </c>
      <c r="H54" s="43">
        <f t="shared" si="12"/>
        <v>153812.86816556417</v>
      </c>
      <c r="I54" s="43">
        <f t="shared" si="12"/>
        <v>165684.61908988236</v>
      </c>
      <c r="J54" s="43">
        <f t="shared" si="12"/>
        <v>171583.90494287273</v>
      </c>
      <c r="K54" s="43">
        <f t="shared" si="12"/>
        <v>188671.09500423435</v>
      </c>
      <c r="L54" s="43">
        <f t="shared" si="12"/>
        <v>194460.02259127065</v>
      </c>
      <c r="M54" s="43">
        <f t="shared" si="12"/>
        <v>231691.32250811052</v>
      </c>
      <c r="N54" s="43">
        <f t="shared" si="12"/>
        <v>234956.58797265604</v>
      </c>
      <c r="O54" s="43">
        <f t="shared" si="12"/>
        <v>239415.0300769867</v>
      </c>
      <c r="P54" s="43">
        <f t="shared" si="12"/>
        <v>260043.33740414289</v>
      </c>
      <c r="Q54" s="43">
        <f t="shared" si="12"/>
        <v>285126.43038070004</v>
      </c>
      <c r="R54" s="43">
        <f t="shared" si="12"/>
        <v>297132.12736095942</v>
      </c>
      <c r="S54" s="43">
        <f t="shared" si="12"/>
        <v>286513.24910561007</v>
      </c>
      <c r="T54" s="43">
        <f t="shared" si="12"/>
        <v>276167.0104269578</v>
      </c>
      <c r="U54" s="43">
        <f t="shared" si="12"/>
        <v>290578.58376215457</v>
      </c>
      <c r="V54" s="43">
        <f t="shared" si="12"/>
        <v>291079.73795172817</v>
      </c>
    </row>
    <row r="55" spans="1:23" x14ac:dyDescent="0.2">
      <c r="A55" s="22"/>
      <c r="B55" s="38" t="s">
        <v>66</v>
      </c>
      <c r="C55" s="79" t="s">
        <v>67</v>
      </c>
      <c r="D55" s="45">
        <f t="shared" ref="D55:V55" si="13">+D52/D$26*100</f>
        <v>91.663497333888287</v>
      </c>
      <c r="E55" s="45">
        <f t="shared" si="13"/>
        <v>94.925629201240184</v>
      </c>
      <c r="F55" s="45">
        <f t="shared" si="13"/>
        <v>94.91079380970838</v>
      </c>
      <c r="G55" s="45">
        <f t="shared" si="13"/>
        <v>98.10509028741177</v>
      </c>
      <c r="H55" s="45">
        <f t="shared" si="13"/>
        <v>97.92902551856703</v>
      </c>
      <c r="I55" s="45">
        <f t="shared" si="13"/>
        <v>97.309823146410508</v>
      </c>
      <c r="J55" s="45">
        <f t="shared" si="13"/>
        <v>96.720117087104654</v>
      </c>
      <c r="K55" s="45">
        <f t="shared" si="13"/>
        <v>93.684843028427807</v>
      </c>
      <c r="L55" s="45">
        <f t="shared" si="13"/>
        <v>97.498605643169711</v>
      </c>
      <c r="M55" s="45">
        <f t="shared" si="13"/>
        <v>94.17468542417717</v>
      </c>
      <c r="N55" s="45">
        <f t="shared" si="13"/>
        <v>92.353522252724446</v>
      </c>
      <c r="O55" s="45">
        <f t="shared" si="13"/>
        <v>97.10714912522181</v>
      </c>
      <c r="P55" s="45">
        <f t="shared" si="13"/>
        <v>96.739979341122975</v>
      </c>
      <c r="Q55" s="45">
        <f t="shared" si="13"/>
        <v>96.230029556958499</v>
      </c>
      <c r="R55" s="45">
        <f t="shared" si="13"/>
        <v>95.342482730944553</v>
      </c>
      <c r="S55" s="45">
        <f t="shared" si="13"/>
        <v>97.525157681329148</v>
      </c>
      <c r="T55" s="45">
        <f t="shared" si="13"/>
        <v>98.477903301604002</v>
      </c>
      <c r="U55" s="45">
        <f t="shared" si="13"/>
        <v>98.895210878411561</v>
      </c>
      <c r="V55" s="45">
        <f t="shared" si="13"/>
        <v>97.137285689848369</v>
      </c>
    </row>
    <row r="56" spans="1:23" x14ac:dyDescent="0.2">
      <c r="B56" s="1" t="s">
        <v>52</v>
      </c>
      <c r="C56" s="15"/>
      <c r="D56" s="12"/>
      <c r="E56" s="12"/>
      <c r="F56" s="12"/>
      <c r="G56" s="12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</row>
    <row r="57" spans="1:23" x14ac:dyDescent="0.2">
      <c r="V57" s="23"/>
    </row>
    <row r="61" spans="1:23" ht="18" customHeight="1" x14ac:dyDescent="0.2">
      <c r="C61" s="131"/>
      <c r="D61" s="160" t="s">
        <v>68</v>
      </c>
      <c r="E61" s="158"/>
      <c r="F61" s="158"/>
      <c r="G61" s="158"/>
      <c r="H61" s="158"/>
      <c r="I61" s="158"/>
      <c r="J61" s="158"/>
      <c r="K61" s="158"/>
      <c r="L61" s="158"/>
      <c r="M61" s="158"/>
      <c r="N61" s="158"/>
      <c r="O61" s="158"/>
      <c r="P61" s="158"/>
      <c r="Q61" s="158"/>
      <c r="R61" s="158"/>
      <c r="S61" s="158"/>
      <c r="T61" s="158"/>
      <c r="U61" s="158"/>
      <c r="V61" s="158"/>
    </row>
    <row r="62" spans="1:23" x14ac:dyDescent="0.2">
      <c r="U62" s="29"/>
      <c r="V62" s="29"/>
    </row>
    <row r="63" spans="1:23" x14ac:dyDescent="0.2">
      <c r="B63" s="163"/>
      <c r="C63" s="155" t="s">
        <v>38</v>
      </c>
      <c r="D63" s="153">
        <v>2000</v>
      </c>
      <c r="E63" s="153">
        <v>2001</v>
      </c>
      <c r="F63" s="153">
        <v>2002</v>
      </c>
      <c r="G63" s="153">
        <v>2003</v>
      </c>
      <c r="H63" s="153">
        <v>2004</v>
      </c>
      <c r="I63" s="153">
        <v>2005</v>
      </c>
      <c r="J63" s="153">
        <v>2006</v>
      </c>
      <c r="K63" s="153">
        <v>2007</v>
      </c>
      <c r="L63" s="153">
        <v>2008</v>
      </c>
      <c r="M63" s="153">
        <v>2009</v>
      </c>
      <c r="N63" s="153">
        <v>2010</v>
      </c>
      <c r="O63" s="153">
        <v>2011</v>
      </c>
      <c r="P63" s="153">
        <v>2012</v>
      </c>
      <c r="Q63" s="153">
        <v>2013</v>
      </c>
      <c r="R63" s="153">
        <v>2014</v>
      </c>
      <c r="S63" s="153">
        <v>2015</v>
      </c>
      <c r="T63" s="153">
        <v>2016</v>
      </c>
      <c r="U63" s="153">
        <v>2017</v>
      </c>
      <c r="V63" s="153">
        <v>2018</v>
      </c>
    </row>
    <row r="64" spans="1:23" ht="12" customHeight="1" thickBot="1" x14ac:dyDescent="0.25">
      <c r="B64" s="154"/>
      <c r="C64" s="156"/>
      <c r="D64" s="154"/>
      <c r="E64" s="154"/>
      <c r="F64" s="154"/>
      <c r="G64" s="154"/>
      <c r="H64" s="154"/>
      <c r="I64" s="154"/>
      <c r="J64" s="154"/>
      <c r="K64" s="154"/>
      <c r="L64" s="154"/>
      <c r="M64" s="154"/>
      <c r="N64" s="154"/>
      <c r="O64" s="154"/>
      <c r="P64" s="154"/>
      <c r="Q64" s="154"/>
      <c r="R64" s="154"/>
      <c r="S64" s="154"/>
      <c r="T64" s="154"/>
      <c r="U64" s="154"/>
      <c r="V64" s="154"/>
    </row>
    <row r="65" spans="2:22" ht="12.75" customHeight="1" x14ac:dyDescent="0.2">
      <c r="B65" s="34" t="s">
        <v>39</v>
      </c>
      <c r="C65" s="76" t="s">
        <v>40</v>
      </c>
      <c r="D65" s="46">
        <f t="shared" ref="D65:V65" si="14">+IFERROR(IF(D39&gt;0,+((D39/D13)*100)," "),"")</f>
        <v>94.932289539555541</v>
      </c>
      <c r="E65" s="46">
        <f t="shared" si="14"/>
        <v>96.237721411121541</v>
      </c>
      <c r="F65" s="46">
        <f t="shared" si="14"/>
        <v>97.893496224903913</v>
      </c>
      <c r="G65" s="46">
        <f t="shared" si="14"/>
        <v>98.146559458328298</v>
      </c>
      <c r="H65" s="46">
        <f t="shared" si="14"/>
        <v>98.622380290304719</v>
      </c>
      <c r="I65" s="46">
        <f t="shared" si="14"/>
        <v>98.160413207794178</v>
      </c>
      <c r="J65" s="46">
        <f t="shared" si="14"/>
        <v>97.886144839682004</v>
      </c>
      <c r="K65" s="46">
        <f t="shared" si="14"/>
        <v>95.679795313690335</v>
      </c>
      <c r="L65" s="46">
        <f t="shared" si="14"/>
        <v>97.523718256093161</v>
      </c>
      <c r="M65" s="46">
        <f t="shared" si="14"/>
        <v>94.529092965709779</v>
      </c>
      <c r="N65" s="46">
        <f t="shared" si="14"/>
        <v>91.983290185035258</v>
      </c>
      <c r="O65" s="46">
        <f t="shared" si="14"/>
        <v>98.062835266629634</v>
      </c>
      <c r="P65" s="46">
        <f t="shared" si="14"/>
        <v>97.766714692032295</v>
      </c>
      <c r="Q65" s="46">
        <f t="shared" si="14"/>
        <v>96.665596480826707</v>
      </c>
      <c r="R65" s="46">
        <f t="shared" si="14"/>
        <v>95.078670761247324</v>
      </c>
      <c r="S65" s="46">
        <f t="shared" si="14"/>
        <v>97.82628983917644</v>
      </c>
      <c r="T65" s="46">
        <f t="shared" si="14"/>
        <v>98.956883759356913</v>
      </c>
      <c r="U65" s="46">
        <f t="shared" si="14"/>
        <v>99.137014390568069</v>
      </c>
      <c r="V65" s="46">
        <f t="shared" si="14"/>
        <v>97.200335529479361</v>
      </c>
    </row>
    <row r="66" spans="2:22" x14ac:dyDescent="0.2">
      <c r="B66" s="40"/>
      <c r="C66" s="77" t="s">
        <v>56</v>
      </c>
      <c r="D66" s="47">
        <f t="shared" ref="D66:V66" si="15">+IFERROR(IF(D40&gt;0,+((D40/D14)*100)," "),"")</f>
        <v>98.087237490222748</v>
      </c>
      <c r="E66" s="47">
        <f t="shared" si="15"/>
        <v>97.977226288950064</v>
      </c>
      <c r="F66" s="47">
        <f t="shared" si="15"/>
        <v>98.522576730374539</v>
      </c>
      <c r="G66" s="47">
        <f t="shared" si="15"/>
        <v>98.586426725982477</v>
      </c>
      <c r="H66" s="47">
        <f t="shared" si="15"/>
        <v>98.630873658360642</v>
      </c>
      <c r="I66" s="47">
        <f t="shared" si="15"/>
        <v>98.855024373886209</v>
      </c>
      <c r="J66" s="47">
        <f t="shared" si="15"/>
        <v>98.208660257864594</v>
      </c>
      <c r="K66" s="47">
        <f t="shared" si="15"/>
        <v>97.483534785827516</v>
      </c>
      <c r="L66" s="47">
        <f t="shared" si="15"/>
        <v>97.39948344004398</v>
      </c>
      <c r="M66" s="47">
        <f t="shared" si="15"/>
        <v>97.358379934196122</v>
      </c>
      <c r="N66" s="47">
        <f t="shared" si="15"/>
        <v>95.549834180875521</v>
      </c>
      <c r="O66" s="47">
        <f t="shared" si="15"/>
        <v>98.525502117204724</v>
      </c>
      <c r="P66" s="47">
        <f t="shared" si="15"/>
        <v>97.27989520364585</v>
      </c>
      <c r="Q66" s="47">
        <f t="shared" si="15"/>
        <v>95.568679806240837</v>
      </c>
      <c r="R66" s="47">
        <f t="shared" si="15"/>
        <v>94.602745438862556</v>
      </c>
      <c r="S66" s="47">
        <f t="shared" si="15"/>
        <v>95.975353469968013</v>
      </c>
      <c r="T66" s="47">
        <f t="shared" si="15"/>
        <v>98.594332485726753</v>
      </c>
      <c r="U66" s="47">
        <f t="shared" si="15"/>
        <v>98.774260385916151</v>
      </c>
      <c r="V66" s="47">
        <f t="shared" si="15"/>
        <v>96.836519891536071</v>
      </c>
    </row>
    <row r="67" spans="2:22" x14ac:dyDescent="0.2">
      <c r="B67" s="40"/>
      <c r="C67" s="77" t="s">
        <v>57</v>
      </c>
      <c r="D67" s="47">
        <f t="shared" ref="D67:V67" si="16">+IFERROR(IF(D41&gt;0,+((D41/D15)*100)," "),"")</f>
        <v>93.139836752508558</v>
      </c>
      <c r="E67" s="47">
        <f t="shared" si="16"/>
        <v>95.665654829715606</v>
      </c>
      <c r="F67" s="47">
        <f t="shared" si="16"/>
        <v>96.806705427962157</v>
      </c>
      <c r="G67" s="47">
        <f t="shared" si="16"/>
        <v>97.714316972265465</v>
      </c>
      <c r="H67" s="47">
        <f t="shared" si="16"/>
        <v>97.572212836936785</v>
      </c>
      <c r="I67" s="47">
        <f t="shared" si="16"/>
        <v>97.766118042632968</v>
      </c>
      <c r="J67" s="47">
        <f t="shared" si="16"/>
        <v>97.578380304430922</v>
      </c>
      <c r="K67" s="47">
        <f t="shared" si="16"/>
        <v>95.341106767225924</v>
      </c>
      <c r="L67" s="47">
        <f t="shared" si="16"/>
        <v>98.189760963487302</v>
      </c>
      <c r="M67" s="47">
        <f t="shared" si="16"/>
        <v>98.034611585169387</v>
      </c>
      <c r="N67" s="47">
        <f t="shared" si="16"/>
        <v>97.337241044914464</v>
      </c>
      <c r="O67" s="47">
        <f t="shared" si="16"/>
        <v>96.731850415440718</v>
      </c>
      <c r="P67" s="47">
        <f t="shared" si="16"/>
        <v>96.182097473933027</v>
      </c>
      <c r="Q67" s="47">
        <f t="shared" si="16"/>
        <v>97.095840834487205</v>
      </c>
      <c r="R67" s="47">
        <f t="shared" si="16"/>
        <v>97.408894952592604</v>
      </c>
      <c r="S67" s="47">
        <f t="shared" si="16"/>
        <v>97.637236836163297</v>
      </c>
      <c r="T67" s="47">
        <f t="shared" si="16"/>
        <v>98.477679428295559</v>
      </c>
      <c r="U67" s="47">
        <f t="shared" si="16"/>
        <v>98.664552386762878</v>
      </c>
      <c r="V67" s="47">
        <f t="shared" si="16"/>
        <v>98.230525857218581</v>
      </c>
    </row>
    <row r="68" spans="2:22" x14ac:dyDescent="0.2">
      <c r="B68" s="40"/>
      <c r="C68" s="77" t="s">
        <v>58</v>
      </c>
      <c r="D68" s="47">
        <f t="shared" ref="D68:V68" si="17">+IFERROR(IF(D42&gt;0,+((D42/D16)*100)," "),"")</f>
        <v>94.020389732380778</v>
      </c>
      <c r="E68" s="47">
        <f t="shared" si="17"/>
        <v>95.800847124460731</v>
      </c>
      <c r="F68" s="47">
        <f t="shared" si="17"/>
        <v>97.985864421235505</v>
      </c>
      <c r="G68" s="47">
        <f t="shared" si="17"/>
        <v>98.110662920753981</v>
      </c>
      <c r="H68" s="47">
        <f t="shared" si="17"/>
        <v>98.763616948407417</v>
      </c>
      <c r="I68" s="47">
        <f t="shared" si="17"/>
        <v>98.073608666261848</v>
      </c>
      <c r="J68" s="47">
        <f t="shared" si="17"/>
        <v>97.931970251965765</v>
      </c>
      <c r="K68" s="47">
        <f t="shared" si="17"/>
        <v>95.335904036793082</v>
      </c>
      <c r="L68" s="47">
        <f t="shared" si="17"/>
        <v>97.606272711109838</v>
      </c>
      <c r="M68" s="47">
        <f t="shared" si="17"/>
        <v>93.521510895492298</v>
      </c>
      <c r="N68" s="47">
        <f t="shared" si="17"/>
        <v>90.535837968536526</v>
      </c>
      <c r="O68" s="47">
        <f t="shared" si="17"/>
        <v>98.367512969919986</v>
      </c>
      <c r="P68" s="47">
        <f t="shared" si="17"/>
        <v>98.39483900985762</v>
      </c>
      <c r="Q68" s="47">
        <f t="shared" si="17"/>
        <v>97.247308567290304</v>
      </c>
      <c r="R68" s="47">
        <f t="shared" si="17"/>
        <v>95.08242026955368</v>
      </c>
      <c r="S68" s="47">
        <f t="shared" si="17"/>
        <v>98.689040805971345</v>
      </c>
      <c r="T68" s="47">
        <f t="shared" si="17"/>
        <v>99.230300545393305</v>
      </c>
      <c r="U68" s="47">
        <f t="shared" si="17"/>
        <v>99.313254020223823</v>
      </c>
      <c r="V68" s="47">
        <f t="shared" si="17"/>
        <v>97.216575754819075</v>
      </c>
    </row>
    <row r="69" spans="2:22" x14ac:dyDescent="0.2">
      <c r="B69" s="40"/>
      <c r="C69" s="77" t="s">
        <v>59</v>
      </c>
      <c r="D69" s="47">
        <f t="shared" ref="D69:V69" si="18">+IFERROR(IF(D43&gt;0,+((D43/D17)*100)," "),"")</f>
        <v>93.456370911872781</v>
      </c>
      <c r="E69" s="47">
        <f t="shared" si="18"/>
        <v>91.939658484266545</v>
      </c>
      <c r="F69" s="47">
        <f t="shared" si="18"/>
        <v>89.907850580285114</v>
      </c>
      <c r="G69" s="47">
        <f t="shared" si="18"/>
        <v>95.567476576798171</v>
      </c>
      <c r="H69" s="47">
        <f t="shared" si="18"/>
        <v>96.13785023932455</v>
      </c>
      <c r="I69" s="47">
        <f t="shared" si="18"/>
        <v>95.564091440822182</v>
      </c>
      <c r="J69" s="47">
        <f t="shared" si="18"/>
        <v>93.669403862649986</v>
      </c>
      <c r="K69" s="47">
        <f t="shared" si="18"/>
        <v>89.420595930136088</v>
      </c>
      <c r="L69" s="47">
        <f t="shared" si="18"/>
        <v>92.095687709859504</v>
      </c>
      <c r="M69" s="47">
        <f t="shared" si="18"/>
        <v>91.146412231256875</v>
      </c>
      <c r="N69" s="47">
        <f t="shared" si="18"/>
        <v>95.333429715553308</v>
      </c>
      <c r="O69" s="47">
        <f t="shared" si="18"/>
        <v>86.357568714849336</v>
      </c>
      <c r="P69" s="47">
        <f t="shared" si="18"/>
        <v>84.727189263527109</v>
      </c>
      <c r="Q69" s="47">
        <f t="shared" si="18"/>
        <v>83.179967107077786</v>
      </c>
      <c r="R69" s="47">
        <f t="shared" si="18"/>
        <v>90.239913250285369</v>
      </c>
      <c r="S69" s="47">
        <f t="shared" si="18"/>
        <v>84.98280132279686</v>
      </c>
      <c r="T69" s="47">
        <f t="shared" si="18"/>
        <v>92.885489308648005</v>
      </c>
      <c r="U69" s="47">
        <f t="shared" si="18"/>
        <v>96.6844451852661</v>
      </c>
      <c r="V69" s="47">
        <f t="shared" si="18"/>
        <v>97.75567247355832</v>
      </c>
    </row>
    <row r="70" spans="2:22" x14ac:dyDescent="0.2">
      <c r="B70" s="34" t="s">
        <v>41</v>
      </c>
      <c r="C70" s="76" t="s">
        <v>42</v>
      </c>
      <c r="D70" s="46">
        <f t="shared" ref="D70:V70" si="19">+IFERROR(IF(D44&gt;0,+((D44/D18)*100)," "),"")</f>
        <v>95.133972500458796</v>
      </c>
      <c r="E70" s="46">
        <f t="shared" si="19"/>
        <v>98.615062434248799</v>
      </c>
      <c r="F70" s="46">
        <f t="shared" si="19"/>
        <v>98.964935525299666</v>
      </c>
      <c r="G70" s="46">
        <f t="shared" si="19"/>
        <v>99.194032124125641</v>
      </c>
      <c r="H70" s="46">
        <f t="shared" si="19"/>
        <v>95.507228869921704</v>
      </c>
      <c r="I70" s="46">
        <f t="shared" si="19"/>
        <v>97.838849626042418</v>
      </c>
      <c r="J70" s="46">
        <f t="shared" si="19"/>
        <v>96.563767776902083</v>
      </c>
      <c r="K70" s="46">
        <f t="shared" si="19"/>
        <v>96.689851450092164</v>
      </c>
      <c r="L70" s="46">
        <f t="shared" si="19"/>
        <v>91.495590025732838</v>
      </c>
      <c r="M70" s="46">
        <f t="shared" si="19"/>
        <v>88.427831373234994</v>
      </c>
      <c r="N70" s="46">
        <f t="shared" si="19"/>
        <v>81.086689044938893</v>
      </c>
      <c r="O70" s="46">
        <f t="shared" si="19"/>
        <v>95.813789642532612</v>
      </c>
      <c r="P70" s="46">
        <f t="shared" si="19"/>
        <v>99.538403923844072</v>
      </c>
      <c r="Q70" s="46">
        <f t="shared" si="19"/>
        <v>85.167399196171701</v>
      </c>
      <c r="R70" s="46">
        <f t="shared" si="19"/>
        <v>97.6474868141147</v>
      </c>
      <c r="S70" s="46">
        <f t="shared" si="19"/>
        <v>98.59136084158763</v>
      </c>
      <c r="T70" s="46">
        <f t="shared" si="19"/>
        <v>84.934335468371117</v>
      </c>
      <c r="U70" s="46">
        <f t="shared" si="19"/>
        <v>97.826645341902363</v>
      </c>
      <c r="V70" s="46">
        <f t="shared" si="19"/>
        <v>97.99920649132811</v>
      </c>
    </row>
    <row r="71" spans="2:22" x14ac:dyDescent="0.2">
      <c r="B71" s="34"/>
      <c r="C71" s="76" t="s">
        <v>43</v>
      </c>
      <c r="D71" s="46">
        <f t="shared" ref="D71:V71" si="20">+IFERROR(IF(D45&gt;0,+((D45/D19)*100)," "),"")</f>
        <v>97.272970544375482</v>
      </c>
      <c r="E71" s="46">
        <f t="shared" si="20"/>
        <v>98.236153469509077</v>
      </c>
      <c r="F71" s="46">
        <f t="shared" si="20"/>
        <v>98.518056226966181</v>
      </c>
      <c r="G71" s="46">
        <f t="shared" si="20"/>
        <v>99.265479327649899</v>
      </c>
      <c r="H71" s="46">
        <f t="shared" si="20"/>
        <v>90.24958855567921</v>
      </c>
      <c r="I71" s="46">
        <f t="shared" si="20"/>
        <v>97.810705573956085</v>
      </c>
      <c r="J71" s="46">
        <f t="shared" si="20"/>
        <v>90.818989350761839</v>
      </c>
      <c r="K71" s="46">
        <f t="shared" si="20"/>
        <v>96.579582035136852</v>
      </c>
      <c r="L71" s="46">
        <f t="shared" si="20"/>
        <v>89.55052872575159</v>
      </c>
      <c r="M71" s="46">
        <f t="shared" si="20"/>
        <v>83.089149843931381</v>
      </c>
      <c r="N71" s="46">
        <f t="shared" si="20"/>
        <v>81.634272985352482</v>
      </c>
      <c r="O71" s="46">
        <f t="shared" si="20"/>
        <v>87.134232122752422</v>
      </c>
      <c r="P71" s="46">
        <f t="shared" si="20"/>
        <v>98.717871629869478</v>
      </c>
      <c r="Q71" s="46">
        <f t="shared" si="20"/>
        <v>97.208202594122099</v>
      </c>
      <c r="R71" s="46">
        <f t="shared" si="20"/>
        <v>98.122537401281733</v>
      </c>
      <c r="S71" s="46">
        <f t="shared" si="20"/>
        <v>98.864303193123874</v>
      </c>
      <c r="T71" s="46">
        <f t="shared" si="20"/>
        <v>96.043420022846206</v>
      </c>
      <c r="U71" s="46">
        <f t="shared" si="20"/>
        <v>97.047810592109769</v>
      </c>
      <c r="V71" s="46">
        <f t="shared" si="20"/>
        <v>99.951362422736537</v>
      </c>
    </row>
    <row r="72" spans="2:22" x14ac:dyDescent="0.2">
      <c r="B72" s="32"/>
      <c r="C72" s="77" t="s">
        <v>60</v>
      </c>
      <c r="D72" s="47">
        <f t="shared" ref="D72:V72" si="21">+IFERROR(IF(D46&gt;0,+((D46/D20)*100)," "),"")</f>
        <v>97.355893919192411</v>
      </c>
      <c r="E72" s="47">
        <f t="shared" si="21"/>
        <v>98.481399118001121</v>
      </c>
      <c r="F72" s="47">
        <f t="shared" si="21"/>
        <v>98.93016029040885</v>
      </c>
      <c r="G72" s="47">
        <f t="shared" si="21"/>
        <v>99.160555395152315</v>
      </c>
      <c r="H72" s="47">
        <f t="shared" si="21"/>
        <v>90.860770275630472</v>
      </c>
      <c r="I72" s="47">
        <f t="shared" si="21"/>
        <v>98.170157471357683</v>
      </c>
      <c r="J72" s="47">
        <f t="shared" si="21"/>
        <v>91.191653854725203</v>
      </c>
      <c r="K72" s="47">
        <f t="shared" si="21"/>
        <v>94.589999348209503</v>
      </c>
      <c r="L72" s="47">
        <f t="shared" si="21"/>
        <v>84.016604182096472</v>
      </c>
      <c r="M72" s="47">
        <f t="shared" si="21"/>
        <v>83.587062493140081</v>
      </c>
      <c r="N72" s="47">
        <f t="shared" si="21"/>
        <v>86.640688780666991</v>
      </c>
      <c r="O72" s="47">
        <f t="shared" si="21"/>
        <v>78.482917027138541</v>
      </c>
      <c r="P72" s="47">
        <f t="shared" si="21"/>
        <v>99.976776958306672</v>
      </c>
      <c r="Q72" s="47">
        <f t="shared" si="21"/>
        <v>98.172195874067341</v>
      </c>
      <c r="R72" s="47">
        <f t="shared" si="21"/>
        <v>97.123765688935521</v>
      </c>
      <c r="S72" s="47">
        <f t="shared" si="21"/>
        <v>98.669191798204025</v>
      </c>
      <c r="T72" s="47">
        <f t="shared" si="21"/>
        <v>96.01762521187382</v>
      </c>
      <c r="U72" s="47">
        <f t="shared" si="21"/>
        <v>97.185137731190565</v>
      </c>
      <c r="V72" s="47">
        <f t="shared" si="21"/>
        <v>99.99451978617634</v>
      </c>
    </row>
    <row r="73" spans="2:22" x14ac:dyDescent="0.2">
      <c r="B73" s="32"/>
      <c r="C73" s="77" t="s">
        <v>61</v>
      </c>
      <c r="D73" s="47">
        <f t="shared" ref="D73:V73" si="22">+IFERROR(IF(D47&gt;0,+((D47/D21)*100)," "),"")</f>
        <v>97.187734831627836</v>
      </c>
      <c r="E73" s="47">
        <f t="shared" si="22"/>
        <v>97.919898606705203</v>
      </c>
      <c r="F73" s="47">
        <f t="shared" si="22"/>
        <v>97.911290829857492</v>
      </c>
      <c r="G73" s="47">
        <f t="shared" si="22"/>
        <v>99.418175958726067</v>
      </c>
      <c r="H73" s="47">
        <f t="shared" si="22"/>
        <v>89.695723709869554</v>
      </c>
      <c r="I73" s="47">
        <f t="shared" si="22"/>
        <v>97.131061581182394</v>
      </c>
      <c r="J73" s="47">
        <f t="shared" si="22"/>
        <v>90.430316699992758</v>
      </c>
      <c r="K73" s="47">
        <f t="shared" si="22"/>
        <v>98.433315398756562</v>
      </c>
      <c r="L73" s="47">
        <f t="shared" si="22"/>
        <v>95.185176806420316</v>
      </c>
      <c r="M73" s="47">
        <f t="shared" si="22"/>
        <v>82.740590635538311</v>
      </c>
      <c r="N73" s="47">
        <f t="shared" si="22"/>
        <v>77.537235729085012</v>
      </c>
      <c r="O73" s="47">
        <f t="shared" si="22"/>
        <v>93.664334890163587</v>
      </c>
      <c r="P73" s="47">
        <f t="shared" si="22"/>
        <v>97.368835889300271</v>
      </c>
      <c r="Q73" s="47">
        <f t="shared" si="22"/>
        <v>96.51083009880729</v>
      </c>
      <c r="R73" s="47">
        <f t="shared" si="22"/>
        <v>99.358430259655478</v>
      </c>
      <c r="S73" s="47">
        <f t="shared" si="22"/>
        <v>99.098805054552898</v>
      </c>
      <c r="T73" s="47">
        <f t="shared" si="22"/>
        <v>96.058411706367991</v>
      </c>
      <c r="U73" s="47">
        <f t="shared" si="22"/>
        <v>96.881778228596502</v>
      </c>
      <c r="V73" s="47">
        <f t="shared" si="22"/>
        <v>99.93498027877682</v>
      </c>
    </row>
    <row r="74" spans="2:22" x14ac:dyDescent="0.2">
      <c r="B74" s="34"/>
      <c r="C74" s="76" t="s">
        <v>44</v>
      </c>
      <c r="D74" s="46">
        <f t="shared" ref="D74:V74" si="23">+IFERROR(IF(D48&gt;0,+((D48/D22)*100)," "),"")</f>
        <v>94.174178757669864</v>
      </c>
      <c r="E74" s="46">
        <f t="shared" si="23"/>
        <v>98.838281843877652</v>
      </c>
      <c r="F74" s="46">
        <f t="shared" si="23"/>
        <v>99.285691895973287</v>
      </c>
      <c r="G74" s="46">
        <f t="shared" si="23"/>
        <v>99.12586397406784</v>
      </c>
      <c r="H74" s="46">
        <f t="shared" si="23"/>
        <v>98.336298740453316</v>
      </c>
      <c r="I74" s="46">
        <f t="shared" si="23"/>
        <v>97.858829742284541</v>
      </c>
      <c r="J74" s="46">
        <f t="shared" si="23"/>
        <v>98.71862962615478</v>
      </c>
      <c r="K74" s="46">
        <f t="shared" si="23"/>
        <v>96.716774211276771</v>
      </c>
      <c r="L74" s="46">
        <f t="shared" si="23"/>
        <v>92.014781795283596</v>
      </c>
      <c r="M74" s="46">
        <f t="shared" si="23"/>
        <v>89.96264069740117</v>
      </c>
      <c r="N74" s="46">
        <f t="shared" si="23"/>
        <v>80.935706717205605</v>
      </c>
      <c r="O74" s="46">
        <f t="shared" si="23"/>
        <v>97.981180509933424</v>
      </c>
      <c r="P74" s="46">
        <f t="shared" si="23"/>
        <v>99.718777348736793</v>
      </c>
      <c r="Q74" s="46">
        <f t="shared" si="23"/>
        <v>82.899419741201569</v>
      </c>
      <c r="R74" s="46">
        <f t="shared" si="23"/>
        <v>97.513441814738172</v>
      </c>
      <c r="S74" s="46">
        <f t="shared" si="23"/>
        <v>98.506536095026092</v>
      </c>
      <c r="T74" s="46">
        <f t="shared" si="23"/>
        <v>82.030902771071283</v>
      </c>
      <c r="U74" s="46">
        <f t="shared" si="23"/>
        <v>98.141806822461646</v>
      </c>
      <c r="V74" s="46">
        <f t="shared" si="23"/>
        <v>97.405707193855079</v>
      </c>
    </row>
    <row r="75" spans="2:22" x14ac:dyDescent="0.2">
      <c r="B75" s="32"/>
      <c r="C75" s="77" t="s">
        <v>60</v>
      </c>
      <c r="D75" s="47">
        <f t="shared" ref="D75:V75" si="24">+IFERROR(IF(D49&gt;0,+((D49/D23)*100)," "),"")</f>
        <v>95.170612990135396</v>
      </c>
      <c r="E75" s="47">
        <f t="shared" si="24"/>
        <v>98.674932714766172</v>
      </c>
      <c r="F75" s="47">
        <f t="shared" si="24"/>
        <v>99.43522473569476</v>
      </c>
      <c r="G75" s="47">
        <f t="shared" si="24"/>
        <v>99.651555508077777</v>
      </c>
      <c r="H75" s="47">
        <f t="shared" si="24"/>
        <v>98.900241151700783</v>
      </c>
      <c r="I75" s="47">
        <f t="shared" si="24"/>
        <v>98.699364310674056</v>
      </c>
      <c r="J75" s="47">
        <f t="shared" si="24"/>
        <v>99.533245241804963</v>
      </c>
      <c r="K75" s="47">
        <f t="shared" si="24"/>
        <v>95.590676861237284</v>
      </c>
      <c r="L75" s="47">
        <f t="shared" si="24"/>
        <v>87.865247013167462</v>
      </c>
      <c r="M75" s="47">
        <f t="shared" si="24"/>
        <v>85.34998364747895</v>
      </c>
      <c r="N75" s="47">
        <f t="shared" si="24"/>
        <v>76.242575643688468</v>
      </c>
      <c r="O75" s="47">
        <f t="shared" si="24"/>
        <v>96.92708362246573</v>
      </c>
      <c r="P75" s="47">
        <f t="shared" si="24"/>
        <v>99.548281168110748</v>
      </c>
      <c r="Q75" s="47">
        <f t="shared" si="24"/>
        <v>78.984788213106071</v>
      </c>
      <c r="R75" s="47">
        <f t="shared" si="24"/>
        <v>97.46092224970667</v>
      </c>
      <c r="S75" s="47">
        <f t="shared" si="24"/>
        <v>99.895478393148409</v>
      </c>
      <c r="T75" s="47">
        <f t="shared" si="24"/>
        <v>69.593905862466855</v>
      </c>
      <c r="U75" s="47">
        <f t="shared" si="24"/>
        <v>99.756062114259379</v>
      </c>
      <c r="V75" s="47">
        <f t="shared" si="24"/>
        <v>96.965213923575362</v>
      </c>
    </row>
    <row r="76" spans="2:22" x14ac:dyDescent="0.2">
      <c r="B76" s="32"/>
      <c r="C76" s="77" t="s">
        <v>61</v>
      </c>
      <c r="D76" s="47">
        <f t="shared" ref="D76:V76" si="25">+IFERROR(IF(D50&gt;0,+((D50/D24)*100)," "),"")</f>
        <v>92.901261746480301</v>
      </c>
      <c r="E76" s="47">
        <f t="shared" si="25"/>
        <v>99.109954885825175</v>
      </c>
      <c r="F76" s="47">
        <f t="shared" si="25"/>
        <v>99.054371208661138</v>
      </c>
      <c r="G76" s="47">
        <f t="shared" si="25"/>
        <v>98.576955583450086</v>
      </c>
      <c r="H76" s="47">
        <f t="shared" si="25"/>
        <v>97.634634075737097</v>
      </c>
      <c r="I76" s="47">
        <f t="shared" si="25"/>
        <v>96.942554856608666</v>
      </c>
      <c r="J76" s="47">
        <f t="shared" si="25"/>
        <v>97.471859641459588</v>
      </c>
      <c r="K76" s="47">
        <f t="shared" si="25"/>
        <v>98.443250512640773</v>
      </c>
      <c r="L76" s="47">
        <f t="shared" si="25"/>
        <v>98.375634779855076</v>
      </c>
      <c r="M76" s="47">
        <f t="shared" si="25"/>
        <v>95.78406288174854</v>
      </c>
      <c r="N76" s="47">
        <f t="shared" si="25"/>
        <v>87.437712240974449</v>
      </c>
      <c r="O76" s="47">
        <f t="shared" si="25"/>
        <v>99.148318757911639</v>
      </c>
      <c r="P76" s="47">
        <f t="shared" si="25"/>
        <v>99.934512956822175</v>
      </c>
      <c r="Q76" s="47">
        <f t="shared" si="25"/>
        <v>88.985343416353331</v>
      </c>
      <c r="R76" s="47">
        <f t="shared" si="25"/>
        <v>97.579419996413634</v>
      </c>
      <c r="S76" s="47">
        <f t="shared" si="25"/>
        <v>96.671421835065189</v>
      </c>
      <c r="T76" s="47">
        <f t="shared" si="25"/>
        <v>96.511622650620509</v>
      </c>
      <c r="U76" s="47">
        <f t="shared" si="25"/>
        <v>96.648797408588052</v>
      </c>
      <c r="V76" s="47">
        <f t="shared" si="25"/>
        <v>97.749604870617418</v>
      </c>
    </row>
    <row r="77" spans="2:22" x14ac:dyDescent="0.2">
      <c r="B77" s="34" t="s">
        <v>45</v>
      </c>
      <c r="C77" s="76" t="s">
        <v>46</v>
      </c>
      <c r="D77" s="46">
        <f t="shared" ref="D77:V77" si="26">+IFERROR(IF(D51&gt;0,+((D51/D25)*100)," "),"")</f>
        <v>80.328413452785043</v>
      </c>
      <c r="E77" s="46">
        <f t="shared" si="26"/>
        <v>91.506175293855691</v>
      </c>
      <c r="F77" s="46">
        <f t="shared" si="26"/>
        <v>85.608393039853453</v>
      </c>
      <c r="G77" s="46">
        <f t="shared" si="26"/>
        <v>97.941115639634518</v>
      </c>
      <c r="H77" s="46">
        <f t="shared" si="26"/>
        <v>95.221298515953052</v>
      </c>
      <c r="I77" s="46">
        <f t="shared" si="26"/>
        <v>93.980050899499673</v>
      </c>
      <c r="J77" s="46">
        <f t="shared" si="26"/>
        <v>92.6721053904824</v>
      </c>
      <c r="K77" s="46">
        <f t="shared" si="26"/>
        <v>88.28059154846332</v>
      </c>
      <c r="L77" s="46">
        <f t="shared" si="26"/>
        <v>97.425488878885872</v>
      </c>
      <c r="M77" s="46">
        <f t="shared" si="26"/>
        <v>93.335863583955799</v>
      </c>
      <c r="N77" s="46">
        <f t="shared" si="26"/>
        <v>93.566990145436364</v>
      </c>
      <c r="O77" s="46">
        <f t="shared" si="26"/>
        <v>94.685576772045451</v>
      </c>
      <c r="P77" s="46">
        <f t="shared" si="26"/>
        <v>94.282958287672827</v>
      </c>
      <c r="Q77" s="46">
        <f t="shared" si="26"/>
        <v>95.224340682546298</v>
      </c>
      <c r="R77" s="46">
        <f t="shared" si="26"/>
        <v>96.00386460866271</v>
      </c>
      <c r="S77" s="46">
        <f t="shared" si="26"/>
        <v>96.776851394611455</v>
      </c>
      <c r="T77" s="46">
        <f t="shared" si="26"/>
        <v>97.050791297858069</v>
      </c>
      <c r="U77" s="46">
        <f t="shared" si="26"/>
        <v>98.064298787639345</v>
      </c>
      <c r="V77" s="46">
        <f t="shared" si="26"/>
        <v>96.897784348358527</v>
      </c>
    </row>
    <row r="78" spans="2:22" x14ac:dyDescent="0.2">
      <c r="B78" s="36" t="s">
        <v>47</v>
      </c>
      <c r="C78" s="78" t="s">
        <v>48</v>
      </c>
      <c r="D78" s="48">
        <f t="shared" ref="D78:V78" si="27">+IFERROR(IF(D52&gt;0,+((D52/D26)*100)," "),"")</f>
        <v>91.663497333888287</v>
      </c>
      <c r="E78" s="48">
        <f t="shared" si="27"/>
        <v>94.925629201240184</v>
      </c>
      <c r="F78" s="48">
        <f t="shared" si="27"/>
        <v>94.91079380970838</v>
      </c>
      <c r="G78" s="48">
        <f t="shared" si="27"/>
        <v>98.10509028741177</v>
      </c>
      <c r="H78" s="48">
        <f t="shared" si="27"/>
        <v>97.92902551856703</v>
      </c>
      <c r="I78" s="48">
        <f t="shared" si="27"/>
        <v>97.309823146410508</v>
      </c>
      <c r="J78" s="48">
        <f t="shared" si="27"/>
        <v>96.720117087104654</v>
      </c>
      <c r="K78" s="48">
        <f t="shared" si="27"/>
        <v>93.684843028427807</v>
      </c>
      <c r="L78" s="48">
        <f t="shared" si="27"/>
        <v>97.498605643169711</v>
      </c>
      <c r="M78" s="48">
        <f t="shared" si="27"/>
        <v>94.17468542417717</v>
      </c>
      <c r="N78" s="48">
        <f t="shared" si="27"/>
        <v>92.353522252724446</v>
      </c>
      <c r="O78" s="48">
        <f t="shared" si="27"/>
        <v>97.10714912522181</v>
      </c>
      <c r="P78" s="48">
        <f t="shared" si="27"/>
        <v>96.739979341122975</v>
      </c>
      <c r="Q78" s="48">
        <f t="shared" si="27"/>
        <v>96.230029556958499</v>
      </c>
      <c r="R78" s="48">
        <f t="shared" si="27"/>
        <v>95.342482730944553</v>
      </c>
      <c r="S78" s="48">
        <f t="shared" si="27"/>
        <v>97.525157681329148</v>
      </c>
      <c r="T78" s="48">
        <f t="shared" si="27"/>
        <v>98.477903301604002</v>
      </c>
      <c r="U78" s="48">
        <f t="shared" si="27"/>
        <v>98.895210878411561</v>
      </c>
      <c r="V78" s="48">
        <f t="shared" si="27"/>
        <v>97.137285689848369</v>
      </c>
    </row>
    <row r="79" spans="2:22" x14ac:dyDescent="0.2">
      <c r="B79" s="38" t="s">
        <v>49</v>
      </c>
      <c r="C79" s="79" t="s">
        <v>63</v>
      </c>
      <c r="D79" s="45">
        <f t="shared" ref="D79:V79" si="28">+IFERROR(IF(D53&gt;0,+((D53/D27)*100)," "),"")</f>
        <v>92.798527297505601</v>
      </c>
      <c r="E79" s="45">
        <f t="shared" si="28"/>
        <v>96.183994413659306</v>
      </c>
      <c r="F79" s="45">
        <f t="shared" si="28"/>
        <v>96.305397097273868</v>
      </c>
      <c r="G79" s="45">
        <f t="shared" si="28"/>
        <v>98.520074519075678</v>
      </c>
      <c r="H79" s="45">
        <f t="shared" si="28"/>
        <v>97.132063286976106</v>
      </c>
      <c r="I79" s="45">
        <f t="shared" si="28"/>
        <v>97.488427165069794</v>
      </c>
      <c r="J79" s="45">
        <f t="shared" si="28"/>
        <v>96.662653915152006</v>
      </c>
      <c r="K79" s="45">
        <f t="shared" si="28"/>
        <v>94.693182038662499</v>
      </c>
      <c r="L79" s="45">
        <f t="shared" si="28"/>
        <v>95.63555907780497</v>
      </c>
      <c r="M79" s="45">
        <f t="shared" si="28"/>
        <v>92.676356857167903</v>
      </c>
      <c r="N79" s="45">
        <f t="shared" si="28"/>
        <v>89.352395384698823</v>
      </c>
      <c r="O79" s="45">
        <f t="shared" si="28"/>
        <v>96.80638578370143</v>
      </c>
      <c r="P79" s="45">
        <f t="shared" si="28"/>
        <v>97.355207005522132</v>
      </c>
      <c r="Q79" s="45">
        <f t="shared" si="28"/>
        <v>93.622402184319583</v>
      </c>
      <c r="R79" s="45">
        <f t="shared" si="28"/>
        <v>95.821739772450087</v>
      </c>
      <c r="S79" s="45">
        <f t="shared" si="28"/>
        <v>97.766430529344532</v>
      </c>
      <c r="T79" s="45">
        <f t="shared" si="28"/>
        <v>95.471771795844589</v>
      </c>
      <c r="U79" s="45">
        <f t="shared" si="28"/>
        <v>98.662188760829579</v>
      </c>
      <c r="V79" s="45">
        <f t="shared" si="28"/>
        <v>97.314391986876089</v>
      </c>
    </row>
    <row r="80" spans="2:22" x14ac:dyDescent="0.2">
      <c r="B80" s="1" t="s">
        <v>52</v>
      </c>
      <c r="C80" s="15"/>
      <c r="D80" s="12"/>
      <c r="E80" s="12"/>
      <c r="F80" s="12"/>
      <c r="G80" s="12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</row>
    <row r="81" spans="2:22" x14ac:dyDescent="0.2">
      <c r="D81" s="24">
        <f t="shared" ref="D81:V81" si="29">+D78-D55</f>
        <v>0</v>
      </c>
      <c r="E81" s="24">
        <f t="shared" si="29"/>
        <v>0</v>
      </c>
      <c r="F81" s="24">
        <f t="shared" si="29"/>
        <v>0</v>
      </c>
      <c r="G81" s="24">
        <f t="shared" si="29"/>
        <v>0</v>
      </c>
      <c r="H81" s="24">
        <f t="shared" si="29"/>
        <v>0</v>
      </c>
      <c r="I81" s="24">
        <f t="shared" si="29"/>
        <v>0</v>
      </c>
      <c r="J81" s="24">
        <f t="shared" si="29"/>
        <v>0</v>
      </c>
      <c r="K81" s="24">
        <f t="shared" si="29"/>
        <v>0</v>
      </c>
      <c r="L81" s="24">
        <f t="shared" si="29"/>
        <v>0</v>
      </c>
      <c r="M81" s="24">
        <f t="shared" si="29"/>
        <v>0</v>
      </c>
      <c r="N81" s="24">
        <f t="shared" si="29"/>
        <v>0</v>
      </c>
      <c r="O81" s="24">
        <f t="shared" si="29"/>
        <v>0</v>
      </c>
      <c r="P81" s="25">
        <f t="shared" si="29"/>
        <v>0</v>
      </c>
      <c r="Q81" s="24">
        <f t="shared" si="29"/>
        <v>0</v>
      </c>
      <c r="R81" s="24">
        <f t="shared" si="29"/>
        <v>0</v>
      </c>
      <c r="S81" s="24">
        <f t="shared" si="29"/>
        <v>0</v>
      </c>
      <c r="T81" s="24">
        <f t="shared" si="29"/>
        <v>0</v>
      </c>
      <c r="U81" s="24">
        <f t="shared" si="29"/>
        <v>0</v>
      </c>
      <c r="V81" s="24">
        <f t="shared" si="29"/>
        <v>0</v>
      </c>
    </row>
    <row r="83" spans="2:22" ht="18" customHeight="1" x14ac:dyDescent="0.2">
      <c r="C83" s="131"/>
      <c r="D83" s="160" t="s">
        <v>69</v>
      </c>
      <c r="E83" s="158"/>
      <c r="F83" s="158"/>
      <c r="G83" s="158"/>
      <c r="H83" s="158"/>
      <c r="I83" s="158"/>
      <c r="J83" s="158"/>
      <c r="K83" s="158"/>
      <c r="L83" s="158"/>
      <c r="M83" s="158"/>
      <c r="N83" s="158"/>
      <c r="O83" s="158"/>
      <c r="P83" s="158"/>
      <c r="Q83" s="158"/>
      <c r="R83" s="158"/>
      <c r="S83" s="158"/>
      <c r="T83" s="158"/>
      <c r="U83" s="158"/>
      <c r="V83" s="158"/>
    </row>
    <row r="84" spans="2:22" x14ac:dyDescent="0.2">
      <c r="B84" s="157"/>
      <c r="C84" s="158"/>
      <c r="D84" s="158"/>
      <c r="E84" s="158"/>
      <c r="F84" s="158"/>
      <c r="G84" s="158"/>
      <c r="H84" s="158"/>
      <c r="I84" s="158"/>
      <c r="J84" s="158"/>
      <c r="K84" s="158"/>
      <c r="L84" s="158"/>
      <c r="M84" s="158"/>
      <c r="N84" s="158"/>
      <c r="O84" s="158"/>
      <c r="P84" s="158"/>
      <c r="Q84" s="158"/>
      <c r="R84" s="158"/>
      <c r="S84" s="158"/>
      <c r="T84" s="158"/>
      <c r="U84" s="158"/>
      <c r="V84" s="158"/>
    </row>
    <row r="85" spans="2:22" x14ac:dyDescent="0.2">
      <c r="B85" s="163"/>
      <c r="C85" s="155" t="s">
        <v>38</v>
      </c>
      <c r="D85" s="153">
        <v>2000</v>
      </c>
      <c r="E85" s="153">
        <v>2001</v>
      </c>
      <c r="F85" s="153">
        <v>2002</v>
      </c>
      <c r="G85" s="153">
        <v>2003</v>
      </c>
      <c r="H85" s="153">
        <v>2004</v>
      </c>
      <c r="I85" s="153">
        <v>2005</v>
      </c>
      <c r="J85" s="153">
        <v>2006</v>
      </c>
      <c r="K85" s="153">
        <v>2007</v>
      </c>
      <c r="L85" s="153">
        <v>2008</v>
      </c>
      <c r="M85" s="153">
        <v>2009</v>
      </c>
      <c r="N85" s="153">
        <v>2010</v>
      </c>
      <c r="O85" s="153">
        <v>2011</v>
      </c>
      <c r="P85" s="153">
        <v>2012</v>
      </c>
      <c r="Q85" s="153">
        <v>2013</v>
      </c>
      <c r="R85" s="153">
        <v>2014</v>
      </c>
      <c r="S85" s="153">
        <v>2015</v>
      </c>
      <c r="T85" s="153">
        <v>2016</v>
      </c>
      <c r="U85" s="153">
        <v>2017</v>
      </c>
      <c r="V85" s="153">
        <v>2018</v>
      </c>
    </row>
    <row r="86" spans="2:22" ht="12" customHeight="1" thickBot="1" x14ac:dyDescent="0.25">
      <c r="B86" s="154"/>
      <c r="C86" s="156"/>
      <c r="D86" s="154"/>
      <c r="E86" s="154"/>
      <c r="F86" s="154"/>
      <c r="G86" s="154"/>
      <c r="H86" s="154"/>
      <c r="I86" s="154"/>
      <c r="J86" s="154"/>
      <c r="K86" s="154"/>
      <c r="L86" s="154"/>
      <c r="M86" s="154"/>
      <c r="N86" s="154"/>
      <c r="O86" s="154"/>
      <c r="P86" s="154"/>
      <c r="Q86" s="154"/>
      <c r="R86" s="154"/>
      <c r="S86" s="154"/>
      <c r="T86" s="154"/>
      <c r="U86" s="154"/>
      <c r="V86" s="154"/>
    </row>
    <row r="87" spans="2:22" x14ac:dyDescent="0.2">
      <c r="B87" s="34" t="s">
        <v>39</v>
      </c>
      <c r="C87" s="76" t="s">
        <v>40</v>
      </c>
      <c r="D87" s="41">
        <f t="shared" ref="D87:V87" si="30">+D88+D89+D90+D91</f>
        <v>89280.13996506283</v>
      </c>
      <c r="E87" s="41">
        <f t="shared" si="30"/>
        <v>94427.1404562885</v>
      </c>
      <c r="F87" s="41">
        <f t="shared" si="30"/>
        <v>97243.750461954231</v>
      </c>
      <c r="G87" s="41">
        <f t="shared" si="30"/>
        <v>97422.647783961613</v>
      </c>
      <c r="H87" s="41">
        <f t="shared" si="30"/>
        <v>113439.80334859059</v>
      </c>
      <c r="I87" s="41">
        <f t="shared" si="30"/>
        <v>124175.43181364435</v>
      </c>
      <c r="J87" s="41">
        <f t="shared" si="30"/>
        <v>125045.20456755023</v>
      </c>
      <c r="K87" s="41">
        <f t="shared" si="30"/>
        <v>131174.01324492742</v>
      </c>
      <c r="L87" s="41">
        <f t="shared" si="30"/>
        <v>138968.09620894503</v>
      </c>
      <c r="M87" s="41">
        <f t="shared" si="30"/>
        <v>151707.40091493507</v>
      </c>
      <c r="N87" s="41">
        <f t="shared" si="30"/>
        <v>163934.17020877523</v>
      </c>
      <c r="O87" s="41">
        <f t="shared" si="30"/>
        <v>167055.41790107064</v>
      </c>
      <c r="P87" s="41">
        <f t="shared" si="30"/>
        <v>177274.98963195214</v>
      </c>
      <c r="Q87" s="41">
        <f t="shared" si="30"/>
        <v>191591.03649886354</v>
      </c>
      <c r="R87" s="41">
        <f t="shared" si="30"/>
        <v>199197.92699114516</v>
      </c>
      <c r="S87" s="41">
        <f t="shared" si="30"/>
        <v>193481.35333609223</v>
      </c>
      <c r="T87" s="41">
        <f t="shared" si="30"/>
        <v>196281.72022127363</v>
      </c>
      <c r="U87" s="41">
        <f t="shared" si="30"/>
        <v>216042.07789701095</v>
      </c>
      <c r="V87" s="41">
        <f t="shared" si="30"/>
        <v>216575.98443011305</v>
      </c>
    </row>
    <row r="88" spans="2:22" x14ac:dyDescent="0.2">
      <c r="B88" s="40"/>
      <c r="C88" s="77" t="s">
        <v>56</v>
      </c>
      <c r="D88" s="42">
        <f>6222.5106703873*Deflactores!$A$5</f>
        <v>22591.192916816486</v>
      </c>
      <c r="E88" s="42">
        <f>6685.30941233611*Deflactores!$B$5</f>
        <v>22546.951702904011</v>
      </c>
      <c r="F88" s="42">
        <f>7238.07231110505*Deflactores!$C$5</f>
        <v>22815.9513322655</v>
      </c>
      <c r="G88" s="42">
        <f>7844.09820114789*Deflactores!$D$5</f>
        <v>23219.042447607284</v>
      </c>
      <c r="H88" s="42">
        <f>8434.40658026032*Deflactores!$E$5</f>
        <v>23665.505016835177</v>
      </c>
      <c r="I88" s="42">
        <f>9156.64798084961*Deflactores!$F$5</f>
        <v>24502.360937717895</v>
      </c>
      <c r="J88" s="42">
        <f>10168.0709480329*Deflactores!$G$5</f>
        <v>26042.660341433311</v>
      </c>
      <c r="K88" s="42">
        <f>11140.1214504097*Deflactores!$H$5</f>
        <v>26995.071068606601</v>
      </c>
      <c r="L88" s="42">
        <f>12479.7762938995*Deflactores!$I$5</f>
        <v>28085.942674761685</v>
      </c>
      <c r="M88" s="42">
        <f>14035.1063040376*Deflactores!$J$5</f>
        <v>30966.351646996183</v>
      </c>
      <c r="N88" s="42">
        <f>15089.2243835499*Deflactores!$K$5</f>
        <v>32268.789657453446</v>
      </c>
      <c r="O88" s="42">
        <f>15935.0894048688*Deflactores!$L$5</f>
        <v>32853.357878849703</v>
      </c>
      <c r="P88" s="42">
        <f>17972.183671833*Deflactores!$M$5</f>
        <v>36170.66877236568</v>
      </c>
      <c r="Q88" s="42">
        <f>19931.2260284696*Deflactores!$N$5</f>
        <v>39350.030682159471</v>
      </c>
      <c r="R88" s="42">
        <f>22110.0012866487*Deflactores!$O$5</f>
        <v>42110.328022936461</v>
      </c>
      <c r="S88" s="42">
        <f>23599.7200985663*Deflactores!$P$5</f>
        <v>42097.612475241396</v>
      </c>
      <c r="T88" s="42">
        <f>25647.5532380311*Deflactores!$Q$5</f>
        <v>43262.954794414611</v>
      </c>
      <c r="U88" s="42">
        <f>27662.1138929682*Deflactores!$R$5</f>
        <v>44827.714194699845</v>
      </c>
      <c r="V88" s="42">
        <f>30436.0931659071*Deflactores!$S$5</f>
        <v>47802.940320848902</v>
      </c>
    </row>
    <row r="89" spans="2:22" x14ac:dyDescent="0.2">
      <c r="B89" s="40"/>
      <c r="C89" s="77" t="s">
        <v>57</v>
      </c>
      <c r="D89" s="42">
        <f>1509.79490454475*Deflactores!$A$5</f>
        <v>5481.3996729191676</v>
      </c>
      <c r="E89" s="42">
        <f>1567.18143316451*Deflactores!$B$5</f>
        <v>5285.4941938881184</v>
      </c>
      <c r="F89" s="42">
        <f>1779.6989316252*Deflactores!$C$5</f>
        <v>5609.9915094446114</v>
      </c>
      <c r="G89" s="42">
        <f>1905.12128011906*Deflactores!$D$5</f>
        <v>5639.2832849098068</v>
      </c>
      <c r="H89" s="42">
        <f>2098.486238833*Deflactores!$E$5</f>
        <v>5887.9941511343623</v>
      </c>
      <c r="I89" s="42">
        <f>2301.29749506388*Deflactores!$F$5</f>
        <v>6158.0637332624965</v>
      </c>
      <c r="J89" s="42">
        <f>2677.9972009597*Deflactores!$G$5</f>
        <v>6858.9383233399658</v>
      </c>
      <c r="K89" s="42">
        <f>3516.7371874363*Deflactores!$H$5</f>
        <v>8521.8613393988799</v>
      </c>
      <c r="L89" s="42">
        <f>3865.81691541085*Deflactores!$I$5</f>
        <v>8700.0848188623422</v>
      </c>
      <c r="M89" s="42">
        <f>4435.87925903355*Deflactores!$J$5</f>
        <v>9787.1005764547281</v>
      </c>
      <c r="N89" s="42">
        <f>4856.37379719149*Deflactores!$K$5</f>
        <v>10385.510916676629</v>
      </c>
      <c r="O89" s="42">
        <f>5213.29149581089*Deflactores!$L$5</f>
        <v>10748.237859670109</v>
      </c>
      <c r="P89" s="42">
        <f>6064.67037284668*Deflactores!$M$5</f>
        <v>12205.705621271545</v>
      </c>
      <c r="Q89" s="42">
        <f>7042.13859880661*Deflactores!$N$5</f>
        <v>13903.227505184092</v>
      </c>
      <c r="R89" s="42">
        <f>7393.44360173692*Deflactores!$O$5</f>
        <v>14081.42547129691</v>
      </c>
      <c r="S89" s="42">
        <f>7280.82087573002*Deflactores!$P$5</f>
        <v>12987.661482762691</v>
      </c>
      <c r="T89" s="42">
        <f>7532.62311881693*Deflactores!$Q$5</f>
        <v>12706.223102385751</v>
      </c>
      <c r="U89" s="42">
        <f>7627.69609476036*Deflactores!$R$5</f>
        <v>12361.028583099929</v>
      </c>
      <c r="V89" s="42">
        <f>7424.01930719366*Deflactores!$S$5</f>
        <v>11660.167747158084</v>
      </c>
    </row>
    <row r="90" spans="2:22" x14ac:dyDescent="0.2">
      <c r="B90" s="40"/>
      <c r="C90" s="77" t="s">
        <v>58</v>
      </c>
      <c r="D90" s="42">
        <f>16521.4056766249*Deflactores!$A$5</f>
        <v>59981.94019559458</v>
      </c>
      <c r="E90" s="42">
        <f>19438.3167747745*Deflactores!$B$5</f>
        <v>65557.891561138531</v>
      </c>
      <c r="F90" s="42">
        <f>21404.5451994368*Deflactores!$C$5</f>
        <v>67471.702487739807</v>
      </c>
      <c r="G90" s="42">
        <f>22669.6889987837*Deflactores!$D$5</f>
        <v>67103.758474082701</v>
      </c>
      <c r="H90" s="42">
        <f>29417.0063911575*Deflactores!$E$5</f>
        <v>82539.098122149546</v>
      </c>
      <c r="I90" s="42">
        <f>34315.1913924482*Deflactores!$F$5</f>
        <v>91824.345208323837</v>
      </c>
      <c r="J90" s="42">
        <f>35353.3597601397*Deflactores!$G$5</f>
        <v>90547.710068833738</v>
      </c>
      <c r="K90" s="42">
        <f>38728.9699409587*Deflactores!$H$5</f>
        <v>93849.182939711915</v>
      </c>
      <c r="L90" s="42">
        <f>44586.0133366478*Deflactores!$I$5</f>
        <v>100341.55943014649</v>
      </c>
      <c r="M90" s="42">
        <f>49308.6283378089*Deflactores!$J$5</f>
        <v>108792.0740507945</v>
      </c>
      <c r="N90" s="42">
        <f>55477.1940014816*Deflactores!$K$5</f>
        <v>118639.75632645398</v>
      </c>
      <c r="O90" s="42">
        <f>58611.1904183702*Deflactores!$L$5</f>
        <v>120838.63262993578</v>
      </c>
      <c r="P90" s="42">
        <f>62795.5768154854*Deflactores!$M$5</f>
        <v>126381.86048155994</v>
      </c>
      <c r="Q90" s="42">
        <f>68782.6627123917*Deflactores!$N$5</f>
        <v>135796.95921701728</v>
      </c>
      <c r="R90" s="42">
        <f>73694.7340581271*Deflactores!$O$5</f>
        <v>140357.72248574032</v>
      </c>
      <c r="S90" s="42">
        <f>76130.0930047469*Deflactores!$P$5</f>
        <v>135802.25272301515</v>
      </c>
      <c r="T90" s="42">
        <f>81649.188911274*Deflactores!$Q$5</f>
        <v>137727.95931391692</v>
      </c>
      <c r="U90" s="42">
        <f>96543.1494385549*Deflactores!$R$5</f>
        <v>156452.56639579809</v>
      </c>
      <c r="V90" s="42">
        <f>98607.118809533*Deflactores!$S$5</f>
        <v>154872.3809579809</v>
      </c>
    </row>
    <row r="91" spans="2:22" x14ac:dyDescent="0.2">
      <c r="B91" s="40"/>
      <c r="C91" s="77" t="s">
        <v>59</v>
      </c>
      <c r="D91" s="42">
        <f>337.580834339759*Deflactores!$A$5</f>
        <v>1225.6071797325958</v>
      </c>
      <c r="E91" s="42">
        <f>307.41844551728*Deflactores!$B$5</f>
        <v>1036.8029983578358</v>
      </c>
      <c r="F91" s="42">
        <f>427.03484704744*Deflactores!$C$5</f>
        <v>1346.1051325043088</v>
      </c>
      <c r="G91" s="42">
        <f>493.42276520221*Deflactores!$D$5</f>
        <v>1460.5635773618067</v>
      </c>
      <c r="H91" s="42">
        <f>480.14541149472*Deflactores!$E$5</f>
        <v>1347.2060584715116</v>
      </c>
      <c r="I91" s="42">
        <f>631.80834804961*Deflactores!$F$5</f>
        <v>1690.6619343401287</v>
      </c>
      <c r="J91" s="42">
        <f>623.10001560738*Deflactores!$G$5</f>
        <v>1595.8958339432199</v>
      </c>
      <c r="K91" s="42">
        <f>746.069610028979*Deflactores!$H$5</f>
        <v>1807.8978972100167</v>
      </c>
      <c r="L91" s="42">
        <f>817.816386361249*Deflactores!$I$5</f>
        <v>1840.5092851745123</v>
      </c>
      <c r="M91" s="42">
        <f>979.84227344476*Deflactores!$J$5</f>
        <v>2161.8746406896717</v>
      </c>
      <c r="N91" s="42">
        <f>1234.5446646181*Deflactores!$K$5</f>
        <v>2640.1133081911753</v>
      </c>
      <c r="O91" s="42">
        <f>1268.46330796908*Deflactores!$L$5</f>
        <v>2615.1895326150411</v>
      </c>
      <c r="P91" s="42">
        <f>1250.50435285058*Deflactores!$M$5</f>
        <v>2516.7547567549768</v>
      </c>
      <c r="Q91" s="42">
        <f>1286.95299068583*Deflactores!$N$5</f>
        <v>2540.8190945026763</v>
      </c>
      <c r="R91" s="42">
        <f>1390.56754040796*Deflactores!$O$5</f>
        <v>2648.4510111714653</v>
      </c>
      <c r="S91" s="42">
        <f>1454.08681026565*Deflactores!$P$5</f>
        <v>2593.8266550729963</v>
      </c>
      <c r="T91" s="42">
        <f>1532.21689725901*Deflactores!$Q$5</f>
        <v>2584.5830105563532</v>
      </c>
      <c r="U91" s="42">
        <f>1481.45715325321*Deflactores!$R$5</f>
        <v>2400.7687234130822</v>
      </c>
      <c r="V91" s="42">
        <f>1426.52159888162*Deflactores!$S$5</f>
        <v>2240.4954041251599</v>
      </c>
    </row>
    <row r="92" spans="2:22" x14ac:dyDescent="0.2">
      <c r="B92" s="34" t="s">
        <v>41</v>
      </c>
      <c r="C92" s="76" t="s">
        <v>42</v>
      </c>
      <c r="D92" s="41">
        <f t="shared" ref="D92:V92" si="31">+D93+D96</f>
        <v>57132.457158824473</v>
      </c>
      <c r="E92" s="41">
        <f t="shared" si="31"/>
        <v>71179.779544159683</v>
      </c>
      <c r="F92" s="41">
        <f t="shared" si="31"/>
        <v>71151.818178774527</v>
      </c>
      <c r="G92" s="41">
        <f t="shared" si="31"/>
        <v>79975.944558837145</v>
      </c>
      <c r="H92" s="41">
        <f t="shared" si="31"/>
        <v>71394.738877559794</v>
      </c>
      <c r="I92" s="41">
        <f t="shared" si="31"/>
        <v>82583.031892861298</v>
      </c>
      <c r="J92" s="41">
        <f t="shared" si="31"/>
        <v>96247.792832209583</v>
      </c>
      <c r="K92" s="41">
        <f t="shared" si="31"/>
        <v>92091.400453820097</v>
      </c>
      <c r="L92" s="41">
        <f t="shared" si="31"/>
        <v>80024.240388024176</v>
      </c>
      <c r="M92" s="41">
        <f t="shared" si="31"/>
        <v>72209.50537226435</v>
      </c>
      <c r="N92" s="41">
        <f t="shared" si="31"/>
        <v>68887.179002701101</v>
      </c>
      <c r="O92" s="41">
        <f t="shared" si="31"/>
        <v>69462.597645084345</v>
      </c>
      <c r="P92" s="41">
        <f t="shared" si="31"/>
        <v>72935.570436140246</v>
      </c>
      <c r="Q92" s="41">
        <f t="shared" si="31"/>
        <v>74659.554011689004</v>
      </c>
      <c r="R92" s="41">
        <f t="shared" si="31"/>
        <v>76155.704916781135</v>
      </c>
      <c r="S92" s="41">
        <f t="shared" si="31"/>
        <v>82153.24988820171</v>
      </c>
      <c r="T92" s="41">
        <f t="shared" si="31"/>
        <v>66862.917018239095</v>
      </c>
      <c r="U92" s="41">
        <f t="shared" si="31"/>
        <v>79266.837002309709</v>
      </c>
      <c r="V92" s="41">
        <f t="shared" si="31"/>
        <v>57161.575628586666</v>
      </c>
    </row>
    <row r="93" spans="2:22" x14ac:dyDescent="0.2">
      <c r="B93" s="34"/>
      <c r="C93" s="76" t="s">
        <v>43</v>
      </c>
      <c r="D93" s="41">
        <f t="shared" ref="D93:V93" si="32">+D94+D95</f>
        <v>18084.057530161183</v>
      </c>
      <c r="E93" s="41">
        <f t="shared" si="32"/>
        <v>26285.534972678248</v>
      </c>
      <c r="F93" s="41">
        <f t="shared" si="32"/>
        <v>29772.334995344914</v>
      </c>
      <c r="G93" s="41">
        <f t="shared" si="32"/>
        <v>39024.495598660833</v>
      </c>
      <c r="H93" s="41">
        <f t="shared" si="32"/>
        <v>23208.87080460885</v>
      </c>
      <c r="I93" s="41">
        <f t="shared" si="32"/>
        <v>34260.700911547792</v>
      </c>
      <c r="J93" s="41">
        <f t="shared" si="32"/>
        <v>24673.822207659119</v>
      </c>
      <c r="K93" s="41">
        <f t="shared" si="32"/>
        <v>18024.359097311979</v>
      </c>
      <c r="L93" s="41">
        <f t="shared" si="32"/>
        <v>16470.577733328599</v>
      </c>
      <c r="M93" s="41">
        <f t="shared" si="32"/>
        <v>15115.416287741977</v>
      </c>
      <c r="N93" s="41">
        <f t="shared" si="32"/>
        <v>15031.438133189857</v>
      </c>
      <c r="O93" s="41">
        <f t="shared" si="32"/>
        <v>12593.257453928203</v>
      </c>
      <c r="P93" s="41">
        <f t="shared" si="32"/>
        <v>13029.872820810782</v>
      </c>
      <c r="Q93" s="41">
        <f t="shared" si="32"/>
        <v>13538.574381831524</v>
      </c>
      <c r="R93" s="41">
        <f t="shared" si="32"/>
        <v>16836.352492710306</v>
      </c>
      <c r="S93" s="41">
        <f t="shared" si="32"/>
        <v>19631.872596528308</v>
      </c>
      <c r="T93" s="41">
        <f t="shared" si="32"/>
        <v>15625.832034662473</v>
      </c>
      <c r="U93" s="41">
        <f t="shared" si="32"/>
        <v>22646.132518135979</v>
      </c>
      <c r="V93" s="41">
        <f t="shared" si="32"/>
        <v>15075.262064541907</v>
      </c>
    </row>
    <row r="94" spans="2:22" x14ac:dyDescent="0.2">
      <c r="B94" s="32"/>
      <c r="C94" s="77" t="s">
        <v>60</v>
      </c>
      <c r="D94" s="42">
        <f>2528.19439917843*Deflactores!$A$5</f>
        <v>9178.7592546627038</v>
      </c>
      <c r="E94" s="42">
        <f>4400.69780606549*Deflactores!$B$5</f>
        <v>14841.844224792891</v>
      </c>
      <c r="F94" s="42">
        <f>5650.68020492847*Deflactores!$C$5</f>
        <v>17812.152049384636</v>
      </c>
      <c r="G94" s="42">
        <f>7831.35986322709*Deflactores!$D$5</f>
        <v>23181.336136274804</v>
      </c>
      <c r="H94" s="42">
        <f>3998.81074597693*Deflactores!$E$5</f>
        <v>11219.980311569314</v>
      </c>
      <c r="I94" s="42">
        <f>8412.48963703729*Deflactores!$F$5</f>
        <v>22511.060587083251</v>
      </c>
      <c r="J94" s="42">
        <f>4943.37765192544*Deflactores!$G$5</f>
        <v>12661.074631214289</v>
      </c>
      <c r="K94" s="42">
        <f>3520.15184954198*Deflactores!$H$5</f>
        <v>8530.1358493877033</v>
      </c>
      <c r="L94" s="42">
        <f>3472.01625758266*Deflactores!$I$5</f>
        <v>7813.8299341131187</v>
      </c>
      <c r="M94" s="42">
        <f>2846.20163202057*Deflactores!$J$5</f>
        <v>6279.7159270570273</v>
      </c>
      <c r="N94" s="42">
        <f>3361.21751808032*Deflactores!$K$5</f>
        <v>7188.0713234091791</v>
      </c>
      <c r="O94" s="42">
        <f>2373.34432345691*Deflactores!$L$5</f>
        <v>4893.1216165277783</v>
      </c>
      <c r="P94" s="42">
        <f>3393.25689011586*Deflactores!$M$5</f>
        <v>6829.2408575974905</v>
      </c>
      <c r="Q94" s="42">
        <f>2909.26086612295*Deflactores!$N$5</f>
        <v>5743.7261601881564</v>
      </c>
      <c r="R94" s="42">
        <f>4841.01869407645*Deflactores!$O$5</f>
        <v>9220.1209095282775</v>
      </c>
      <c r="S94" s="42">
        <f>5998.70627778673*Deflactores!$P$5</f>
        <v>10700.6020063096</v>
      </c>
      <c r="T94" s="42">
        <f>3415.46895859314*Deflactores!$Q$5</f>
        <v>5761.3011964912403</v>
      </c>
      <c r="U94" s="42">
        <f>7662.71728925486*Deflactores!$R$5</f>
        <v>12417.782022248899</v>
      </c>
      <c r="V94" s="42">
        <f>2964.89476357482*Deflactores!$S$5</f>
        <v>4656.6649230632447</v>
      </c>
    </row>
    <row r="95" spans="2:22" x14ac:dyDescent="0.2">
      <c r="B95" s="32"/>
      <c r="C95" s="77" t="s">
        <v>61</v>
      </c>
      <c r="D95" s="42">
        <f>2452.87239794328*Deflactores!$A$5</f>
        <v>8905.2982754984769</v>
      </c>
      <c r="E95" s="42">
        <f>3393.12446652591*Deflactores!$B$5</f>
        <v>11443.690747885357</v>
      </c>
      <c r="F95" s="42">
        <f>3794.21693867674*Deflactores!$C$5</f>
        <v>11960.182945960276</v>
      </c>
      <c r="G95" s="42">
        <f>5352.30076433268*Deflactores!$D$5</f>
        <v>15843.159462386027</v>
      </c>
      <c r="H95" s="42">
        <f>4272.85100371105*Deflactores!$E$5</f>
        <v>11988.890493039538</v>
      </c>
      <c r="I95" s="42">
        <f>4390.89607022734*Deflactores!$F$5</f>
        <v>11749.640324464539</v>
      </c>
      <c r="J95" s="42">
        <f>4690.24546788597*Deflactores!$G$5</f>
        <v>12012.747576444828</v>
      </c>
      <c r="K95" s="42">
        <f>3918.00413454659*Deflactores!$H$5</f>
        <v>9494.2232479242775</v>
      </c>
      <c r="L95" s="42">
        <f>3846.56043836466*Deflactores!$I$5</f>
        <v>8656.74779921548</v>
      </c>
      <c r="M95" s="42">
        <f>4004.66917273627*Deflactores!$J$5</f>
        <v>8835.7003606849503</v>
      </c>
      <c r="N95" s="42">
        <f>3667.64055831056*Deflactores!$K$5</f>
        <v>7843.3668097806776</v>
      </c>
      <c r="O95" s="42">
        <f>3734.84967506482*Deflactores!$L$5</f>
        <v>7700.1358374004258</v>
      </c>
      <c r="P95" s="42">
        <f>3080.91888556528*Deflactores!$M$5</f>
        <v>6200.6319632132927</v>
      </c>
      <c r="Q95" s="42">
        <f>3948.17689007866*Deflactores!$N$5</f>
        <v>7794.8482216433667</v>
      </c>
      <c r="R95" s="42">
        <f>3998.89761038785*Deflactores!$O$5</f>
        <v>7616.2315831820288</v>
      </c>
      <c r="S95" s="42">
        <f>5006.82755293262*Deflactores!$P$5</f>
        <v>8931.2705902187099</v>
      </c>
      <c r="T95" s="42">
        <f>5847.9842868444*Deflactores!$Q$5</f>
        <v>9864.530838171233</v>
      </c>
      <c r="U95" s="42">
        <f>6311.67128275925*Deflactores!$R$5</f>
        <v>10228.350495887082</v>
      </c>
      <c r="V95" s="42">
        <f>6633.51231383975*Deflactores!$S$5</f>
        <v>10418.597141478662</v>
      </c>
    </row>
    <row r="96" spans="2:22" x14ac:dyDescent="0.2">
      <c r="B96" s="34"/>
      <c r="C96" s="76" t="s">
        <v>44</v>
      </c>
      <c r="D96" s="41">
        <f t="shared" ref="D96:V96" si="33">+D97+D98</f>
        <v>39048.39962866329</v>
      </c>
      <c r="E96" s="41">
        <f t="shared" si="33"/>
        <v>44894.244571481431</v>
      </c>
      <c r="F96" s="41">
        <f t="shared" si="33"/>
        <v>41379.483183429613</v>
      </c>
      <c r="G96" s="41">
        <f t="shared" si="33"/>
        <v>40951.448960176313</v>
      </c>
      <c r="H96" s="41">
        <f t="shared" si="33"/>
        <v>48185.868072950943</v>
      </c>
      <c r="I96" s="41">
        <f t="shared" si="33"/>
        <v>48322.330981313498</v>
      </c>
      <c r="J96" s="41">
        <f t="shared" si="33"/>
        <v>71573.970624550464</v>
      </c>
      <c r="K96" s="41">
        <f t="shared" si="33"/>
        <v>74067.041356508111</v>
      </c>
      <c r="L96" s="41">
        <f t="shared" si="33"/>
        <v>63553.662654695581</v>
      </c>
      <c r="M96" s="41">
        <f t="shared" si="33"/>
        <v>57094.089084522377</v>
      </c>
      <c r="N96" s="41">
        <f t="shared" si="33"/>
        <v>53855.740869511239</v>
      </c>
      <c r="O96" s="41">
        <f t="shared" si="33"/>
        <v>56869.340191156138</v>
      </c>
      <c r="P96" s="41">
        <f t="shared" si="33"/>
        <v>59905.697615329467</v>
      </c>
      <c r="Q96" s="41">
        <f t="shared" si="33"/>
        <v>61120.979629857487</v>
      </c>
      <c r="R96" s="41">
        <f t="shared" si="33"/>
        <v>59319.352424070828</v>
      </c>
      <c r="S96" s="41">
        <f t="shared" si="33"/>
        <v>62521.377291673394</v>
      </c>
      <c r="T96" s="41">
        <f t="shared" si="33"/>
        <v>51237.084983576628</v>
      </c>
      <c r="U96" s="41">
        <f t="shared" si="33"/>
        <v>56620.704484173737</v>
      </c>
      <c r="V96" s="41">
        <f t="shared" si="33"/>
        <v>42086.313564044758</v>
      </c>
    </row>
    <row r="97" spans="2:22" x14ac:dyDescent="0.2">
      <c r="B97" s="32"/>
      <c r="C97" s="77" t="s">
        <v>60</v>
      </c>
      <c r="D97" s="42">
        <f>6096.57281942159*Deflactores!$A$5</f>
        <v>22133.968102364128</v>
      </c>
      <c r="E97" s="42">
        <f>8299.71921352721*Deflactores!$B$5</f>
        <v>27991.728836028655</v>
      </c>
      <c r="F97" s="42">
        <f>7978.55782091956*Deflactores!$C$5</f>
        <v>25150.119965570615</v>
      </c>
      <c r="G97" s="42">
        <f>7097.41569989782*Deflactores!$D$5</f>
        <v>21008.813528128194</v>
      </c>
      <c r="H97" s="42">
        <f>9574.16824854075*Deflactores!$E$5</f>
        <v>26863.481687987594</v>
      </c>
      <c r="I97" s="42">
        <f>9499.94739798648*Deflactores!$F$5</f>
        <v>25420.99909504228</v>
      </c>
      <c r="J97" s="42">
        <f>17042.0838498208*Deflactores!$G$5</f>
        <v>43648.515385012164</v>
      </c>
      <c r="K97" s="42">
        <f>18284.0067513306*Deflactores!$H$5</f>
        <v>44306.344761878703</v>
      </c>
      <c r="L97" s="42">
        <f>16319.6666775809*Deflactores!$I$5</f>
        <v>36727.679405744864</v>
      </c>
      <c r="M97" s="42">
        <f>13697.2853268317*Deflactores!$J$5</f>
        <v>30221.000457822764</v>
      </c>
      <c r="N97" s="42">
        <f>13721.8843482966*Deflactores!$K$5</f>
        <v>29344.689195675874</v>
      </c>
      <c r="O97" s="42">
        <f>14339.7438762527*Deflactores!$L$5</f>
        <v>29564.235599056701</v>
      </c>
      <c r="P97" s="42">
        <f>16597.5153211496*Deflactores!$M$5</f>
        <v>33404.022576647592</v>
      </c>
      <c r="Q97" s="42">
        <f>17902.8713283008*Deflactores!$N$5</f>
        <v>35345.469218056045</v>
      </c>
      <c r="R97" s="42">
        <f>17332.1654576053*Deflactores!$O$5</f>
        <v>33010.544111017371</v>
      </c>
      <c r="S97" s="42">
        <f>20378.0256286111*Deflactores!$P$5</f>
        <v>36350.694937942229</v>
      </c>
      <c r="T97" s="42">
        <f>13863.0831808706*Deflactores!$Q$5</f>
        <v>23384.606531428188</v>
      </c>
      <c r="U97" s="42">
        <f>17064.1076072919*Deflactores!$R$5</f>
        <v>27653.162797574056</v>
      </c>
      <c r="V97" s="42">
        <f>8078.18611674733*Deflactores!$S$5</f>
        <v>12687.602404639107</v>
      </c>
    </row>
    <row r="98" spans="2:22" x14ac:dyDescent="0.2">
      <c r="B98" s="32"/>
      <c r="C98" s="77" t="s">
        <v>61</v>
      </c>
      <c r="D98" s="42">
        <f>4658.90539926227*Deflactores!$A$5</f>
        <v>16914.431526299162</v>
      </c>
      <c r="E98" s="42">
        <f>5011.69954268486*Deflactores!$B$5</f>
        <v>16902.515735452776</v>
      </c>
      <c r="F98" s="42">
        <f>5148.56044454877*Deflactores!$C$5</f>
        <v>16229.363217858998</v>
      </c>
      <c r="G98" s="42">
        <f>6737.22833625282*Deflactores!$D$5</f>
        <v>19942.635432048119</v>
      </c>
      <c r="H98" s="42">
        <f>7599.31706102414*Deflactores!$E$5</f>
        <v>21322.386384963349</v>
      </c>
      <c r="I98" s="42">
        <f>8558.33586437745*Deflactores!$F$5</f>
        <v>22901.331886271219</v>
      </c>
      <c r="J98" s="42">
        <f>10903.1875549207*Deflactores!$G$5</f>
        <v>27925.455239538303</v>
      </c>
      <c r="K98" s="42">
        <f>12281.4188438467*Deflactores!$H$5</f>
        <v>29760.696594629408</v>
      </c>
      <c r="L98" s="42">
        <f>11919.9228485088*Deflactores!$I$5</f>
        <v>26825.983248950713</v>
      </c>
      <c r="M98" s="42">
        <f>12179.8867329642*Deflactores!$J$5</f>
        <v>26873.088626699617</v>
      </c>
      <c r="N98" s="42">
        <f>11461.6247621751*Deflactores!$K$5</f>
        <v>24511.051673835369</v>
      </c>
      <c r="O98" s="42">
        <f>13243.9820760152*Deflactores!$L$5</f>
        <v>27305.10459209944</v>
      </c>
      <c r="P98" s="42">
        <f>13167.9337864582*Deflactores!$M$5</f>
        <v>26501.675038681871</v>
      </c>
      <c r="Q98" s="42">
        <f>13055.5812819151*Deflactores!$N$5</f>
        <v>25775.510411801442</v>
      </c>
      <c r="R98" s="42">
        <f>13813.4232850187*Deflactores!$O$5</f>
        <v>26308.808313053458</v>
      </c>
      <c r="S98" s="42">
        <f>14671.1592896101*Deflactores!$P$5</f>
        <v>26170.682353731165</v>
      </c>
      <c r="T98" s="42">
        <f>16511.7691869908*Deflactores!$Q$5</f>
        <v>27852.478452148436</v>
      </c>
      <c r="U98" s="42">
        <f>17875.1794894946*Deflactores!$R$5</f>
        <v>28967.541686599685</v>
      </c>
      <c r="V98" s="42">
        <f>18718.1354494006*Deflactores!$S$5</f>
        <v>29398.711159405655</v>
      </c>
    </row>
    <row r="99" spans="2:22" x14ac:dyDescent="0.2">
      <c r="B99" s="34" t="s">
        <v>45</v>
      </c>
      <c r="C99" s="76" t="s">
        <v>46</v>
      </c>
      <c r="D99" s="41">
        <f>5581.99048829882*Deflactores!$A$5</f>
        <v>20265.746522720608</v>
      </c>
      <c r="E99" s="41">
        <f>7555.19066943339*Deflactores!$B$5</f>
        <v>25480.723272974123</v>
      </c>
      <c r="F99" s="41">
        <f>5972.67121990339*Deflactores!$C$5</f>
        <v>18827.136566163103</v>
      </c>
      <c r="G99" s="41">
        <f>5976.30189347048*Deflactores!$D$5</f>
        <v>17690.243516316561</v>
      </c>
      <c r="H99" s="41">
        <f>7275.83445640455*Deflactores!$E$5</f>
        <v>20414.749418493146</v>
      </c>
      <c r="I99" s="41">
        <f>8461.05924694498*Deflactores!$F$5</f>
        <v>22641.028465618205</v>
      </c>
      <c r="J99" s="41">
        <f>9755.87068493296*Deflactores!$G$5</f>
        <v>24986.925040271006</v>
      </c>
      <c r="K99" s="41">
        <f>16687.53328392*Deflactores!$H$5</f>
        <v>40437.723140136062</v>
      </c>
      <c r="L99" s="41">
        <f>19157.6575629929*Deflactores!$I$5</f>
        <v>43114.624767749563</v>
      </c>
      <c r="M99" s="41">
        <f>26678.1905786701*Deflactores!$J$5</f>
        <v>58861.41599989307</v>
      </c>
      <c r="N99" s="41">
        <f>20476.8992045138*Deflactores!$K$5</f>
        <v>43790.504831228427</v>
      </c>
      <c r="O99" s="41">
        <f>27590.4748416657*Deflactores!$L$5</f>
        <v>56883.254369673581</v>
      </c>
      <c r="P99" s="41">
        <f>32789.8224625118*Deflactores!$M$5</f>
        <v>65992.526509452597</v>
      </c>
      <c r="Q99" s="41">
        <f>38799.7487277938*Deflactores!$N$5</f>
        <v>76601.976251633314</v>
      </c>
      <c r="R99" s="41">
        <f>38961.2009183642*Deflactores!$O$5</f>
        <v>74204.832897525906</v>
      </c>
      <c r="S99" s="41">
        <f>40346.9232374241*Deflactores!$P$5</f>
        <v>71971.579829058101</v>
      </c>
      <c r="T99" s="41">
        <f>35578.7360453404*Deflactores!$Q$5</f>
        <v>60015.130288901397</v>
      </c>
      <c r="U99" s="41">
        <f>35465.7740558358*Deflactores!$R$5</f>
        <v>57473.900556564222</v>
      </c>
      <c r="V99" s="41">
        <f>30074.2400329509*Deflactores!$S$5</f>
        <v>47234.613642870623</v>
      </c>
    </row>
    <row r="100" spans="2:22" x14ac:dyDescent="0.2">
      <c r="B100" s="36" t="s">
        <v>47</v>
      </c>
      <c r="C100" s="78" t="s">
        <v>48</v>
      </c>
      <c r="D100" s="43">
        <f t="shared" ref="D100:V100" si="34">+D87+D99</f>
        <v>109545.88648778344</v>
      </c>
      <c r="E100" s="43">
        <f t="shared" si="34"/>
        <v>119907.86372926262</v>
      </c>
      <c r="F100" s="43">
        <f t="shared" si="34"/>
        <v>116070.88702811733</v>
      </c>
      <c r="G100" s="43">
        <f t="shared" si="34"/>
        <v>115112.89130027818</v>
      </c>
      <c r="H100" s="43">
        <f t="shared" si="34"/>
        <v>133854.55276708375</v>
      </c>
      <c r="I100" s="43">
        <f t="shared" si="34"/>
        <v>146816.46027926257</v>
      </c>
      <c r="J100" s="43">
        <f t="shared" si="34"/>
        <v>150032.12960782123</v>
      </c>
      <c r="K100" s="43">
        <f t="shared" si="34"/>
        <v>171611.7363850635</v>
      </c>
      <c r="L100" s="43">
        <f t="shared" si="34"/>
        <v>182082.7209766946</v>
      </c>
      <c r="M100" s="43">
        <f t="shared" si="34"/>
        <v>210568.81691482814</v>
      </c>
      <c r="N100" s="43">
        <f t="shared" si="34"/>
        <v>207724.67504000367</v>
      </c>
      <c r="O100" s="43">
        <f t="shared" si="34"/>
        <v>223938.67227074422</v>
      </c>
      <c r="P100" s="43">
        <f t="shared" si="34"/>
        <v>243267.51614140475</v>
      </c>
      <c r="Q100" s="43">
        <f t="shared" si="34"/>
        <v>268193.01275049686</v>
      </c>
      <c r="R100" s="43">
        <f t="shared" si="34"/>
        <v>273402.75988867105</v>
      </c>
      <c r="S100" s="43">
        <f t="shared" si="34"/>
        <v>265452.93316515035</v>
      </c>
      <c r="T100" s="43">
        <f t="shared" si="34"/>
        <v>256296.85051017502</v>
      </c>
      <c r="U100" s="43">
        <f t="shared" si="34"/>
        <v>273515.97845357517</v>
      </c>
      <c r="V100" s="43">
        <f t="shared" si="34"/>
        <v>263810.59807298367</v>
      </c>
    </row>
    <row r="101" spans="2:22" x14ac:dyDescent="0.2">
      <c r="B101" s="38" t="s">
        <v>49</v>
      </c>
      <c r="C101" s="79" t="s">
        <v>63</v>
      </c>
      <c r="D101" s="44">
        <f t="shared" ref="D101:V101" si="35">+D87+D92+D99</f>
        <v>166678.34364660791</v>
      </c>
      <c r="E101" s="44">
        <f t="shared" si="35"/>
        <v>191087.64327342232</v>
      </c>
      <c r="F101" s="44">
        <f t="shared" si="35"/>
        <v>187222.70520689187</v>
      </c>
      <c r="G101" s="44">
        <f t="shared" si="35"/>
        <v>195088.83585911532</v>
      </c>
      <c r="H101" s="44">
        <f t="shared" si="35"/>
        <v>205249.29164464356</v>
      </c>
      <c r="I101" s="44">
        <f t="shared" si="35"/>
        <v>229399.49217212386</v>
      </c>
      <c r="J101" s="44">
        <f t="shared" si="35"/>
        <v>246279.92244003084</v>
      </c>
      <c r="K101" s="44">
        <f t="shared" si="35"/>
        <v>263703.13683888357</v>
      </c>
      <c r="L101" s="44">
        <f t="shared" si="35"/>
        <v>262106.96136471879</v>
      </c>
      <c r="M101" s="44">
        <f t="shared" si="35"/>
        <v>282778.32228709245</v>
      </c>
      <c r="N101" s="44">
        <f t="shared" si="35"/>
        <v>276611.85404270474</v>
      </c>
      <c r="O101" s="44">
        <f t="shared" si="35"/>
        <v>293401.2699158286</v>
      </c>
      <c r="P101" s="44">
        <f t="shared" si="35"/>
        <v>316203.08657754498</v>
      </c>
      <c r="Q101" s="44">
        <f t="shared" si="35"/>
        <v>342852.56676218583</v>
      </c>
      <c r="R101" s="44">
        <f t="shared" si="35"/>
        <v>349558.46480545221</v>
      </c>
      <c r="S101" s="44">
        <f t="shared" si="35"/>
        <v>347606.183053352</v>
      </c>
      <c r="T101" s="44">
        <f t="shared" si="35"/>
        <v>323159.76752841414</v>
      </c>
      <c r="U101" s="44">
        <f t="shared" si="35"/>
        <v>352782.81545588491</v>
      </c>
      <c r="V101" s="44">
        <f t="shared" si="35"/>
        <v>320972.17370157031</v>
      </c>
    </row>
    <row r="102" spans="2:22" x14ac:dyDescent="0.2">
      <c r="B102" s="36" t="s">
        <v>64</v>
      </c>
      <c r="C102" s="78" t="s">
        <v>65</v>
      </c>
      <c r="D102" s="43">
        <f t="shared" ref="D102:V102" si="36">+D26</f>
        <v>123610.90157855977</v>
      </c>
      <c r="E102" s="43">
        <f t="shared" si="36"/>
        <v>139454.4408511272</v>
      </c>
      <c r="F102" s="43">
        <f t="shared" si="36"/>
        <v>138046.84840678703</v>
      </c>
      <c r="G102" s="43">
        <f t="shared" si="36"/>
        <v>131436.31181196828</v>
      </c>
      <c r="H102" s="43">
        <f t="shared" si="36"/>
        <v>153812.86816556417</v>
      </c>
      <c r="I102" s="43">
        <f t="shared" si="36"/>
        <v>165684.61908988236</v>
      </c>
      <c r="J102" s="43">
        <f t="shared" si="36"/>
        <v>171583.90494287273</v>
      </c>
      <c r="K102" s="43">
        <f t="shared" si="36"/>
        <v>188671.09500423435</v>
      </c>
      <c r="L102" s="43">
        <f t="shared" si="36"/>
        <v>194460.02259127065</v>
      </c>
      <c r="M102" s="43">
        <f t="shared" si="36"/>
        <v>231691.32250811052</v>
      </c>
      <c r="N102" s="43">
        <f t="shared" si="36"/>
        <v>234956.58797265604</v>
      </c>
      <c r="O102" s="43">
        <f t="shared" si="36"/>
        <v>239415.0300769867</v>
      </c>
      <c r="P102" s="43">
        <f t="shared" si="36"/>
        <v>260043.33740414289</v>
      </c>
      <c r="Q102" s="43">
        <f t="shared" si="36"/>
        <v>285126.43038070004</v>
      </c>
      <c r="R102" s="43">
        <f t="shared" si="36"/>
        <v>297132.12736095942</v>
      </c>
      <c r="S102" s="43">
        <f t="shared" si="36"/>
        <v>286513.24910561007</v>
      </c>
      <c r="T102" s="43">
        <f t="shared" si="36"/>
        <v>276167.0104269578</v>
      </c>
      <c r="U102" s="43">
        <f t="shared" si="36"/>
        <v>290578.58376215457</v>
      </c>
      <c r="V102" s="43">
        <f t="shared" si="36"/>
        <v>291079.73795172817</v>
      </c>
    </row>
    <row r="103" spans="2:22" x14ac:dyDescent="0.2">
      <c r="B103" s="38" t="s">
        <v>66</v>
      </c>
      <c r="C103" s="79" t="s">
        <v>70</v>
      </c>
      <c r="D103" s="45">
        <f t="shared" ref="D103:V103" si="37">+D100/D$26*100</f>
        <v>88.621541537873625</v>
      </c>
      <c r="E103" s="45">
        <f t="shared" si="37"/>
        <v>85.983539138254287</v>
      </c>
      <c r="F103" s="45">
        <f t="shared" si="37"/>
        <v>84.080794576408991</v>
      </c>
      <c r="G103" s="45">
        <f t="shared" si="37"/>
        <v>87.580737555202973</v>
      </c>
      <c r="H103" s="45">
        <f t="shared" si="37"/>
        <v>87.024287605769572</v>
      </c>
      <c r="I103" s="45">
        <f t="shared" si="37"/>
        <v>88.612003386757351</v>
      </c>
      <c r="J103" s="45">
        <f t="shared" si="37"/>
        <v>87.4395122653101</v>
      </c>
      <c r="K103" s="45">
        <f t="shared" si="37"/>
        <v>90.958149355741014</v>
      </c>
      <c r="L103" s="45">
        <f t="shared" si="37"/>
        <v>93.635040534479671</v>
      </c>
      <c r="M103" s="45">
        <f t="shared" si="37"/>
        <v>90.883341954879228</v>
      </c>
      <c r="N103" s="45">
        <f t="shared" si="37"/>
        <v>88.40981086437057</v>
      </c>
      <c r="O103" s="45">
        <f t="shared" si="37"/>
        <v>93.535761810248147</v>
      </c>
      <c r="P103" s="45">
        <f t="shared" si="37"/>
        <v>93.548836347740675</v>
      </c>
      <c r="Q103" s="45">
        <f t="shared" si="37"/>
        <v>94.061084548495302</v>
      </c>
      <c r="R103" s="45">
        <f t="shared" si="37"/>
        <v>92.013866799579816</v>
      </c>
      <c r="S103" s="45">
        <f t="shared" si="37"/>
        <v>92.649444308002387</v>
      </c>
      <c r="T103" s="45">
        <f t="shared" si="37"/>
        <v>92.805020452637237</v>
      </c>
      <c r="U103" s="45">
        <f t="shared" si="37"/>
        <v>94.128058204542171</v>
      </c>
      <c r="V103" s="45">
        <f t="shared" si="37"/>
        <v>90.631728587282595</v>
      </c>
    </row>
    <row r="104" spans="2:22" x14ac:dyDescent="0.2">
      <c r="B104" s="1" t="s">
        <v>52</v>
      </c>
      <c r="C104" s="15"/>
      <c r="D104" s="12"/>
      <c r="E104" s="12"/>
      <c r="F104" s="12"/>
      <c r="G104" s="12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</row>
    <row r="110" spans="2:22" ht="18" customHeight="1" x14ac:dyDescent="0.2">
      <c r="C110" s="131"/>
      <c r="D110" s="160" t="s">
        <v>71</v>
      </c>
      <c r="E110" s="158"/>
      <c r="F110" s="158"/>
      <c r="G110" s="158"/>
      <c r="H110" s="158"/>
      <c r="I110" s="158"/>
      <c r="J110" s="158"/>
      <c r="K110" s="158"/>
      <c r="L110" s="158"/>
      <c r="M110" s="158"/>
      <c r="N110" s="158"/>
      <c r="O110" s="158"/>
      <c r="P110" s="158"/>
      <c r="Q110" s="158"/>
      <c r="R110" s="158"/>
      <c r="S110" s="158"/>
      <c r="T110" s="158"/>
      <c r="U110" s="158"/>
      <c r="V110" s="158"/>
    </row>
    <row r="111" spans="2:22" x14ac:dyDescent="0.2">
      <c r="U111" s="29"/>
      <c r="V111" s="29"/>
    </row>
    <row r="112" spans="2:22" x14ac:dyDescent="0.2">
      <c r="B112" s="163"/>
      <c r="C112" s="155" t="s">
        <v>38</v>
      </c>
      <c r="D112" s="153">
        <v>2000</v>
      </c>
      <c r="E112" s="153">
        <v>2001</v>
      </c>
      <c r="F112" s="153">
        <v>2002</v>
      </c>
      <c r="G112" s="153">
        <v>2003</v>
      </c>
      <c r="H112" s="153">
        <v>2004</v>
      </c>
      <c r="I112" s="153">
        <v>2005</v>
      </c>
      <c r="J112" s="153">
        <v>2006</v>
      </c>
      <c r="K112" s="153">
        <v>2007</v>
      </c>
      <c r="L112" s="153">
        <v>2008</v>
      </c>
      <c r="M112" s="153">
        <v>2009</v>
      </c>
      <c r="N112" s="153">
        <v>2010</v>
      </c>
      <c r="O112" s="153">
        <v>2011</v>
      </c>
      <c r="P112" s="153">
        <v>2012</v>
      </c>
      <c r="Q112" s="153">
        <v>2013</v>
      </c>
      <c r="R112" s="153">
        <v>2014</v>
      </c>
      <c r="S112" s="153">
        <v>2015</v>
      </c>
      <c r="T112" s="153">
        <v>2016</v>
      </c>
      <c r="U112" s="153">
        <v>2017</v>
      </c>
      <c r="V112" s="153">
        <v>2018</v>
      </c>
    </row>
    <row r="113" spans="2:22" ht="12" customHeight="1" thickBot="1" x14ac:dyDescent="0.25">
      <c r="B113" s="154"/>
      <c r="C113" s="156"/>
      <c r="D113" s="154"/>
      <c r="E113" s="154"/>
      <c r="F113" s="154"/>
      <c r="G113" s="154"/>
      <c r="H113" s="154"/>
      <c r="I113" s="154"/>
      <c r="J113" s="154"/>
      <c r="K113" s="154"/>
      <c r="L113" s="154"/>
      <c r="M113" s="154"/>
      <c r="N113" s="154"/>
      <c r="O113" s="154"/>
      <c r="P113" s="154"/>
      <c r="Q113" s="154"/>
      <c r="R113" s="154"/>
      <c r="S113" s="154"/>
      <c r="T113" s="154"/>
      <c r="U113" s="154"/>
      <c r="V113" s="154"/>
    </row>
    <row r="114" spans="2:22" x14ac:dyDescent="0.2">
      <c r="B114" s="34" t="s">
        <v>39</v>
      </c>
      <c r="C114" s="76" t="s">
        <v>40</v>
      </c>
      <c r="D114" s="46">
        <f t="shared" ref="D114:V114" si="38">+IFERROR(IF(D87&gt;0,+((D87/D13)*100)," "),"")</f>
        <v>93.055380528903925</v>
      </c>
      <c r="E114" s="46">
        <f t="shared" si="38"/>
        <v>93.693791271244223</v>
      </c>
      <c r="F114" s="46">
        <f t="shared" si="38"/>
        <v>93.029131508753565</v>
      </c>
      <c r="G114" s="46">
        <f t="shared" si="38"/>
        <v>92.86689752986554</v>
      </c>
      <c r="H114" s="46">
        <f t="shared" si="38"/>
        <v>92.637108851495057</v>
      </c>
      <c r="I114" s="46">
        <f t="shared" si="38"/>
        <v>94.092038877653778</v>
      </c>
      <c r="J114" s="46">
        <f t="shared" si="38"/>
        <v>93.869185167428768</v>
      </c>
      <c r="K114" s="46">
        <f t="shared" si="38"/>
        <v>95.19011975316343</v>
      </c>
      <c r="L114" s="46">
        <f t="shared" si="38"/>
        <v>96.00839350884381</v>
      </c>
      <c r="M114" s="46">
        <f t="shared" si="38"/>
        <v>93.14321164484079</v>
      </c>
      <c r="N114" s="46">
        <f t="shared" si="38"/>
        <v>91.05975470308617</v>
      </c>
      <c r="O114" s="46">
        <f t="shared" si="38"/>
        <v>97.314152988721986</v>
      </c>
      <c r="P114" s="46">
        <f t="shared" si="38"/>
        <v>96.658630987606855</v>
      </c>
      <c r="Q114" s="46">
        <f t="shared" si="38"/>
        <v>96.297526450590738</v>
      </c>
      <c r="R114" s="46">
        <f t="shared" si="38"/>
        <v>93.781170160996723</v>
      </c>
      <c r="S114" s="46">
        <f t="shared" si="38"/>
        <v>94.704798159070307</v>
      </c>
      <c r="T114" s="46">
        <f t="shared" si="38"/>
        <v>94.927919240550111</v>
      </c>
      <c r="U114" s="46">
        <f t="shared" si="38"/>
        <v>95.985197317316036</v>
      </c>
      <c r="V114" s="46">
        <f t="shared" si="38"/>
        <v>93.991639317717926</v>
      </c>
    </row>
    <row r="115" spans="2:22" x14ac:dyDescent="0.2">
      <c r="B115" s="40"/>
      <c r="C115" s="77" t="s">
        <v>56</v>
      </c>
      <c r="D115" s="47">
        <f t="shared" ref="D115:V115" si="39">+IFERROR(IF(D88&gt;0,+((D88/D14)*100)," "),"")</f>
        <v>97.979628742553587</v>
      </c>
      <c r="E115" s="47">
        <f t="shared" si="39"/>
        <v>97.377735101089243</v>
      </c>
      <c r="F115" s="47">
        <f t="shared" si="39"/>
        <v>98.112652198823554</v>
      </c>
      <c r="G115" s="47">
        <f t="shared" si="39"/>
        <v>98.245279351602036</v>
      </c>
      <c r="H115" s="47">
        <f t="shared" si="39"/>
        <v>96.308971652689152</v>
      </c>
      <c r="I115" s="47">
        <f t="shared" si="39"/>
        <v>98.327053832256368</v>
      </c>
      <c r="J115" s="47">
        <f t="shared" si="39"/>
        <v>97.81764210894471</v>
      </c>
      <c r="K115" s="47">
        <f t="shared" si="39"/>
        <v>97.343797975086062</v>
      </c>
      <c r="L115" s="47">
        <f t="shared" si="39"/>
        <v>97.296348893478822</v>
      </c>
      <c r="M115" s="47">
        <f t="shared" si="39"/>
        <v>97.211167987289699</v>
      </c>
      <c r="N115" s="47">
        <f t="shared" si="39"/>
        <v>95.369786602101996</v>
      </c>
      <c r="O115" s="47">
        <f t="shared" si="39"/>
        <v>98.299585533188605</v>
      </c>
      <c r="P115" s="47">
        <f t="shared" si="39"/>
        <v>97.079721569446235</v>
      </c>
      <c r="Q115" s="47">
        <f t="shared" si="39"/>
        <v>95.459288077698048</v>
      </c>
      <c r="R115" s="47">
        <f t="shared" si="39"/>
        <v>94.494010682704271</v>
      </c>
      <c r="S115" s="47">
        <f t="shared" si="39"/>
        <v>95.890543061131908</v>
      </c>
      <c r="T115" s="47">
        <f t="shared" si="39"/>
        <v>98.462005066465196</v>
      </c>
      <c r="U115" s="47">
        <f t="shared" si="39"/>
        <v>98.649054678756741</v>
      </c>
      <c r="V115" s="47">
        <f t="shared" si="39"/>
        <v>96.326834234001851</v>
      </c>
    </row>
    <row r="116" spans="2:22" x14ac:dyDescent="0.2">
      <c r="B116" s="40"/>
      <c r="C116" s="77" t="s">
        <v>57</v>
      </c>
      <c r="D116" s="47">
        <f t="shared" ref="D116:V116" si="40">+IFERROR(IF(D89&gt;0,+((D89/D15)*100)," "),"")</f>
        <v>88.077593980205108</v>
      </c>
      <c r="E116" s="47">
        <f t="shared" si="40"/>
        <v>81.946942900145629</v>
      </c>
      <c r="F116" s="47">
        <f t="shared" si="40"/>
        <v>77.395577769628375</v>
      </c>
      <c r="G116" s="47">
        <f t="shared" si="40"/>
        <v>76.998449701319799</v>
      </c>
      <c r="H116" s="47">
        <f t="shared" si="40"/>
        <v>72.398604118645366</v>
      </c>
      <c r="I116" s="47">
        <f t="shared" si="40"/>
        <v>73.109965333485619</v>
      </c>
      <c r="J116" s="47">
        <f t="shared" si="40"/>
        <v>76.734926153436191</v>
      </c>
      <c r="K116" s="47">
        <f t="shared" si="40"/>
        <v>91.594861732944224</v>
      </c>
      <c r="L116" s="47">
        <f t="shared" si="40"/>
        <v>93.948824240392256</v>
      </c>
      <c r="M116" s="47">
        <f t="shared" si="40"/>
        <v>92.239612268412372</v>
      </c>
      <c r="N116" s="47">
        <f t="shared" si="40"/>
        <v>92.415044089779769</v>
      </c>
      <c r="O116" s="47">
        <f t="shared" si="40"/>
        <v>91.049594671492144</v>
      </c>
      <c r="P116" s="47">
        <f t="shared" si="40"/>
        <v>92.015698445190282</v>
      </c>
      <c r="Q116" s="47">
        <f t="shared" si="40"/>
        <v>93.682059522053905</v>
      </c>
      <c r="R116" s="47">
        <f t="shared" si="40"/>
        <v>93.460973450568446</v>
      </c>
      <c r="S116" s="47">
        <f t="shared" si="40"/>
        <v>94.084622158462523</v>
      </c>
      <c r="T116" s="47">
        <f t="shared" si="40"/>
        <v>94.719561461408432</v>
      </c>
      <c r="U116" s="47">
        <f t="shared" si="40"/>
        <v>95.401429757356951</v>
      </c>
      <c r="V116" s="47">
        <f t="shared" si="40"/>
        <v>85.846292077240051</v>
      </c>
    </row>
    <row r="117" spans="2:22" x14ac:dyDescent="0.2">
      <c r="B117" s="40"/>
      <c r="C117" s="77" t="s">
        <v>58</v>
      </c>
      <c r="D117" s="47">
        <f t="shared" ref="D117:V117" si="41">+IFERROR(IF(D90&gt;0,+((D90/D16)*100)," "),"")</f>
        <v>91.93199680311281</v>
      </c>
      <c r="E117" s="47">
        <f t="shared" si="41"/>
        <v>93.980845274157375</v>
      </c>
      <c r="F117" s="47">
        <f t="shared" si="41"/>
        <v>93.264004939842479</v>
      </c>
      <c r="G117" s="47">
        <f t="shared" si="41"/>
        <v>93.007318845677261</v>
      </c>
      <c r="H117" s="47">
        <f t="shared" si="41"/>
        <v>93.69170529680207</v>
      </c>
      <c r="I117" s="47">
        <f t="shared" si="41"/>
        <v>95.18664664648999</v>
      </c>
      <c r="J117" s="47">
        <f t="shared" si="41"/>
        <v>95.081986221983811</v>
      </c>
      <c r="K117" s="47">
        <f t="shared" si="41"/>
        <v>95.08404918986885</v>
      </c>
      <c r="L117" s="47">
        <f t="shared" si="41"/>
        <v>95.971787488572019</v>
      </c>
      <c r="M117" s="47">
        <f t="shared" si="41"/>
        <v>92.286890664999433</v>
      </c>
      <c r="N117" s="47">
        <f t="shared" si="41"/>
        <v>89.923802913909796</v>
      </c>
      <c r="O117" s="47">
        <f t="shared" si="41"/>
        <v>98.041341221742172</v>
      </c>
      <c r="P117" s="47">
        <f t="shared" si="41"/>
        <v>97.488367497795565</v>
      </c>
      <c r="Q117" s="47">
        <f t="shared" si="41"/>
        <v>97.174018601782535</v>
      </c>
      <c r="R117" s="47">
        <f t="shared" si="41"/>
        <v>93.704307409693371</v>
      </c>
      <c r="S117" s="47">
        <f t="shared" si="41"/>
        <v>94.645581704714303</v>
      </c>
      <c r="T117" s="47">
        <f t="shared" si="41"/>
        <v>94.011600655172401</v>
      </c>
      <c r="U117" s="47">
        <f t="shared" si="41"/>
        <v>95.336980732589055</v>
      </c>
      <c r="V117" s="47">
        <f t="shared" si="41"/>
        <v>94.024692909801715</v>
      </c>
    </row>
    <row r="118" spans="2:22" x14ac:dyDescent="0.2">
      <c r="B118" s="40"/>
      <c r="C118" s="77" t="s">
        <v>59</v>
      </c>
      <c r="D118" s="47">
        <f t="shared" ref="D118:V118" si="42">+IFERROR(IF(D91&gt;0,+((D91/D17)*100)," "),"")</f>
        <v>86.516148263220998</v>
      </c>
      <c r="E118" s="47">
        <f t="shared" si="42"/>
        <v>72.909339506271081</v>
      </c>
      <c r="F118" s="47">
        <f t="shared" si="42"/>
        <v>80.017429227011988</v>
      </c>
      <c r="G118" s="47">
        <f t="shared" si="42"/>
        <v>81.181412595367192</v>
      </c>
      <c r="H118" s="47">
        <f t="shared" si="42"/>
        <v>81.431600361032054</v>
      </c>
      <c r="I118" s="47">
        <f t="shared" si="42"/>
        <v>78.185710886100239</v>
      </c>
      <c r="J118" s="47">
        <f t="shared" si="42"/>
        <v>65.977814747410449</v>
      </c>
      <c r="K118" s="47">
        <f t="shared" si="42"/>
        <v>87.53696966589024</v>
      </c>
      <c r="L118" s="47">
        <f t="shared" si="42"/>
        <v>89.096242153102409</v>
      </c>
      <c r="M118" s="47">
        <f t="shared" si="42"/>
        <v>85.600694349703502</v>
      </c>
      <c r="N118" s="47">
        <f t="shared" si="42"/>
        <v>87.356469628460758</v>
      </c>
      <c r="O118" s="47">
        <f t="shared" si="42"/>
        <v>82.060807214210882</v>
      </c>
      <c r="P118" s="47">
        <f t="shared" si="42"/>
        <v>77.63584704838469</v>
      </c>
      <c r="Q118" s="47">
        <f t="shared" si="42"/>
        <v>80.697733616464106</v>
      </c>
      <c r="R118" s="47">
        <f t="shared" si="42"/>
        <v>88.61834438940862</v>
      </c>
      <c r="S118" s="47">
        <f t="shared" si="42"/>
        <v>83.445489923784081</v>
      </c>
      <c r="T118" s="47">
        <f t="shared" si="42"/>
        <v>88.668139119897319</v>
      </c>
      <c r="U118" s="47">
        <f t="shared" si="42"/>
        <v>93.224045520875009</v>
      </c>
      <c r="V118" s="47">
        <f t="shared" si="42"/>
        <v>89.709292019173375</v>
      </c>
    </row>
    <row r="119" spans="2:22" x14ac:dyDescent="0.2">
      <c r="B119" s="34" t="s">
        <v>41</v>
      </c>
      <c r="C119" s="76" t="s">
        <v>42</v>
      </c>
      <c r="D119" s="46">
        <f t="shared" ref="D119:V119" si="43">+IFERROR(IF(D92&gt;0,+((D92/D18)*100)," "),"")</f>
        <v>95.101744565790014</v>
      </c>
      <c r="E119" s="46">
        <f t="shared" si="43"/>
        <v>98.608578140598368</v>
      </c>
      <c r="F119" s="46">
        <f t="shared" si="43"/>
        <v>98.291302774796549</v>
      </c>
      <c r="G119" s="46">
        <f t="shared" si="43"/>
        <v>98.820033641692788</v>
      </c>
      <c r="H119" s="46">
        <f t="shared" si="43"/>
        <v>94.633501193708426</v>
      </c>
      <c r="I119" s="46">
        <f t="shared" si="43"/>
        <v>97.793353340478447</v>
      </c>
      <c r="J119" s="46">
        <f t="shared" si="43"/>
        <v>96.529499255135093</v>
      </c>
      <c r="K119" s="46">
        <f t="shared" si="43"/>
        <v>96.65254692849696</v>
      </c>
      <c r="L119" s="46">
        <f t="shared" si="43"/>
        <v>91.445978899489688</v>
      </c>
      <c r="M119" s="46">
        <f t="shared" si="43"/>
        <v>88.372220883912007</v>
      </c>
      <c r="N119" s="46">
        <f t="shared" si="43"/>
        <v>80.750717601495978</v>
      </c>
      <c r="O119" s="46">
        <f t="shared" si="43"/>
        <v>95.751875729227578</v>
      </c>
      <c r="P119" s="46">
        <f t="shared" si="43"/>
        <v>99.529244319165272</v>
      </c>
      <c r="Q119" s="46">
        <f t="shared" si="43"/>
        <v>84.901653509687264</v>
      </c>
      <c r="R119" s="46">
        <f t="shared" si="43"/>
        <v>97.639362048317508</v>
      </c>
      <c r="S119" s="46">
        <f t="shared" si="43"/>
        <v>98.036737468111284</v>
      </c>
      <c r="T119" s="46">
        <f t="shared" si="43"/>
        <v>84.867324137840257</v>
      </c>
      <c r="U119" s="46">
        <f t="shared" si="43"/>
        <v>97.813726372046972</v>
      </c>
      <c r="V119" s="46">
        <f t="shared" si="43"/>
        <v>75.933105762449145</v>
      </c>
    </row>
    <row r="120" spans="2:22" x14ac:dyDescent="0.2">
      <c r="B120" s="34"/>
      <c r="C120" s="76" t="s">
        <v>43</v>
      </c>
      <c r="D120" s="46">
        <f t="shared" ref="D120:V120" si="44">+IFERROR(IF(D93&gt;0,+((D93/D19)*100)," "),"")</f>
        <v>97.188738044958441</v>
      </c>
      <c r="E120" s="46">
        <f t="shared" si="44"/>
        <v>98.22725697163321</v>
      </c>
      <c r="F120" s="46">
        <f t="shared" si="44"/>
        <v>98.42872096055234</v>
      </c>
      <c r="G120" s="46">
        <f t="shared" si="44"/>
        <v>98.758523876043242</v>
      </c>
      <c r="H120" s="46">
        <f t="shared" si="44"/>
        <v>87.934827309569158</v>
      </c>
      <c r="I120" s="46">
        <f t="shared" si="44"/>
        <v>97.719218567416149</v>
      </c>
      <c r="J120" s="46">
        <f t="shared" si="44"/>
        <v>90.718025350197678</v>
      </c>
      <c r="K120" s="46">
        <f t="shared" si="44"/>
        <v>96.397063107418361</v>
      </c>
      <c r="L120" s="46">
        <f t="shared" si="44"/>
        <v>89.332480426771028</v>
      </c>
      <c r="M120" s="46">
        <f t="shared" si="44"/>
        <v>82.844645106584125</v>
      </c>
      <c r="N120" s="46">
        <f t="shared" si="44"/>
        <v>81.524851802445568</v>
      </c>
      <c r="O120" s="46">
        <f t="shared" si="44"/>
        <v>86.876974209165709</v>
      </c>
      <c r="P120" s="46">
        <f t="shared" si="44"/>
        <v>98.667044293806427</v>
      </c>
      <c r="Q120" s="46">
        <f t="shared" si="44"/>
        <v>97.133104465074339</v>
      </c>
      <c r="R120" s="46">
        <f t="shared" si="44"/>
        <v>98.085618762021895</v>
      </c>
      <c r="S120" s="46">
        <f t="shared" si="44"/>
        <v>98.810627289613393</v>
      </c>
      <c r="T120" s="46">
        <f t="shared" si="44"/>
        <v>95.720010623344237</v>
      </c>
      <c r="U120" s="46">
        <f t="shared" si="44"/>
        <v>97.002965948353506</v>
      </c>
      <c r="V120" s="46">
        <f t="shared" si="44"/>
        <v>85.895659392676492</v>
      </c>
    </row>
    <row r="121" spans="2:22" x14ac:dyDescent="0.2">
      <c r="B121" s="32"/>
      <c r="C121" s="77" t="s">
        <v>60</v>
      </c>
      <c r="D121" s="47">
        <f t="shared" ref="D121:V121" si="45">+IFERROR(IF(D94&gt;0,+((D94/D20)*100)," "),"")</f>
        <v>97.320153946589528</v>
      </c>
      <c r="E121" s="47">
        <f t="shared" si="45"/>
        <v>98.472737008231093</v>
      </c>
      <c r="F121" s="47">
        <f t="shared" si="45"/>
        <v>98.883328719788935</v>
      </c>
      <c r="G121" s="47">
        <f t="shared" si="45"/>
        <v>98.975299949445784</v>
      </c>
      <c r="H121" s="47">
        <f t="shared" si="45"/>
        <v>89.420785779121843</v>
      </c>
      <c r="I121" s="47">
        <f t="shared" si="45"/>
        <v>98.164360828373546</v>
      </c>
      <c r="J121" s="47">
        <f t="shared" si="45"/>
        <v>91.184447002212494</v>
      </c>
      <c r="K121" s="47">
        <f t="shared" si="45"/>
        <v>94.58423427810834</v>
      </c>
      <c r="L121" s="47">
        <f t="shared" si="45"/>
        <v>84.003114893863696</v>
      </c>
      <c r="M121" s="47">
        <f t="shared" si="45"/>
        <v>83.58344954789186</v>
      </c>
      <c r="N121" s="47">
        <f t="shared" si="45"/>
        <v>86.623974375915367</v>
      </c>
      <c r="O121" s="47">
        <f t="shared" si="45"/>
        <v>78.477459041415727</v>
      </c>
      <c r="P121" s="47">
        <f t="shared" si="45"/>
        <v>99.9720711122349</v>
      </c>
      <c r="Q121" s="47">
        <f t="shared" si="45"/>
        <v>98.172195874031914</v>
      </c>
      <c r="R121" s="47">
        <f t="shared" si="45"/>
        <v>97.123754734755067</v>
      </c>
      <c r="S121" s="47">
        <f t="shared" si="45"/>
        <v>98.669180250557005</v>
      </c>
      <c r="T121" s="47">
        <f t="shared" si="45"/>
        <v>96.016559828926248</v>
      </c>
      <c r="U121" s="47">
        <f t="shared" si="45"/>
        <v>97.185137731188547</v>
      </c>
      <c r="V121" s="47">
        <f t="shared" si="45"/>
        <v>96.430814576422364</v>
      </c>
    </row>
    <row r="122" spans="2:22" x14ac:dyDescent="0.2">
      <c r="B122" s="32"/>
      <c r="C122" s="77" t="s">
        <v>61</v>
      </c>
      <c r="D122" s="47">
        <f t="shared" ref="D122:V122" si="46">+IFERROR(IF(D95&gt;0,+((D95/D21)*100)," "),"")</f>
        <v>97.053657579810576</v>
      </c>
      <c r="E122" s="47">
        <f t="shared" si="46"/>
        <v>97.910699855237027</v>
      </c>
      <c r="F122" s="47">
        <f t="shared" si="46"/>
        <v>97.759374836523506</v>
      </c>
      <c r="G122" s="47">
        <f t="shared" si="46"/>
        <v>98.443047937250626</v>
      </c>
      <c r="H122" s="47">
        <f t="shared" si="46"/>
        <v>86.588222639056426</v>
      </c>
      <c r="I122" s="47">
        <f t="shared" si="46"/>
        <v>96.877553060080118</v>
      </c>
      <c r="J122" s="47">
        <f t="shared" si="46"/>
        <v>90.231568126779038</v>
      </c>
      <c r="K122" s="47">
        <f t="shared" si="46"/>
        <v>98.086111421672413</v>
      </c>
      <c r="L122" s="47">
        <f t="shared" si="46"/>
        <v>94.758846296831194</v>
      </c>
      <c r="M122" s="47">
        <f t="shared" si="46"/>
        <v>82.32745179641465</v>
      </c>
      <c r="N122" s="47">
        <f t="shared" si="46"/>
        <v>77.351947271157499</v>
      </c>
      <c r="O122" s="47">
        <f t="shared" si="46"/>
        <v>93.217015767661749</v>
      </c>
      <c r="P122" s="47">
        <f t="shared" si="46"/>
        <v>97.2685850286869</v>
      </c>
      <c r="Q122" s="47">
        <f t="shared" si="46"/>
        <v>96.381404444130112</v>
      </c>
      <c r="R122" s="47">
        <f t="shared" si="46"/>
        <v>99.275841580040208</v>
      </c>
      <c r="S122" s="47">
        <f t="shared" si="46"/>
        <v>98.980630655977393</v>
      </c>
      <c r="T122" s="47">
        <f t="shared" si="46"/>
        <v>95.54765922121598</v>
      </c>
      <c r="U122" s="47">
        <f t="shared" si="46"/>
        <v>96.782715152538628</v>
      </c>
      <c r="V122" s="47">
        <f t="shared" si="46"/>
        <v>81.896609981357301</v>
      </c>
    </row>
    <row r="123" spans="2:22" x14ac:dyDescent="0.2">
      <c r="B123" s="34"/>
      <c r="C123" s="76" t="s">
        <v>44</v>
      </c>
      <c r="D123" s="46">
        <f t="shared" ref="D123:V123" si="47">+IFERROR(IF(D96&gt;0,+((D96/D22)*100)," "),"")</f>
        <v>94.16528588680994</v>
      </c>
      <c r="E123" s="46">
        <f t="shared" si="47"/>
        <v>98.83321860608288</v>
      </c>
      <c r="F123" s="46">
        <f t="shared" si="47"/>
        <v>98.192668179969829</v>
      </c>
      <c r="G123" s="46">
        <f t="shared" si="47"/>
        <v>98.878720430370166</v>
      </c>
      <c r="H123" s="46">
        <f t="shared" si="47"/>
        <v>98.237973033822456</v>
      </c>
      <c r="I123" s="46">
        <f t="shared" si="47"/>
        <v>97.845983337709214</v>
      </c>
      <c r="J123" s="46">
        <f t="shared" si="47"/>
        <v>98.709378525794989</v>
      </c>
      <c r="K123" s="46">
        <f t="shared" si="47"/>
        <v>96.714924423691059</v>
      </c>
      <c r="L123" s="46">
        <f t="shared" si="47"/>
        <v>92.010131305382615</v>
      </c>
      <c r="M123" s="46">
        <f t="shared" si="47"/>
        <v>89.961335124293456</v>
      </c>
      <c r="N123" s="46">
        <f t="shared" si="47"/>
        <v>80.537269808361216</v>
      </c>
      <c r="O123" s="46">
        <f t="shared" si="47"/>
        <v>97.96804636463466</v>
      </c>
      <c r="P123" s="46">
        <f t="shared" si="47"/>
        <v>99.718777348710347</v>
      </c>
      <c r="Q123" s="46">
        <f t="shared" si="47"/>
        <v>82.597764096791877</v>
      </c>
      <c r="R123" s="46">
        <f t="shared" si="47"/>
        <v>97.513441814712493</v>
      </c>
      <c r="S123" s="46">
        <f t="shared" si="47"/>
        <v>97.796228776052288</v>
      </c>
      <c r="T123" s="46">
        <f t="shared" si="47"/>
        <v>82.030902771071283</v>
      </c>
      <c r="U123" s="46">
        <f t="shared" si="47"/>
        <v>98.141806822461078</v>
      </c>
      <c r="V123" s="46">
        <f t="shared" si="47"/>
        <v>72.904265450337675</v>
      </c>
    </row>
    <row r="124" spans="2:22" x14ac:dyDescent="0.2">
      <c r="B124" s="32"/>
      <c r="C124" s="77" t="s">
        <v>60</v>
      </c>
      <c r="D124" s="47">
        <f t="shared" ref="D124:V124" si="48">+IFERROR(IF(D97&gt;0,+((D97/D23)*100)," "),"")</f>
        <v>95.158699752354636</v>
      </c>
      <c r="E124" s="47">
        <f t="shared" si="48"/>
        <v>98.674932714703033</v>
      </c>
      <c r="F124" s="47">
        <f t="shared" si="48"/>
        <v>98.260182834388189</v>
      </c>
      <c r="G124" s="47">
        <f t="shared" si="48"/>
        <v>99.307495108725348</v>
      </c>
      <c r="H124" s="47">
        <f t="shared" si="48"/>
        <v>98.785065728630585</v>
      </c>
      <c r="I124" s="47">
        <f t="shared" si="48"/>
        <v>98.693060886460131</v>
      </c>
      <c r="J124" s="47">
        <f t="shared" si="48"/>
        <v>99.528093069812414</v>
      </c>
      <c r="K124" s="47">
        <f t="shared" si="48"/>
        <v>95.589605112067929</v>
      </c>
      <c r="L124" s="47">
        <f t="shared" si="48"/>
        <v>87.860149094937583</v>
      </c>
      <c r="M124" s="47">
        <f t="shared" si="48"/>
        <v>85.349034994272287</v>
      </c>
      <c r="N124" s="47">
        <f t="shared" si="48"/>
        <v>75.557307839566008</v>
      </c>
      <c r="O124" s="47">
        <f t="shared" si="48"/>
        <v>96.927083622465048</v>
      </c>
      <c r="P124" s="47">
        <f t="shared" si="48"/>
        <v>99.548281168110748</v>
      </c>
      <c r="Q124" s="47">
        <f t="shared" si="48"/>
        <v>78.489099458989671</v>
      </c>
      <c r="R124" s="47">
        <f t="shared" si="48"/>
        <v>97.46092224970667</v>
      </c>
      <c r="S124" s="47">
        <f t="shared" si="48"/>
        <v>99.895478393148409</v>
      </c>
      <c r="T124" s="47">
        <f t="shared" si="48"/>
        <v>69.593905862466855</v>
      </c>
      <c r="U124" s="47">
        <f t="shared" si="48"/>
        <v>99.756062114259379</v>
      </c>
      <c r="V124" s="47">
        <f t="shared" si="48"/>
        <v>50.129681268643786</v>
      </c>
    </row>
    <row r="125" spans="2:22" x14ac:dyDescent="0.2">
      <c r="B125" s="32"/>
      <c r="C125" s="77" t="s">
        <v>61</v>
      </c>
      <c r="D125" s="47">
        <f t="shared" ref="D125:V125" si="49">+IFERROR(IF(D98&gt;0,+((D98/D24)*100)," "),"")</f>
        <v>92.89622731033522</v>
      </c>
      <c r="E125" s="47">
        <f t="shared" si="49"/>
        <v>99.096470757119377</v>
      </c>
      <c r="F125" s="47">
        <f t="shared" si="49"/>
        <v>98.088225996615364</v>
      </c>
      <c r="G125" s="47">
        <f t="shared" si="49"/>
        <v>98.431009171186844</v>
      </c>
      <c r="H125" s="47">
        <f t="shared" si="49"/>
        <v>97.557273010885595</v>
      </c>
      <c r="I125" s="47">
        <f t="shared" si="49"/>
        <v>96.922575885678427</v>
      </c>
      <c r="J125" s="47">
        <f t="shared" si="49"/>
        <v>97.456335127284106</v>
      </c>
      <c r="K125" s="47">
        <f t="shared" si="49"/>
        <v>98.440207875353963</v>
      </c>
      <c r="L125" s="47">
        <f t="shared" si="49"/>
        <v>98.371670156194668</v>
      </c>
      <c r="M125" s="47">
        <f t="shared" si="49"/>
        <v>95.782306856459471</v>
      </c>
      <c r="N125" s="47">
        <f t="shared" si="49"/>
        <v>87.436659516861141</v>
      </c>
      <c r="O125" s="47">
        <f t="shared" si="49"/>
        <v>99.12064196144469</v>
      </c>
      <c r="P125" s="47">
        <f t="shared" si="49"/>
        <v>99.934512956762219</v>
      </c>
      <c r="Q125" s="47">
        <f t="shared" si="49"/>
        <v>88.98534341632606</v>
      </c>
      <c r="R125" s="47">
        <f t="shared" si="49"/>
        <v>97.579419996355711</v>
      </c>
      <c r="S125" s="47">
        <f t="shared" si="49"/>
        <v>95.022634140221498</v>
      </c>
      <c r="T125" s="47">
        <f t="shared" si="49"/>
        <v>96.511622650620509</v>
      </c>
      <c r="U125" s="47">
        <f t="shared" si="49"/>
        <v>96.648797408586972</v>
      </c>
      <c r="V125" s="47">
        <f t="shared" si="49"/>
        <v>90.684620152102127</v>
      </c>
    </row>
    <row r="126" spans="2:22" x14ac:dyDescent="0.2">
      <c r="B126" s="34" t="s">
        <v>45</v>
      </c>
      <c r="C126" s="76" t="s">
        <v>46</v>
      </c>
      <c r="D126" s="46">
        <f t="shared" ref="D126:V126" si="50">+IFERROR(IF(D99&gt;0,+((D99/D25)*100)," "),"")</f>
        <v>73.246463002290909</v>
      </c>
      <c r="E126" s="46">
        <f t="shared" si="50"/>
        <v>65.889789945538098</v>
      </c>
      <c r="F126" s="46">
        <f t="shared" si="50"/>
        <v>56.172875923751022</v>
      </c>
      <c r="G126" s="46">
        <f t="shared" si="50"/>
        <v>66.678554058845862</v>
      </c>
      <c r="H126" s="46">
        <f t="shared" si="50"/>
        <v>65.104790881448693</v>
      </c>
      <c r="I126" s="46">
        <f t="shared" si="50"/>
        <v>67.15951890793535</v>
      </c>
      <c r="J126" s="46">
        <f t="shared" si="50"/>
        <v>65.118095767545697</v>
      </c>
      <c r="K126" s="46">
        <f t="shared" si="50"/>
        <v>79.493899081491321</v>
      </c>
      <c r="L126" s="46">
        <f t="shared" si="50"/>
        <v>86.724891816867483</v>
      </c>
      <c r="M126" s="46">
        <f t="shared" si="50"/>
        <v>85.534618155728396</v>
      </c>
      <c r="N126" s="46">
        <f t="shared" si="50"/>
        <v>79.724388810463566</v>
      </c>
      <c r="O126" s="46">
        <f t="shared" si="50"/>
        <v>83.961857553564613</v>
      </c>
      <c r="P126" s="46">
        <f t="shared" si="50"/>
        <v>86.106966448851381</v>
      </c>
      <c r="Q126" s="46">
        <f t="shared" si="50"/>
        <v>88.897320690505339</v>
      </c>
      <c r="R126" s="46">
        <f t="shared" si="50"/>
        <v>87.583201970333874</v>
      </c>
      <c r="S126" s="46">
        <f t="shared" si="50"/>
        <v>87.541938622862247</v>
      </c>
      <c r="T126" s="46">
        <f t="shared" si="50"/>
        <v>86.479889032492352</v>
      </c>
      <c r="U126" s="46">
        <f t="shared" si="50"/>
        <v>87.746350472972424</v>
      </c>
      <c r="V126" s="46">
        <f t="shared" si="50"/>
        <v>77.868759927326494</v>
      </c>
    </row>
    <row r="127" spans="2:22" x14ac:dyDescent="0.2">
      <c r="B127" s="36" t="s">
        <v>47</v>
      </c>
      <c r="C127" s="78" t="s">
        <v>48</v>
      </c>
      <c r="D127" s="48">
        <f t="shared" ref="D127:V127" si="51">+IFERROR(IF(D100&gt;0,+((D100/D26)*100)," "),"")</f>
        <v>88.621541537873625</v>
      </c>
      <c r="E127" s="48">
        <f t="shared" si="51"/>
        <v>85.983539138254287</v>
      </c>
      <c r="F127" s="48">
        <f t="shared" si="51"/>
        <v>84.080794576408991</v>
      </c>
      <c r="G127" s="48">
        <f t="shared" si="51"/>
        <v>87.580737555202973</v>
      </c>
      <c r="H127" s="48">
        <f t="shared" si="51"/>
        <v>87.024287605769572</v>
      </c>
      <c r="I127" s="48">
        <f t="shared" si="51"/>
        <v>88.612003386757351</v>
      </c>
      <c r="J127" s="48">
        <f t="shared" si="51"/>
        <v>87.4395122653101</v>
      </c>
      <c r="K127" s="48">
        <f t="shared" si="51"/>
        <v>90.958149355741014</v>
      </c>
      <c r="L127" s="48">
        <f t="shared" si="51"/>
        <v>93.635040534479671</v>
      </c>
      <c r="M127" s="48">
        <f t="shared" si="51"/>
        <v>90.883341954879228</v>
      </c>
      <c r="N127" s="48">
        <f t="shared" si="51"/>
        <v>88.40981086437057</v>
      </c>
      <c r="O127" s="48">
        <f t="shared" si="51"/>
        <v>93.535761810248147</v>
      </c>
      <c r="P127" s="48">
        <f t="shared" si="51"/>
        <v>93.548836347740675</v>
      </c>
      <c r="Q127" s="48">
        <f t="shared" si="51"/>
        <v>94.061084548495302</v>
      </c>
      <c r="R127" s="48">
        <f t="shared" si="51"/>
        <v>92.013866799579816</v>
      </c>
      <c r="S127" s="48">
        <f t="shared" si="51"/>
        <v>92.649444308002387</v>
      </c>
      <c r="T127" s="48">
        <f t="shared" si="51"/>
        <v>92.805020452637237</v>
      </c>
      <c r="U127" s="48">
        <f t="shared" si="51"/>
        <v>94.128058204542171</v>
      </c>
      <c r="V127" s="48">
        <f t="shared" si="51"/>
        <v>90.631728587282595</v>
      </c>
    </row>
    <row r="128" spans="2:22" x14ac:dyDescent="0.2">
      <c r="B128" s="38" t="s">
        <v>49</v>
      </c>
      <c r="C128" s="79" t="s">
        <v>63</v>
      </c>
      <c r="D128" s="45">
        <f t="shared" ref="D128:V128" si="52">+IFERROR(IF(D101&gt;0,+((D101/D27)*100)," "),"")</f>
        <v>90.740912590534734</v>
      </c>
      <c r="E128" s="45">
        <f t="shared" si="52"/>
        <v>90.289596161822928</v>
      </c>
      <c r="F128" s="45">
        <f t="shared" si="52"/>
        <v>88.969134166323144</v>
      </c>
      <c r="G128" s="45">
        <f t="shared" si="52"/>
        <v>91.863914574987689</v>
      </c>
      <c r="H128" s="45">
        <f t="shared" si="52"/>
        <v>89.528319414174277</v>
      </c>
      <c r="I128" s="45">
        <f t="shared" si="52"/>
        <v>91.711708338374748</v>
      </c>
      <c r="J128" s="45">
        <f t="shared" si="52"/>
        <v>90.780361577448303</v>
      </c>
      <c r="K128" s="45">
        <f t="shared" si="52"/>
        <v>92.868920444101335</v>
      </c>
      <c r="L128" s="45">
        <f t="shared" si="52"/>
        <v>92.955661365684321</v>
      </c>
      <c r="M128" s="45">
        <f t="shared" si="52"/>
        <v>90.228638633288455</v>
      </c>
      <c r="N128" s="45">
        <f t="shared" si="52"/>
        <v>86.369671443468917</v>
      </c>
      <c r="O128" s="45">
        <f t="shared" si="52"/>
        <v>94.051106411948666</v>
      </c>
      <c r="P128" s="45">
        <f t="shared" si="52"/>
        <v>94.863616260385683</v>
      </c>
      <c r="Q128" s="45">
        <f t="shared" si="52"/>
        <v>91.902069710644781</v>
      </c>
      <c r="R128" s="45">
        <f t="shared" si="52"/>
        <v>93.18352121780778</v>
      </c>
      <c r="S128" s="45">
        <f t="shared" si="52"/>
        <v>93.8685436431781</v>
      </c>
      <c r="T128" s="45">
        <f t="shared" si="52"/>
        <v>91.04316868145844</v>
      </c>
      <c r="U128" s="45">
        <f t="shared" si="52"/>
        <v>94.931791968876496</v>
      </c>
      <c r="V128" s="45">
        <f t="shared" si="52"/>
        <v>87.611475850088922</v>
      </c>
    </row>
    <row r="129" spans="2:22" x14ac:dyDescent="0.2">
      <c r="B129" s="1" t="s">
        <v>52</v>
      </c>
      <c r="C129" s="15"/>
      <c r="D129" s="12"/>
      <c r="E129" s="12"/>
      <c r="F129" s="12"/>
      <c r="G129" s="12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</row>
    <row r="130" spans="2:22" x14ac:dyDescent="0.2">
      <c r="B130" s="1"/>
      <c r="C130" s="15"/>
      <c r="D130" s="26">
        <f t="shared" ref="D130:V130" si="53">+D127-D103</f>
        <v>0</v>
      </c>
      <c r="E130" s="26">
        <f t="shared" si="53"/>
        <v>0</v>
      </c>
      <c r="F130" s="26">
        <f t="shared" si="53"/>
        <v>0</v>
      </c>
      <c r="G130" s="26">
        <f t="shared" si="53"/>
        <v>0</v>
      </c>
      <c r="H130" s="26">
        <f t="shared" si="53"/>
        <v>0</v>
      </c>
      <c r="I130" s="26">
        <f t="shared" si="53"/>
        <v>0</v>
      </c>
      <c r="J130" s="26">
        <f t="shared" si="53"/>
        <v>0</v>
      </c>
      <c r="K130" s="26">
        <f t="shared" si="53"/>
        <v>0</v>
      </c>
      <c r="L130" s="26">
        <f t="shared" si="53"/>
        <v>0</v>
      </c>
      <c r="M130" s="26">
        <f t="shared" si="53"/>
        <v>0</v>
      </c>
      <c r="N130" s="26">
        <f t="shared" si="53"/>
        <v>0</v>
      </c>
      <c r="O130" s="26">
        <f t="shared" si="53"/>
        <v>0</v>
      </c>
      <c r="P130" s="26">
        <f t="shared" si="53"/>
        <v>0</v>
      </c>
      <c r="Q130" s="26">
        <f t="shared" si="53"/>
        <v>0</v>
      </c>
      <c r="R130" s="26">
        <f t="shared" si="53"/>
        <v>0</v>
      </c>
      <c r="S130" s="26">
        <f t="shared" si="53"/>
        <v>0</v>
      </c>
      <c r="T130" s="26">
        <f t="shared" si="53"/>
        <v>0</v>
      </c>
      <c r="U130" s="26">
        <f t="shared" si="53"/>
        <v>0</v>
      </c>
      <c r="V130" s="26">
        <f t="shared" si="53"/>
        <v>0</v>
      </c>
    </row>
    <row r="131" spans="2:22" x14ac:dyDescent="0.2">
      <c r="B131" s="1"/>
      <c r="C131" s="15"/>
      <c r="D131" s="12"/>
      <c r="E131" s="12"/>
      <c r="F131" s="12"/>
      <c r="G131" s="12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</row>
    <row r="132" spans="2:22" x14ac:dyDescent="0.2">
      <c r="B132" s="1"/>
      <c r="C132" s="15"/>
      <c r="D132" s="12"/>
      <c r="E132" s="12"/>
      <c r="F132" s="12"/>
      <c r="G132" s="12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</row>
    <row r="133" spans="2:22" x14ac:dyDescent="0.2">
      <c r="B133" s="1"/>
      <c r="C133" s="15"/>
      <c r="D133" s="12"/>
      <c r="E133" s="12"/>
      <c r="F133" s="12"/>
      <c r="G133" s="12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</row>
    <row r="134" spans="2:22" ht="18" customHeight="1" x14ac:dyDescent="0.2">
      <c r="C134" s="131"/>
      <c r="D134" s="160" t="s">
        <v>72</v>
      </c>
      <c r="E134" s="158"/>
      <c r="F134" s="158"/>
      <c r="G134" s="158"/>
      <c r="H134" s="158"/>
      <c r="I134" s="158"/>
      <c r="J134" s="158"/>
      <c r="K134" s="158"/>
      <c r="L134" s="158"/>
      <c r="M134" s="158"/>
      <c r="N134" s="158"/>
      <c r="O134" s="158"/>
      <c r="P134" s="158"/>
      <c r="Q134" s="158"/>
      <c r="R134" s="158"/>
      <c r="S134" s="158"/>
      <c r="T134" s="158"/>
      <c r="U134" s="158"/>
      <c r="V134" s="158"/>
    </row>
    <row r="135" spans="2:22" x14ac:dyDescent="0.2">
      <c r="B135" s="157"/>
      <c r="C135" s="158"/>
      <c r="D135" s="158"/>
      <c r="E135" s="158"/>
      <c r="F135" s="158"/>
      <c r="G135" s="158"/>
      <c r="H135" s="158"/>
      <c r="I135" s="158"/>
      <c r="J135" s="158"/>
      <c r="K135" s="158"/>
      <c r="L135" s="158"/>
      <c r="M135" s="158"/>
      <c r="N135" s="158"/>
      <c r="O135" s="158"/>
      <c r="P135" s="158"/>
      <c r="Q135" s="158"/>
      <c r="R135" s="158"/>
      <c r="S135" s="158"/>
      <c r="T135" s="158"/>
      <c r="U135" s="158"/>
      <c r="V135" s="158"/>
    </row>
    <row r="136" spans="2:22" x14ac:dyDescent="0.2">
      <c r="B136" s="163"/>
      <c r="C136" s="155" t="s">
        <v>38</v>
      </c>
      <c r="D136" s="153">
        <v>2000</v>
      </c>
      <c r="E136" s="153">
        <v>2001</v>
      </c>
      <c r="F136" s="153">
        <v>2002</v>
      </c>
      <c r="G136" s="153">
        <v>2003</v>
      </c>
      <c r="H136" s="153">
        <v>2004</v>
      </c>
      <c r="I136" s="153">
        <v>2005</v>
      </c>
      <c r="J136" s="153">
        <v>2006</v>
      </c>
      <c r="K136" s="153">
        <v>2007</v>
      </c>
      <c r="L136" s="153">
        <v>2008</v>
      </c>
      <c r="M136" s="153">
        <v>2009</v>
      </c>
      <c r="N136" s="153">
        <v>2010</v>
      </c>
      <c r="O136" s="153">
        <v>2011</v>
      </c>
      <c r="P136" s="153">
        <v>2012</v>
      </c>
      <c r="Q136" s="153">
        <v>2013</v>
      </c>
      <c r="R136" s="153">
        <v>2014</v>
      </c>
      <c r="S136" s="153">
        <v>2015</v>
      </c>
      <c r="T136" s="153">
        <v>2016</v>
      </c>
      <c r="U136" s="153">
        <v>2017</v>
      </c>
      <c r="V136" s="153">
        <v>2018</v>
      </c>
    </row>
    <row r="137" spans="2:22" ht="12" customHeight="1" thickBot="1" x14ac:dyDescent="0.25">
      <c r="B137" s="154"/>
      <c r="C137" s="156"/>
      <c r="D137" s="154"/>
      <c r="E137" s="154"/>
      <c r="F137" s="154"/>
      <c r="G137" s="154"/>
      <c r="H137" s="154"/>
      <c r="I137" s="154"/>
      <c r="J137" s="154"/>
      <c r="K137" s="154"/>
      <c r="L137" s="154"/>
      <c r="M137" s="154"/>
      <c r="N137" s="154"/>
      <c r="O137" s="154"/>
      <c r="P137" s="154"/>
      <c r="Q137" s="154"/>
      <c r="R137" s="154"/>
      <c r="S137" s="154"/>
      <c r="T137" s="154"/>
      <c r="U137" s="154"/>
      <c r="V137" s="154"/>
    </row>
    <row r="138" spans="2:22" x14ac:dyDescent="0.2">
      <c r="B138" s="34" t="s">
        <v>39</v>
      </c>
      <c r="C138" s="76" t="s">
        <v>40</v>
      </c>
      <c r="D138" s="41">
        <f t="shared" ref="D138:V138" si="54">+D139+D140+D141+D142</f>
        <v>79996.333859365346</v>
      </c>
      <c r="E138" s="41">
        <f t="shared" si="54"/>
        <v>91704.626002993304</v>
      </c>
      <c r="F138" s="41">
        <f t="shared" si="54"/>
        <v>94067.346183901085</v>
      </c>
      <c r="G138" s="41">
        <f t="shared" si="54"/>
        <v>95724.344134476589</v>
      </c>
      <c r="H138" s="41">
        <f t="shared" si="54"/>
        <v>109907.79608547188</v>
      </c>
      <c r="I138" s="41">
        <f t="shared" si="54"/>
        <v>122464.19049778898</v>
      </c>
      <c r="J138" s="41">
        <f t="shared" si="54"/>
        <v>122461.63586940661</v>
      </c>
      <c r="K138" s="41">
        <f t="shared" si="54"/>
        <v>128561.084270381</v>
      </c>
      <c r="L138" s="41">
        <f t="shared" si="54"/>
        <v>135364.0334758012</v>
      </c>
      <c r="M138" s="41">
        <f t="shared" si="54"/>
        <v>145381.12358881076</v>
      </c>
      <c r="N138" s="41">
        <f t="shared" si="54"/>
        <v>152403.43975655021</v>
      </c>
      <c r="O138" s="41">
        <f t="shared" si="54"/>
        <v>153934.67669314455</v>
      </c>
      <c r="P138" s="41">
        <f t="shared" si="54"/>
        <v>162099.39290103424</v>
      </c>
      <c r="Q138" s="41">
        <f t="shared" si="54"/>
        <v>177844.48934875612</v>
      </c>
      <c r="R138" s="41">
        <f t="shared" si="54"/>
        <v>188135.091505082</v>
      </c>
      <c r="S138" s="41">
        <f t="shared" si="54"/>
        <v>187689.77459325903</v>
      </c>
      <c r="T138" s="41">
        <f t="shared" si="54"/>
        <v>192051.02062960179</v>
      </c>
      <c r="U138" s="41">
        <f t="shared" si="54"/>
        <v>211183.5412383659</v>
      </c>
      <c r="V138" s="41">
        <f t="shared" si="54"/>
        <v>216003.50399674382</v>
      </c>
    </row>
    <row r="139" spans="2:22" x14ac:dyDescent="0.2">
      <c r="B139" s="40"/>
      <c r="C139" s="77" t="s">
        <v>56</v>
      </c>
      <c r="D139" s="42">
        <f>5967.77458726522*Deflactores!$A$5</f>
        <v>21666.358504868916</v>
      </c>
      <c r="E139" s="42">
        <f>6541.97449637495*Deflactores!$B$5</f>
        <v>22063.538710596931</v>
      </c>
      <c r="F139" s="42">
        <f>7069.74548586312*Deflactores!$C$5</f>
        <v>22285.349192971829</v>
      </c>
      <c r="G139" s="42">
        <f>7665.80886152329*Deflactores!$D$5</f>
        <v>22691.29437019366</v>
      </c>
      <c r="H139" s="42">
        <f>8287.44996855581*Deflactores!$E$5</f>
        <v>23253.169851526742</v>
      </c>
      <c r="I139" s="42">
        <f>9037.76223317708*Deflactores!$F$5</f>
        <v>24184.233441071188</v>
      </c>
      <c r="J139" s="42">
        <f>10095.0541916827*Deflactores!$G$5</f>
        <v>25855.648410204674</v>
      </c>
      <c r="K139" s="42">
        <f>11083.8528035876*Deflactores!$H$5</f>
        <v>26858.719223013297</v>
      </c>
      <c r="L139" s="42">
        <f>12399.282244006*Deflactores!$I$5</f>
        <v>27904.789485976293</v>
      </c>
      <c r="M139" s="42">
        <f>13905.470378143*Deflactores!$J$5</f>
        <v>30680.329469438377</v>
      </c>
      <c r="N139" s="42">
        <f>15010.0073317177*Deflactores!$K$5</f>
        <v>32099.381454759899</v>
      </c>
      <c r="O139" s="42">
        <f>15731.7324202978*Deflactores!$L$5</f>
        <v>32434.096987270805</v>
      </c>
      <c r="P139" s="42">
        <f>17661.4598631146*Deflactores!$M$5</f>
        <v>35545.308595212824</v>
      </c>
      <c r="Q139" s="42">
        <f>19756.647389026*Deflactores!$N$5</f>
        <v>39005.361728591699</v>
      </c>
      <c r="R139" s="42">
        <f>21870.6671832615*Deflactores!$O$5</f>
        <v>41654.496407639526</v>
      </c>
      <c r="S139" s="42">
        <f>23250.5755332975*Deflactores!$P$5</f>
        <v>41474.802012018336</v>
      </c>
      <c r="T139" s="42">
        <f>25045.394923525*Deflactores!$Q$5</f>
        <v>42247.218607115123</v>
      </c>
      <c r="U139" s="42">
        <f>27123.4534641143*Deflactores!$R$5</f>
        <v>43954.790460595948</v>
      </c>
      <c r="V139" s="42">
        <f>30423.7658930889*Deflactores!$S$5</f>
        <v>47783.579101140611</v>
      </c>
    </row>
    <row r="140" spans="2:22" x14ac:dyDescent="0.2">
      <c r="B140" s="40"/>
      <c r="C140" s="77" t="s">
        <v>57</v>
      </c>
      <c r="D140" s="42">
        <f>1108.09065566282*Deflactores!$A$5</f>
        <v>4022.9886451672937</v>
      </c>
      <c r="E140" s="42">
        <f>1451.04372439792*Deflactores!$B$5</f>
        <v>4893.806816544844</v>
      </c>
      <c r="F140" s="42">
        <f>1567.11229752339*Deflactores!$C$5</f>
        <v>4939.8729904412403</v>
      </c>
      <c r="G140" s="42">
        <f>1738.53449300691*Deflactores!$D$5</f>
        <v>5146.1755264422372</v>
      </c>
      <c r="H140" s="42">
        <f>1812.24426998767*Deflactores!$E$5</f>
        <v>5084.8480512544038</v>
      </c>
      <c r="I140" s="42">
        <f>2050.07895191691*Deflactores!$F$5</f>
        <v>5485.8256575705682</v>
      </c>
      <c r="J140" s="42">
        <f>2495.21726252012*Deflactores!$G$5</f>
        <v>6390.7988032345374</v>
      </c>
      <c r="K140" s="42">
        <f>3183.05357121216*Deflactores!$H$5</f>
        <v>7713.2693528125019</v>
      </c>
      <c r="L140" s="42">
        <f>3519.95574331124*Deflactores!$I$5</f>
        <v>7921.7185385497723</v>
      </c>
      <c r="M140" s="42">
        <f>3930.13450142483*Deflactores!$J$5</f>
        <v>8671.2508159701119</v>
      </c>
      <c r="N140" s="42">
        <f>4388.17580224797*Deflactores!$K$5</f>
        <v>9384.2545079413558</v>
      </c>
      <c r="O140" s="42">
        <f>4722.12436567546*Deflactores!$L$5</f>
        <v>9735.5990790093292</v>
      </c>
      <c r="P140" s="42">
        <f>5423.72219387453*Deflactores!$M$5</f>
        <v>10915.738597498741</v>
      </c>
      <c r="Q140" s="42">
        <f>6415.67896413992*Deflactores!$N$5</f>
        <v>12666.414184716145</v>
      </c>
      <c r="R140" s="42">
        <f>6634.27038061814*Deflactores!$O$5</f>
        <v>12635.517216789216</v>
      </c>
      <c r="S140" s="42">
        <f>6504.94437885458*Deflactores!$P$5</f>
        <v>11603.638792760768</v>
      </c>
      <c r="T140" s="42">
        <f>6407.89106559151*Deflactores!$Q$5</f>
        <v>10808.996044392286</v>
      </c>
      <c r="U140" s="42">
        <f>6498.35823744682*Deflactores!$R$5</f>
        <v>10530.88520024822</v>
      </c>
      <c r="V140" s="42">
        <f>7325.62806192969*Deflactores!$S$5</f>
        <v>11505.634417278676</v>
      </c>
    </row>
    <row r="141" spans="2:22" x14ac:dyDescent="0.2">
      <c r="B141" s="40"/>
      <c r="C141" s="77" t="s">
        <v>58</v>
      </c>
      <c r="D141" s="42">
        <f>14694.9638339296*Deflactores!$A$5</f>
        <v>53350.935090848463</v>
      </c>
      <c r="E141" s="42">
        <f>18908.4665323766*Deflactores!$B$5</f>
        <v>63770.912516747099</v>
      </c>
      <c r="F141" s="42">
        <f>20814.8274594753*Deflactores!$C$5</f>
        <v>65612.786097240096</v>
      </c>
      <c r="G141" s="42">
        <f>22477.8460250277*Deflactores!$D$5</f>
        <v>66535.890755360873</v>
      </c>
      <c r="H141" s="42">
        <f>28636.4467467283*Deflactores!$E$5</f>
        <v>80348.981010127638</v>
      </c>
      <c r="I141" s="42">
        <f>34101.1909866836*Deflactores!$F$5</f>
        <v>91251.699498471426</v>
      </c>
      <c r="J141" s="42">
        <f>34687.3341226263*Deflactores!$G$5</f>
        <v>88841.872300283983</v>
      </c>
      <c r="K141" s="42">
        <f>38135.5395183975*Deflactores!$H$5</f>
        <v>92411.164826298642</v>
      </c>
      <c r="L141" s="42">
        <f>43451.9461890355*Deflactores!$I$5</f>
        <v>97789.32258334184</v>
      </c>
      <c r="M141" s="42">
        <f>47127.2721401527*Deflactores!$J$5</f>
        <v>103979.23960403695</v>
      </c>
      <c r="N141" s="42">
        <f>50688.1545203723*Deflactores!$K$5</f>
        <v>108398.24200146124</v>
      </c>
      <c r="O141" s="42">
        <f>53079.5415927111*Deflactores!$L$5</f>
        <v>109434.03778191627</v>
      </c>
      <c r="P141" s="42">
        <f>56340.1889885043*Deflactores!$M$5</f>
        <v>113389.80013149562</v>
      </c>
      <c r="Q141" s="42">
        <f>62782.5015307432*Deflactores!$N$5</f>
        <v>123950.89785287851</v>
      </c>
      <c r="R141" s="42">
        <f>69070.5317275132*Deflactores!$O$5</f>
        <v>131550.54629149169</v>
      </c>
      <c r="S141" s="42">
        <f>74166.671112697*Deflactores!$P$5</f>
        <v>132299.86483062894</v>
      </c>
      <c r="T141" s="42">
        <f>81003.6135252261*Deflactores!$Q$5</f>
        <v>136638.98608969676</v>
      </c>
      <c r="U141" s="42">
        <f>95377.8375801272*Deflactores!$R$5</f>
        <v>154564.1255073174</v>
      </c>
      <c r="V141" s="42">
        <f>98514.6949221302*Deflactores!$S$5</f>
        <v>154727.21996278834</v>
      </c>
    </row>
    <row r="142" spans="2:22" x14ac:dyDescent="0.2">
      <c r="B142" s="40"/>
      <c r="C142" s="77" t="s">
        <v>59</v>
      </c>
      <c r="D142" s="42">
        <f>263.33454011668*Deflactores!$A$5</f>
        <v>956.05161848067814</v>
      </c>
      <c r="E142" s="42">
        <f>289.499085859289*Deflactores!$B$5</f>
        <v>976.36795910443095</v>
      </c>
      <c r="F142" s="42">
        <f>389.99191876376*Deflactores!$C$5</f>
        <v>1229.3379032479311</v>
      </c>
      <c r="G142" s="42">
        <f>456.40327884376*Deflactores!$D$5</f>
        <v>1350.9834824798122</v>
      </c>
      <c r="H142" s="42">
        <f>435.09317456376*Deflactores!$E$5</f>
        <v>1220.7971725631003</v>
      </c>
      <c r="I142" s="42">
        <f>576.41408453746*Deflactores!$F$5</f>
        <v>1542.4319006757987</v>
      </c>
      <c r="J142" s="42">
        <f>536.19630082364*Deflactores!$G$5</f>
        <v>1373.3163556834254</v>
      </c>
      <c r="K142" s="42">
        <f>651.16855843995*Deflactores!$H$5</f>
        <v>1577.9308682565645</v>
      </c>
      <c r="L142" s="42">
        <f>776.80072770946*Deflactores!$I$5</f>
        <v>1748.2028679332952</v>
      </c>
      <c r="M142" s="42">
        <f>929.27415874466*Deflactores!$J$5</f>
        <v>2050.3036993653113</v>
      </c>
      <c r="N142" s="42">
        <f>1179.10873281037*Deflactores!$K$5</f>
        <v>2521.5617923877021</v>
      </c>
      <c r="O142" s="42">
        <f>1130.59318833891*Deflactores!$L$5</f>
        <v>2330.9428449481461</v>
      </c>
      <c r="P142" s="42">
        <f>1117.23878691724*Deflactores!$M$5</f>
        <v>2248.5455768270335</v>
      </c>
      <c r="Q142" s="42">
        <f>1125.37418147049*Deflactores!$N$5</f>
        <v>2221.8155825697668</v>
      </c>
      <c r="R142" s="42">
        <f>1204.74237011372*Deflactores!$O$5</f>
        <v>2294.5315891615824</v>
      </c>
      <c r="S142" s="42">
        <f>1295.79843640516*Deflactores!$P$5</f>
        <v>2311.468957850992</v>
      </c>
      <c r="T142" s="42">
        <f>1396.59938379177*Deflactores!$Q$5</f>
        <v>2355.8198883976274</v>
      </c>
      <c r="U142" s="42">
        <f>1316.68013639119*Deflactores!$R$5</f>
        <v>2133.7400702043496</v>
      </c>
      <c r="V142" s="42">
        <f>1265.16617873627*Deflactores!$S$5</f>
        <v>1987.070515536185</v>
      </c>
    </row>
    <row r="143" spans="2:22" x14ac:dyDescent="0.2">
      <c r="B143" s="34" t="s">
        <v>41</v>
      </c>
      <c r="C143" s="76" t="s">
        <v>42</v>
      </c>
      <c r="D143" s="41">
        <f t="shared" ref="D143:V143" si="55">+D144+D147</f>
        <v>56336.642343828324</v>
      </c>
      <c r="E143" s="41">
        <f t="shared" si="55"/>
        <v>68909.039234240394</v>
      </c>
      <c r="F143" s="41">
        <f t="shared" si="55"/>
        <v>68409.033161051339</v>
      </c>
      <c r="G143" s="41">
        <f t="shared" si="55"/>
        <v>75465.392758827336</v>
      </c>
      <c r="H143" s="41">
        <f t="shared" si="55"/>
        <v>66996.971095185785</v>
      </c>
      <c r="I143" s="41">
        <f t="shared" si="55"/>
        <v>80299.603530230946</v>
      </c>
      <c r="J143" s="41">
        <f t="shared" si="55"/>
        <v>92006.148843440227</v>
      </c>
      <c r="K143" s="41">
        <f t="shared" si="55"/>
        <v>88388.293418521949</v>
      </c>
      <c r="L143" s="41">
        <f t="shared" si="55"/>
        <v>77642.514810993249</v>
      </c>
      <c r="M143" s="41">
        <f t="shared" si="55"/>
        <v>69958.842214050877</v>
      </c>
      <c r="N143" s="41">
        <f t="shared" si="55"/>
        <v>67342.063195365001</v>
      </c>
      <c r="O143" s="41">
        <f t="shared" si="55"/>
        <v>67592.081275282428</v>
      </c>
      <c r="P143" s="41">
        <f t="shared" si="55"/>
        <v>72753.86241947487</v>
      </c>
      <c r="Q143" s="41">
        <f t="shared" si="55"/>
        <v>73533.625827658529</v>
      </c>
      <c r="R143" s="41">
        <f t="shared" si="55"/>
        <v>74849.416657746391</v>
      </c>
      <c r="S143" s="41">
        <f t="shared" si="55"/>
        <v>81693.770295809518</v>
      </c>
      <c r="T143" s="41">
        <f t="shared" si="55"/>
        <v>66735.869254027435</v>
      </c>
      <c r="U143" s="41">
        <f t="shared" si="55"/>
        <v>79242.546587420889</v>
      </c>
      <c r="V143" s="41">
        <f t="shared" si="55"/>
        <v>57138.013747837358</v>
      </c>
    </row>
    <row r="144" spans="2:22" x14ac:dyDescent="0.2">
      <c r="B144" s="34"/>
      <c r="C144" s="76" t="s">
        <v>43</v>
      </c>
      <c r="D144" s="41">
        <f t="shared" ref="D144:V144" si="56">+D145+D146</f>
        <v>17894.005340745112</v>
      </c>
      <c r="E144" s="41">
        <f t="shared" si="56"/>
        <v>25815.82107433238</v>
      </c>
      <c r="F144" s="41">
        <f t="shared" si="56"/>
        <v>29203.742485013157</v>
      </c>
      <c r="G144" s="41">
        <f t="shared" si="56"/>
        <v>35794.273408691683</v>
      </c>
      <c r="H144" s="41">
        <f t="shared" si="56"/>
        <v>20519.50993474455</v>
      </c>
      <c r="I144" s="41">
        <f t="shared" si="56"/>
        <v>32402.16184055202</v>
      </c>
      <c r="J144" s="41">
        <f t="shared" si="56"/>
        <v>22503.746581478601</v>
      </c>
      <c r="K144" s="41">
        <f t="shared" si="56"/>
        <v>16595.732368028272</v>
      </c>
      <c r="L144" s="41">
        <f t="shared" si="56"/>
        <v>15222.213996493367</v>
      </c>
      <c r="M144" s="41">
        <f t="shared" si="56"/>
        <v>13876.510297415552</v>
      </c>
      <c r="N144" s="41">
        <f t="shared" si="56"/>
        <v>13980.288909017039</v>
      </c>
      <c r="O144" s="41">
        <f t="shared" si="56"/>
        <v>11134.039257420212</v>
      </c>
      <c r="P144" s="41">
        <f t="shared" si="56"/>
        <v>13029.796284353199</v>
      </c>
      <c r="Q144" s="41">
        <f t="shared" si="56"/>
        <v>12625.363840223052</v>
      </c>
      <c r="R144" s="41">
        <f t="shared" si="56"/>
        <v>15720.615861172215</v>
      </c>
      <c r="S144" s="41">
        <f t="shared" si="56"/>
        <v>19370.399247424451</v>
      </c>
      <c r="T144" s="41">
        <f t="shared" si="56"/>
        <v>15625.832034662473</v>
      </c>
      <c r="U144" s="41">
        <f t="shared" si="56"/>
        <v>22646.132518135979</v>
      </c>
      <c r="V144" s="41">
        <f t="shared" si="56"/>
        <v>15075.262064541907</v>
      </c>
    </row>
    <row r="145" spans="2:22" x14ac:dyDescent="0.2">
      <c r="B145" s="32"/>
      <c r="C145" s="77" t="s">
        <v>60</v>
      </c>
      <c r="D145" s="42">
        <f>2497.25830394402*Deflactores!$A$5</f>
        <v>9066.4439317080123</v>
      </c>
      <c r="E145" s="42">
        <f>4322.52099781054*Deflactores!$B$5</f>
        <v>14578.18421875652</v>
      </c>
      <c r="F145" s="42">
        <f>5546.85434544663*Deflactores!$C$5</f>
        <v>17484.870743651642</v>
      </c>
      <c r="G145" s="42">
        <f>7547.54389011074*Deflactores!$D$5</f>
        <v>22341.222338855347</v>
      </c>
      <c r="H145" s="42">
        <f>3749.87036095508*Deflactores!$E$5</f>
        <v>10521.496088101201</v>
      </c>
      <c r="I145" s="42">
        <f>8191.23993153419*Deflactores!$F$5</f>
        <v>21919.016407494975</v>
      </c>
      <c r="J145" s="42">
        <f>4718.16165433809*Deflactores!$G$5</f>
        <v>12084.247054125137</v>
      </c>
      <c r="K145" s="42">
        <f>3341.18641536606*Deflactores!$H$5</f>
        <v>8096.4615276211907</v>
      </c>
      <c r="L145" s="42">
        <f>3374.54579952573*Deflactores!$I$5</f>
        <v>7594.471058360843</v>
      </c>
      <c r="M145" s="42">
        <f>2751.18217286863*Deflactores!$J$5</f>
        <v>6070.0697782024299</v>
      </c>
      <c r="N145" s="42">
        <f>3278.52578677388*Deflactores!$K$5</f>
        <v>7011.2324073647469</v>
      </c>
      <c r="O145" s="42">
        <f>2189.09712651191*Deflactores!$L$5</f>
        <v>4513.2593549731291</v>
      </c>
      <c r="P145" s="42">
        <f>3393.25689011586*Deflactores!$M$5</f>
        <v>6829.2408575974905</v>
      </c>
      <c r="Q145" s="42">
        <f>2851.47462092845*Deflactores!$N$5</f>
        <v>5629.6393238760111</v>
      </c>
      <c r="R145" s="42">
        <f>4767.44556496042*Deflactores!$O$5</f>
        <v>9079.9947937229044</v>
      </c>
      <c r="S145" s="42">
        <f>5975.80032625673*Deflactores!$P$5</f>
        <v>10659.741950899654</v>
      </c>
      <c r="T145" s="42">
        <f>3415.46895859314*Deflactores!$Q$5</f>
        <v>5761.3011964912403</v>
      </c>
      <c r="U145" s="42">
        <f>7662.71728925486*Deflactores!$R$5</f>
        <v>12417.782022248899</v>
      </c>
      <c r="V145" s="42">
        <f>2964.89476357482*Deflactores!$S$5</f>
        <v>4656.6649230632447</v>
      </c>
    </row>
    <row r="146" spans="2:22" x14ac:dyDescent="0.2">
      <c r="B146" s="32"/>
      <c r="C146" s="77" t="s">
        <v>61</v>
      </c>
      <c r="D146" s="42">
        <f>2431.46058127563*Deflactores!$A$5</f>
        <v>8827.5614090371</v>
      </c>
      <c r="E146" s="42">
        <f>3332.02822416656*Deflactores!$B$5</f>
        <v>11237.636855575858</v>
      </c>
      <c r="F146" s="42">
        <f>3717.66400766239*Deflactores!$C$5</f>
        <v>11718.871741361516</v>
      </c>
      <c r="G146" s="42">
        <f>4544.84951026602*Deflactores!$D$5</f>
        <v>13453.051069836334</v>
      </c>
      <c r="H146" s="42">
        <f>3563.3008345976*Deflactores!$E$5</f>
        <v>9998.0138466433509</v>
      </c>
      <c r="I146" s="42">
        <f>3917.60094900859*Deflactores!$F$5</f>
        <v>10483.145433057047</v>
      </c>
      <c r="J146" s="42">
        <f>4068.17925081821*Deflactores!$G$5</f>
        <v>10419.499527353464</v>
      </c>
      <c r="K146" s="42">
        <f>3507.41471142746*Deflactores!$H$5</f>
        <v>8499.27084040708</v>
      </c>
      <c r="L146" s="42">
        <f>3389.32990776224*Deflactores!$I$5</f>
        <v>7627.7429381325237</v>
      </c>
      <c r="M146" s="42">
        <f>3538.1701981651*Deflactores!$J$5</f>
        <v>7806.4405192131226</v>
      </c>
      <c r="N146" s="42">
        <f>3258.80389104645*Deflactores!$K$5</f>
        <v>6969.0565016522933</v>
      </c>
      <c r="O146" s="42">
        <f>3211.32226618982*Deflactores!$L$5</f>
        <v>6620.7799024470833</v>
      </c>
      <c r="P146" s="42">
        <f>3080.88085676128*Deflactores!$M$5</f>
        <v>6200.5554267557081</v>
      </c>
      <c r="Q146" s="42">
        <f>3543.41188942034*Deflactores!$N$5</f>
        <v>6995.7245163470407</v>
      </c>
      <c r="R146" s="42">
        <f>3486.65392170489*Deflactores!$O$5</f>
        <v>6640.6210674493104</v>
      </c>
      <c r="S146" s="42">
        <f>4883.15279621664*Deflactores!$P$5</f>
        <v>8710.6572965247997</v>
      </c>
      <c r="T146" s="42">
        <f>5847.9842868444*Deflactores!$Q$5</f>
        <v>9864.530838171233</v>
      </c>
      <c r="U146" s="42">
        <f>6311.67128275925*Deflactores!$R$5</f>
        <v>10228.350495887082</v>
      </c>
      <c r="V146" s="42">
        <f>6633.51231383975*Deflactores!$S$5</f>
        <v>10418.597141478662</v>
      </c>
    </row>
    <row r="147" spans="2:22" x14ac:dyDescent="0.2">
      <c r="B147" s="34"/>
      <c r="C147" s="76" t="s">
        <v>44</v>
      </c>
      <c r="D147" s="41">
        <f t="shared" ref="D147:V147" si="57">+D148+D149</f>
        <v>38442.637003083211</v>
      </c>
      <c r="E147" s="41">
        <f t="shared" si="57"/>
        <v>43093.218159908007</v>
      </c>
      <c r="F147" s="41">
        <f t="shared" si="57"/>
        <v>39205.290676038181</v>
      </c>
      <c r="G147" s="41">
        <f t="shared" si="57"/>
        <v>39671.119350135661</v>
      </c>
      <c r="H147" s="41">
        <f t="shared" si="57"/>
        <v>46477.461160441235</v>
      </c>
      <c r="I147" s="41">
        <f t="shared" si="57"/>
        <v>47897.441689678926</v>
      </c>
      <c r="J147" s="41">
        <f t="shared" si="57"/>
        <v>69502.40226196163</v>
      </c>
      <c r="K147" s="41">
        <f t="shared" si="57"/>
        <v>71792.561050493678</v>
      </c>
      <c r="L147" s="41">
        <f t="shared" si="57"/>
        <v>62420.300814499875</v>
      </c>
      <c r="M147" s="41">
        <f t="shared" si="57"/>
        <v>56082.331916635332</v>
      </c>
      <c r="N147" s="41">
        <f t="shared" si="57"/>
        <v>53361.774286347965</v>
      </c>
      <c r="O147" s="41">
        <f t="shared" si="57"/>
        <v>56458.042017862215</v>
      </c>
      <c r="P147" s="41">
        <f t="shared" si="57"/>
        <v>59724.06613512167</v>
      </c>
      <c r="Q147" s="41">
        <f t="shared" si="57"/>
        <v>60908.261987435471</v>
      </c>
      <c r="R147" s="41">
        <f t="shared" si="57"/>
        <v>59128.800796574171</v>
      </c>
      <c r="S147" s="41">
        <f t="shared" si="57"/>
        <v>62323.371048385066</v>
      </c>
      <c r="T147" s="41">
        <f t="shared" si="57"/>
        <v>51110.037219364967</v>
      </c>
      <c r="U147" s="41">
        <f t="shared" si="57"/>
        <v>56596.414069284918</v>
      </c>
      <c r="V147" s="41">
        <f t="shared" si="57"/>
        <v>42062.75168329545</v>
      </c>
    </row>
    <row r="148" spans="2:22" x14ac:dyDescent="0.2">
      <c r="B148" s="32"/>
      <c r="C148" s="77" t="s">
        <v>60</v>
      </c>
      <c r="D148" s="42">
        <f>6018.95864857658*Deflactores!$A$5</f>
        <v>21852.185265898661</v>
      </c>
      <c r="E148" s="42">
        <f>7838.10293537694*Deflactores!$B$5</f>
        <v>26434.87644718889</v>
      </c>
      <c r="F148" s="42">
        <f>7294.92550011668*Deflactores!$C$5</f>
        <v>22995.164738517782</v>
      </c>
      <c r="G148" s="42">
        <f>7016.04347527247*Deflactores!$D$5</f>
        <v>20767.946434272111</v>
      </c>
      <c r="H148" s="42">
        <f>9384.29158420903*Deflactores!$E$5</f>
        <v>26330.720181939407</v>
      </c>
      <c r="I148" s="42">
        <f>9472.21778058875*Deflactores!$F$5</f>
        <v>25346.797149574355</v>
      </c>
      <c r="J148" s="42">
        <f>16553.764343672*Deflactores!$G$5</f>
        <v>42397.822003570931</v>
      </c>
      <c r="K148" s="42">
        <f>17728.5609090329*Deflactores!$H$5</f>
        <v>42960.372004370125</v>
      </c>
      <c r="L148" s="42">
        <f>16111.3950871107*Deflactores!$I$5</f>
        <v>36258.960751421961</v>
      </c>
      <c r="M148" s="42">
        <f>13481.1511733567*Deflactores!$J$5</f>
        <v>29744.132947563347</v>
      </c>
      <c r="N148" s="42">
        <f>13649.0089691116*Deflactores!$K$5</f>
        <v>29188.842863064398</v>
      </c>
      <c r="O148" s="42">
        <f>14232.502377734*Deflactores!$L$5</f>
        <v>29343.135908883483</v>
      </c>
      <c r="P148" s="42">
        <f>16532.4080745442*Deflactores!$M$5</f>
        <v>33272.988268594338</v>
      </c>
      <c r="Q148" s="42">
        <f>17810.4755262234*Deflactores!$N$5</f>
        <v>35163.053061545892</v>
      </c>
      <c r="R148" s="42">
        <f>17247.9177421297*Deflactores!$O$5</f>
        <v>32850.087361699909</v>
      </c>
      <c r="S148" s="42">
        <f>20268.3280460608*Deflactores!$P$5</f>
        <v>36155.014383241331</v>
      </c>
      <c r="T148" s="42">
        <f>13863.0831808706*Deflactores!$Q$5</f>
        <v>23384.606531428188</v>
      </c>
      <c r="U148" s="42">
        <f>17064.1076072919*Deflactores!$R$5</f>
        <v>27653.162797574056</v>
      </c>
      <c r="V148" s="42">
        <f>8078.18446274733*Deflactores!$S$5</f>
        <v>12687.599806866034</v>
      </c>
    </row>
    <row r="149" spans="2:22" x14ac:dyDescent="0.2">
      <c r="B149" s="32"/>
      <c r="C149" s="77" t="s">
        <v>61</v>
      </c>
      <c r="D149" s="42">
        <f>4569.66851380082*Deflactores!$A$5</f>
        <v>16590.45173718455</v>
      </c>
      <c r="E149" s="42">
        <f>4939.30044794519*Deflactores!$B$5</f>
        <v>16658.341712719117</v>
      </c>
      <c r="F149" s="42">
        <f>5142.45766039868*Deflactores!$C$5</f>
        <v>16210.125937520399</v>
      </c>
      <c r="G149" s="42">
        <f>6386.06630742401*Deflactores!$D$5</f>
        <v>18903.17291586355</v>
      </c>
      <c r="H149" s="42">
        <f>7180.31601518726*Deflactores!$E$5</f>
        <v>20146.740978501832</v>
      </c>
      <c r="I149" s="42">
        <f>8427.282347194*Deflactores!$F$5</f>
        <v>22550.644540104571</v>
      </c>
      <c r="J149" s="42">
        <f>10582.6859265024*Deflactores!$G$5</f>
        <v>27104.580258390692</v>
      </c>
      <c r="K149" s="42">
        <f>11898.2493818479*Deflactores!$H$5</f>
        <v>28832.189046123553</v>
      </c>
      <c r="L149" s="42">
        <f>11624.5936736611*Deflactores!$I$5</f>
        <v>26161.340063077914</v>
      </c>
      <c r="M149" s="42">
        <f>11937.4547767779*Deflactores!$J$5</f>
        <v>26338.198969071982</v>
      </c>
      <c r="N149" s="42">
        <f>11303.5161878109*Deflactores!$K$5</f>
        <v>24172.931423283564</v>
      </c>
      <c r="O149" s="42">
        <f>13151.7288018027*Deflactores!$L$5</f>
        <v>27114.906108978732</v>
      </c>
      <c r="P149" s="42">
        <f>13142.7934807326*Deflactores!$M$5</f>
        <v>26451.077866527336</v>
      </c>
      <c r="Q149" s="42">
        <f>13040.2332439533*Deflactores!$N$5</f>
        <v>25745.208925889583</v>
      </c>
      <c r="R149" s="42">
        <f>13797.6219881278*Deflactores!$O$5</f>
        <v>26278.713434874258</v>
      </c>
      <c r="S149" s="42">
        <f>14669.8555197174*Deflactores!$P$5</f>
        <v>26168.356665143736</v>
      </c>
      <c r="T149" s="42">
        <f>16436.4515321548*Deflactores!$Q$5</f>
        <v>27725.43068793678</v>
      </c>
      <c r="U149" s="42">
        <f>17860.1904534656*Deflactores!$R$5</f>
        <v>28943.251271710862</v>
      </c>
      <c r="V149" s="42">
        <f>18703.1352731191*Deflactores!$S$5</f>
        <v>29375.151876429416</v>
      </c>
    </row>
    <row r="150" spans="2:22" x14ac:dyDescent="0.2">
      <c r="B150" s="34" t="s">
        <v>45</v>
      </c>
      <c r="C150" s="76" t="s">
        <v>46</v>
      </c>
      <c r="D150" s="41">
        <f>4175.65081180812*Deflactores!$A$5</f>
        <v>15159.947172408331</v>
      </c>
      <c r="E150" s="41">
        <f>7185.34480842093*Deflactores!$B$5</f>
        <v>24233.376852421101</v>
      </c>
      <c r="F150" s="41">
        <f>5498.01124776341*Deflactores!$C$5</f>
        <v>17330.906857722006</v>
      </c>
      <c r="G150" s="41">
        <f>5695.45862319715*Deflactores!$D$5</f>
        <v>16858.929113260383</v>
      </c>
      <c r="H150" s="41">
        <f>6867.84185733118*Deflactores!$E$5</f>
        <v>19269.991834385259</v>
      </c>
      <c r="I150" s="41">
        <f>8151.25244335773*Deflactores!$F$5</f>
        <v>21812.013509672375</v>
      </c>
      <c r="J150" s="41">
        <f>9253.92026553686*Deflactores!$G$5</f>
        <v>23701.319899691072</v>
      </c>
      <c r="K150" s="41">
        <f>14661.5097682781*Deflactores!$H$5</f>
        <v>35528.203164533836</v>
      </c>
      <c r="L150" s="41">
        <f>16549.8332916943*Deflactores!$I$5</f>
        <v>37245.673172411422</v>
      </c>
      <c r="M150" s="41">
        <f>22979.2399455778*Deflactores!$J$5</f>
        <v>50700.2376270393</v>
      </c>
      <c r="N150" s="41">
        <f>18115.3079234739*Deflactores!$K$5</f>
        <v>38740.166234114637</v>
      </c>
      <c r="O150" s="41">
        <f>21592.3216729692*Deflactores!$L$5</f>
        <v>44516.867984471814</v>
      </c>
      <c r="P150" s="41">
        <f>25883.9855304912*Deflactores!$M$5</f>
        <v>52093.896002155372</v>
      </c>
      <c r="Q150" s="41">
        <f>30949.318771253*Deflactores!$N$5</f>
        <v>61102.946778144171</v>
      </c>
      <c r="R150" s="41">
        <f>32379.7563253864*Deflactores!$O$5</f>
        <v>61669.926766948978</v>
      </c>
      <c r="S150" s="41">
        <f>33558.2066540004*Deflactores!$P$5</f>
        <v>59861.742986095829</v>
      </c>
      <c r="T150" s="41">
        <f>29952.8251855049*Deflactores!$Q$5</f>
        <v>50525.198639376365</v>
      </c>
      <c r="U150" s="41">
        <f>28959.6440668524*Deflactores!$R$5</f>
        <v>46930.420879334895</v>
      </c>
      <c r="V150" s="41">
        <f>29704.0279710711*Deflactores!$S$5</f>
        <v>46653.158427720933</v>
      </c>
    </row>
    <row r="151" spans="2:22" x14ac:dyDescent="0.2">
      <c r="B151" s="36" t="s">
        <v>47</v>
      </c>
      <c r="C151" s="78" t="s">
        <v>48</v>
      </c>
      <c r="D151" s="43">
        <f t="shared" ref="D151:V151" si="58">+D138+D150</f>
        <v>95156.281031773673</v>
      </c>
      <c r="E151" s="43">
        <f t="shared" si="58"/>
        <v>115938.00285541441</v>
      </c>
      <c r="F151" s="43">
        <f t="shared" si="58"/>
        <v>111398.25304162309</v>
      </c>
      <c r="G151" s="43">
        <f t="shared" si="58"/>
        <v>112583.27324773697</v>
      </c>
      <c r="H151" s="43">
        <f t="shared" si="58"/>
        <v>129177.78791985715</v>
      </c>
      <c r="I151" s="43">
        <f t="shared" si="58"/>
        <v>144276.20400746135</v>
      </c>
      <c r="J151" s="43">
        <f t="shared" si="58"/>
        <v>146162.95576909769</v>
      </c>
      <c r="K151" s="43">
        <f t="shared" si="58"/>
        <v>164089.28743491485</v>
      </c>
      <c r="L151" s="43">
        <f t="shared" si="58"/>
        <v>172609.70664821262</v>
      </c>
      <c r="M151" s="43">
        <f t="shared" si="58"/>
        <v>196081.36121585005</v>
      </c>
      <c r="N151" s="43">
        <f t="shared" si="58"/>
        <v>191143.60599066486</v>
      </c>
      <c r="O151" s="43">
        <f t="shared" si="58"/>
        <v>198451.54467761636</v>
      </c>
      <c r="P151" s="43">
        <f t="shared" si="58"/>
        <v>214193.28890318962</v>
      </c>
      <c r="Q151" s="43">
        <f t="shared" si="58"/>
        <v>238947.43612690028</v>
      </c>
      <c r="R151" s="43">
        <f t="shared" si="58"/>
        <v>249805.01827203098</v>
      </c>
      <c r="S151" s="43">
        <f t="shared" si="58"/>
        <v>247551.51757935487</v>
      </c>
      <c r="T151" s="43">
        <f t="shared" si="58"/>
        <v>242576.21926897817</v>
      </c>
      <c r="U151" s="43">
        <f t="shared" si="58"/>
        <v>258113.96211770078</v>
      </c>
      <c r="V151" s="43">
        <f t="shared" si="58"/>
        <v>262656.66242446477</v>
      </c>
    </row>
    <row r="152" spans="2:22" x14ac:dyDescent="0.2">
      <c r="B152" s="38" t="s">
        <v>49</v>
      </c>
      <c r="C152" s="79" t="s">
        <v>63</v>
      </c>
      <c r="D152" s="44">
        <f t="shared" ref="D152:V152" si="59">+D138+D143+D150</f>
        <v>151492.923375602</v>
      </c>
      <c r="E152" s="44">
        <f t="shared" si="59"/>
        <v>184847.04208965477</v>
      </c>
      <c r="F152" s="44">
        <f t="shared" si="59"/>
        <v>179807.28620267441</v>
      </c>
      <c r="G152" s="44">
        <f t="shared" si="59"/>
        <v>188048.66600656431</v>
      </c>
      <c r="H152" s="44">
        <f t="shared" si="59"/>
        <v>196174.75901504292</v>
      </c>
      <c r="I152" s="44">
        <f t="shared" si="59"/>
        <v>224575.80753769231</v>
      </c>
      <c r="J152" s="44">
        <f t="shared" si="59"/>
        <v>238169.10461253792</v>
      </c>
      <c r="K152" s="44">
        <f t="shared" si="59"/>
        <v>252477.58085343678</v>
      </c>
      <c r="L152" s="44">
        <f t="shared" si="59"/>
        <v>250252.22145920587</v>
      </c>
      <c r="M152" s="44">
        <f t="shared" si="59"/>
        <v>266040.20342990092</v>
      </c>
      <c r="N152" s="44">
        <f t="shared" si="59"/>
        <v>258485.66918602985</v>
      </c>
      <c r="O152" s="44">
        <f t="shared" si="59"/>
        <v>266043.62595289876</v>
      </c>
      <c r="P152" s="44">
        <f t="shared" si="59"/>
        <v>286947.15132266446</v>
      </c>
      <c r="Q152" s="44">
        <f t="shared" si="59"/>
        <v>312481.06195455883</v>
      </c>
      <c r="R152" s="44">
        <f t="shared" si="59"/>
        <v>324654.4349297774</v>
      </c>
      <c r="S152" s="44">
        <f t="shared" si="59"/>
        <v>329245.28787516442</v>
      </c>
      <c r="T152" s="44">
        <f t="shared" si="59"/>
        <v>309312.0885230056</v>
      </c>
      <c r="U152" s="44">
        <f t="shared" si="59"/>
        <v>337356.5087051217</v>
      </c>
      <c r="V152" s="44">
        <f t="shared" si="59"/>
        <v>319794.6761723021</v>
      </c>
    </row>
    <row r="153" spans="2:22" x14ac:dyDescent="0.2">
      <c r="B153" s="36" t="s">
        <v>64</v>
      </c>
      <c r="C153" s="78" t="s">
        <v>65</v>
      </c>
      <c r="D153" s="43">
        <f t="shared" ref="D153:V153" si="60">+D26</f>
        <v>123610.90157855977</v>
      </c>
      <c r="E153" s="43">
        <f t="shared" si="60"/>
        <v>139454.4408511272</v>
      </c>
      <c r="F153" s="43">
        <f t="shared" si="60"/>
        <v>138046.84840678703</v>
      </c>
      <c r="G153" s="43">
        <f t="shared" si="60"/>
        <v>131436.31181196828</v>
      </c>
      <c r="H153" s="43">
        <f t="shared" si="60"/>
        <v>153812.86816556417</v>
      </c>
      <c r="I153" s="43">
        <f t="shared" si="60"/>
        <v>165684.61908988236</v>
      </c>
      <c r="J153" s="43">
        <f t="shared" si="60"/>
        <v>171583.90494287273</v>
      </c>
      <c r="K153" s="43">
        <f t="shared" si="60"/>
        <v>188671.09500423435</v>
      </c>
      <c r="L153" s="43">
        <f t="shared" si="60"/>
        <v>194460.02259127065</v>
      </c>
      <c r="M153" s="43">
        <f t="shared" si="60"/>
        <v>231691.32250811052</v>
      </c>
      <c r="N153" s="43">
        <f t="shared" si="60"/>
        <v>234956.58797265604</v>
      </c>
      <c r="O153" s="43">
        <f t="shared" si="60"/>
        <v>239415.0300769867</v>
      </c>
      <c r="P153" s="43">
        <f t="shared" si="60"/>
        <v>260043.33740414289</v>
      </c>
      <c r="Q153" s="43">
        <f t="shared" si="60"/>
        <v>285126.43038070004</v>
      </c>
      <c r="R153" s="43">
        <f t="shared" si="60"/>
        <v>297132.12736095942</v>
      </c>
      <c r="S153" s="43">
        <f t="shared" si="60"/>
        <v>286513.24910561007</v>
      </c>
      <c r="T153" s="43">
        <f t="shared" si="60"/>
        <v>276167.0104269578</v>
      </c>
      <c r="U153" s="43">
        <f t="shared" si="60"/>
        <v>290578.58376215457</v>
      </c>
      <c r="V153" s="43">
        <f t="shared" si="60"/>
        <v>291079.73795172817</v>
      </c>
    </row>
    <row r="154" spans="2:22" x14ac:dyDescent="0.2">
      <c r="B154" s="38" t="s">
        <v>66</v>
      </c>
      <c r="C154" s="80" t="s">
        <v>73</v>
      </c>
      <c r="D154" s="81">
        <f t="shared" ref="D154:V154" si="61">+D151/D$26*100</f>
        <v>76.980492672240544</v>
      </c>
      <c r="E154" s="45">
        <f t="shared" si="61"/>
        <v>83.136831030847219</v>
      </c>
      <c r="F154" s="45">
        <f t="shared" si="61"/>
        <v>80.695977001490334</v>
      </c>
      <c r="G154" s="45">
        <f t="shared" si="61"/>
        <v>85.656141514985364</v>
      </c>
      <c r="H154" s="45">
        <f t="shared" si="61"/>
        <v>83.983732609946642</v>
      </c>
      <c r="I154" s="45">
        <f t="shared" si="61"/>
        <v>87.078815643830438</v>
      </c>
      <c r="J154" s="45">
        <f t="shared" si="61"/>
        <v>85.184537452834689</v>
      </c>
      <c r="K154" s="45">
        <f t="shared" si="61"/>
        <v>86.971079184775064</v>
      </c>
      <c r="L154" s="45">
        <f t="shared" si="61"/>
        <v>88.763594875752688</v>
      </c>
      <c r="M154" s="45">
        <f t="shared" si="61"/>
        <v>84.630429440872163</v>
      </c>
      <c r="N154" s="45">
        <f t="shared" si="61"/>
        <v>81.352733132518054</v>
      </c>
      <c r="O154" s="45">
        <f t="shared" si="61"/>
        <v>82.890178036776533</v>
      </c>
      <c r="P154" s="45">
        <f t="shared" si="61"/>
        <v>82.368304853088375</v>
      </c>
      <c r="Q154" s="45">
        <f t="shared" si="61"/>
        <v>83.804028903198585</v>
      </c>
      <c r="R154" s="45">
        <f t="shared" si="61"/>
        <v>84.072032361739545</v>
      </c>
      <c r="S154" s="45">
        <f t="shared" si="61"/>
        <v>86.401420650570429</v>
      </c>
      <c r="T154" s="45">
        <f t="shared" si="61"/>
        <v>87.836783580324152</v>
      </c>
      <c r="U154" s="45">
        <f t="shared" si="61"/>
        <v>88.827593133626522</v>
      </c>
      <c r="V154" s="45">
        <f t="shared" si="61"/>
        <v>90.235295755289911</v>
      </c>
    </row>
    <row r="155" spans="2:22" x14ac:dyDescent="0.2">
      <c r="B155" s="1" t="s">
        <v>52</v>
      </c>
      <c r="C155" s="15"/>
      <c r="D155" s="12"/>
      <c r="E155" s="12"/>
      <c r="F155" s="12"/>
      <c r="G155" s="12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/>
    </row>
    <row r="162" spans="2:22" ht="18" customHeight="1" x14ac:dyDescent="0.2">
      <c r="C162" s="131"/>
      <c r="D162" s="160" t="s">
        <v>74</v>
      </c>
      <c r="E162" s="158"/>
      <c r="F162" s="158"/>
      <c r="G162" s="158"/>
      <c r="H162" s="158"/>
      <c r="I162" s="158"/>
      <c r="J162" s="158"/>
      <c r="K162" s="158"/>
      <c r="L162" s="158"/>
      <c r="M162" s="158"/>
      <c r="N162" s="158"/>
      <c r="O162" s="158"/>
      <c r="P162" s="158"/>
      <c r="Q162" s="158"/>
      <c r="R162" s="158"/>
      <c r="S162" s="158"/>
      <c r="T162" s="158"/>
      <c r="U162" s="158"/>
      <c r="V162" s="158"/>
    </row>
    <row r="163" spans="2:22" x14ac:dyDescent="0.2">
      <c r="U163" s="29"/>
      <c r="V163" s="29"/>
    </row>
    <row r="164" spans="2:22" x14ac:dyDescent="0.2">
      <c r="B164" s="163"/>
      <c r="C164" s="155" t="s">
        <v>38</v>
      </c>
      <c r="D164" s="153">
        <v>2000</v>
      </c>
      <c r="E164" s="153">
        <v>2001</v>
      </c>
      <c r="F164" s="153">
        <v>2002</v>
      </c>
      <c r="G164" s="153">
        <v>2003</v>
      </c>
      <c r="H164" s="153">
        <v>2004</v>
      </c>
      <c r="I164" s="153">
        <v>2005</v>
      </c>
      <c r="J164" s="153">
        <v>2006</v>
      </c>
      <c r="K164" s="153">
        <v>2007</v>
      </c>
      <c r="L164" s="153">
        <v>2008</v>
      </c>
      <c r="M164" s="153">
        <v>2009</v>
      </c>
      <c r="N164" s="153">
        <v>2010</v>
      </c>
      <c r="O164" s="153">
        <v>2011</v>
      </c>
      <c r="P164" s="153">
        <v>2012</v>
      </c>
      <c r="Q164" s="153">
        <v>2013</v>
      </c>
      <c r="R164" s="153">
        <v>2014</v>
      </c>
      <c r="S164" s="153">
        <v>2015</v>
      </c>
      <c r="T164" s="153">
        <v>2016</v>
      </c>
      <c r="U164" s="153">
        <v>2017</v>
      </c>
      <c r="V164" s="153">
        <v>2018</v>
      </c>
    </row>
    <row r="165" spans="2:22" ht="12" customHeight="1" thickBot="1" x14ac:dyDescent="0.25">
      <c r="B165" s="154"/>
      <c r="C165" s="156"/>
      <c r="D165" s="154"/>
      <c r="E165" s="154"/>
      <c r="F165" s="154"/>
      <c r="G165" s="154"/>
      <c r="H165" s="154"/>
      <c r="I165" s="154"/>
      <c r="J165" s="154"/>
      <c r="K165" s="154"/>
      <c r="L165" s="154"/>
      <c r="M165" s="154"/>
      <c r="N165" s="154"/>
      <c r="O165" s="154"/>
      <c r="P165" s="154"/>
      <c r="Q165" s="154"/>
      <c r="R165" s="154"/>
      <c r="S165" s="154"/>
      <c r="T165" s="154"/>
      <c r="U165" s="154"/>
      <c r="V165" s="154"/>
    </row>
    <row r="166" spans="2:22" x14ac:dyDescent="0.2">
      <c r="B166" s="34" t="s">
        <v>39</v>
      </c>
      <c r="C166" s="76" t="s">
        <v>40</v>
      </c>
      <c r="D166" s="46">
        <f t="shared" ref="D166:V166" si="62">+IFERROR(IF(D138&gt;0,+((D138/D13)*100)," "),"")</f>
        <v>83.379005578547591</v>
      </c>
      <c r="E166" s="46">
        <f t="shared" si="62"/>
        <v>90.992420672840197</v>
      </c>
      <c r="F166" s="46">
        <f t="shared" si="62"/>
        <v>89.990395035672094</v>
      </c>
      <c r="G166" s="46">
        <f t="shared" si="62"/>
        <v>91.248011217710854</v>
      </c>
      <c r="H166" s="46">
        <f t="shared" si="62"/>
        <v>89.752804298424223</v>
      </c>
      <c r="I166" s="46">
        <f t="shared" si="62"/>
        <v>92.795371879449561</v>
      </c>
      <c r="J166" s="46">
        <f t="shared" si="62"/>
        <v>91.929746631120835</v>
      </c>
      <c r="K166" s="46">
        <f t="shared" si="62"/>
        <v>93.293974199324452</v>
      </c>
      <c r="L166" s="46">
        <f t="shared" si="62"/>
        <v>93.518467529042127</v>
      </c>
      <c r="M166" s="46">
        <f t="shared" si="62"/>
        <v>89.259091395219244</v>
      </c>
      <c r="N166" s="46">
        <f t="shared" si="62"/>
        <v>84.654833232535964</v>
      </c>
      <c r="O166" s="46">
        <f t="shared" si="62"/>
        <v>89.670977847945139</v>
      </c>
      <c r="P166" s="46">
        <f t="shared" si="62"/>
        <v>88.384184561317852</v>
      </c>
      <c r="Q166" s="46">
        <f t="shared" si="62"/>
        <v>89.388234074589562</v>
      </c>
      <c r="R166" s="46">
        <f t="shared" si="62"/>
        <v>88.572854628537783</v>
      </c>
      <c r="S166" s="46">
        <f t="shared" si="62"/>
        <v>91.869949805959976</v>
      </c>
      <c r="T166" s="46">
        <f t="shared" si="62"/>
        <v>92.881821882545978</v>
      </c>
      <c r="U166" s="46">
        <f t="shared" si="62"/>
        <v>93.826601156822846</v>
      </c>
      <c r="V166" s="46">
        <f t="shared" si="62"/>
        <v>93.743188989528122</v>
      </c>
    </row>
    <row r="167" spans="2:22" x14ac:dyDescent="0.2">
      <c r="B167" s="40"/>
      <c r="C167" s="77" t="s">
        <v>56</v>
      </c>
      <c r="D167" s="47">
        <f t="shared" ref="D167:V167" si="63">+IFERROR(IF(D139&gt;0,+((D139/D14)*100)," "),"")</f>
        <v>93.968555371412194</v>
      </c>
      <c r="E167" s="47">
        <f t="shared" si="63"/>
        <v>95.289929045105154</v>
      </c>
      <c r="F167" s="47">
        <f t="shared" si="63"/>
        <v>95.830968547313844</v>
      </c>
      <c r="G167" s="47">
        <f t="shared" si="63"/>
        <v>96.012251981512733</v>
      </c>
      <c r="H167" s="47">
        <f t="shared" si="63"/>
        <v>94.630935383492826</v>
      </c>
      <c r="I167" s="47">
        <f t="shared" si="63"/>
        <v>97.050420141004608</v>
      </c>
      <c r="J167" s="47">
        <f t="shared" si="63"/>
        <v>97.115215171020807</v>
      </c>
      <c r="K167" s="47">
        <f t="shared" si="63"/>
        <v>96.852115383207263</v>
      </c>
      <c r="L167" s="47">
        <f t="shared" si="63"/>
        <v>96.668791397426958</v>
      </c>
      <c r="M167" s="47">
        <f t="shared" si="63"/>
        <v>96.313272417684885</v>
      </c>
      <c r="N167" s="47">
        <f t="shared" si="63"/>
        <v>94.869103920444687</v>
      </c>
      <c r="O167" s="47">
        <f t="shared" si="63"/>
        <v>97.045127099306171</v>
      </c>
      <c r="P167" s="47">
        <f t="shared" si="63"/>
        <v>95.401295542526839</v>
      </c>
      <c r="Q167" s="47">
        <f t="shared" si="63"/>
        <v>94.623155237146491</v>
      </c>
      <c r="R167" s="47">
        <f t="shared" si="63"/>
        <v>93.471141482969671</v>
      </c>
      <c r="S167" s="47">
        <f t="shared" si="63"/>
        <v>94.471896491145586</v>
      </c>
      <c r="T167" s="47">
        <f t="shared" si="63"/>
        <v>96.150294687566486</v>
      </c>
      <c r="U167" s="47">
        <f t="shared" si="63"/>
        <v>96.728075598672817</v>
      </c>
      <c r="V167" s="47">
        <f t="shared" si="63"/>
        <v>96.287819792863061</v>
      </c>
    </row>
    <row r="168" spans="2:22" x14ac:dyDescent="0.2">
      <c r="B168" s="40"/>
      <c r="C168" s="77" t="s">
        <v>57</v>
      </c>
      <c r="D168" s="47">
        <f t="shared" ref="D168:V168" si="64">+IFERROR(IF(D140&gt;0,+((D140/D15)*100)," "),"")</f>
        <v>64.643189991529297</v>
      </c>
      <c r="E168" s="47">
        <f t="shared" si="64"/>
        <v>75.874174305872415</v>
      </c>
      <c r="F168" s="47">
        <f t="shared" si="64"/>
        <v>68.150606566895107</v>
      </c>
      <c r="G168" s="47">
        <f t="shared" si="64"/>
        <v>70.26558472195336</v>
      </c>
      <c r="H168" s="47">
        <f t="shared" si="64"/>
        <v>62.523143131062554</v>
      </c>
      <c r="I168" s="47">
        <f t="shared" si="64"/>
        <v>65.12899850064511</v>
      </c>
      <c r="J168" s="47">
        <f t="shared" si="64"/>
        <v>71.497577483518057</v>
      </c>
      <c r="K168" s="47">
        <f t="shared" si="64"/>
        <v>82.903935154811208</v>
      </c>
      <c r="L168" s="47">
        <f t="shared" si="64"/>
        <v>85.543550224535494</v>
      </c>
      <c r="M168" s="47">
        <f t="shared" si="64"/>
        <v>81.723162738455102</v>
      </c>
      <c r="N168" s="47">
        <f t="shared" si="64"/>
        <v>83.505404891397916</v>
      </c>
      <c r="O168" s="47">
        <f t="shared" si="64"/>
        <v>82.471411742199592</v>
      </c>
      <c r="P168" s="47">
        <f t="shared" si="64"/>
        <v>82.290966393906174</v>
      </c>
      <c r="Q168" s="47">
        <f t="shared" si="64"/>
        <v>85.348223435250034</v>
      </c>
      <c r="R168" s="47">
        <f t="shared" si="64"/>
        <v>83.864218259699612</v>
      </c>
      <c r="S168" s="47">
        <f t="shared" si="64"/>
        <v>84.05854840989798</v>
      </c>
      <c r="T168" s="47">
        <f t="shared" si="64"/>
        <v>80.576529855728737</v>
      </c>
      <c r="U168" s="47">
        <f t="shared" si="64"/>
        <v>81.276529534754857</v>
      </c>
      <c r="V168" s="47">
        <f t="shared" si="64"/>
        <v>84.708562872981432</v>
      </c>
    </row>
    <row r="169" spans="2:22" x14ac:dyDescent="0.2">
      <c r="B169" s="40"/>
      <c r="C169" s="77" t="s">
        <v>58</v>
      </c>
      <c r="D169" s="47">
        <f t="shared" ref="D169:V169" si="65">+IFERROR(IF(D141&gt;0,+((D141/D16)*100)," "),"")</f>
        <v>81.768912079559357</v>
      </c>
      <c r="E169" s="47">
        <f t="shared" si="65"/>
        <v>91.419112474643953</v>
      </c>
      <c r="F169" s="47">
        <f t="shared" si="65"/>
        <v>90.694483480711924</v>
      </c>
      <c r="G169" s="47">
        <f t="shared" si="65"/>
        <v>92.220241412485095</v>
      </c>
      <c r="H169" s="47">
        <f t="shared" si="65"/>
        <v>91.205661570938119</v>
      </c>
      <c r="I169" s="47">
        <f t="shared" si="65"/>
        <v>94.593032559575619</v>
      </c>
      <c r="J169" s="47">
        <f t="shared" si="65"/>
        <v>93.290726751336919</v>
      </c>
      <c r="K169" s="47">
        <f t="shared" si="65"/>
        <v>93.627109654022846</v>
      </c>
      <c r="L169" s="47">
        <f t="shared" si="65"/>
        <v>93.530697937312297</v>
      </c>
      <c r="M169" s="47">
        <f t="shared" si="65"/>
        <v>88.204226277433108</v>
      </c>
      <c r="N169" s="47">
        <f t="shared" si="65"/>
        <v>82.16117810569213</v>
      </c>
      <c r="O169" s="47">
        <f t="shared" si="65"/>
        <v>88.788325438167277</v>
      </c>
      <c r="P169" s="47">
        <f t="shared" si="65"/>
        <v>87.466559390726189</v>
      </c>
      <c r="Q169" s="47">
        <f t="shared" si="65"/>
        <v>88.697176454551112</v>
      </c>
      <c r="R169" s="47">
        <f t="shared" si="65"/>
        <v>87.824542969934456</v>
      </c>
      <c r="S169" s="47">
        <f t="shared" si="65"/>
        <v>92.204638842694592</v>
      </c>
      <c r="T169" s="47">
        <f t="shared" si="65"/>
        <v>93.268279426937113</v>
      </c>
      <c r="U169" s="47">
        <f t="shared" si="65"/>
        <v>94.186227780769443</v>
      </c>
      <c r="V169" s="47">
        <f t="shared" si="65"/>
        <v>93.936564103935652</v>
      </c>
    </row>
    <row r="170" spans="2:22" x14ac:dyDescent="0.2">
      <c r="B170" s="40"/>
      <c r="C170" s="77" t="s">
        <v>59</v>
      </c>
      <c r="D170" s="47">
        <f t="shared" ref="D170:V170" si="66">+IFERROR(IF(D142&gt;0,+((D142/D17)*100)," "),"")</f>
        <v>67.488102990562879</v>
      </c>
      <c r="E170" s="47">
        <f t="shared" si="66"/>
        <v>68.659468699589084</v>
      </c>
      <c r="F170" s="47">
        <f t="shared" si="66"/>
        <v>73.076356589042106</v>
      </c>
      <c r="G170" s="47">
        <f t="shared" si="66"/>
        <v>75.090704164226423</v>
      </c>
      <c r="H170" s="47">
        <f t="shared" si="66"/>
        <v>73.790840571801411</v>
      </c>
      <c r="I170" s="47">
        <f t="shared" si="66"/>
        <v>71.330720943217528</v>
      </c>
      <c r="J170" s="47">
        <f t="shared" si="66"/>
        <v>56.77589362520613</v>
      </c>
      <c r="K170" s="47">
        <f t="shared" si="66"/>
        <v>76.402150122862281</v>
      </c>
      <c r="L170" s="47">
        <f t="shared" si="66"/>
        <v>84.627829540867751</v>
      </c>
      <c r="M170" s="47">
        <f t="shared" si="66"/>
        <v>81.182977490982907</v>
      </c>
      <c r="N170" s="47">
        <f t="shared" si="66"/>
        <v>83.433819090105857</v>
      </c>
      <c r="O170" s="47">
        <f t="shared" si="66"/>
        <v>73.141563562074168</v>
      </c>
      <c r="P170" s="47">
        <f t="shared" si="66"/>
        <v>69.362237228448734</v>
      </c>
      <c r="Q170" s="47">
        <f t="shared" si="66"/>
        <v>70.566016453138388</v>
      </c>
      <c r="R170" s="47">
        <f t="shared" si="66"/>
        <v>76.776043703658189</v>
      </c>
      <c r="S170" s="47">
        <f t="shared" si="66"/>
        <v>74.361815680418502</v>
      </c>
      <c r="T170" s="47">
        <f t="shared" si="66"/>
        <v>80.820064495006221</v>
      </c>
      <c r="U170" s="47">
        <f t="shared" si="66"/>
        <v>82.855078664826209</v>
      </c>
      <c r="V170" s="47">
        <f t="shared" si="66"/>
        <v>79.562175763770071</v>
      </c>
    </row>
    <row r="171" spans="2:22" x14ac:dyDescent="0.2">
      <c r="B171" s="34" t="s">
        <v>41</v>
      </c>
      <c r="C171" s="76" t="s">
        <v>42</v>
      </c>
      <c r="D171" s="46">
        <f t="shared" ref="D171:V171" si="67">+IFERROR(IF(D143&gt;0,+((D143/D18)*100)," "),"")</f>
        <v>93.777044368719189</v>
      </c>
      <c r="E171" s="46">
        <f t="shared" si="67"/>
        <v>95.462818562223063</v>
      </c>
      <c r="F171" s="46">
        <f t="shared" si="67"/>
        <v>94.50233547186923</v>
      </c>
      <c r="G171" s="46">
        <f t="shared" si="67"/>
        <v>93.246696770483382</v>
      </c>
      <c r="H171" s="46">
        <f t="shared" si="67"/>
        <v>88.804273869315864</v>
      </c>
      <c r="I171" s="46">
        <f t="shared" si="67"/>
        <v>95.089358202783785</v>
      </c>
      <c r="J171" s="46">
        <f t="shared" si="67"/>
        <v>92.275440453306274</v>
      </c>
      <c r="K171" s="46">
        <f t="shared" si="67"/>
        <v>92.766030655027095</v>
      </c>
      <c r="L171" s="46">
        <f t="shared" si="67"/>
        <v>88.724313241615619</v>
      </c>
      <c r="M171" s="46">
        <f t="shared" si="67"/>
        <v>85.617789860910975</v>
      </c>
      <c r="N171" s="46">
        <f t="shared" si="67"/>
        <v>78.939506690755792</v>
      </c>
      <c r="O171" s="46">
        <f t="shared" si="67"/>
        <v>93.173431256046641</v>
      </c>
      <c r="P171" s="46">
        <f t="shared" si="67"/>
        <v>99.281282159175404</v>
      </c>
      <c r="Q171" s="46">
        <f t="shared" si="67"/>
        <v>83.62126594478994</v>
      </c>
      <c r="R171" s="46">
        <f t="shared" si="67"/>
        <v>95.964567593946242</v>
      </c>
      <c r="S171" s="46">
        <f t="shared" si="67"/>
        <v>97.488422212992248</v>
      </c>
      <c r="T171" s="46">
        <f t="shared" si="67"/>
        <v>84.70606578616831</v>
      </c>
      <c r="U171" s="46">
        <f t="shared" si="67"/>
        <v>97.783752475203713</v>
      </c>
      <c r="V171" s="46">
        <f t="shared" si="67"/>
        <v>75.901806296623988</v>
      </c>
    </row>
    <row r="172" spans="2:22" x14ac:dyDescent="0.2">
      <c r="B172" s="34"/>
      <c r="C172" s="76" t="s">
        <v>43</v>
      </c>
      <c r="D172" s="46">
        <f t="shared" ref="D172:V172" si="68">+IFERROR(IF(D144&gt;0,+((D144/D19)*100)," "),"")</f>
        <v>96.167344896809979</v>
      </c>
      <c r="E172" s="46">
        <f t="shared" si="68"/>
        <v>96.471968070573183</v>
      </c>
      <c r="F172" s="46">
        <f t="shared" si="68"/>
        <v>96.548927738137806</v>
      </c>
      <c r="G172" s="46">
        <f t="shared" si="68"/>
        <v>90.583864078930063</v>
      </c>
      <c r="H172" s="46">
        <f t="shared" si="68"/>
        <v>77.74525429433794</v>
      </c>
      <c r="I172" s="46">
        <f t="shared" si="68"/>
        <v>92.418247458751424</v>
      </c>
      <c r="J172" s="46">
        <f t="shared" si="68"/>
        <v>82.739327359637443</v>
      </c>
      <c r="K172" s="46">
        <f t="shared" si="68"/>
        <v>88.756546169412843</v>
      </c>
      <c r="L172" s="46">
        <f t="shared" si="68"/>
        <v>82.561653629319835</v>
      </c>
      <c r="M172" s="46">
        <f t="shared" si="68"/>
        <v>76.054443293072168</v>
      </c>
      <c r="N172" s="46">
        <f t="shared" si="68"/>
        <v>75.823814818251222</v>
      </c>
      <c r="O172" s="46">
        <f t="shared" si="68"/>
        <v>76.810280814913995</v>
      </c>
      <c r="P172" s="46">
        <f t="shared" si="68"/>
        <v>98.666464731276974</v>
      </c>
      <c r="Q172" s="46">
        <f t="shared" si="68"/>
        <v>90.581234789955488</v>
      </c>
      <c r="R172" s="46">
        <f t="shared" si="68"/>
        <v>91.585534024116143</v>
      </c>
      <c r="S172" s="46">
        <f t="shared" si="68"/>
        <v>97.494586472955035</v>
      </c>
      <c r="T172" s="46">
        <f t="shared" si="68"/>
        <v>95.720010623344237</v>
      </c>
      <c r="U172" s="46">
        <f t="shared" si="68"/>
        <v>97.002965948353506</v>
      </c>
      <c r="V172" s="46">
        <f t="shared" si="68"/>
        <v>85.895659392676492</v>
      </c>
    </row>
    <row r="173" spans="2:22" x14ac:dyDescent="0.2">
      <c r="B173" s="32"/>
      <c r="C173" s="77" t="s">
        <v>60</v>
      </c>
      <c r="D173" s="47">
        <f t="shared" ref="D173:V173" si="69">+IFERROR(IF(D145&gt;0,+((D145/D20)*100)," "),"")</f>
        <v>96.129301869827756</v>
      </c>
      <c r="E173" s="47">
        <f t="shared" si="69"/>
        <v>96.723404375387716</v>
      </c>
      <c r="F173" s="47">
        <f t="shared" si="69"/>
        <v>97.066441863618437</v>
      </c>
      <c r="G173" s="47">
        <f t="shared" si="69"/>
        <v>95.388340397052147</v>
      </c>
      <c r="H173" s="47">
        <f t="shared" si="69"/>
        <v>83.854019494119115</v>
      </c>
      <c r="I173" s="47">
        <f t="shared" si="69"/>
        <v>95.582623808626479</v>
      </c>
      <c r="J173" s="47">
        <f t="shared" si="69"/>
        <v>87.030162696611185</v>
      </c>
      <c r="K173" s="47">
        <f t="shared" si="69"/>
        <v>89.775547244910868</v>
      </c>
      <c r="L173" s="47">
        <f t="shared" si="69"/>
        <v>81.644882247621865</v>
      </c>
      <c r="M173" s="47">
        <f t="shared" si="69"/>
        <v>80.793044932581466</v>
      </c>
      <c r="N173" s="47">
        <f t="shared" si="69"/>
        <v>84.492875637063079</v>
      </c>
      <c r="O173" s="47">
        <f t="shared" si="69"/>
        <v>72.385105854885182</v>
      </c>
      <c r="P173" s="47">
        <f t="shared" si="69"/>
        <v>99.9720711122349</v>
      </c>
      <c r="Q173" s="47">
        <f t="shared" si="69"/>
        <v>96.222215159645344</v>
      </c>
      <c r="R173" s="47">
        <f t="shared" si="69"/>
        <v>95.647681412403045</v>
      </c>
      <c r="S173" s="47">
        <f t="shared" si="69"/>
        <v>98.292413768641822</v>
      </c>
      <c r="T173" s="47">
        <f t="shared" si="69"/>
        <v>96.016559828926248</v>
      </c>
      <c r="U173" s="47">
        <f t="shared" si="69"/>
        <v>97.185137731188547</v>
      </c>
      <c r="V173" s="47">
        <f t="shared" si="69"/>
        <v>96.430814576422364</v>
      </c>
    </row>
    <row r="174" spans="2:22" x14ac:dyDescent="0.2">
      <c r="B174" s="32"/>
      <c r="C174" s="77" t="s">
        <v>61</v>
      </c>
      <c r="D174" s="47">
        <f t="shared" ref="D174:V174" si="70">+IFERROR(IF(D146&gt;0,+((D146/D21)*100)," "),"")</f>
        <v>96.20644876260252</v>
      </c>
      <c r="E174" s="47">
        <f t="shared" si="70"/>
        <v>96.147730088892473</v>
      </c>
      <c r="F174" s="47">
        <f t="shared" si="70"/>
        <v>95.786960818342351</v>
      </c>
      <c r="G174" s="47">
        <f t="shared" si="70"/>
        <v>83.591871590663558</v>
      </c>
      <c r="H174" s="47">
        <f t="shared" si="70"/>
        <v>72.209371618177173</v>
      </c>
      <c r="I174" s="47">
        <f t="shared" si="70"/>
        <v>86.435112044487482</v>
      </c>
      <c r="J174" s="47">
        <f t="shared" si="70"/>
        <v>78.264175241046615</v>
      </c>
      <c r="K174" s="47">
        <f t="shared" si="70"/>
        <v>87.807122803585173</v>
      </c>
      <c r="L174" s="47">
        <f t="shared" si="70"/>
        <v>83.495111262423848</v>
      </c>
      <c r="M174" s="47">
        <f t="shared" si="70"/>
        <v>72.737228438253098</v>
      </c>
      <c r="N174" s="47">
        <f t="shared" si="70"/>
        <v>68.729425018514391</v>
      </c>
      <c r="O174" s="47">
        <f t="shared" si="70"/>
        <v>80.150448978181259</v>
      </c>
      <c r="P174" s="47">
        <f t="shared" si="70"/>
        <v>97.267384410269855</v>
      </c>
      <c r="Q174" s="47">
        <f t="shared" si="70"/>
        <v>86.50043398120313</v>
      </c>
      <c r="R174" s="47">
        <f t="shared" si="70"/>
        <v>86.558981024280016</v>
      </c>
      <c r="S174" s="47">
        <f t="shared" si="70"/>
        <v>96.53568816763422</v>
      </c>
      <c r="T174" s="47">
        <f t="shared" si="70"/>
        <v>95.54765922121598</v>
      </c>
      <c r="U174" s="47">
        <f t="shared" si="70"/>
        <v>96.782715152538628</v>
      </c>
      <c r="V174" s="47">
        <f t="shared" si="70"/>
        <v>81.896609981357301</v>
      </c>
    </row>
    <row r="175" spans="2:22" x14ac:dyDescent="0.2">
      <c r="B175" s="34"/>
      <c r="C175" s="76" t="s">
        <v>44</v>
      </c>
      <c r="D175" s="46">
        <f t="shared" ref="D175:V175" si="71">+IFERROR(IF(D147&gt;0,+((D147/D22)*100)," "),"")</f>
        <v>92.704488226477125</v>
      </c>
      <c r="E175" s="46">
        <f t="shared" si="71"/>
        <v>94.86831756477126</v>
      </c>
      <c r="F175" s="46">
        <f t="shared" si="71"/>
        <v>93.033353780336242</v>
      </c>
      <c r="G175" s="46">
        <f t="shared" si="71"/>
        <v>95.787319349713755</v>
      </c>
      <c r="H175" s="46">
        <f t="shared" si="71"/>
        <v>94.754992672280807</v>
      </c>
      <c r="I175" s="46">
        <f t="shared" si="71"/>
        <v>96.985641758456254</v>
      </c>
      <c r="J175" s="46">
        <f t="shared" si="71"/>
        <v>95.852428941182964</v>
      </c>
      <c r="K175" s="46">
        <f t="shared" si="71"/>
        <v>93.744963873484338</v>
      </c>
      <c r="L175" s="46">
        <f t="shared" si="71"/>
        <v>90.369301062450702</v>
      </c>
      <c r="M175" s="46">
        <f t="shared" si="71"/>
        <v>88.367141625384178</v>
      </c>
      <c r="N175" s="46">
        <f t="shared" si="71"/>
        <v>79.798579385720387</v>
      </c>
      <c r="O175" s="46">
        <f t="shared" si="71"/>
        <v>97.259508541345213</v>
      </c>
      <c r="P175" s="46">
        <f t="shared" si="71"/>
        <v>99.416434335351909</v>
      </c>
      <c r="Q175" s="46">
        <f t="shared" si="71"/>
        <v>82.310301399786681</v>
      </c>
      <c r="R175" s="46">
        <f t="shared" si="71"/>
        <v>97.200199267697528</v>
      </c>
      <c r="S175" s="46">
        <f t="shared" si="71"/>
        <v>97.486506490547058</v>
      </c>
      <c r="T175" s="46">
        <f t="shared" si="71"/>
        <v>81.82749848301178</v>
      </c>
      <c r="U175" s="46">
        <f t="shared" si="71"/>
        <v>98.099703757383139</v>
      </c>
      <c r="V175" s="46">
        <f t="shared" si="71"/>
        <v>72.863450243131595</v>
      </c>
    </row>
    <row r="176" spans="2:22" x14ac:dyDescent="0.2">
      <c r="B176" s="32"/>
      <c r="C176" s="77" t="s">
        <v>60</v>
      </c>
      <c r="D176" s="47">
        <f t="shared" ref="D176:V176" si="72">+IFERROR(IF(D148&gt;0,+((D148/D23)*100)," "),"")</f>
        <v>93.94725460132814</v>
      </c>
      <c r="E176" s="47">
        <f t="shared" si="72"/>
        <v>93.186800644855367</v>
      </c>
      <c r="F176" s="47">
        <f t="shared" si="72"/>
        <v>89.840887224665337</v>
      </c>
      <c r="G176" s="47">
        <f t="shared" si="72"/>
        <v>98.168929729345891</v>
      </c>
      <c r="H176" s="47">
        <f t="shared" si="72"/>
        <v>96.825942149493471</v>
      </c>
      <c r="I176" s="47">
        <f t="shared" si="72"/>
        <v>98.404983415760398</v>
      </c>
      <c r="J176" s="47">
        <f t="shared" si="72"/>
        <v>96.676240580171395</v>
      </c>
      <c r="K176" s="47">
        <f t="shared" si="72"/>
        <v>92.685709404278782</v>
      </c>
      <c r="L176" s="47">
        <f t="shared" si="72"/>
        <v>86.738877848871667</v>
      </c>
      <c r="M176" s="47">
        <f t="shared" si="72"/>
        <v>84.002283357854267</v>
      </c>
      <c r="N176" s="47">
        <f t="shared" si="72"/>
        <v>75.156031504680584</v>
      </c>
      <c r="O176" s="47">
        <f t="shared" si="72"/>
        <v>96.20220277491137</v>
      </c>
      <c r="P176" s="47">
        <f t="shared" si="72"/>
        <v>99.157782086426096</v>
      </c>
      <c r="Q176" s="47">
        <f t="shared" si="72"/>
        <v>78.084021236292372</v>
      </c>
      <c r="R176" s="47">
        <f t="shared" si="72"/>
        <v>96.987186866337126</v>
      </c>
      <c r="S176" s="47">
        <f t="shared" si="72"/>
        <v>99.357727941404519</v>
      </c>
      <c r="T176" s="47">
        <f t="shared" si="72"/>
        <v>69.593905862466855</v>
      </c>
      <c r="U176" s="47">
        <f t="shared" si="72"/>
        <v>99.756062114259379</v>
      </c>
      <c r="V176" s="47">
        <f t="shared" si="72"/>
        <v>50.129671004644962</v>
      </c>
    </row>
    <row r="177" spans="2:22" x14ac:dyDescent="0.2">
      <c r="B177" s="32"/>
      <c r="C177" s="77" t="s">
        <v>61</v>
      </c>
      <c r="D177" s="47">
        <f t="shared" ref="D177:V177" si="73">+IFERROR(IF(D149&gt;0,+((D149/D24)*100)," "),"")</f>
        <v>91.116888756346555</v>
      </c>
      <c r="E177" s="47">
        <f t="shared" si="73"/>
        <v>97.664921496513045</v>
      </c>
      <c r="F177" s="47">
        <f t="shared" si="73"/>
        <v>97.97195829861127</v>
      </c>
      <c r="G177" s="47">
        <f t="shared" si="73"/>
        <v>93.300526552061896</v>
      </c>
      <c r="H177" s="47">
        <f t="shared" si="73"/>
        <v>92.178289729584492</v>
      </c>
      <c r="I177" s="47">
        <f t="shared" si="73"/>
        <v>95.438403651077522</v>
      </c>
      <c r="J177" s="47">
        <f t="shared" si="73"/>
        <v>94.591584433907499</v>
      </c>
      <c r="K177" s="47">
        <f t="shared" si="73"/>
        <v>95.368960003244467</v>
      </c>
      <c r="L177" s="47">
        <f t="shared" si="73"/>
        <v>95.934404030830976</v>
      </c>
      <c r="M177" s="47">
        <f t="shared" si="73"/>
        <v>93.875828370382735</v>
      </c>
      <c r="N177" s="47">
        <f t="shared" si="73"/>
        <v>86.230505426997567</v>
      </c>
      <c r="O177" s="47">
        <f t="shared" si="73"/>
        <v>98.430199788501241</v>
      </c>
      <c r="P177" s="47">
        <f t="shared" si="73"/>
        <v>99.743717327849239</v>
      </c>
      <c r="Q177" s="47">
        <f t="shared" si="73"/>
        <v>88.880732951322145</v>
      </c>
      <c r="R177" s="47">
        <f t="shared" si="73"/>
        <v>97.467798036035674</v>
      </c>
      <c r="S177" s="47">
        <f t="shared" si="73"/>
        <v>95.014189841644153</v>
      </c>
      <c r="T177" s="47">
        <f t="shared" si="73"/>
        <v>96.07138944482999</v>
      </c>
      <c r="U177" s="47">
        <f t="shared" si="73"/>
        <v>96.567753617817303</v>
      </c>
      <c r="V177" s="47">
        <f t="shared" si="73"/>
        <v>90.611948101406711</v>
      </c>
    </row>
    <row r="178" spans="2:22" x14ac:dyDescent="0.2">
      <c r="B178" s="34" t="s">
        <v>45</v>
      </c>
      <c r="C178" s="76" t="s">
        <v>46</v>
      </c>
      <c r="D178" s="46">
        <f t="shared" ref="D178:V178" si="74">+IFERROR(IF(D150&gt;0,+((D150/D25)*100)," "),"")</f>
        <v>54.792578622039443</v>
      </c>
      <c r="E178" s="46">
        <f t="shared" si="74"/>
        <v>62.664316604020797</v>
      </c>
      <c r="F178" s="46">
        <f t="shared" si="74"/>
        <v>51.708706586564311</v>
      </c>
      <c r="G178" s="46">
        <f t="shared" si="74"/>
        <v>63.545140869086659</v>
      </c>
      <c r="H178" s="46">
        <f t="shared" si="74"/>
        <v>61.454038104841871</v>
      </c>
      <c r="I178" s="46">
        <f t="shared" si="74"/>
        <v>64.700432489076206</v>
      </c>
      <c r="J178" s="46">
        <f t="shared" si="74"/>
        <v>61.767697167933733</v>
      </c>
      <c r="K178" s="46">
        <f t="shared" si="74"/>
        <v>69.842591956048267</v>
      </c>
      <c r="L178" s="46">
        <f t="shared" si="74"/>
        <v>74.919519627594482</v>
      </c>
      <c r="M178" s="46">
        <f t="shared" si="74"/>
        <v>73.675180798256321</v>
      </c>
      <c r="N178" s="46">
        <f t="shared" si="74"/>
        <v>70.529812052498016</v>
      </c>
      <c r="O178" s="46">
        <f t="shared" si="74"/>
        <v>65.708598600078858</v>
      </c>
      <c r="P178" s="46">
        <f t="shared" si="74"/>
        <v>67.97205066251</v>
      </c>
      <c r="Q178" s="46">
        <f t="shared" si="74"/>
        <v>70.910549840491129</v>
      </c>
      <c r="R178" s="46">
        <f t="shared" si="74"/>
        <v>72.788381034215305</v>
      </c>
      <c r="S178" s="46">
        <f t="shared" si="74"/>
        <v>72.812255098373839</v>
      </c>
      <c r="T178" s="46">
        <f t="shared" si="74"/>
        <v>72.805200132772825</v>
      </c>
      <c r="U178" s="46">
        <f t="shared" si="74"/>
        <v>71.649446417325152</v>
      </c>
      <c r="V178" s="46">
        <f t="shared" si="74"/>
        <v>76.910200238465421</v>
      </c>
    </row>
    <row r="179" spans="2:22" x14ac:dyDescent="0.2">
      <c r="B179" s="36" t="s">
        <v>47</v>
      </c>
      <c r="C179" s="78" t="s">
        <v>48</v>
      </c>
      <c r="D179" s="48">
        <f t="shared" ref="D179:V179" si="75">+IFERROR(IF(D151&gt;0,+((D151/D26)*100)," "),"")</f>
        <v>76.980492672240544</v>
      </c>
      <c r="E179" s="48">
        <f t="shared" si="75"/>
        <v>83.136831030847219</v>
      </c>
      <c r="F179" s="48">
        <f t="shared" si="75"/>
        <v>80.695977001490334</v>
      </c>
      <c r="G179" s="48">
        <f t="shared" si="75"/>
        <v>85.656141514985364</v>
      </c>
      <c r="H179" s="48">
        <f t="shared" si="75"/>
        <v>83.983732609946642</v>
      </c>
      <c r="I179" s="48">
        <f t="shared" si="75"/>
        <v>87.078815643830438</v>
      </c>
      <c r="J179" s="48">
        <f t="shared" si="75"/>
        <v>85.184537452834689</v>
      </c>
      <c r="K179" s="48">
        <f t="shared" si="75"/>
        <v>86.971079184775064</v>
      </c>
      <c r="L179" s="48">
        <f t="shared" si="75"/>
        <v>88.763594875752688</v>
      </c>
      <c r="M179" s="48">
        <f t="shared" si="75"/>
        <v>84.630429440872163</v>
      </c>
      <c r="N179" s="48">
        <f t="shared" si="75"/>
        <v>81.352733132518054</v>
      </c>
      <c r="O179" s="48">
        <f t="shared" si="75"/>
        <v>82.890178036776533</v>
      </c>
      <c r="P179" s="48">
        <f t="shared" si="75"/>
        <v>82.368304853088375</v>
      </c>
      <c r="Q179" s="48">
        <f t="shared" si="75"/>
        <v>83.804028903198585</v>
      </c>
      <c r="R179" s="48">
        <f t="shared" si="75"/>
        <v>84.072032361739545</v>
      </c>
      <c r="S179" s="48">
        <f t="shared" si="75"/>
        <v>86.401420650570429</v>
      </c>
      <c r="T179" s="48">
        <f t="shared" si="75"/>
        <v>87.836783580324152</v>
      </c>
      <c r="U179" s="48">
        <f t="shared" si="75"/>
        <v>88.827593133626522</v>
      </c>
      <c r="V179" s="48">
        <f t="shared" si="75"/>
        <v>90.235295755289911</v>
      </c>
    </row>
    <row r="180" spans="2:22" x14ac:dyDescent="0.2">
      <c r="B180" s="38" t="s">
        <v>49</v>
      </c>
      <c r="C180" s="79" t="s">
        <v>63</v>
      </c>
      <c r="D180" s="45">
        <f t="shared" ref="D180:V180" si="76">+IFERROR(IF(D152&gt;0,+((D152/D27)*100)," "),"")</f>
        <v>82.473858435116711</v>
      </c>
      <c r="E180" s="45">
        <f t="shared" si="76"/>
        <v>87.3408897408477</v>
      </c>
      <c r="F180" s="45">
        <f t="shared" si="76"/>
        <v>85.445291224535353</v>
      </c>
      <c r="G180" s="45">
        <f t="shared" si="76"/>
        <v>88.548821945109083</v>
      </c>
      <c r="H180" s="45">
        <f t="shared" si="76"/>
        <v>85.570071133328454</v>
      </c>
      <c r="I180" s="45">
        <f t="shared" si="76"/>
        <v>89.783245663412274</v>
      </c>
      <c r="J180" s="45">
        <f t="shared" si="76"/>
        <v>87.790662020238514</v>
      </c>
      <c r="K180" s="45">
        <f t="shared" si="76"/>
        <v>88.91559141567113</v>
      </c>
      <c r="L180" s="45">
        <f t="shared" si="76"/>
        <v>88.751403750787361</v>
      </c>
      <c r="M180" s="45">
        <f t="shared" si="76"/>
        <v>84.887855557868463</v>
      </c>
      <c r="N180" s="45">
        <f t="shared" si="76"/>
        <v>80.709926180516831</v>
      </c>
      <c r="O180" s="45">
        <f t="shared" si="76"/>
        <v>85.281489687808815</v>
      </c>
      <c r="P180" s="45">
        <f t="shared" si="76"/>
        <v>86.086586771531969</v>
      </c>
      <c r="Q180" s="45">
        <f t="shared" si="76"/>
        <v>83.760948941425653</v>
      </c>
      <c r="R180" s="45">
        <f t="shared" si="76"/>
        <v>86.544731344358638</v>
      </c>
      <c r="S180" s="45">
        <f t="shared" si="76"/>
        <v>88.910316274429064</v>
      </c>
      <c r="T180" s="45">
        <f t="shared" si="76"/>
        <v>87.141889183770814</v>
      </c>
      <c r="U180" s="45">
        <f t="shared" si="76"/>
        <v>90.780663061366965</v>
      </c>
      <c r="V180" s="45">
        <f t="shared" si="76"/>
        <v>87.290070118372952</v>
      </c>
    </row>
    <row r="181" spans="2:22" x14ac:dyDescent="0.2">
      <c r="B181" s="1" t="s">
        <v>52</v>
      </c>
      <c r="C181" s="15"/>
      <c r="D181" s="12"/>
      <c r="E181" s="12"/>
      <c r="F181" s="12"/>
      <c r="G181" s="12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</row>
  </sheetData>
  <mergeCells count="187">
    <mergeCell ref="AD6:AD7"/>
    <mergeCell ref="Q63:Q64"/>
    <mergeCell ref="V136:V137"/>
    <mergeCell ref="S112:S113"/>
    <mergeCell ref="I6:I7"/>
    <mergeCell ref="AA6:AA7"/>
    <mergeCell ref="G112:G113"/>
    <mergeCell ref="I112:I113"/>
    <mergeCell ref="S37:S38"/>
    <mergeCell ref="V11:V12"/>
    <mergeCell ref="U37:U38"/>
    <mergeCell ref="M37:M38"/>
    <mergeCell ref="G63:G64"/>
    <mergeCell ref="J85:J86"/>
    <mergeCell ref="L85:L86"/>
    <mergeCell ref="K63:K64"/>
    <mergeCell ref="N85:N86"/>
    <mergeCell ref="B112:B113"/>
    <mergeCell ref="D112:D113"/>
    <mergeCell ref="Q11:Q12"/>
    <mergeCell ref="F37:F38"/>
    <mergeCell ref="P112:P113"/>
    <mergeCell ref="U164:U165"/>
    <mergeCell ref="H37:H38"/>
    <mergeCell ref="B135:V135"/>
    <mergeCell ref="U85:U86"/>
    <mergeCell ref="B63:B64"/>
    <mergeCell ref="D63:D64"/>
    <mergeCell ref="S85:S86"/>
    <mergeCell ref="F112:F113"/>
    <mergeCell ref="C63:C64"/>
    <mergeCell ref="E63:E64"/>
    <mergeCell ref="H11:H12"/>
    <mergeCell ref="J11:J12"/>
    <mergeCell ref="O63:O64"/>
    <mergeCell ref="D37:D38"/>
    <mergeCell ref="C85:C86"/>
    <mergeCell ref="F164:F165"/>
    <mergeCell ref="C112:C113"/>
    <mergeCell ref="H164:H165"/>
    <mergeCell ref="O164:O165"/>
    <mergeCell ref="L6:L7"/>
    <mergeCell ref="N6:N7"/>
    <mergeCell ref="P37:P38"/>
    <mergeCell ref="F11:F12"/>
    <mergeCell ref="A7:C7"/>
    <mergeCell ref="D136:D137"/>
    <mergeCell ref="D83:V83"/>
    <mergeCell ref="F85:F86"/>
    <mergeCell ref="P11:P12"/>
    <mergeCell ref="H85:H86"/>
    <mergeCell ref="O112:O113"/>
    <mergeCell ref="C164:C165"/>
    <mergeCell ref="U112:U113"/>
    <mergeCell ref="C10:V10"/>
    <mergeCell ref="R85:R86"/>
    <mergeCell ref="B84:V84"/>
    <mergeCell ref="M164:M165"/>
    <mergeCell ref="B37:B38"/>
    <mergeCell ref="O85:O86"/>
    <mergeCell ref="AB6:AB7"/>
    <mergeCell ref="T136:T137"/>
    <mergeCell ref="T37:T38"/>
    <mergeCell ref="V37:V38"/>
    <mergeCell ref="G11:G12"/>
    <mergeCell ref="V112:V113"/>
    <mergeCell ref="E11:E12"/>
    <mergeCell ref="Y6:Y7"/>
    <mergeCell ref="V164:V165"/>
    <mergeCell ref="K37:K38"/>
    <mergeCell ref="F63:F64"/>
    <mergeCell ref="K6:K7"/>
    <mergeCell ref="D162:V162"/>
    <mergeCell ref="U6:U7"/>
    <mergeCell ref="H63:H64"/>
    <mergeCell ref="D11:D12"/>
    <mergeCell ref="T11:T12"/>
    <mergeCell ref="F136:F137"/>
    <mergeCell ref="H136:H137"/>
    <mergeCell ref="R6:R7"/>
    <mergeCell ref="S136:S137"/>
    <mergeCell ref="J63:J64"/>
    <mergeCell ref="L63:L64"/>
    <mergeCell ref="K136:K137"/>
    <mergeCell ref="R112:R113"/>
    <mergeCell ref="M85:M86"/>
    <mergeCell ref="D9:V9"/>
    <mergeCell ref="P6:P7"/>
    <mergeCell ref="Z6:Z7"/>
    <mergeCell ref="M63:M64"/>
    <mergeCell ref="R136:R137"/>
    <mergeCell ref="B164:B165"/>
    <mergeCell ref="B36:V36"/>
    <mergeCell ref="T6:T7"/>
    <mergeCell ref="D164:D165"/>
    <mergeCell ref="I63:I64"/>
    <mergeCell ref="L11:L12"/>
    <mergeCell ref="D85:D86"/>
    <mergeCell ref="N11:N12"/>
    <mergeCell ref="S63:S64"/>
    <mergeCell ref="U63:U64"/>
    <mergeCell ref="D61:V61"/>
    <mergeCell ref="E112:E113"/>
    <mergeCell ref="B85:B86"/>
    <mergeCell ref="E164:E165"/>
    <mergeCell ref="R11:R12"/>
    <mergeCell ref="G164:G165"/>
    <mergeCell ref="Q112:Q113"/>
    <mergeCell ref="V85:V86"/>
    <mergeCell ref="D6:D7"/>
    <mergeCell ref="Q164:Q165"/>
    <mergeCell ref="F6:F7"/>
    <mergeCell ref="D134:V134"/>
    <mergeCell ref="J136:J137"/>
    <mergeCell ref="I164:I165"/>
    <mergeCell ref="B136:B137"/>
    <mergeCell ref="H112:H113"/>
    <mergeCell ref="H6:H7"/>
    <mergeCell ref="J112:J113"/>
    <mergeCell ref="J6:J7"/>
    <mergeCell ref="J37:J38"/>
    <mergeCell ref="L37:L38"/>
    <mergeCell ref="N37:N38"/>
    <mergeCell ref="V6:V7"/>
    <mergeCell ref="N136:N137"/>
    <mergeCell ref="G6:G7"/>
    <mergeCell ref="G37:G38"/>
    <mergeCell ref="Q85:Q86"/>
    <mergeCell ref="I37:I38"/>
    <mergeCell ref="Q6:Q7"/>
    <mergeCell ref="D110:V110"/>
    <mergeCell ref="S6:S7"/>
    <mergeCell ref="T85:T86"/>
    <mergeCell ref="M136:M137"/>
    <mergeCell ref="O11:O12"/>
    <mergeCell ref="L136:L137"/>
    <mergeCell ref="O136:O137"/>
    <mergeCell ref="Q136:Q137"/>
    <mergeCell ref="T63:T64"/>
    <mergeCell ref="D4:V4"/>
    <mergeCell ref="K164:K165"/>
    <mergeCell ref="R164:R165"/>
    <mergeCell ref="T164:T165"/>
    <mergeCell ref="W6:W7"/>
    <mergeCell ref="G136:G137"/>
    <mergeCell ref="I136:I137"/>
    <mergeCell ref="V63:V64"/>
    <mergeCell ref="I85:I86"/>
    <mergeCell ref="U136:U137"/>
    <mergeCell ref="S164:S165"/>
    <mergeCell ref="I11:I12"/>
    <mergeCell ref="N63:N64"/>
    <mergeCell ref="P63:P64"/>
    <mergeCell ref="S11:S12"/>
    <mergeCell ref="R63:R64"/>
    <mergeCell ref="K85:K86"/>
    <mergeCell ref="U11:U12"/>
    <mergeCell ref="M11:M12"/>
    <mergeCell ref="T112:T113"/>
    <mergeCell ref="L112:L113"/>
    <mergeCell ref="N112:N113"/>
    <mergeCell ref="N164:N165"/>
    <mergeCell ref="K11:K12"/>
    <mergeCell ref="AC6:AC7"/>
    <mergeCell ref="E85:E86"/>
    <mergeCell ref="G85:G86"/>
    <mergeCell ref="J164:J165"/>
    <mergeCell ref="L164:L165"/>
    <mergeCell ref="D2:V2"/>
    <mergeCell ref="C136:C137"/>
    <mergeCell ref="E136:E137"/>
    <mergeCell ref="A5:C6"/>
    <mergeCell ref="K112:K113"/>
    <mergeCell ref="P164:P165"/>
    <mergeCell ref="C37:C38"/>
    <mergeCell ref="M112:M113"/>
    <mergeCell ref="E37:E38"/>
    <mergeCell ref="O6:O7"/>
    <mergeCell ref="P85:P86"/>
    <mergeCell ref="O37:O38"/>
    <mergeCell ref="Q37:Q38"/>
    <mergeCell ref="X6:X7"/>
    <mergeCell ref="P136:P137"/>
    <mergeCell ref="R37:R38"/>
    <mergeCell ref="M6:M7"/>
    <mergeCell ref="E6:E7"/>
    <mergeCell ref="D35:V35"/>
  </mergeCells>
  <pageMargins left="0.7" right="0.7" top="0.75" bottom="0.75" header="0.3" footer="0.3"/>
  <pageSetup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/>
  <dimension ref="A1:W182"/>
  <sheetViews>
    <sheetView showGridLines="0" zoomScaleNormal="100" workbookViewId="0">
      <pane xSplit="3" ySplit="7" topLeftCell="D8" activePane="bottomRight" state="frozen"/>
      <selection activeCell="O5" sqref="O5:O6"/>
      <selection pane="topRight" activeCell="O5" sqref="O5:O6"/>
      <selection pane="bottomLeft" activeCell="O5" sqref="O5:O6"/>
      <selection pane="bottomRight" activeCell="V20" sqref="V20"/>
    </sheetView>
  </sheetViews>
  <sheetFormatPr baseColWidth="10" defaultColWidth="11.42578125" defaultRowHeight="11.25" x14ac:dyDescent="0.2"/>
  <cols>
    <col min="1" max="2" width="2.7109375" style="3" customWidth="1"/>
    <col min="3" max="3" width="51.85546875" style="3" customWidth="1"/>
    <col min="4" max="33" width="10.7109375" style="3" customWidth="1"/>
    <col min="34" max="34" width="11.42578125" style="3" customWidth="1"/>
    <col min="35" max="16384" width="11.42578125" style="3"/>
  </cols>
  <sheetData>
    <row r="1" spans="1:22" ht="16.5" customHeight="1" x14ac:dyDescent="0.2"/>
    <row r="2" spans="1:22" ht="16.5" customHeight="1" x14ac:dyDescent="0.2">
      <c r="C2" s="30"/>
      <c r="D2" s="159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  <c r="Q2" s="158"/>
      <c r="R2" s="158"/>
      <c r="S2" s="158"/>
      <c r="T2" s="158"/>
      <c r="U2" s="158"/>
      <c r="V2" s="158"/>
    </row>
    <row r="3" spans="1:22" s="98" customFormat="1" ht="16.5" customHeight="1" x14ac:dyDescent="0.25">
      <c r="A3" s="120"/>
      <c r="C3" s="100"/>
    </row>
    <row r="4" spans="1:22" s="98" customFormat="1" ht="15" customHeight="1" x14ac:dyDescent="0.25">
      <c r="A4" s="120"/>
      <c r="C4" s="100"/>
      <c r="D4" s="161"/>
      <c r="E4" s="152"/>
      <c r="F4" s="152"/>
      <c r="G4" s="152"/>
      <c r="H4" s="152"/>
      <c r="I4" s="152"/>
      <c r="J4" s="152"/>
      <c r="K4" s="152"/>
      <c r="L4" s="152"/>
      <c r="M4" s="152"/>
      <c r="N4" s="152"/>
      <c r="O4" s="152"/>
      <c r="P4" s="152"/>
      <c r="Q4" s="152"/>
      <c r="R4" s="152"/>
      <c r="S4" s="152"/>
      <c r="T4" s="152"/>
      <c r="U4" s="152"/>
      <c r="V4" s="152"/>
    </row>
    <row r="5" spans="1:22" s="98" customFormat="1" ht="15" customHeight="1" x14ac:dyDescent="0.25">
      <c r="A5" s="165" t="s">
        <v>3</v>
      </c>
      <c r="B5" s="152"/>
      <c r="C5" s="152"/>
      <c r="D5" s="147"/>
      <c r="E5" s="147"/>
      <c r="F5" s="147"/>
      <c r="G5" s="147"/>
      <c r="H5" s="147"/>
      <c r="I5" s="147"/>
      <c r="J5" s="147"/>
      <c r="K5" s="147"/>
      <c r="L5" s="147"/>
      <c r="M5" s="147"/>
      <c r="N5" s="147"/>
      <c r="O5" s="147"/>
      <c r="P5" s="147"/>
      <c r="Q5" s="147"/>
      <c r="R5" s="147"/>
      <c r="S5" s="147"/>
      <c r="T5" s="147"/>
      <c r="U5" s="147"/>
      <c r="V5" s="147"/>
    </row>
    <row r="6" spans="1:22" s="98" customFormat="1" ht="15" customHeight="1" x14ac:dyDescent="0.25">
      <c r="A6" s="152"/>
      <c r="B6" s="152"/>
      <c r="C6" s="152"/>
      <c r="D6" s="151" t="s">
        <v>27</v>
      </c>
      <c r="E6" s="151" t="s">
        <v>28</v>
      </c>
      <c r="F6" s="151" t="s">
        <v>29</v>
      </c>
      <c r="G6" s="151" t="s">
        <v>30</v>
      </c>
      <c r="H6" s="151">
        <v>2004</v>
      </c>
      <c r="I6" s="151" t="s">
        <v>31</v>
      </c>
      <c r="J6" s="151" t="s">
        <v>32</v>
      </c>
      <c r="K6" s="151" t="s">
        <v>33</v>
      </c>
      <c r="L6" s="151" t="s">
        <v>34</v>
      </c>
      <c r="M6" s="151" t="s">
        <v>35</v>
      </c>
      <c r="N6" s="151">
        <v>2010</v>
      </c>
      <c r="O6" s="151">
        <v>2011</v>
      </c>
      <c r="P6" s="151">
        <v>2012</v>
      </c>
      <c r="Q6" s="151">
        <v>2013</v>
      </c>
      <c r="R6" s="151">
        <v>2014</v>
      </c>
      <c r="S6" s="151">
        <v>2015</v>
      </c>
      <c r="T6" s="151">
        <v>2016</v>
      </c>
      <c r="U6" s="151">
        <v>2017</v>
      </c>
      <c r="V6" s="151">
        <v>2018</v>
      </c>
    </row>
    <row r="7" spans="1:22" s="98" customFormat="1" ht="15" customHeight="1" x14ac:dyDescent="0.25">
      <c r="A7" s="162" t="s">
        <v>227</v>
      </c>
      <c r="B7" s="152"/>
      <c r="C7" s="152"/>
      <c r="D7" s="152"/>
      <c r="E7" s="152"/>
      <c r="F7" s="152"/>
      <c r="G7" s="152"/>
      <c r="H7" s="152"/>
      <c r="I7" s="152"/>
      <c r="J7" s="152"/>
      <c r="K7" s="152"/>
      <c r="L7" s="152"/>
      <c r="M7" s="152"/>
      <c r="N7" s="152"/>
      <c r="O7" s="152"/>
      <c r="P7" s="152"/>
      <c r="Q7" s="152"/>
      <c r="R7" s="152"/>
      <c r="S7" s="152"/>
      <c r="T7" s="152"/>
      <c r="U7" s="152"/>
      <c r="V7" s="152"/>
    </row>
    <row r="8" spans="1:22" s="98" customFormat="1" ht="12" customHeight="1" x14ac:dyDescent="0.25">
      <c r="A8" s="99"/>
      <c r="C8" s="100"/>
      <c r="D8" s="132"/>
      <c r="E8" s="132"/>
      <c r="F8" s="132"/>
      <c r="G8" s="132"/>
      <c r="H8" s="132"/>
      <c r="I8" s="132"/>
      <c r="J8" s="132"/>
      <c r="K8" s="132"/>
      <c r="L8" s="132"/>
      <c r="M8" s="132"/>
      <c r="N8" s="132"/>
      <c r="O8" s="132"/>
      <c r="P8" s="132"/>
      <c r="Q8" s="132"/>
      <c r="R8" s="132"/>
      <c r="S8" s="132"/>
      <c r="T8" s="132"/>
      <c r="U8" s="132"/>
      <c r="V8" s="132"/>
    </row>
    <row r="9" spans="1:22" s="98" customFormat="1" ht="12" customHeight="1" x14ac:dyDescent="0.25">
      <c r="A9" s="99"/>
      <c r="C9" s="100"/>
      <c r="D9" s="132"/>
      <c r="E9" s="132"/>
      <c r="F9" s="132"/>
      <c r="G9" s="132"/>
      <c r="H9" s="132"/>
      <c r="I9" s="132"/>
      <c r="J9" s="132"/>
      <c r="K9" s="132"/>
      <c r="L9" s="132"/>
      <c r="M9" s="132"/>
      <c r="N9" s="132"/>
      <c r="O9" s="132"/>
      <c r="P9" s="132"/>
      <c r="Q9" s="132"/>
      <c r="R9" s="132"/>
      <c r="S9" s="132"/>
      <c r="T9" s="132"/>
      <c r="U9" s="132"/>
      <c r="V9" s="132"/>
    </row>
    <row r="10" spans="1:22" ht="18" customHeight="1" x14ac:dyDescent="0.2">
      <c r="C10" s="131"/>
      <c r="D10" s="160" t="s">
        <v>75</v>
      </c>
      <c r="E10" s="158"/>
      <c r="F10" s="158"/>
      <c r="G10" s="158"/>
      <c r="H10" s="158"/>
      <c r="I10" s="158"/>
      <c r="J10" s="158"/>
      <c r="K10" s="158"/>
      <c r="L10" s="158"/>
      <c r="M10" s="158"/>
      <c r="N10" s="158"/>
      <c r="O10" s="158"/>
      <c r="P10" s="158"/>
      <c r="Q10" s="158"/>
      <c r="R10" s="158"/>
      <c r="S10" s="158"/>
      <c r="T10" s="158"/>
      <c r="U10" s="158"/>
      <c r="V10" s="158"/>
    </row>
    <row r="11" spans="1:22" ht="15.75" customHeight="1" x14ac:dyDescent="0.2">
      <c r="B11" s="157"/>
      <c r="C11" s="158"/>
      <c r="D11" s="158"/>
      <c r="E11" s="158"/>
      <c r="F11" s="158"/>
      <c r="G11" s="158"/>
      <c r="H11" s="158"/>
      <c r="I11" s="158"/>
      <c r="J11" s="158"/>
      <c r="K11" s="158"/>
      <c r="L11" s="158"/>
      <c r="M11" s="158"/>
      <c r="N11" s="158"/>
      <c r="O11" s="158"/>
      <c r="P11" s="158"/>
      <c r="Q11" s="158"/>
      <c r="R11" s="158"/>
      <c r="S11" s="158"/>
      <c r="T11" s="158"/>
      <c r="U11" s="158"/>
      <c r="V11" s="158"/>
    </row>
    <row r="12" spans="1:22" x14ac:dyDescent="0.2">
      <c r="B12" s="163"/>
      <c r="C12" s="155" t="s">
        <v>38</v>
      </c>
      <c r="D12" s="153" t="s">
        <v>27</v>
      </c>
      <c r="E12" s="153" t="s">
        <v>28</v>
      </c>
      <c r="F12" s="153" t="s">
        <v>29</v>
      </c>
      <c r="G12" s="153" t="s">
        <v>30</v>
      </c>
      <c r="H12" s="153">
        <v>2004</v>
      </c>
      <c r="I12" s="153" t="s">
        <v>31</v>
      </c>
      <c r="J12" s="153" t="s">
        <v>32</v>
      </c>
      <c r="K12" s="153" t="s">
        <v>33</v>
      </c>
      <c r="L12" s="153" t="s">
        <v>34</v>
      </c>
      <c r="M12" s="153" t="s">
        <v>35</v>
      </c>
      <c r="N12" s="153">
        <v>2010</v>
      </c>
      <c r="O12" s="153">
        <v>2011</v>
      </c>
      <c r="P12" s="153">
        <v>2012</v>
      </c>
      <c r="Q12" s="153">
        <v>2013</v>
      </c>
      <c r="R12" s="153">
        <v>2014</v>
      </c>
      <c r="S12" s="153">
        <v>2015</v>
      </c>
      <c r="T12" s="153">
        <v>2016</v>
      </c>
      <c r="U12" s="153">
        <v>2017</v>
      </c>
      <c r="V12" s="153">
        <v>2018</v>
      </c>
    </row>
    <row r="13" spans="1:22" ht="12" customHeight="1" thickBot="1" x14ac:dyDescent="0.25">
      <c r="B13" s="154"/>
      <c r="C13" s="156"/>
      <c r="D13" s="154"/>
      <c r="E13" s="154"/>
      <c r="F13" s="154"/>
      <c r="G13" s="154"/>
      <c r="H13" s="154"/>
      <c r="I13" s="154"/>
      <c r="J13" s="154"/>
      <c r="K13" s="154"/>
      <c r="L13" s="154"/>
      <c r="M13" s="154"/>
      <c r="N13" s="154"/>
      <c r="O13" s="154"/>
      <c r="P13" s="154"/>
      <c r="Q13" s="154"/>
      <c r="R13" s="154"/>
      <c r="S13" s="154"/>
      <c r="T13" s="154"/>
      <c r="U13" s="154"/>
      <c r="V13" s="154"/>
    </row>
    <row r="14" spans="1:22" x14ac:dyDescent="0.2">
      <c r="B14" s="34" t="s">
        <v>39</v>
      </c>
      <c r="C14" s="76" t="s">
        <v>40</v>
      </c>
      <c r="D14" s="41">
        <f t="shared" ref="D14:V14" si="0">+D15+D16+D17+D18</f>
        <v>89399.099330565863</v>
      </c>
      <c r="E14" s="41">
        <f t="shared" si="0"/>
        <v>94107.808711746096</v>
      </c>
      <c r="F14" s="41">
        <f t="shared" si="0"/>
        <v>97881.437924106445</v>
      </c>
      <c r="G14" s="41">
        <f t="shared" si="0"/>
        <v>98395.114786574661</v>
      </c>
      <c r="H14" s="41">
        <f t="shared" si="0"/>
        <v>109814.23484579158</v>
      </c>
      <c r="I14" s="41">
        <f t="shared" si="0"/>
        <v>120394.75660439569</v>
      </c>
      <c r="J14" s="41">
        <f t="shared" si="0"/>
        <v>126201.61304812127</v>
      </c>
      <c r="K14" s="41">
        <f t="shared" si="0"/>
        <v>131082.27474914599</v>
      </c>
      <c r="L14" s="41">
        <f t="shared" si="0"/>
        <v>138135.87194533844</v>
      </c>
      <c r="M14" s="41">
        <f t="shared" si="0"/>
        <v>154664.74589285866</v>
      </c>
      <c r="N14" s="41">
        <f t="shared" si="0"/>
        <v>169070.84929289963</v>
      </c>
      <c r="O14" s="41">
        <f t="shared" si="0"/>
        <v>161216.44655369833</v>
      </c>
      <c r="P14" s="41">
        <f t="shared" si="0"/>
        <v>173312.20762761513</v>
      </c>
      <c r="Q14" s="41">
        <f t="shared" si="0"/>
        <v>188133.54172551187</v>
      </c>
      <c r="R14" s="41">
        <f t="shared" si="0"/>
        <v>201917.65266116272</v>
      </c>
      <c r="S14" s="41">
        <f t="shared" si="0"/>
        <v>193779.53507697288</v>
      </c>
      <c r="T14" s="41">
        <f t="shared" si="0"/>
        <v>197283.58566288426</v>
      </c>
      <c r="U14" s="41">
        <f t="shared" si="0"/>
        <v>215519.0083288014</v>
      </c>
      <c r="V14" s="41">
        <f t="shared" si="0"/>
        <v>220882.83692885342</v>
      </c>
    </row>
    <row r="15" spans="1:22" x14ac:dyDescent="0.2">
      <c r="B15" s="40"/>
      <c r="C15" s="77" t="s">
        <v>56</v>
      </c>
      <c r="D15" s="42">
        <f>5893.4287127795*Deflactores!$A$5</f>
        <v>21396.441411585445</v>
      </c>
      <c r="E15" s="42">
        <f>6377.87207953018*Deflactores!$B$5</f>
        <v>21510.085005058427</v>
      </c>
      <c r="F15" s="42">
        <f>6869.21912756568*Deflactores!$C$5</f>
        <v>21653.247241637175</v>
      </c>
      <c r="G15" s="42">
        <f>7451.06854132026*Deflactores!$D$5</f>
        <v>22055.649012097903</v>
      </c>
      <c r="H15" s="42">
        <f>8207.75345687269*Deflactores!$E$5</f>
        <v>23029.555044828281</v>
      </c>
      <c r="I15" s="42">
        <f>8756.02377494256*Deflactores!$F$5</f>
        <v>23430.326835931843</v>
      </c>
      <c r="J15" s="42">
        <f>9793.78220709813*Deflactores!$G$5</f>
        <v>25084.024765461774</v>
      </c>
      <c r="K15" s="42">
        <f>10805.3226448228*Deflactores!$H$5</f>
        <v>26183.776722244638</v>
      </c>
      <c r="L15" s="42">
        <f>12079.4218202461*Deflactores!$I$5</f>
        <v>27184.93831925009</v>
      </c>
      <c r="M15" s="42">
        <f>13595.5068008225*Deflactores!$J$5</f>
        <v>29996.44144428632</v>
      </c>
      <c r="N15" s="42">
        <f>14982.0975287662*Deflactores!$K$5</f>
        <v>32039.695447187187</v>
      </c>
      <c r="O15" s="42">
        <f>15327.0713431864*Deflactores!$L$5</f>
        <v>31599.807649558046</v>
      </c>
      <c r="P15" s="42">
        <f>17506.8077383976*Deflactores!$M$5</f>
        <v>35234.057003295908</v>
      </c>
      <c r="Q15" s="42">
        <f>19577.3494422109*Deflactores!$N$5</f>
        <v>38651.375491199957</v>
      </c>
      <c r="R15" s="42">
        <f>21941.0947354117*Deflactores!$O$5</f>
        <v>41788.631511678992</v>
      </c>
      <c r="S15" s="42">
        <f>23146.729817083*Deflactores!$P$5</f>
        <v>41289.560123548756</v>
      </c>
      <c r="T15" s="42">
        <f>24517.408510491*Deflactores!$Q$5</f>
        <v>41356.597497679868</v>
      </c>
      <c r="U15" s="42">
        <f>26379.4996351241*Deflactores!$R$5</f>
        <v>42749.179430684642</v>
      </c>
      <c r="V15" s="42">
        <f>29660.177078769*Deflactores!$S$5</f>
        <v>46584.28619841388</v>
      </c>
    </row>
    <row r="16" spans="1:22" x14ac:dyDescent="0.2">
      <c r="B16" s="40"/>
      <c r="C16" s="77" t="s">
        <v>57</v>
      </c>
      <c r="D16" s="42">
        <f>1431.22462728575*Deflactores!$A$5</f>
        <v>5196.1456355845321</v>
      </c>
      <c r="E16" s="42">
        <f>1649.11614210645*Deflactores!$B$5</f>
        <v>5561.8281391646879</v>
      </c>
      <c r="F16" s="42">
        <f>2024.62293996976*Deflactores!$C$5</f>
        <v>6382.0443453798352</v>
      </c>
      <c r="G16" s="42">
        <f>2235.30272867725*Deflactores!$D$5</f>
        <v>6616.6419146581147</v>
      </c>
      <c r="H16" s="42">
        <f>2628.5689522323*Deflactores!$E$5</f>
        <v>7375.31575389513</v>
      </c>
      <c r="I16" s="42">
        <f>2882.45835101997*Deflactores!$F$5</f>
        <v>7713.1975644735048</v>
      </c>
      <c r="J16" s="42">
        <f>3187.00980463263*Deflactores!$G$5</f>
        <v>8162.6312671354872</v>
      </c>
      <c r="K16" s="42">
        <f>3530.67604850668*Deflactores!$H$5</f>
        <v>8555.6383989116839</v>
      </c>
      <c r="L16" s="42">
        <f>3786.35646481862*Deflactores!$I$5</f>
        <v>8521.257762376159</v>
      </c>
      <c r="M16" s="42">
        <f>4443.83540513574*Deflactores!$J$5</f>
        <v>9804.654616489639</v>
      </c>
      <c r="N16" s="42">
        <f>4865.93918311778*Deflactores!$K$5</f>
        <v>10405.96680086272</v>
      </c>
      <c r="O16" s="42">
        <f>5301.20905765095*Deflactores!$L$5</f>
        <v>10929.497408931556</v>
      </c>
      <c r="P16" s="42">
        <f>6029.43769903*Deflactores!$M$5</f>
        <v>12134.796632255076</v>
      </c>
      <c r="Q16" s="42">
        <f>6903.73702224478*Deflactores!$N$5</f>
        <v>13629.982584054398</v>
      </c>
      <c r="R16" s="42">
        <f>7251.73399416581*Deflactores!$O$5</f>
        <v>13811.527790991278</v>
      </c>
      <c r="S16" s="42">
        <f>7123.17490568259*Deflactores!$P$5</f>
        <v>12706.449717215379</v>
      </c>
      <c r="T16" s="42">
        <f>7243.91159225011*Deflactores!$Q$5</f>
        <v>12219.217047400147</v>
      </c>
      <c r="U16" s="42">
        <f>7299.50583078459*Deflactores!$R$5</f>
        <v>11829.181327611304</v>
      </c>
      <c r="V16" s="42">
        <f>7897.8440411125*Deflactores!$S$5</f>
        <v>12404.357067206429</v>
      </c>
    </row>
    <row r="17" spans="2:22" x14ac:dyDescent="0.2">
      <c r="B17" s="40"/>
      <c r="C17" s="77" t="s">
        <v>58</v>
      </c>
      <c r="D17" s="42">
        <f>17296.1175194377*Deflactores!$A$5</f>
        <v>62794.577348507162</v>
      </c>
      <c r="E17" s="42">
        <f>19868.9507098156*Deflactores!$B$5</f>
        <v>67010.252541931244</v>
      </c>
      <c r="F17" s="42">
        <f>22150.7871127179*Deflactores!$C$5</f>
        <v>69824.016535417337</v>
      </c>
      <c r="G17" s="42">
        <f>23546.9161542892*Deflactores!$D$5</f>
        <v>69700.408087277916</v>
      </c>
      <c r="H17" s="42">
        <f>28288.7785727399*Deflactores!$E$5</f>
        <v>79373.483464755278</v>
      </c>
      <c r="I17" s="42">
        <f>33335.0029845182*Deflactores!$F$5</f>
        <v>89201.449776688009</v>
      </c>
      <c r="J17" s="42">
        <f>36275.5369287547*Deflactores!$G$5</f>
        <v>92909.608102355152</v>
      </c>
      <c r="K17" s="42">
        <f>39739.017083952*Deflactores!$H$5</f>
        <v>96296.758985370237</v>
      </c>
      <c r="L17" s="42">
        <f>45494.8662734522*Deflactores!$I$5</f>
        <v>102386.94797572124</v>
      </c>
      <c r="M17" s="42">
        <f>52052.3543874836*Deflactores!$J$5</f>
        <v>114845.6930143223</v>
      </c>
      <c r="N17" s="42">
        <f>59202.4949330071*Deflactores!$K$5</f>
        <v>126606.4316912371</v>
      </c>
      <c r="O17" s="42">
        <f>57539.8237800356*Deflactores!$L$5</f>
        <v>118629.79710386008</v>
      </c>
      <c r="P17" s="42">
        <f>62566.9975264782*Deflactores!$M$5</f>
        <v>125921.8236879309</v>
      </c>
      <c r="Q17" s="42">
        <f>68800.1926989983*Deflactores!$N$5</f>
        <v>135831.56850346271</v>
      </c>
      <c r="R17" s="42">
        <f>76808.0854612717*Deflactores!$O$5</f>
        <v>146287.35799943234</v>
      </c>
      <c r="S17" s="42">
        <f>78343.872100867*Deflactores!$P$5</f>
        <v>139751.2323763762</v>
      </c>
      <c r="T17" s="42">
        <f>85176.7621650141*Deflactores!$Q$5</f>
        <v>143678.36092900133</v>
      </c>
      <c r="U17" s="42">
        <f>99281.858542504*Deflactores!$R$5</f>
        <v>160890.76911050317</v>
      </c>
      <c r="V17" s="42">
        <f>103027.211747171*Deflactores!$S$5</f>
        <v>161814.5807258274</v>
      </c>
    </row>
    <row r="18" spans="2:22" x14ac:dyDescent="0.2">
      <c r="B18" s="40"/>
      <c r="C18" s="77" t="s">
        <v>59</v>
      </c>
      <c r="D18" s="42">
        <f>3.28735449999999*Deflactores!$A$5</f>
        <v>11.934934888724293</v>
      </c>
      <c r="E18" s="42">
        <f>7.60331430199999*Deflactores!$B$5</f>
        <v>25.643025591733704</v>
      </c>
      <c r="F18" s="42">
        <f>7.02039999999999*Deflactores!$C$5</f>
        <v>22.129801672094921</v>
      </c>
      <c r="G18" s="42">
        <f>7.572729214*Deflactores!$D$5</f>
        <v>22.415772540732711</v>
      </c>
      <c r="H18" s="42">
        <f>12.7878707573799*Deflactores!$E$5</f>
        <v>35.88058231289029</v>
      </c>
      <c r="I18" s="42">
        <f>18.603928152*Deflactores!$F$5</f>
        <v>49.782427302330284</v>
      </c>
      <c r="J18" s="42">
        <f>17.705985505*Deflactores!$G$5</f>
        <v>45.348913168850622</v>
      </c>
      <c r="K18" s="42">
        <f>19.024464*Deflactores!$H$5</f>
        <v>46.100642619408809</v>
      </c>
      <c r="L18" s="42">
        <f>18.9858139999999*Deflactores!$I$5</f>
        <v>42.727887990936701</v>
      </c>
      <c r="M18" s="42">
        <f>8.1387*Deflactores!$J$5</f>
        <v>17.956817760397396</v>
      </c>
      <c r="N18" s="42">
        <f>8.7702*Deflactores!$K$5</f>
        <v>18.755353612630064</v>
      </c>
      <c r="O18" s="42">
        <f>27.814143272*Deflactores!$L$5</f>
        <v>57.344391348655833</v>
      </c>
      <c r="P18" s="42">
        <f>10.6978*Deflactores!$M$5</f>
        <v>21.530304133239948</v>
      </c>
      <c r="Q18" s="42">
        <f>10.4418*Deflactores!$N$5</f>
        <v>20.615146794786625</v>
      </c>
      <c r="R18" s="42">
        <f>15.822551352*Deflactores!$O$5</f>
        <v>30.135359060102044</v>
      </c>
      <c r="S18" s="42">
        <f>18.103222687*Deflactores!$P$5</f>
        <v>32.292859832546171</v>
      </c>
      <c r="T18" s="42">
        <f>17.435225741*Deflactores!$Q$5</f>
        <v>29.410188802914544</v>
      </c>
      <c r="U18" s="42">
        <f>30.77880873864*Deflactores!$R$5</f>
        <v>49.878460002285628</v>
      </c>
      <c r="V18" s="42">
        <f>50.6894924*Deflactores!$S$5</f>
        <v>79.612937405696997</v>
      </c>
    </row>
    <row r="19" spans="2:22" x14ac:dyDescent="0.2">
      <c r="B19" s="34" t="s">
        <v>41</v>
      </c>
      <c r="C19" s="76" t="s">
        <v>42</v>
      </c>
      <c r="D19" s="41">
        <f t="shared" ref="D19:V19" si="1">+D20+D23</f>
        <v>59932.753885746446</v>
      </c>
      <c r="E19" s="41">
        <f t="shared" si="1"/>
        <v>72170.883432701463</v>
      </c>
      <c r="F19" s="41">
        <f t="shared" si="1"/>
        <v>72374.026005525753</v>
      </c>
      <c r="G19" s="41">
        <f t="shared" si="1"/>
        <v>80916.919260470691</v>
      </c>
      <c r="H19" s="41">
        <f t="shared" si="1"/>
        <v>75432.14421154256</v>
      </c>
      <c r="I19" s="41">
        <f t="shared" si="1"/>
        <v>84435.240899534634</v>
      </c>
      <c r="J19" s="41">
        <f t="shared" si="1"/>
        <v>99700.484872420493</v>
      </c>
      <c r="K19" s="41">
        <f t="shared" si="1"/>
        <v>95273.964668568369</v>
      </c>
      <c r="L19" s="41">
        <f t="shared" si="1"/>
        <v>87504.590522609156</v>
      </c>
      <c r="M19" s="41">
        <f t="shared" si="1"/>
        <v>81701.824151692985</v>
      </c>
      <c r="N19" s="41">
        <f t="shared" si="1"/>
        <v>85303.588493873991</v>
      </c>
      <c r="O19" s="41">
        <f t="shared" si="1"/>
        <v>72540.474902871385</v>
      </c>
      <c r="P19" s="41">
        <f t="shared" si="1"/>
        <v>73278.086989635805</v>
      </c>
      <c r="Q19" s="41">
        <f t="shared" si="1"/>
        <v>87933.79294110823</v>
      </c>
      <c r="R19" s="41">
        <f t="shared" si="1"/>
        <v>77994.923761141894</v>
      </c>
      <c r="S19" s="41">
        <f t="shared" si="1"/>
        <v>83795.630689209531</v>
      </c>
      <c r="T19" s="41">
        <f t="shared" si="1"/>
        <v>78783.058294622722</v>
      </c>
      <c r="U19" s="41">
        <f t="shared" si="1"/>
        <v>81036.057800493814</v>
      </c>
      <c r="V19" s="41">
        <f t="shared" si="1"/>
        <v>75276.837971505011</v>
      </c>
    </row>
    <row r="20" spans="2:22" x14ac:dyDescent="0.2">
      <c r="B20" s="34"/>
      <c r="C20" s="76" t="s">
        <v>43</v>
      </c>
      <c r="D20" s="41">
        <f t="shared" ref="D20:V20" si="2">+D21+D22</f>
        <v>18583.688710789123</v>
      </c>
      <c r="E20" s="41">
        <f t="shared" si="2"/>
        <v>26748.002795823588</v>
      </c>
      <c r="F20" s="41">
        <f t="shared" si="2"/>
        <v>30236.451764930338</v>
      </c>
      <c r="G20" s="41">
        <f t="shared" si="2"/>
        <v>39504.759414620828</v>
      </c>
      <c r="H20" s="41">
        <f t="shared" si="2"/>
        <v>26385.355692342084</v>
      </c>
      <c r="I20" s="41">
        <f t="shared" si="2"/>
        <v>35054.353449893853</v>
      </c>
      <c r="J20" s="41">
        <f t="shared" si="2"/>
        <v>27194.905556890313</v>
      </c>
      <c r="K20" s="41">
        <f t="shared" si="2"/>
        <v>18694.958801260647</v>
      </c>
      <c r="L20" s="41">
        <f t="shared" si="2"/>
        <v>18434.779761806283</v>
      </c>
      <c r="M20" s="41">
        <f t="shared" si="2"/>
        <v>18243.282884785684</v>
      </c>
      <c r="N20" s="41">
        <f t="shared" si="2"/>
        <v>18435.394269858967</v>
      </c>
      <c r="O20" s="41">
        <f t="shared" si="2"/>
        <v>14493.581503655949</v>
      </c>
      <c r="P20" s="41">
        <f t="shared" si="2"/>
        <v>13205.559097161615</v>
      </c>
      <c r="Q20" s="41">
        <f t="shared" si="2"/>
        <v>13937.142217036548</v>
      </c>
      <c r="R20" s="41">
        <f t="shared" si="2"/>
        <v>17164.633870952726</v>
      </c>
      <c r="S20" s="41">
        <f t="shared" si="2"/>
        <v>19867.839335504883</v>
      </c>
      <c r="T20" s="41">
        <f t="shared" si="2"/>
        <v>16324.12914411876</v>
      </c>
      <c r="U20" s="41">
        <f t="shared" si="2"/>
        <v>23345.333227197119</v>
      </c>
      <c r="V20" s="41">
        <f t="shared" si="2"/>
        <v>17550.446613008909</v>
      </c>
    </row>
    <row r="21" spans="2:22" x14ac:dyDescent="0.2">
      <c r="B21" s="32"/>
      <c r="C21" s="77" t="s">
        <v>60</v>
      </c>
      <c r="D21" s="42">
        <f>2592.326761633*Deflactores!$A$5</f>
        <v>9411.5955886070242</v>
      </c>
      <c r="E21" s="42">
        <f>4466.019032136*Deflactores!$B$5</f>
        <v>15062.147345942163</v>
      </c>
      <c r="F21" s="42">
        <f>5711.515399244*Deflactores!$C$5</f>
        <v>18003.917587656822</v>
      </c>
      <c r="G21" s="42">
        <f>7909.3370198*Deflactores!$D$5</f>
        <v>23412.153607191369</v>
      </c>
      <c r="H21" s="42">
        <f>4469.42343748299*Deflactores!$E$5</f>
        <v>12540.439185094383</v>
      </c>
      <c r="I21" s="42">
        <f>8567.810742997*Deflactores!$F$5</f>
        <v>22926.685803584936</v>
      </c>
      <c r="J21" s="42">
        <f>5420.12186511*Deflactores!$G$5</f>
        <v>13882.121148018077</v>
      </c>
      <c r="K21" s="42">
        <f>3720.58431846086*Deflactores!$H$5</f>
        <v>9015.8297232837049</v>
      </c>
      <c r="L21" s="42">
        <f>4132.157720009*Deflactores!$I$5</f>
        <v>9299.4891986948714</v>
      </c>
      <c r="M21" s="42">
        <f>3404.305144954*Deflactores!$J$5</f>
        <v>7511.0874081514512</v>
      </c>
      <c r="N21" s="42">
        <f>3879.178468778*Deflactores!$K$5</f>
        <v>8295.7474069499222</v>
      </c>
      <c r="O21" s="42">
        <f>3023.35726236699*Deflactores!$L$5</f>
        <v>6233.2526421730381</v>
      </c>
      <c r="P21" s="42">
        <f>3394.06465378*Deflactores!$M$5</f>
        <v>6830.8665560922009</v>
      </c>
      <c r="Q21" s="42">
        <f>2962.942797922*Deflactores!$N$5</f>
        <v>5849.7098894556329</v>
      </c>
      <c r="R21" s="42">
        <f>4984.233802202*Deflactores!$O$5</f>
        <v>9492.8859402860544</v>
      </c>
      <c r="S21" s="42">
        <f>6079.444853663*Deflactores!$P$5</f>
        <v>10844.624955092308</v>
      </c>
      <c r="T21" s="42">
        <f>3556.95272029546*Deflactores!$Q$5</f>
        <v>5999.9596575874339</v>
      </c>
      <c r="U21" s="42">
        <f>7884.374597283*Deflactores!$R$5</f>
        <v>12776.987775355783</v>
      </c>
      <c r="V21" s="42">
        <f>3074.496157762*Deflactores!$S$5</f>
        <v>4828.8049174065518</v>
      </c>
    </row>
    <row r="22" spans="2:22" x14ac:dyDescent="0.2">
      <c r="B22" s="32"/>
      <c r="C22" s="77" t="s">
        <v>61</v>
      </c>
      <c r="D22" s="42">
        <f>2526.358281863*Deflactores!$A$5</f>
        <v>9172.0931221820974</v>
      </c>
      <c r="E22" s="42">
        <f>3464.927785348*Deflactores!$B$5</f>
        <v>11685.855449881423</v>
      </c>
      <c r="F22" s="42">
        <f>3880.616926017*Deflactores!$C$5</f>
        <v>12232.534177273516</v>
      </c>
      <c r="G22" s="42">
        <f>5436.57132074573*Deflactores!$D$5</f>
        <v>16092.605807429458</v>
      </c>
      <c r="H22" s="42">
        <f>4934.340290174*Deflactores!$E$5</f>
        <v>13844.916507247703</v>
      </c>
      <c r="I22" s="42">
        <f>4532.166665419*Deflactores!$F$5</f>
        <v>12127.667646308915</v>
      </c>
      <c r="J22" s="42">
        <f>5197.830582996*Deflactores!$G$5</f>
        <v>13312.784408872234</v>
      </c>
      <c r="K22" s="42">
        <f>3994.309671896*Deflactores!$H$5</f>
        <v>9679.1290779769442</v>
      </c>
      <c r="L22" s="42">
        <f>4059.197297652*Deflactores!$I$5</f>
        <v>9135.2905631114118</v>
      </c>
      <c r="M22" s="42">
        <f>4864.231540976*Deflactores!$J$5</f>
        <v>10732.195476634233</v>
      </c>
      <c r="N22" s="42">
        <f>4741.405187754*Deflactores!$K$5</f>
        <v>10139.646862909043</v>
      </c>
      <c r="O22" s="42">
        <f>4006.56393805299*Deflactores!$L$5</f>
        <v>8260.3288614829107</v>
      </c>
      <c r="P22" s="42">
        <f>3167.404670358*Deflactores!$M$5</f>
        <v>6374.692541069413</v>
      </c>
      <c r="Q22" s="42">
        <f>4096.373977773*Deflactores!$N$5</f>
        <v>8087.4323275809138</v>
      </c>
      <c r="R22" s="42">
        <f>4028.046433775*Deflactores!$O$5</f>
        <v>7671.7479306666737</v>
      </c>
      <c r="S22" s="42">
        <f>5058.370801725*Deflactores!$P$5</f>
        <v>9023.2143804125772</v>
      </c>
      <c r="T22" s="42">
        <f>6120.47160908329*Deflactores!$Q$5</f>
        <v>10324.169486531326</v>
      </c>
      <c r="U22" s="42">
        <f>6521.474065783*Deflactores!$R$5</f>
        <v>10568.345451841336</v>
      </c>
      <c r="V22" s="42">
        <f>8099.858905578*Deflactores!$S$5</f>
        <v>12721.641695602357</v>
      </c>
    </row>
    <row r="23" spans="2:22" x14ac:dyDescent="0.2">
      <c r="B23" s="34"/>
      <c r="C23" s="76" t="s">
        <v>44</v>
      </c>
      <c r="D23" s="41">
        <f t="shared" ref="D23:V23" si="3">+D24+D25</f>
        <v>41349.065174957323</v>
      </c>
      <c r="E23" s="41">
        <f t="shared" si="3"/>
        <v>45422.880636877875</v>
      </c>
      <c r="F23" s="41">
        <f t="shared" si="3"/>
        <v>42137.574240595422</v>
      </c>
      <c r="G23" s="41">
        <f t="shared" si="3"/>
        <v>41412.159845849863</v>
      </c>
      <c r="H23" s="41">
        <f t="shared" si="3"/>
        <v>49046.788519200476</v>
      </c>
      <c r="I23" s="41">
        <f t="shared" si="3"/>
        <v>49380.887449640781</v>
      </c>
      <c r="J23" s="41">
        <f t="shared" si="3"/>
        <v>72505.57931553018</v>
      </c>
      <c r="K23" s="41">
        <f t="shared" si="3"/>
        <v>76579.005867307715</v>
      </c>
      <c r="L23" s="41">
        <f t="shared" si="3"/>
        <v>69069.81076080288</v>
      </c>
      <c r="M23" s="41">
        <f t="shared" si="3"/>
        <v>63458.541266907298</v>
      </c>
      <c r="N23" s="41">
        <f t="shared" si="3"/>
        <v>66868.194224015024</v>
      </c>
      <c r="O23" s="41">
        <f t="shared" si="3"/>
        <v>58046.893399215442</v>
      </c>
      <c r="P23" s="41">
        <f t="shared" si="3"/>
        <v>60072.527892474194</v>
      </c>
      <c r="Q23" s="41">
        <f t="shared" si="3"/>
        <v>73996.650724071675</v>
      </c>
      <c r="R23" s="41">
        <f t="shared" si="3"/>
        <v>60830.289890189175</v>
      </c>
      <c r="S23" s="41">
        <f t="shared" si="3"/>
        <v>63927.791353704641</v>
      </c>
      <c r="T23" s="41">
        <f t="shared" si="3"/>
        <v>62458.929150503958</v>
      </c>
      <c r="U23" s="41">
        <f t="shared" si="3"/>
        <v>57690.724573296699</v>
      </c>
      <c r="V23" s="41">
        <f t="shared" si="3"/>
        <v>57726.391358496105</v>
      </c>
    </row>
    <row r="24" spans="2:22" x14ac:dyDescent="0.2">
      <c r="B24" s="32"/>
      <c r="C24" s="77" t="s">
        <v>60</v>
      </c>
      <c r="D24" s="42">
        <f>6383.295355696*Deflactores!$A$5</f>
        <v>23174.93122379353</v>
      </c>
      <c r="E24" s="42">
        <f>8411.104550394*Deflactores!$B$5</f>
        <v>28367.388309038692</v>
      </c>
      <c r="F24" s="42">
        <f>8119.19587233799*Deflactores!$C$5</f>
        <v>25593.441170265469</v>
      </c>
      <c r="G24" s="42">
        <f>7146.031182507*Deflactores!$D$5</f>
        <v>21152.718528469508</v>
      </c>
      <c r="H24" s="42">
        <f>9691.048390262*Deflactores!$E$5</f>
        <v>27191.427412912239</v>
      </c>
      <c r="I24" s="42">
        <f>9624.308033073*Deflactores!$F$5</f>
        <v>25753.776894702878</v>
      </c>
      <c r="J24" s="42">
        <f>17121.65354468*Deflactores!$G$5</f>
        <v>43852.310829328038</v>
      </c>
      <c r="K24" s="42">
        <f>19126.4048796461*Deflactores!$H$5</f>
        <v>46347.668767471274</v>
      </c>
      <c r="L24" s="42">
        <f>18573.685191487*Deflactores!$I$5</f>
        <v>41800.385300350063</v>
      </c>
      <c r="M24" s="42">
        <f>16047.7408469709*Deflactores!$J$5</f>
        <v>35406.927132729041</v>
      </c>
      <c r="N24" s="42">
        <f>18160.0039880089*Deflactores!$K$5</f>
        <v>38835.750199753602</v>
      </c>
      <c r="O24" s="42">
        <f>14793.587457*Deflactores!$L$5</f>
        <v>30499.924455295812</v>
      </c>
      <c r="P24" s="42">
        <f>16671.904732408*Deflactores!$M$5</f>
        <v>33553.738092799133</v>
      </c>
      <c r="Q24" s="42">
        <f>22808.654132281*Deflactores!$N$5</f>
        <v>45030.909721359283</v>
      </c>
      <c r="R24" s="42">
        <f>17782.967320987*Deflactores!$O$5</f>
        <v>33869.133583457507</v>
      </c>
      <c r="S24" s="42">
        <f>20398.09670945*Deflactores!$P$5</f>
        <v>36386.498099148645</v>
      </c>
      <c r="T24" s="42">
        <f>19919.0327611305*Deflactores!$Q$5</f>
        <v>33599.938594353313</v>
      </c>
      <c r="U24" s="42">
        <f>17104.713720066*Deflactores!$R$5</f>
        <v>27718.966850909903</v>
      </c>
      <c r="V24" s="42">
        <f>16113.554506496*Deflactores!$S$5</f>
        <v>25307.955269817478</v>
      </c>
    </row>
    <row r="25" spans="2:22" x14ac:dyDescent="0.2">
      <c r="B25" s="32"/>
      <c r="C25" s="77" t="s">
        <v>61</v>
      </c>
      <c r="D25" s="42">
        <f>5005.877416592*Deflactores!$A$5</f>
        <v>18174.133951163793</v>
      </c>
      <c r="E25" s="42">
        <f>5057.058040207*Deflactores!$B$5</f>
        <v>17055.492327839187</v>
      </c>
      <c r="F25" s="42">
        <f>5248.41720354872*Deflactores!$C$5</f>
        <v>16544.13307032995</v>
      </c>
      <c r="G25" s="42">
        <f>6844.25499253527*Deflactores!$D$5</f>
        <v>20259.441317380355</v>
      </c>
      <c r="H25" s="42">
        <f>7789.269715466*Deflactores!$E$5</f>
        <v>21855.361106288234</v>
      </c>
      <c r="I25" s="42">
        <f>8829.562779934*Deflactores!$F$5</f>
        <v>23627.110554937903</v>
      </c>
      <c r="J25" s="42">
        <f>11187.354250334*Deflactores!$G$5</f>
        <v>28653.268486202142</v>
      </c>
      <c r="K25" s="42">
        <f>12475.639202599*Deflactores!$H$5</f>
        <v>30231.337099836448</v>
      </c>
      <c r="L25" s="42">
        <f>12116.963042705*Deflactores!$I$5</f>
        <v>27269.425460452818</v>
      </c>
      <c r="M25" s="42">
        <f>12714.038478318*Deflactores!$J$5</f>
        <v>28051.614134178253</v>
      </c>
      <c r="N25" s="42">
        <f>13108.264747193*Deflactores!$K$5</f>
        <v>28032.444024261418</v>
      </c>
      <c r="O25" s="42">
        <f>13361.2952007289*Deflactores!$L$5</f>
        <v>27546.96894391963</v>
      </c>
      <c r="P25" s="42">
        <f>13176.437627789*Deflactores!$M$5</f>
        <v>26518.789799675062</v>
      </c>
      <c r="Q25" s="42">
        <f>14671.468382588*Deflactores!$N$5</f>
        <v>28965.741002712395</v>
      </c>
      <c r="R25" s="42">
        <f>14155.938189479*Deflactores!$O$5</f>
        <v>26961.156306731671</v>
      </c>
      <c r="S25" s="42">
        <f>15439.517201654*Deflactores!$P$5</f>
        <v>27541.293254555992</v>
      </c>
      <c r="T25" s="42">
        <f>17108.4591933667*Deflactores!$Q$5</f>
        <v>28858.990556150649</v>
      </c>
      <c r="U25" s="42">
        <f>18494.857268166*Deflactores!$R$5</f>
        <v>29971.757722386796</v>
      </c>
      <c r="V25" s="42">
        <f>20640.791852247*Deflactores!$S$5</f>
        <v>32418.436088678627</v>
      </c>
    </row>
    <row r="26" spans="2:22" x14ac:dyDescent="0.2">
      <c r="B26" s="34" t="s">
        <v>45</v>
      </c>
      <c r="C26" s="76" t="s">
        <v>46</v>
      </c>
      <c r="D26" s="41">
        <f>5282.46193920199*Deflactores!$A$5</f>
        <v>19178.290414538562</v>
      </c>
      <c r="E26" s="41">
        <f>8682.710599852*Deflactores!$B$5</f>
        <v>29283.410007009159</v>
      </c>
      <c r="F26" s="41">
        <f>7691.33760007117*Deflactores!$C$5</f>
        <v>24244.74042543185</v>
      </c>
      <c r="G26" s="41">
        <f>6270.8732041031*Deflactores!$D$5</f>
        <v>18562.193814494265</v>
      </c>
      <c r="H26" s="41">
        <f>7963.9756075135*Deflactores!$E$5</f>
        <v>22345.556015127117</v>
      </c>
      <c r="I26" s="41">
        <f>9163.73950241747*Deflactores!$F$5</f>
        <v>24521.337207354634</v>
      </c>
      <c r="J26" s="41">
        <f>10749.1531497432*Deflactores!$G$5</f>
        <v>27530.939336233321</v>
      </c>
      <c r="K26" s="41">
        <f>16125.835038255*Deflactores!$H$5</f>
        <v>39076.599374265388</v>
      </c>
      <c r="L26" s="41">
        <f>16219.0159494324*Deflactores!$I$5</f>
        <v>36501.163279623783</v>
      </c>
      <c r="M26" s="41">
        <f>23698.743583883*Deflactores!$J$5</f>
        <v>52287.714215559499</v>
      </c>
      <c r="N26" s="41">
        <f>18202.9908133394*Deflactores!$K$5</f>
        <v>38927.678902606203</v>
      </c>
      <c r="O26" s="41">
        <f>25037.590831207*Deflactores!$L$5</f>
        <v>51619.975960129988</v>
      </c>
      <c r="P26" s="41">
        <f>29848.254958601*Deflactores!$M$5</f>
        <v>60072.351988742252</v>
      </c>
      <c r="Q26" s="41">
        <f>34723.8330709731*Deflactores!$N$5</f>
        <v>68554.934593247992</v>
      </c>
      <c r="R26" s="41">
        <f>38578.938422624*Deflactores!$O$5</f>
        <v>73476.782325398322</v>
      </c>
      <c r="S26" s="41">
        <f>39728.7584789163*Deflactores!$P$5</f>
        <v>70868.886223336347</v>
      </c>
      <c r="T26" s="41">
        <f>33408.0358796063*Deflactores!$Q$5</f>
        <v>56353.537221102306</v>
      </c>
      <c r="U26" s="41">
        <f>31702.147465306*Deflactores!$R$5</f>
        <v>51374.772420925598</v>
      </c>
      <c r="V26" s="41">
        <f>30951.1046466839*Deflactores!$S$5</f>
        <v>48611.817562284821</v>
      </c>
    </row>
    <row r="27" spans="2:22" ht="14.25" customHeight="1" x14ac:dyDescent="0.2">
      <c r="B27" s="36" t="s">
        <v>47</v>
      </c>
      <c r="C27" s="78" t="s">
        <v>48</v>
      </c>
      <c r="D27" s="43">
        <f t="shared" ref="D27:V27" si="4">+D14+D26</f>
        <v>108577.38974510442</v>
      </c>
      <c r="E27" s="43">
        <f t="shared" si="4"/>
        <v>123391.21871875526</v>
      </c>
      <c r="F27" s="43">
        <f t="shared" si="4"/>
        <v>122126.1783495383</v>
      </c>
      <c r="G27" s="43">
        <f t="shared" si="4"/>
        <v>116957.30860106893</v>
      </c>
      <c r="H27" s="43">
        <f t="shared" si="4"/>
        <v>132159.7908609187</v>
      </c>
      <c r="I27" s="43">
        <f t="shared" si="4"/>
        <v>144916.09381175032</v>
      </c>
      <c r="J27" s="43">
        <f t="shared" si="4"/>
        <v>153732.55238435458</v>
      </c>
      <c r="K27" s="43">
        <f t="shared" si="4"/>
        <v>170158.87412341137</v>
      </c>
      <c r="L27" s="43">
        <f t="shared" si="4"/>
        <v>174637.03522496222</v>
      </c>
      <c r="M27" s="43">
        <f t="shared" si="4"/>
        <v>206952.46010841816</v>
      </c>
      <c r="N27" s="43">
        <f t="shared" si="4"/>
        <v>207998.52819550585</v>
      </c>
      <c r="O27" s="43">
        <f t="shared" si="4"/>
        <v>212836.42251382832</v>
      </c>
      <c r="P27" s="43">
        <f t="shared" si="4"/>
        <v>233384.55961635738</v>
      </c>
      <c r="Q27" s="43">
        <f t="shared" si="4"/>
        <v>256688.47631875984</v>
      </c>
      <c r="R27" s="43">
        <f t="shared" si="4"/>
        <v>275394.43498656107</v>
      </c>
      <c r="S27" s="43">
        <f t="shared" si="4"/>
        <v>264648.42130030924</v>
      </c>
      <c r="T27" s="43">
        <f t="shared" si="4"/>
        <v>253637.12288398657</v>
      </c>
      <c r="U27" s="43">
        <f t="shared" si="4"/>
        <v>266893.78074972698</v>
      </c>
      <c r="V27" s="43">
        <f t="shared" si="4"/>
        <v>269494.65449113824</v>
      </c>
    </row>
    <row r="28" spans="2:22" ht="14.25" customHeight="1" x14ac:dyDescent="0.2">
      <c r="B28" s="38" t="s">
        <v>49</v>
      </c>
      <c r="C28" s="79" t="s">
        <v>50</v>
      </c>
      <c r="D28" s="44">
        <f t="shared" ref="D28:V28" si="5">+D14+D19+D26</f>
        <v>168510.14363085086</v>
      </c>
      <c r="E28" s="44">
        <f t="shared" si="5"/>
        <v>195562.10215145673</v>
      </c>
      <c r="F28" s="44">
        <f t="shared" si="5"/>
        <v>194500.20435506405</v>
      </c>
      <c r="G28" s="44">
        <f t="shared" si="5"/>
        <v>197874.22786153961</v>
      </c>
      <c r="H28" s="44">
        <f t="shared" si="5"/>
        <v>207591.93507246126</v>
      </c>
      <c r="I28" s="44">
        <f t="shared" si="5"/>
        <v>229351.33471128496</v>
      </c>
      <c r="J28" s="44">
        <f t="shared" si="5"/>
        <v>253433.03725677507</v>
      </c>
      <c r="K28" s="44">
        <f t="shared" si="5"/>
        <v>265432.83879197977</v>
      </c>
      <c r="L28" s="44">
        <f t="shared" si="5"/>
        <v>262141.62574757138</v>
      </c>
      <c r="M28" s="44">
        <f t="shared" si="5"/>
        <v>288654.2842601111</v>
      </c>
      <c r="N28" s="44">
        <f t="shared" si="5"/>
        <v>293302.11668937979</v>
      </c>
      <c r="O28" s="44">
        <f t="shared" si="5"/>
        <v>285376.89741669968</v>
      </c>
      <c r="P28" s="44">
        <f t="shared" si="5"/>
        <v>306662.64660599321</v>
      </c>
      <c r="Q28" s="44">
        <f t="shared" si="5"/>
        <v>344622.26925986813</v>
      </c>
      <c r="R28" s="44">
        <f t="shared" si="5"/>
        <v>353389.35874770291</v>
      </c>
      <c r="S28" s="44">
        <f t="shared" si="5"/>
        <v>348444.05198951875</v>
      </c>
      <c r="T28" s="44">
        <f t="shared" si="5"/>
        <v>332420.18117860926</v>
      </c>
      <c r="U28" s="44">
        <f t="shared" si="5"/>
        <v>347929.83855022083</v>
      </c>
      <c r="V28" s="44">
        <f t="shared" si="5"/>
        <v>344771.49246264325</v>
      </c>
    </row>
    <row r="29" spans="2:22" x14ac:dyDescent="0.2">
      <c r="B29" s="1" t="s">
        <v>52</v>
      </c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</row>
    <row r="34" spans="1:22" x14ac:dyDescent="0.2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</row>
    <row r="35" spans="1:22" x14ac:dyDescent="0.2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</row>
    <row r="36" spans="1:22" ht="18" customHeight="1" x14ac:dyDescent="0.2">
      <c r="A36" s="16"/>
      <c r="C36" s="131"/>
      <c r="D36" s="160" t="s">
        <v>76</v>
      </c>
      <c r="E36" s="158"/>
      <c r="F36" s="158"/>
      <c r="G36" s="158"/>
      <c r="H36" s="158"/>
      <c r="I36" s="158"/>
      <c r="J36" s="158"/>
      <c r="K36" s="158"/>
      <c r="L36" s="158"/>
      <c r="M36" s="158"/>
      <c r="N36" s="158"/>
      <c r="O36" s="158"/>
      <c r="P36" s="158"/>
      <c r="Q36" s="158"/>
      <c r="R36" s="158"/>
      <c r="S36" s="158"/>
      <c r="T36" s="158"/>
      <c r="U36" s="158"/>
      <c r="V36" s="158"/>
    </row>
    <row r="37" spans="1:22" ht="15.75" customHeight="1" x14ac:dyDescent="0.2">
      <c r="A37" s="16"/>
      <c r="B37" s="157"/>
      <c r="C37" s="158"/>
      <c r="D37" s="158"/>
      <c r="E37" s="158"/>
      <c r="F37" s="158"/>
      <c r="G37" s="158"/>
      <c r="H37" s="158"/>
      <c r="I37" s="158"/>
      <c r="J37" s="158"/>
      <c r="K37" s="158"/>
      <c r="L37" s="158"/>
      <c r="M37" s="158"/>
      <c r="N37" s="158"/>
      <c r="O37" s="158"/>
      <c r="P37" s="158"/>
      <c r="Q37" s="158"/>
      <c r="R37" s="158"/>
      <c r="S37" s="158"/>
      <c r="T37" s="158"/>
      <c r="U37" s="158"/>
      <c r="V37" s="158"/>
    </row>
    <row r="38" spans="1:22" x14ac:dyDescent="0.2">
      <c r="A38" s="16"/>
      <c r="B38" s="163"/>
      <c r="C38" s="155" t="s">
        <v>38</v>
      </c>
      <c r="D38" s="153">
        <v>2000</v>
      </c>
      <c r="E38" s="153">
        <v>2001</v>
      </c>
      <c r="F38" s="153">
        <v>2002</v>
      </c>
      <c r="G38" s="153">
        <v>2003</v>
      </c>
      <c r="H38" s="153">
        <v>2004</v>
      </c>
      <c r="I38" s="153">
        <v>2005</v>
      </c>
      <c r="J38" s="153">
        <v>2006</v>
      </c>
      <c r="K38" s="153">
        <v>2007</v>
      </c>
      <c r="L38" s="153">
        <v>2008</v>
      </c>
      <c r="M38" s="153" t="s">
        <v>35</v>
      </c>
      <c r="N38" s="153">
        <v>2010</v>
      </c>
      <c r="O38" s="153">
        <v>2011</v>
      </c>
      <c r="P38" s="153">
        <v>2012</v>
      </c>
      <c r="Q38" s="153">
        <v>2013</v>
      </c>
      <c r="R38" s="153">
        <v>2014</v>
      </c>
      <c r="S38" s="153">
        <v>2015</v>
      </c>
      <c r="T38" s="153">
        <v>2016</v>
      </c>
      <c r="U38" s="153">
        <v>2017</v>
      </c>
      <c r="V38" s="153">
        <v>2018</v>
      </c>
    </row>
    <row r="39" spans="1:22" ht="12" customHeight="1" thickBot="1" x14ac:dyDescent="0.25">
      <c r="A39" s="16"/>
      <c r="B39" s="154"/>
      <c r="C39" s="156"/>
      <c r="D39" s="154"/>
      <c r="E39" s="154"/>
      <c r="F39" s="154"/>
      <c r="G39" s="154"/>
      <c r="H39" s="154"/>
      <c r="I39" s="154"/>
      <c r="J39" s="154"/>
      <c r="K39" s="154"/>
      <c r="L39" s="154"/>
      <c r="M39" s="154"/>
      <c r="N39" s="154"/>
      <c r="O39" s="154"/>
      <c r="P39" s="154"/>
      <c r="Q39" s="154"/>
      <c r="R39" s="154"/>
      <c r="S39" s="154"/>
      <c r="T39" s="154"/>
      <c r="U39" s="154"/>
      <c r="V39" s="154"/>
    </row>
    <row r="40" spans="1:22" x14ac:dyDescent="0.2">
      <c r="A40" s="16"/>
      <c r="B40" s="34" t="s">
        <v>39</v>
      </c>
      <c r="C40" s="76" t="s">
        <v>40</v>
      </c>
      <c r="D40" s="41">
        <f t="shared" ref="D40:V40" si="6">+D41+D42+D43+D44</f>
        <v>85689.985010777149</v>
      </c>
      <c r="E40" s="41">
        <f t="shared" si="6"/>
        <v>91211.333247386312</v>
      </c>
      <c r="F40" s="41">
        <f t="shared" si="6"/>
        <v>96598.867470187542</v>
      </c>
      <c r="G40" s="41">
        <f t="shared" si="6"/>
        <v>97234.211513738643</v>
      </c>
      <c r="H40" s="41">
        <f t="shared" si="6"/>
        <v>108846.6014563858</v>
      </c>
      <c r="I40" s="41">
        <f t="shared" si="6"/>
        <v>118630.5001457435</v>
      </c>
      <c r="J40" s="41">
        <f t="shared" si="6"/>
        <v>124266.26387189027</v>
      </c>
      <c r="K40" s="41">
        <f t="shared" si="6"/>
        <v>126250.98853080625</v>
      </c>
      <c r="L40" s="41">
        <f t="shared" si="6"/>
        <v>135523.70321492758</v>
      </c>
      <c r="M40" s="41">
        <f t="shared" si="6"/>
        <v>146970.81771702238</v>
      </c>
      <c r="N40" s="41">
        <f t="shared" si="6"/>
        <v>155772.49832416201</v>
      </c>
      <c r="O40" s="41">
        <f t="shared" si="6"/>
        <v>159287.6704431347</v>
      </c>
      <c r="P40" s="41">
        <f t="shared" si="6"/>
        <v>170439.66605222828</v>
      </c>
      <c r="Q40" s="41">
        <f t="shared" si="6"/>
        <v>183352.115900882</v>
      </c>
      <c r="R40" s="41">
        <f t="shared" si="6"/>
        <v>192801.91416742213</v>
      </c>
      <c r="S40" s="41">
        <f t="shared" si="6"/>
        <v>190531.09281003251</v>
      </c>
      <c r="T40" s="41">
        <f t="shared" si="6"/>
        <v>195781.75798414816</v>
      </c>
      <c r="U40" s="41">
        <f t="shared" si="6"/>
        <v>214070.32705378355</v>
      </c>
      <c r="V40" s="41">
        <f t="shared" si="6"/>
        <v>215218.85319247298</v>
      </c>
    </row>
    <row r="41" spans="1:22" x14ac:dyDescent="0.2">
      <c r="A41" s="16"/>
      <c r="B41" s="40"/>
      <c r="C41" s="77" t="s">
        <v>56</v>
      </c>
      <c r="D41" s="42">
        <f>5794.77544611949*Deflactores!$A$5</f>
        <v>21038.274893752587</v>
      </c>
      <c r="E41" s="42">
        <f>6264.39302789246*Deflactores!$B$5</f>
        <v>21127.364245440971</v>
      </c>
      <c r="F41" s="42">
        <f>6776.47101012712*Deflactores!$C$5</f>
        <v>21360.885347104741</v>
      </c>
      <c r="G41" s="42">
        <f>7362.80104970823*Deflactores!$D$5</f>
        <v>21794.371478093595</v>
      </c>
      <c r="H41" s="42">
        <f>8118.71888398109*Deflactores!$E$5</f>
        <v>22779.739232490138</v>
      </c>
      <c r="I41" s="42">
        <f>8668.02996030312*Deflactores!$F$5</f>
        <v>23194.863355071662</v>
      </c>
      <c r="J41" s="42">
        <f>9639.19632389131*Deflactores!$G$5</f>
        <v>24688.096405941971</v>
      </c>
      <c r="K41" s="42">
        <f>10556.1019580064*Deflactores!$H$5</f>
        <v>25579.857798889614</v>
      </c>
      <c r="L41" s="42">
        <f>11778.9987884597*Deflactores!$I$5</f>
        <v>26508.831324202791</v>
      </c>
      <c r="M41" s="42">
        <f>13271.9058499765*Deflactores!$J$5</f>
        <v>29282.464605057332</v>
      </c>
      <c r="N41" s="42">
        <f>14323.8228376971*Deflactores!$K$5</f>
        <v>30631.953935563073</v>
      </c>
      <c r="O41" s="42">
        <f>15140.3187979917*Deflactores!$L$5</f>
        <v>31214.780114024237</v>
      </c>
      <c r="P41" s="42">
        <f>17072.0485766464*Deflactores!$M$5</f>
        <v>34359.064296644465</v>
      </c>
      <c r="Q41" s="42">
        <f>18862.0909883257*Deflactores!$N$5</f>
        <v>37239.247503395607</v>
      </c>
      <c r="R41" s="42">
        <f>20861.8696887452*Deflactores!$O$5</f>
        <v>39733.158057087268</v>
      </c>
      <c r="S41" s="42">
        <f>22294.3898699933*Deflactores!$P$5</f>
        <v>39769.140532134632</v>
      </c>
      <c r="T41" s="42">
        <f>24255.7569987995*Deflactores!$Q$5</f>
        <v>40915.236974235697</v>
      </c>
      <c r="U41" s="42">
        <f>26149.7561764564*Deflactores!$R$5</f>
        <v>42376.869702545053</v>
      </c>
      <c r="V41" s="42">
        <f>28787.2727489919*Deflactores!$S$5</f>
        <v>45213.302302593569</v>
      </c>
    </row>
    <row r="42" spans="1:22" x14ac:dyDescent="0.2">
      <c r="A42" s="16"/>
      <c r="B42" s="40"/>
      <c r="C42" s="77" t="s">
        <v>57</v>
      </c>
      <c r="D42" s="42">
        <f>1354.34291658599*Deflactores!$A$5</f>
        <v>4917.0220389856941</v>
      </c>
      <c r="E42" s="42">
        <f>1578.51579139748*Deflactores!$B$5</f>
        <v>5323.7205813146475</v>
      </c>
      <c r="F42" s="42">
        <f>1963.26104123114*Deflactores!$C$5</f>
        <v>6188.6185221633759</v>
      </c>
      <c r="G42" s="42">
        <f>2189.93683267727*Deflactores!$D$5</f>
        <v>6482.355902692696</v>
      </c>
      <c r="H42" s="42">
        <f>2578.85698428885*Deflactores!$E$5</f>
        <v>7235.8324582337818</v>
      </c>
      <c r="I42" s="42">
        <f>2827.05999634802*Deflactores!$F$5</f>
        <v>7564.9565832359704</v>
      </c>
      <c r="J42" s="42">
        <f>3131.31884798537*Deflactores!$G$5</f>
        <v>8019.9945098325043</v>
      </c>
      <c r="K42" s="42">
        <f>3389.08662632774*Deflactores!$H$5</f>
        <v>8212.5347324662107</v>
      </c>
      <c r="L42" s="42">
        <f>3744.62362467489*Deflactores!$I$5</f>
        <v>8427.33731634182</v>
      </c>
      <c r="M42" s="42">
        <f>4372.37182009168*Deflactores!$J$5</f>
        <v>9646.9809618346135</v>
      </c>
      <c r="N42" s="42">
        <f>4757.01316339708*Deflactores!$K$5</f>
        <v>10173.02501875079</v>
      </c>
      <c r="O42" s="42">
        <f>5158.49853094617*Deflactores!$L$5</f>
        <v>10635.271258843013</v>
      </c>
      <c r="P42" s="42">
        <f>5830.99701072129*Deflactores!$M$5</f>
        <v>11735.416538058515</v>
      </c>
      <c r="Q42" s="42">
        <f>6736.00391054873*Deflactores!$N$5</f>
        <v>13298.828691051238</v>
      </c>
      <c r="R42" s="42">
        <f>7116.94042332369*Deflactores!$O$5</f>
        <v>13554.802275241434</v>
      </c>
      <c r="S42" s="42">
        <f>6973.93625514605*Deflactores!$P$5</f>
        <v>12440.235082025831</v>
      </c>
      <c r="T42" s="42">
        <f>7152.85006484272*Deflactores!$Q$5</f>
        <v>12065.612112567826</v>
      </c>
      <c r="U42" s="42">
        <f>7227.76027924068*Deflactores!$R$5</f>
        <v>11712.91439689893</v>
      </c>
      <c r="V42" s="42">
        <f>7827.50558125817*Deflactores!$S$5</f>
        <v>12293.883453515322</v>
      </c>
    </row>
    <row r="43" spans="1:22" x14ac:dyDescent="0.2">
      <c r="A43" s="16"/>
      <c r="B43" s="40"/>
      <c r="C43" s="77" t="s">
        <v>58</v>
      </c>
      <c r="D43" s="42">
        <f>16450.0152810225*Deflactores!$A$5</f>
        <v>59722.753143150148</v>
      </c>
      <c r="E43" s="42">
        <f>19195.2071694174*Deflactores!$B$5</f>
        <v>64737.97729952127</v>
      </c>
      <c r="F43" s="42">
        <f>21898.0763301491*Deflactores!$C$5</f>
        <v>69027.418122414165</v>
      </c>
      <c r="G43" s="42">
        <f>23288.4193663865*Deflactores!$D$5</f>
        <v>68935.240729989542</v>
      </c>
      <c r="H43" s="42">
        <f>28082.7599995212*Deflactores!$E$5</f>
        <v>78795.430517974295</v>
      </c>
      <c r="I43" s="42">
        <f>32819.0881269754*Deflactores!$F$5</f>
        <v>87820.908329743354</v>
      </c>
      <c r="J43" s="42">
        <f>35730.2163447984*Deflactores!$G$5</f>
        <v>91512.922455908774</v>
      </c>
      <c r="K43" s="42">
        <f>38139.2075435111*Deflactores!$H$5</f>
        <v>92420.053293005563</v>
      </c>
      <c r="L43" s="42">
        <f>44676.7509221936*Deflactores!$I$5</f>
        <v>100545.7658651073</v>
      </c>
      <c r="M43" s="42">
        <f>48960.8429059582*Deflactores!$J$5</f>
        <v>108024.73779076966</v>
      </c>
      <c r="N43" s="42">
        <f>53751.4554051175*Deflactores!$K$5</f>
        <v>114949.20906210737</v>
      </c>
      <c r="O43" s="42">
        <f>56936.0316272677*Deflactores!$L$5</f>
        <v>117384.95942674833</v>
      </c>
      <c r="P43" s="42">
        <f>61773.5704436191*Deflactores!$M$5</f>
        <v>124324.97887857704</v>
      </c>
      <c r="Q43" s="42">
        <f>67261.5549282112*Deflactores!$N$5</f>
        <v>132793.85053254015</v>
      </c>
      <c r="R43" s="42">
        <f>73236.4278536437*Deflactores!$O$5</f>
        <v>139484.84037435858</v>
      </c>
      <c r="S43" s="42">
        <f>77524.485430689*Deflactores!$P$5</f>
        <v>138289.59544320649</v>
      </c>
      <c r="T43" s="42">
        <f>84641.8826483111*Deflactores!$Q$5</f>
        <v>142776.11235437839</v>
      </c>
      <c r="U43" s="42">
        <f>98690.721119668*Deflactores!$R$5</f>
        <v>159932.80401993866</v>
      </c>
      <c r="V43" s="42">
        <f>100365.043965815*Deflactores!$S$5</f>
        <v>157633.37892431641</v>
      </c>
    </row>
    <row r="44" spans="1:22" x14ac:dyDescent="0.2">
      <c r="A44" s="16"/>
      <c r="B44" s="40"/>
      <c r="C44" s="77" t="s">
        <v>59</v>
      </c>
      <c r="D44" s="42">
        <f>3.28735449999999*Deflactores!$A$5</f>
        <v>11.934934888724293</v>
      </c>
      <c r="E44" s="42">
        <f>6.60352395029*Deflactores!$B$5</f>
        <v>22.271121109431306</v>
      </c>
      <c r="F44" s="42">
        <f>6.961925804*Deflactores!$C$5</f>
        <v>21.945478505264685</v>
      </c>
      <c r="G44" s="42">
        <f>7.514497532*Deflactores!$D$5</f>
        <v>22.243402962805231</v>
      </c>
      <c r="H44" s="42">
        <f>12.68760285212*Deflactores!$E$5</f>
        <v>35.599247687581951</v>
      </c>
      <c r="I44" s="42">
        <f>18.599985713*Deflactores!$F$5</f>
        <v>49.771877692521649</v>
      </c>
      <c r="J44" s="42">
        <f>17.667561244*Deflactores!$G$5</f>
        <v>45.250500207020615</v>
      </c>
      <c r="K44" s="42">
        <f>15.9055121482*Deflactores!$H$5</f>
        <v>38.542706444861395</v>
      </c>
      <c r="L44" s="42">
        <f>18.5596101894*Deflactores!$I$5</f>
        <v>41.768709275679988</v>
      </c>
      <c r="M44" s="42">
        <f>7.539312496*Deflactores!$J$5</f>
        <v>16.634359360752804</v>
      </c>
      <c r="N44" s="42">
        <f>8.56209188399999*Deflactores!$K$5</f>
        <v>18.310307740786953</v>
      </c>
      <c r="O44" s="42">
        <f>25.5418679149999*Deflactores!$L$5</f>
        <v>52.65964351912649</v>
      </c>
      <c r="P44" s="42">
        <f>10.039959095*Deflactores!$M$5</f>
        <v>20.206338948254643</v>
      </c>
      <c r="Q44" s="42">
        <f>10.226040012*Deflactores!$N$5</f>
        <v>20.189173894993349</v>
      </c>
      <c r="R44" s="42">
        <f>15.286004278*Deflactores!$O$5</f>
        <v>29.113460734861764</v>
      </c>
      <c r="S44" s="42">
        <f>18.007300828*Deflactores!$P$5</f>
        <v>32.121752665544982</v>
      </c>
      <c r="T44" s="42">
        <f>14.700120666*Deflactores!$Q$5</f>
        <v>24.796542966233446</v>
      </c>
      <c r="U44" s="42">
        <f>29.45855848886*Deflactores!$R$5</f>
        <v>47.738934400893918</v>
      </c>
      <c r="V44" s="42">
        <f>49.8462318533099*Deflactores!$S$5</f>
        <v>78.288512047664952</v>
      </c>
    </row>
    <row r="45" spans="1:22" x14ac:dyDescent="0.2">
      <c r="A45" s="16"/>
      <c r="B45" s="34" t="s">
        <v>41</v>
      </c>
      <c r="C45" s="76" t="s">
        <v>42</v>
      </c>
      <c r="D45" s="41">
        <f t="shared" ref="D45:V45" si="7">+D46+D49</f>
        <v>57020.597931462478</v>
      </c>
      <c r="E45" s="41">
        <f t="shared" si="7"/>
        <v>71171.256348843512</v>
      </c>
      <c r="F45" s="41">
        <f t="shared" si="7"/>
        <v>71625.650969204173</v>
      </c>
      <c r="G45" s="41">
        <f t="shared" si="7"/>
        <v>80264.760545918311</v>
      </c>
      <c r="H45" s="41">
        <f t="shared" si="7"/>
        <v>72042.928386042608</v>
      </c>
      <c r="I45" s="41">
        <f t="shared" si="7"/>
        <v>82611.090905303296</v>
      </c>
      <c r="J45" s="41">
        <f t="shared" si="7"/>
        <v>96274.35455336771</v>
      </c>
      <c r="K45" s="41">
        <f t="shared" si="7"/>
        <v>92122.449120898571</v>
      </c>
      <c r="L45" s="41">
        <f t="shared" si="7"/>
        <v>80062.484474638361</v>
      </c>
      <c r="M45" s="41">
        <f t="shared" si="7"/>
        <v>72247.624068593213</v>
      </c>
      <c r="N45" s="41">
        <f t="shared" si="7"/>
        <v>69169.106796122025</v>
      </c>
      <c r="O45" s="41">
        <f t="shared" si="7"/>
        <v>69505.079530523202</v>
      </c>
      <c r="P45" s="41">
        <f t="shared" si="7"/>
        <v>72940.133246206111</v>
      </c>
      <c r="Q45" s="41">
        <f t="shared" si="7"/>
        <v>74891.271587513882</v>
      </c>
      <c r="R45" s="41">
        <f t="shared" si="7"/>
        <v>76160.050730711897</v>
      </c>
      <c r="S45" s="41">
        <f t="shared" si="7"/>
        <v>82615.213146134367</v>
      </c>
      <c r="T45" s="41">
        <f t="shared" si="7"/>
        <v>66913.541605275401</v>
      </c>
      <c r="U45" s="41">
        <f t="shared" si="7"/>
        <v>79274.911993138201</v>
      </c>
      <c r="V45" s="41">
        <f t="shared" si="7"/>
        <v>73770.699008092663</v>
      </c>
    </row>
    <row r="46" spans="1:22" x14ac:dyDescent="0.2">
      <c r="A46" s="16"/>
      <c r="B46" s="34"/>
      <c r="C46" s="76" t="s">
        <v>43</v>
      </c>
      <c r="D46" s="41">
        <f t="shared" ref="D46:V46" si="8">+D47+D48</f>
        <v>18083.046269538208</v>
      </c>
      <c r="E46" s="41">
        <f t="shared" si="8"/>
        <v>26276.07213554746</v>
      </c>
      <c r="F46" s="41">
        <f t="shared" si="8"/>
        <v>29788.205143746134</v>
      </c>
      <c r="G46" s="41">
        <f t="shared" si="8"/>
        <v>39214.571087809614</v>
      </c>
      <c r="H46" s="41">
        <f t="shared" si="8"/>
        <v>23812.187744557577</v>
      </c>
      <c r="I46" s="41">
        <f t="shared" si="8"/>
        <v>34287.64428615183</v>
      </c>
      <c r="J46" s="41">
        <f t="shared" si="8"/>
        <v>24697.894302980865</v>
      </c>
      <c r="K46" s="41">
        <f t="shared" si="8"/>
        <v>18055.407764390464</v>
      </c>
      <c r="L46" s="41">
        <f t="shared" si="8"/>
        <v>16508.260495494731</v>
      </c>
      <c r="M46" s="41">
        <f t="shared" si="8"/>
        <v>15157.814420777107</v>
      </c>
      <c r="N46" s="41">
        <f t="shared" si="8"/>
        <v>15049.31638215326</v>
      </c>
      <c r="O46" s="41">
        <f t="shared" si="8"/>
        <v>12629.390373868277</v>
      </c>
      <c r="P46" s="41">
        <f t="shared" si="8"/>
        <v>13036.288841134356</v>
      </c>
      <c r="Q46" s="41">
        <f t="shared" si="8"/>
        <v>13548.747585352423</v>
      </c>
      <c r="R46" s="41">
        <f t="shared" si="8"/>
        <v>16842.383291015554</v>
      </c>
      <c r="S46" s="41">
        <f t="shared" si="8"/>
        <v>19642.197057619866</v>
      </c>
      <c r="T46" s="41">
        <f t="shared" si="8"/>
        <v>15678.23830856178</v>
      </c>
      <c r="U46" s="41">
        <f t="shared" si="8"/>
        <v>22656.205910376102</v>
      </c>
      <c r="V46" s="41">
        <f t="shared" si="8"/>
        <v>17541.94531426395</v>
      </c>
    </row>
    <row r="47" spans="1:22" x14ac:dyDescent="0.2">
      <c r="A47" s="16"/>
      <c r="B47" s="32"/>
      <c r="C47" s="77" t="s">
        <v>60</v>
      </c>
      <c r="D47" s="42">
        <f>2525.46460732881*Deflactores!$A$5</f>
        <v>9168.8485839440509</v>
      </c>
      <c r="E47" s="42">
        <f>4398.17005089057*Deflactores!$B$5</f>
        <v>14833.319088508169</v>
      </c>
      <c r="F47" s="42">
        <f>5650.38056784968*Deflactores!$C$5</f>
        <v>17811.207529253701</v>
      </c>
      <c r="G47" s="42">
        <f>7842.92901842612*Deflactores!$D$5</f>
        <v>23215.581590469897</v>
      </c>
      <c r="H47" s="42">
        <f>4060.80453386332*Deflactores!$E$5</f>
        <v>11393.924297346757</v>
      </c>
      <c r="I47" s="42">
        <f>8411.28819125705*Deflactores!$F$5</f>
        <v>22507.845626956347</v>
      </c>
      <c r="J47" s="42">
        <f>4942.61546714898*Deflactores!$G$5</f>
        <v>12659.12250879577</v>
      </c>
      <c r="K47" s="42">
        <f>3519.23972920904*Deflactores!$H$5</f>
        <v>8527.9255724782051</v>
      </c>
      <c r="L47" s="42">
        <f>3471.56170551639*Deflactores!$I$5</f>
        <v>7812.8069571802553</v>
      </c>
      <c r="M47" s="42">
        <f>2845.4082608112*Deflactores!$J$5</f>
        <v>6277.9654727801762</v>
      </c>
      <c r="N47" s="42">
        <f>3360.86251068273*Deflactores!$K$5</f>
        <v>7187.3121287184185</v>
      </c>
      <c r="O47" s="42">
        <f>2372.97829680654*Deflactores!$L$5</f>
        <v>4892.3669797490147</v>
      </c>
      <c r="P47" s="42">
        <f>3393.29467592364*Deflactores!$M$5</f>
        <v>6829.3169050028846</v>
      </c>
      <c r="Q47" s="42">
        <f>2909.133724105*Deflactores!$N$5</f>
        <v>5743.4751449068999</v>
      </c>
      <c r="R47" s="42">
        <f>4840.87648330444*Deflactores!$O$5</f>
        <v>9219.8500573388046</v>
      </c>
      <c r="S47" s="42">
        <f>5998.53683867421*Deflactores!$P$5</f>
        <v>10700.29975772075</v>
      </c>
      <c r="T47" s="42">
        <f>3415.29301602609*Deflactores!$Q$5</f>
        <v>5761.0044120278617</v>
      </c>
      <c r="U47" s="42">
        <f>7662.48186229963*Deflactores!$R$5</f>
        <v>12417.400502155981</v>
      </c>
      <c r="V47" s="42">
        <f>3074.34865038517*Deflactores!$S$5</f>
        <v>4828.5732422604333</v>
      </c>
    </row>
    <row r="48" spans="1:22" x14ac:dyDescent="0.2">
      <c r="A48" s="16"/>
      <c r="B48" s="32"/>
      <c r="C48" s="77" t="s">
        <v>61</v>
      </c>
      <c r="D48" s="42">
        <f>2455.32364850293*Deflactores!$A$5</f>
        <v>8914.1976855941557</v>
      </c>
      <c r="E48" s="42">
        <f>3392.84643247613*Deflactores!$B$5</f>
        <v>11442.75304703929</v>
      </c>
      <c r="F48" s="42">
        <f>3799.5511798377*Deflactores!$C$5</f>
        <v>11976.997614492435</v>
      </c>
      <c r="G48" s="42">
        <f>5404.94488605403*Deflactores!$D$5</f>
        <v>15998.989497339713</v>
      </c>
      <c r="H48" s="42">
        <f>4425.87989819151*Deflactores!$E$5</f>
        <v>12418.26344721082</v>
      </c>
      <c r="I48" s="42">
        <f>4402.16638232183*Deflactores!$F$5</f>
        <v>11779.798659195487</v>
      </c>
      <c r="J48" s="42">
        <f>4700.40633812276*Deflactores!$G$5</f>
        <v>12038.771794185095</v>
      </c>
      <c r="K48" s="42">
        <f>3931.72918362673*Deflactores!$H$5</f>
        <v>9527.4821919122587</v>
      </c>
      <c r="L48" s="42">
        <f>3863.75904091253*Deflactores!$I$5</f>
        <v>8695.4535383144739</v>
      </c>
      <c r="M48" s="42">
        <f>4024.67896023595*Deflactores!$J$5</f>
        <v>8879.8489479969321</v>
      </c>
      <c r="N48" s="42">
        <f>3676.35562237769*Deflactores!$K$5</f>
        <v>7862.0042534348413</v>
      </c>
      <c r="O48" s="42">
        <f>3752.74149959032*Deflactores!$L$5</f>
        <v>7737.0233941192619</v>
      </c>
      <c r="P48" s="42">
        <f>3084.06903903568*Deflactores!$M$5</f>
        <v>6206.971936131471</v>
      </c>
      <c r="Q48" s="42">
        <f>3953.45687226709*Deflactores!$N$5</f>
        <v>7805.2724404455221</v>
      </c>
      <c r="R48" s="42">
        <f>4002.20628802319*Deflactores!$O$5</f>
        <v>7622.5332336767515</v>
      </c>
      <c r="S48" s="42">
        <f>5012.78483552611*Deflactores!$P$5</f>
        <v>8941.8972998991139</v>
      </c>
      <c r="T48" s="42">
        <f>5879.22821138879*Deflactores!$Q$5</f>
        <v>9917.2338965339186</v>
      </c>
      <c r="U48" s="42">
        <f>6318.12275995127*Deflactores!$R$5</f>
        <v>10238.805408220122</v>
      </c>
      <c r="V48" s="42">
        <f>8094.59364296838*Deflactores!$S$5</f>
        <v>12713.372072003516</v>
      </c>
    </row>
    <row r="49" spans="1:23" x14ac:dyDescent="0.2">
      <c r="A49" s="16"/>
      <c r="B49" s="34"/>
      <c r="C49" s="76" t="s">
        <v>44</v>
      </c>
      <c r="D49" s="41">
        <f t="shared" ref="D49:V49" si="9">+D50+D51</f>
        <v>38937.55166192427</v>
      </c>
      <c r="E49" s="41">
        <f t="shared" si="9"/>
        <v>44895.184213296059</v>
      </c>
      <c r="F49" s="41">
        <f t="shared" si="9"/>
        <v>41837.445825458039</v>
      </c>
      <c r="G49" s="41">
        <f t="shared" si="9"/>
        <v>41050.189458108704</v>
      </c>
      <c r="H49" s="41">
        <f t="shared" si="9"/>
        <v>48230.740641485027</v>
      </c>
      <c r="I49" s="41">
        <f t="shared" si="9"/>
        <v>48323.446619151466</v>
      </c>
      <c r="J49" s="41">
        <f t="shared" si="9"/>
        <v>71576.460250386837</v>
      </c>
      <c r="K49" s="41">
        <f t="shared" si="9"/>
        <v>74067.041356508111</v>
      </c>
      <c r="L49" s="41">
        <f t="shared" si="9"/>
        <v>63554.22397914363</v>
      </c>
      <c r="M49" s="41">
        <f t="shared" si="9"/>
        <v>57089.80964781611</v>
      </c>
      <c r="N49" s="41">
        <f t="shared" si="9"/>
        <v>54119.79041396876</v>
      </c>
      <c r="O49" s="41">
        <f t="shared" si="9"/>
        <v>56875.689156654924</v>
      </c>
      <c r="P49" s="41">
        <f t="shared" si="9"/>
        <v>59903.844405071752</v>
      </c>
      <c r="Q49" s="41">
        <f t="shared" si="9"/>
        <v>61342.524002161459</v>
      </c>
      <c r="R49" s="41">
        <f t="shared" si="9"/>
        <v>59317.667439696335</v>
      </c>
      <c r="S49" s="41">
        <f t="shared" si="9"/>
        <v>62973.016088514494</v>
      </c>
      <c r="T49" s="41">
        <f t="shared" si="9"/>
        <v>51235.303296713624</v>
      </c>
      <c r="U49" s="41">
        <f t="shared" si="9"/>
        <v>56618.706082762095</v>
      </c>
      <c r="V49" s="41">
        <f t="shared" si="9"/>
        <v>56228.753693828716</v>
      </c>
    </row>
    <row r="50" spans="1:23" x14ac:dyDescent="0.2">
      <c r="A50" s="16"/>
      <c r="B50" s="32"/>
      <c r="C50" s="77" t="s">
        <v>60</v>
      </c>
      <c r="D50" s="42">
        <f>6074.9929733826*Deflactores!$A$5</f>
        <v>22055.621195334774</v>
      </c>
      <c r="E50" s="42">
        <f>8299.65154502352*Deflactores!$B$5</f>
        <v>27991.500616451907</v>
      </c>
      <c r="F50" s="42">
        <f>8073.45917523677*Deflactores!$C$5</f>
        <v>25449.26932307917</v>
      </c>
      <c r="G50" s="42">
        <f>7121.13208463788*Deflactores!$D$5</f>
        <v>21079.01557428599</v>
      </c>
      <c r="H50" s="42">
        <f>9584.46065689588*Deflactores!$E$5</f>
        <v>26892.360428803069</v>
      </c>
      <c r="I50" s="42">
        <f>9499.11209202548*Deflactores!$F$5</f>
        <v>25418.76389192072</v>
      </c>
      <c r="J50" s="42">
        <f>17041.7316504578*Deflactores!$G$5</f>
        <v>43647.613325178994</v>
      </c>
      <c r="K50" s="42">
        <f>18284.0067513306*Deflactores!$H$5</f>
        <v>44306.344761878703</v>
      </c>
      <c r="L50" s="42">
        <f>16319.7039952349*Deflactores!$I$5</f>
        <v>36727.763389741558</v>
      </c>
      <c r="M50" s="42">
        <f>13696.6251719467*Deflactores!$J$5</f>
        <v>30219.543925334336</v>
      </c>
      <c r="N50" s="42">
        <f>13845.4427794111*Deflactores!$K$5</f>
        <v>29608.92285823479</v>
      </c>
      <c r="O50" s="42">
        <f>14339.1939088717*Deflactores!$L$5</f>
        <v>29563.101731857678</v>
      </c>
      <c r="P50" s="42">
        <f>16596.7196116956*Deflactores!$M$5</f>
        <v>33402.421138356884</v>
      </c>
      <c r="Q50" s="42">
        <f>18015.2261824909*Deflactores!$N$5</f>
        <v>35567.290342022767</v>
      </c>
      <c r="R50" s="42">
        <f>17331.4251576063*Deflactores!$O$5</f>
        <v>33009.134148376979</v>
      </c>
      <c r="S50" s="42">
        <f>20376.7749838661*Deflactores!$P$5</f>
        <v>36348.464014965204</v>
      </c>
      <c r="T50" s="42">
        <f>13862.1487996668*Deflactores!$Q$5</f>
        <v>23383.030393096178</v>
      </c>
      <c r="U50" s="42">
        <f>17062.9997412807*Deflactores!$R$5</f>
        <v>27651.367450294805</v>
      </c>
      <c r="V50" s="42">
        <f>15624.5116279023*Deflactores!$S$5</f>
        <v>24539.864325545521</v>
      </c>
    </row>
    <row r="51" spans="1:23" x14ac:dyDescent="0.2">
      <c r="A51" s="16"/>
      <c r="B51" s="32"/>
      <c r="C51" s="77" t="s">
        <v>61</v>
      </c>
      <c r="D51" s="42">
        <f>4649.95331817532*Deflactores!$A$5</f>
        <v>16881.9304665895</v>
      </c>
      <c r="E51" s="42">
        <f>5012.04582074741*Deflactores!$B$5</f>
        <v>16903.683596844156</v>
      </c>
      <c r="F51" s="42">
        <f>5198.94195266907*Deflactores!$C$5</f>
        <v>16388.176502378865</v>
      </c>
      <c r="G51" s="42">
        <f>6746.86949258964*Deflactores!$D$5</f>
        <v>19971.173883822714</v>
      </c>
      <c r="H51" s="42">
        <f>7605.01727513989*Deflactores!$E$5</f>
        <v>21338.380212681954</v>
      </c>
      <c r="I51" s="42">
        <f>8559.58808946646*Deflactores!$F$5</f>
        <v>22904.682727230746</v>
      </c>
      <c r="J51" s="42">
        <f>10904.5118013713*Deflactores!$G$5</f>
        <v>27928.846925207843</v>
      </c>
      <c r="K51" s="42">
        <f>12281.4188438467*Deflactores!$H$5</f>
        <v>29760.696594629408</v>
      </c>
      <c r="L51" s="42">
        <f>11920.1349511296*Deflactores!$I$5</f>
        <v>26826.460589402068</v>
      </c>
      <c r="M51" s="42">
        <f>12178.6072874152*Deflactores!$J$5</f>
        <v>26870.265722481774</v>
      </c>
      <c r="N51" s="42">
        <f>11461.5386666204*Deflactores!$K$5</f>
        <v>24510.867555733967</v>
      </c>
      <c r="O51" s="42">
        <f>13247.6115256587*Deflactores!$L$5</f>
        <v>27312.587424797246</v>
      </c>
      <c r="P51" s="42">
        <f>13167.8086880791*Deflactores!$M$5</f>
        <v>26501.423266714868</v>
      </c>
      <c r="Q51" s="42">
        <f>13055.4411041351*Deflactores!$N$5</f>
        <v>25775.233660138696</v>
      </c>
      <c r="R51" s="42">
        <f>13813.2788850299*Deflactores!$O$5</f>
        <v>26308.533291319356</v>
      </c>
      <c r="S51" s="42">
        <f>14925.5964825797*Deflactores!$P$5</f>
        <v>26624.55207354929</v>
      </c>
      <c r="T51" s="42">
        <f>16511.6473317704*Deflactores!$Q$5</f>
        <v>27852.272903617442</v>
      </c>
      <c r="U51" s="42">
        <f>17875.0541896296*Deflactores!$R$5</f>
        <v>28967.33863246729</v>
      </c>
      <c r="V51" s="42">
        <f>20176.2900496005*Deflactores!$S$5</f>
        <v>31688.889368283195</v>
      </c>
      <c r="W51" s="8"/>
    </row>
    <row r="52" spans="1:23" x14ac:dyDescent="0.2">
      <c r="A52" s="16"/>
      <c r="B52" s="34" t="s">
        <v>45</v>
      </c>
      <c r="C52" s="76" t="s">
        <v>46</v>
      </c>
      <c r="D52" s="41">
        <f>4304.79324784434*Deflactores!$A$5</f>
        <v>15628.80642244161</v>
      </c>
      <c r="E52" s="41">
        <f>8048.0453446888*Deflactores!$B$5</f>
        <v>27142.93064052378</v>
      </c>
      <c r="F52" s="41">
        <f>6491.40303091349*Deflactores!$C$5</f>
        <v>20462.290132720584</v>
      </c>
      <c r="G52" s="41">
        <f>6184.94341385733*Deflactores!$D$5</f>
        <v>18307.836029052651</v>
      </c>
      <c r="H52" s="41">
        <f>7612.94237134011*Deflactores!$E$5</f>
        <v>21360.616679717365</v>
      </c>
      <c r="I52" s="41">
        <f>8557.07143150982*Deflactores!$F$5</f>
        <v>22897.948378401416</v>
      </c>
      <c r="J52" s="41">
        <f>9886.9308467188*Deflactores!$G$5</f>
        <v>25322.598866223434</v>
      </c>
      <c r="K52" s="41">
        <f>13952.7384610578*Deflactores!$H$5</f>
        <v>33810.68761544639</v>
      </c>
      <c r="L52" s="41">
        <f>15853.3310046082*Deflactores!$I$5</f>
        <v>35678.183271370239</v>
      </c>
      <c r="M52" s="41">
        <f>22125.5350376892*Deflactores!$J$5</f>
        <v>48816.666116587694</v>
      </c>
      <c r="N52" s="41">
        <f>17260.6970087744*Deflactores!$K$5</f>
        <v>36912.553419537733</v>
      </c>
      <c r="O52" s="41">
        <f>24344.0228905136*Deflactores!$L$5</f>
        <v>50190.047630896079</v>
      </c>
      <c r="P52" s="41">
        <f>28291.0089764056*Deflactores!$M$5</f>
        <v>56938.251556229683</v>
      </c>
      <c r="Q52" s="41">
        <f>33023.6445019148*Deflactores!$N$5</f>
        <v>65198.268412134094</v>
      </c>
      <c r="R52" s="41">
        <f>37044.4768212073*Deflactores!$O$5</f>
        <v>70554.273161489924</v>
      </c>
      <c r="S52" s="41">
        <f>38494.5065130215*Deflactores!$P$5</f>
        <v>68667.204985591467</v>
      </c>
      <c r="T52" s="41">
        <f>32323.2587193337*Deflactores!$Q$5</f>
        <v>54523.707107822862</v>
      </c>
      <c r="U52" s="41">
        <f>31059.7242574772*Deflactores!$R$5</f>
        <v>50333.696382267815</v>
      </c>
      <c r="V52" s="41">
        <f>30111.499899578*Deflactores!$S$5</f>
        <v>47293.13400456847</v>
      </c>
    </row>
    <row r="53" spans="1:23" x14ac:dyDescent="0.2">
      <c r="A53" s="16"/>
      <c r="B53" s="36" t="s">
        <v>47</v>
      </c>
      <c r="C53" s="78" t="s">
        <v>48</v>
      </c>
      <c r="D53" s="43">
        <f t="shared" ref="D53:V53" si="10">+D40+D52</f>
        <v>101318.79143321876</v>
      </c>
      <c r="E53" s="43">
        <f t="shared" si="10"/>
        <v>118354.26388791009</v>
      </c>
      <c r="F53" s="43">
        <f t="shared" si="10"/>
        <v>117061.15760290812</v>
      </c>
      <c r="G53" s="43">
        <f t="shared" si="10"/>
        <v>115542.04754279129</v>
      </c>
      <c r="H53" s="43">
        <f t="shared" si="10"/>
        <v>130207.21813610317</v>
      </c>
      <c r="I53" s="43">
        <f t="shared" si="10"/>
        <v>141528.44852414491</v>
      </c>
      <c r="J53" s="43">
        <f t="shared" si="10"/>
        <v>149588.8627381137</v>
      </c>
      <c r="K53" s="43">
        <f t="shared" si="10"/>
        <v>160061.67614625263</v>
      </c>
      <c r="L53" s="43">
        <f t="shared" si="10"/>
        <v>171201.88648629782</v>
      </c>
      <c r="M53" s="43">
        <f t="shared" si="10"/>
        <v>195787.48383361008</v>
      </c>
      <c r="N53" s="43">
        <f t="shared" si="10"/>
        <v>192685.05174369973</v>
      </c>
      <c r="O53" s="43">
        <f t="shared" si="10"/>
        <v>209477.71807403077</v>
      </c>
      <c r="P53" s="43">
        <f t="shared" si="10"/>
        <v>227377.91760845797</v>
      </c>
      <c r="Q53" s="43">
        <f t="shared" si="10"/>
        <v>248550.38431301608</v>
      </c>
      <c r="R53" s="43">
        <f t="shared" si="10"/>
        <v>263356.18732891208</v>
      </c>
      <c r="S53" s="43">
        <f t="shared" si="10"/>
        <v>259198.29779562398</v>
      </c>
      <c r="T53" s="43">
        <f t="shared" si="10"/>
        <v>250305.46509197104</v>
      </c>
      <c r="U53" s="43">
        <f t="shared" si="10"/>
        <v>264404.02343605139</v>
      </c>
      <c r="V53" s="43">
        <f t="shared" si="10"/>
        <v>262511.98719704145</v>
      </c>
    </row>
    <row r="54" spans="1:23" x14ac:dyDescent="0.2">
      <c r="A54" s="16"/>
      <c r="B54" s="38" t="s">
        <v>49</v>
      </c>
      <c r="C54" s="79" t="s">
        <v>63</v>
      </c>
      <c r="D54" s="44">
        <f t="shared" ref="D54:V54" si="11">+D40+D45+D52</f>
        <v>158339.38936468124</v>
      </c>
      <c r="E54" s="44">
        <f t="shared" si="11"/>
        <v>189525.52023675363</v>
      </c>
      <c r="F54" s="44">
        <f t="shared" si="11"/>
        <v>188686.80857211229</v>
      </c>
      <c r="G54" s="44">
        <f t="shared" si="11"/>
        <v>195806.8080887096</v>
      </c>
      <c r="H54" s="44">
        <f t="shared" si="11"/>
        <v>202250.14652214578</v>
      </c>
      <c r="I54" s="44">
        <f t="shared" si="11"/>
        <v>224139.5394294482</v>
      </c>
      <c r="J54" s="44">
        <f t="shared" si="11"/>
        <v>245863.21729148141</v>
      </c>
      <c r="K54" s="44">
        <f t="shared" si="11"/>
        <v>252184.12526715122</v>
      </c>
      <c r="L54" s="44">
        <f t="shared" si="11"/>
        <v>251264.37096093618</v>
      </c>
      <c r="M54" s="44">
        <f t="shared" si="11"/>
        <v>268035.10790220328</v>
      </c>
      <c r="N54" s="44">
        <f t="shared" si="11"/>
        <v>261854.15853982174</v>
      </c>
      <c r="O54" s="44">
        <f t="shared" si="11"/>
        <v>278982.79760455398</v>
      </c>
      <c r="P54" s="44">
        <f t="shared" si="11"/>
        <v>300318.05085466406</v>
      </c>
      <c r="Q54" s="44">
        <f t="shared" si="11"/>
        <v>323441.65590052999</v>
      </c>
      <c r="R54" s="44">
        <f t="shared" si="11"/>
        <v>339516.23805962392</v>
      </c>
      <c r="S54" s="44">
        <f t="shared" si="11"/>
        <v>341813.51094175834</v>
      </c>
      <c r="T54" s="44">
        <f t="shared" si="11"/>
        <v>317219.00669724646</v>
      </c>
      <c r="U54" s="44">
        <f t="shared" si="11"/>
        <v>343678.93542918953</v>
      </c>
      <c r="V54" s="44">
        <f t="shared" si="11"/>
        <v>336282.68620513409</v>
      </c>
    </row>
    <row r="55" spans="1:23" x14ac:dyDescent="0.2">
      <c r="A55" s="16"/>
      <c r="B55" s="36" t="s">
        <v>64</v>
      </c>
      <c r="C55" s="78" t="s">
        <v>65</v>
      </c>
      <c r="D55" s="43">
        <f t="shared" ref="D55:V55" si="12">+D27</f>
        <v>108577.38974510442</v>
      </c>
      <c r="E55" s="43">
        <f t="shared" si="12"/>
        <v>123391.21871875526</v>
      </c>
      <c r="F55" s="43">
        <f t="shared" si="12"/>
        <v>122126.1783495383</v>
      </c>
      <c r="G55" s="43">
        <f t="shared" si="12"/>
        <v>116957.30860106893</v>
      </c>
      <c r="H55" s="43">
        <f t="shared" si="12"/>
        <v>132159.7908609187</v>
      </c>
      <c r="I55" s="43">
        <f t="shared" si="12"/>
        <v>144916.09381175032</v>
      </c>
      <c r="J55" s="43">
        <f t="shared" si="12"/>
        <v>153732.55238435458</v>
      </c>
      <c r="K55" s="43">
        <f t="shared" si="12"/>
        <v>170158.87412341137</v>
      </c>
      <c r="L55" s="43">
        <f t="shared" si="12"/>
        <v>174637.03522496222</v>
      </c>
      <c r="M55" s="43">
        <f t="shared" si="12"/>
        <v>206952.46010841816</v>
      </c>
      <c r="N55" s="43">
        <f t="shared" si="12"/>
        <v>207998.52819550585</v>
      </c>
      <c r="O55" s="43">
        <f t="shared" si="12"/>
        <v>212836.42251382832</v>
      </c>
      <c r="P55" s="43">
        <f t="shared" si="12"/>
        <v>233384.55961635738</v>
      </c>
      <c r="Q55" s="43">
        <f t="shared" si="12"/>
        <v>256688.47631875984</v>
      </c>
      <c r="R55" s="43">
        <f t="shared" si="12"/>
        <v>275394.43498656107</v>
      </c>
      <c r="S55" s="43">
        <f t="shared" si="12"/>
        <v>264648.42130030924</v>
      </c>
      <c r="T55" s="43">
        <f t="shared" si="12"/>
        <v>253637.12288398657</v>
      </c>
      <c r="U55" s="43">
        <f t="shared" si="12"/>
        <v>266893.78074972698</v>
      </c>
      <c r="V55" s="43">
        <f t="shared" si="12"/>
        <v>269494.65449113824</v>
      </c>
    </row>
    <row r="56" spans="1:23" x14ac:dyDescent="0.2">
      <c r="A56" s="16"/>
      <c r="B56" s="38" t="s">
        <v>66</v>
      </c>
      <c r="C56" s="79" t="s">
        <v>77</v>
      </c>
      <c r="D56" s="45">
        <f t="shared" ref="D56:V56" si="13">+D53/D$27*100</f>
        <v>93.314815976948893</v>
      </c>
      <c r="E56" s="45">
        <f t="shared" si="13"/>
        <v>95.917898467049042</v>
      </c>
      <c r="F56" s="45">
        <f t="shared" si="13"/>
        <v>95.852633059446475</v>
      </c>
      <c r="G56" s="45">
        <f t="shared" si="13"/>
        <v>98.789933630308667</v>
      </c>
      <c r="H56" s="45">
        <f t="shared" si="13"/>
        <v>98.52256672616079</v>
      </c>
      <c r="I56" s="45">
        <f t="shared" si="13"/>
        <v>97.662340187000865</v>
      </c>
      <c r="J56" s="45">
        <f t="shared" si="13"/>
        <v>97.304611429412148</v>
      </c>
      <c r="K56" s="45">
        <f t="shared" si="13"/>
        <v>94.066017403338293</v>
      </c>
      <c r="L56" s="45">
        <f t="shared" si="13"/>
        <v>98.03297809411427</v>
      </c>
      <c r="M56" s="45">
        <f t="shared" si="13"/>
        <v>94.605052643994185</v>
      </c>
      <c r="N56" s="45">
        <f t="shared" si="13"/>
        <v>92.637699610348974</v>
      </c>
      <c r="O56" s="45">
        <f t="shared" si="13"/>
        <v>98.421931547181813</v>
      </c>
      <c r="P56" s="45">
        <f t="shared" si="13"/>
        <v>97.426289889196923</v>
      </c>
      <c r="Q56" s="45">
        <f t="shared" si="13"/>
        <v>96.829584201653944</v>
      </c>
      <c r="R56" s="45">
        <f t="shared" si="13"/>
        <v>95.628725156252187</v>
      </c>
      <c r="S56" s="45">
        <f t="shared" si="13"/>
        <v>97.940617413129871</v>
      </c>
      <c r="T56" s="45">
        <f t="shared" si="13"/>
        <v>98.686447096492486</v>
      </c>
      <c r="U56" s="45">
        <f t="shared" si="13"/>
        <v>99.067135507361144</v>
      </c>
      <c r="V56" s="45">
        <f t="shared" si="13"/>
        <v>97.40897744065407</v>
      </c>
    </row>
    <row r="57" spans="1:23" x14ac:dyDescent="0.2">
      <c r="B57" s="1" t="s">
        <v>52</v>
      </c>
      <c r="C57" s="15"/>
      <c r="D57" s="12"/>
      <c r="E57" s="12"/>
      <c r="F57" s="12"/>
      <c r="G57" s="12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</row>
    <row r="62" spans="1:23" ht="18" customHeight="1" x14ac:dyDescent="0.2">
      <c r="A62" s="16"/>
      <c r="C62" s="131"/>
      <c r="D62" s="160" t="s">
        <v>78</v>
      </c>
      <c r="E62" s="158"/>
      <c r="F62" s="158"/>
      <c r="G62" s="158"/>
      <c r="H62" s="158"/>
      <c r="I62" s="158"/>
      <c r="J62" s="158"/>
      <c r="K62" s="158"/>
      <c r="L62" s="158"/>
      <c r="M62" s="158"/>
      <c r="N62" s="158"/>
      <c r="O62" s="158"/>
      <c r="P62" s="158"/>
      <c r="Q62" s="158"/>
      <c r="R62" s="158"/>
      <c r="S62" s="158"/>
      <c r="T62" s="158"/>
      <c r="U62" s="158"/>
      <c r="V62" s="158"/>
    </row>
    <row r="63" spans="1:23" x14ac:dyDescent="0.2">
      <c r="A63" s="16"/>
      <c r="D63" s="158"/>
      <c r="E63" s="158"/>
      <c r="F63" s="158"/>
      <c r="G63" s="158"/>
      <c r="H63" s="158"/>
      <c r="I63" s="158"/>
      <c r="J63" s="158"/>
      <c r="K63" s="158"/>
      <c r="L63" s="158"/>
      <c r="M63" s="158"/>
      <c r="N63" s="158"/>
      <c r="O63" s="158"/>
      <c r="P63" s="158"/>
      <c r="Q63" s="158"/>
      <c r="R63" s="158"/>
      <c r="S63" s="158"/>
      <c r="T63" s="158"/>
      <c r="U63" s="158"/>
      <c r="V63" s="158"/>
    </row>
    <row r="64" spans="1:23" x14ac:dyDescent="0.2">
      <c r="A64" s="16"/>
      <c r="B64" s="163"/>
      <c r="C64" s="155" t="s">
        <v>38</v>
      </c>
      <c r="D64" s="153">
        <v>2000</v>
      </c>
      <c r="E64" s="153">
        <v>2001</v>
      </c>
      <c r="F64" s="153">
        <v>2002</v>
      </c>
      <c r="G64" s="153">
        <v>2003</v>
      </c>
      <c r="H64" s="153">
        <v>2004</v>
      </c>
      <c r="I64" s="153">
        <v>2005</v>
      </c>
      <c r="J64" s="153">
        <v>2006</v>
      </c>
      <c r="K64" s="153">
        <v>2007</v>
      </c>
      <c r="L64" s="153">
        <v>2008</v>
      </c>
      <c r="M64" s="153" t="s">
        <v>35</v>
      </c>
      <c r="N64" s="153">
        <v>2010</v>
      </c>
      <c r="O64" s="153">
        <v>2011</v>
      </c>
      <c r="P64" s="153">
        <v>2012</v>
      </c>
      <c r="Q64" s="153">
        <v>2013</v>
      </c>
      <c r="R64" s="153">
        <v>2014</v>
      </c>
      <c r="S64" s="153">
        <v>2015</v>
      </c>
      <c r="T64" s="153">
        <v>2016</v>
      </c>
      <c r="U64" s="153">
        <v>2017</v>
      </c>
      <c r="V64" s="153">
        <v>2018</v>
      </c>
    </row>
    <row r="65" spans="1:23" ht="12" customHeight="1" thickBot="1" x14ac:dyDescent="0.25">
      <c r="A65" s="16"/>
      <c r="B65" s="154"/>
      <c r="C65" s="156"/>
      <c r="D65" s="154"/>
      <c r="E65" s="154"/>
      <c r="F65" s="154"/>
      <c r="G65" s="154"/>
      <c r="H65" s="154"/>
      <c r="I65" s="154"/>
      <c r="J65" s="154"/>
      <c r="K65" s="154"/>
      <c r="L65" s="154"/>
      <c r="M65" s="154"/>
      <c r="N65" s="154"/>
      <c r="O65" s="154"/>
      <c r="P65" s="154"/>
      <c r="Q65" s="154"/>
      <c r="R65" s="154"/>
      <c r="S65" s="154"/>
      <c r="T65" s="154"/>
      <c r="U65" s="154"/>
      <c r="V65" s="154"/>
    </row>
    <row r="66" spans="1:23" x14ac:dyDescent="0.2">
      <c r="A66" s="16"/>
      <c r="B66" s="34" t="s">
        <v>39</v>
      </c>
      <c r="C66" s="76" t="s">
        <v>40</v>
      </c>
      <c r="D66" s="46">
        <f t="shared" ref="D66:V66" si="14">+IFERROR(IF(D40&gt;0,+((D40/D14)*100)," "),"")</f>
        <v>95.851060751659546</v>
      </c>
      <c r="E66" s="46">
        <f t="shared" si="14"/>
        <v>96.922173086367636</v>
      </c>
      <c r="F66" s="46">
        <f t="shared" si="14"/>
        <v>98.68966937846443</v>
      </c>
      <c r="G66" s="46">
        <f t="shared" si="14"/>
        <v>98.820161676365643</v>
      </c>
      <c r="H66" s="46">
        <f t="shared" si="14"/>
        <v>99.118845210946844</v>
      </c>
      <c r="I66" s="46">
        <f t="shared" si="14"/>
        <v>98.534606897832475</v>
      </c>
      <c r="J66" s="46">
        <f t="shared" si="14"/>
        <v>98.466462409245878</v>
      </c>
      <c r="K66" s="46">
        <f t="shared" si="14"/>
        <v>96.314310056347864</v>
      </c>
      <c r="L66" s="46">
        <f t="shared" si="14"/>
        <v>98.108985961702601</v>
      </c>
      <c r="M66" s="46">
        <f t="shared" si="14"/>
        <v>95.025415694171116</v>
      </c>
      <c r="N66" s="46">
        <f t="shared" si="14"/>
        <v>92.134450720301615</v>
      </c>
      <c r="O66" s="46">
        <f t="shared" si="14"/>
        <v>98.803610827682405</v>
      </c>
      <c r="P66" s="46">
        <f t="shared" si="14"/>
        <v>98.342562468791058</v>
      </c>
      <c r="Q66" s="46">
        <f t="shared" si="14"/>
        <v>97.458493695076442</v>
      </c>
      <c r="R66" s="46">
        <f t="shared" si="14"/>
        <v>95.485417756397112</v>
      </c>
      <c r="S66" s="46">
        <f t="shared" si="14"/>
        <v>98.323640179211893</v>
      </c>
      <c r="T66" s="46">
        <f t="shared" si="14"/>
        <v>99.238746764618114</v>
      </c>
      <c r="U66" s="46">
        <f t="shared" si="14"/>
        <v>99.32781739937866</v>
      </c>
      <c r="V66" s="46">
        <f t="shared" si="14"/>
        <v>97.435751996337842</v>
      </c>
    </row>
    <row r="67" spans="1:23" x14ac:dyDescent="0.2">
      <c r="A67" s="16"/>
      <c r="B67" s="40"/>
      <c r="C67" s="77" t="s">
        <v>56</v>
      </c>
      <c r="D67" s="47">
        <f t="shared" ref="D67:V67" si="15">+IFERROR(IF(D41&gt;0,+((D41/D15)*100)," "),"")</f>
        <v>98.326046322642597</v>
      </c>
      <c r="E67" s="47">
        <f t="shared" si="15"/>
        <v>98.220738042051195</v>
      </c>
      <c r="F67" s="47">
        <f t="shared" si="15"/>
        <v>98.649801153287299</v>
      </c>
      <c r="G67" s="47">
        <f t="shared" si="15"/>
        <v>98.81537136422061</v>
      </c>
      <c r="H67" s="47">
        <f t="shared" si="15"/>
        <v>98.915238215189731</v>
      </c>
      <c r="I67" s="47">
        <f t="shared" si="15"/>
        <v>98.995048244486782</v>
      </c>
      <c r="J67" s="47">
        <f t="shared" si="15"/>
        <v>98.421591577819854</v>
      </c>
      <c r="K67" s="47">
        <f t="shared" si="15"/>
        <v>97.693537759043139</v>
      </c>
      <c r="L67" s="47">
        <f t="shared" si="15"/>
        <v>97.512935335341425</v>
      </c>
      <c r="M67" s="47">
        <f t="shared" si="15"/>
        <v>97.619794866150741</v>
      </c>
      <c r="N67" s="47">
        <f t="shared" si="15"/>
        <v>95.606258137051981</v>
      </c>
      <c r="O67" s="47">
        <f t="shared" si="15"/>
        <v>98.781551015108164</v>
      </c>
      <c r="P67" s="47">
        <f t="shared" si="15"/>
        <v>97.516627998389197</v>
      </c>
      <c r="Q67" s="47">
        <f t="shared" si="15"/>
        <v>96.346500040791923</v>
      </c>
      <c r="R67" s="47">
        <f t="shared" si="15"/>
        <v>95.08126162490565</v>
      </c>
      <c r="S67" s="47">
        <f t="shared" si="15"/>
        <v>96.317665804952526</v>
      </c>
      <c r="T67" s="47">
        <f t="shared" si="15"/>
        <v>98.932792951671303</v>
      </c>
      <c r="U67" s="47">
        <f t="shared" si="15"/>
        <v>99.129083334235062</v>
      </c>
      <c r="V67" s="47">
        <f t="shared" si="15"/>
        <v>97.056982069058748</v>
      </c>
    </row>
    <row r="68" spans="1:23" x14ac:dyDescent="0.2">
      <c r="A68" s="16"/>
      <c r="B68" s="40"/>
      <c r="C68" s="77" t="s">
        <v>57</v>
      </c>
      <c r="D68" s="47">
        <f t="shared" ref="D68:V68" si="16">+IFERROR(IF(D42&gt;0,+((D42/D16)*100)," "),"")</f>
        <v>94.628256862407227</v>
      </c>
      <c r="E68" s="47">
        <f t="shared" si="16"/>
        <v>95.718897601791042</v>
      </c>
      <c r="F68" s="47">
        <f t="shared" si="16"/>
        <v>96.969218439284489</v>
      </c>
      <c r="G68" s="47">
        <f t="shared" si="16"/>
        <v>97.970480892007629</v>
      </c>
      <c r="H68" s="47">
        <f t="shared" si="16"/>
        <v>98.108782046549223</v>
      </c>
      <c r="I68" s="47">
        <f t="shared" si="16"/>
        <v>98.078086552322702</v>
      </c>
      <c r="J68" s="47">
        <f t="shared" si="16"/>
        <v>98.252564000075935</v>
      </c>
      <c r="K68" s="47">
        <f t="shared" si="16"/>
        <v>95.989736236525403</v>
      </c>
      <c r="L68" s="47">
        <f t="shared" si="16"/>
        <v>98.897810057465634</v>
      </c>
      <c r="M68" s="47">
        <f t="shared" si="16"/>
        <v>98.391848965389897</v>
      </c>
      <c r="N68" s="47">
        <f t="shared" si="16"/>
        <v>97.761459491754124</v>
      </c>
      <c r="O68" s="47">
        <f t="shared" si="16"/>
        <v>97.307962671292628</v>
      </c>
      <c r="P68" s="47">
        <f t="shared" si="16"/>
        <v>96.708802740583351</v>
      </c>
      <c r="Q68" s="47">
        <f t="shared" si="16"/>
        <v>97.570401202195413</v>
      </c>
      <c r="R68" s="47">
        <f t="shared" si="16"/>
        <v>98.14122289992207</v>
      </c>
      <c r="S68" s="47">
        <f t="shared" si="16"/>
        <v>97.904885777583758</v>
      </c>
      <c r="T68" s="47">
        <f t="shared" si="16"/>
        <v>98.742923263933648</v>
      </c>
      <c r="U68" s="47">
        <f t="shared" si="16"/>
        <v>99.017117689784769</v>
      </c>
      <c r="V68" s="47">
        <f t="shared" si="16"/>
        <v>99.109396697526805</v>
      </c>
    </row>
    <row r="69" spans="1:23" x14ac:dyDescent="0.2">
      <c r="A69" s="16"/>
      <c r="B69" s="40"/>
      <c r="C69" s="77" t="s">
        <v>58</v>
      </c>
      <c r="D69" s="47">
        <f t="shared" ref="D69:V69" si="17">+IFERROR(IF(D43&gt;0,+((D43/D17)*100)," "),"")</f>
        <v>95.108137780260023</v>
      </c>
      <c r="E69" s="47">
        <f t="shared" si="17"/>
        <v>96.609063305666382</v>
      </c>
      <c r="F69" s="47">
        <f t="shared" si="17"/>
        <v>98.859134073733628</v>
      </c>
      <c r="G69" s="47">
        <f t="shared" si="17"/>
        <v>98.902205340992779</v>
      </c>
      <c r="H69" s="47">
        <f t="shared" si="17"/>
        <v>99.271730404729368</v>
      </c>
      <c r="I69" s="47">
        <f t="shared" si="17"/>
        <v>98.452332949295354</v>
      </c>
      <c r="J69" s="47">
        <f t="shared" si="17"/>
        <v>98.496726361273957</v>
      </c>
      <c r="K69" s="47">
        <f t="shared" si="17"/>
        <v>95.974209585855704</v>
      </c>
      <c r="L69" s="47">
        <f t="shared" si="17"/>
        <v>98.201741386948527</v>
      </c>
      <c r="M69" s="47">
        <f t="shared" si="17"/>
        <v>94.060765323866349</v>
      </c>
      <c r="N69" s="47">
        <f t="shared" si="17"/>
        <v>90.792550999653074</v>
      </c>
      <c r="O69" s="47">
        <f t="shared" si="17"/>
        <v>98.950653455116438</v>
      </c>
      <c r="P69" s="47">
        <f t="shared" si="17"/>
        <v>98.731876046116298</v>
      </c>
      <c r="Q69" s="47">
        <f t="shared" si="17"/>
        <v>97.763614155095965</v>
      </c>
      <c r="R69" s="47">
        <f t="shared" si="17"/>
        <v>95.349893717336698</v>
      </c>
      <c r="S69" s="47">
        <f t="shared" si="17"/>
        <v>98.954115174288233</v>
      </c>
      <c r="T69" s="47">
        <f t="shared" si="17"/>
        <v>99.372035866229851</v>
      </c>
      <c r="U69" s="47">
        <f t="shared" si="17"/>
        <v>99.404586667177554</v>
      </c>
      <c r="V69" s="47">
        <f t="shared" si="17"/>
        <v>97.416053743268378</v>
      </c>
    </row>
    <row r="70" spans="1:23" x14ac:dyDescent="0.2">
      <c r="A70" s="16"/>
      <c r="B70" s="40"/>
      <c r="C70" s="77" t="s">
        <v>59</v>
      </c>
      <c r="D70" s="47">
        <f t="shared" ref="D70:V70" si="18">+IFERROR(IF(D44&gt;0,+((D44/D18)*100)," "),"")</f>
        <v>100</v>
      </c>
      <c r="E70" s="47">
        <f t="shared" si="18"/>
        <v>86.850598147086956</v>
      </c>
      <c r="F70" s="47">
        <f t="shared" si="18"/>
        <v>99.167081704746309</v>
      </c>
      <c r="G70" s="47">
        <f t="shared" si="18"/>
        <v>99.231034408409258</v>
      </c>
      <c r="H70" s="47">
        <f t="shared" si="18"/>
        <v>99.215913992546135</v>
      </c>
      <c r="I70" s="47">
        <f t="shared" si="18"/>
        <v>99.978808566837117</v>
      </c>
      <c r="J70" s="47">
        <f t="shared" si="18"/>
        <v>99.78298716561612</v>
      </c>
      <c r="K70" s="47">
        <f t="shared" si="18"/>
        <v>83.605573056880871</v>
      </c>
      <c r="L70" s="47">
        <f t="shared" si="18"/>
        <v>97.755145970565721</v>
      </c>
      <c r="M70" s="47">
        <f t="shared" si="18"/>
        <v>92.635340975831539</v>
      </c>
      <c r="N70" s="47">
        <f t="shared" si="18"/>
        <v>97.627099541629477</v>
      </c>
      <c r="O70" s="47">
        <f t="shared" si="18"/>
        <v>91.830503874309315</v>
      </c>
      <c r="P70" s="47">
        <f t="shared" si="18"/>
        <v>93.85068981472827</v>
      </c>
      <c r="Q70" s="47">
        <f t="shared" si="18"/>
        <v>97.933689708670897</v>
      </c>
      <c r="R70" s="47">
        <f t="shared" si="18"/>
        <v>96.6089724592224</v>
      </c>
      <c r="S70" s="47">
        <f t="shared" si="18"/>
        <v>99.470139319067869</v>
      </c>
      <c r="T70" s="47">
        <f t="shared" si="18"/>
        <v>84.312763622163871</v>
      </c>
      <c r="U70" s="47">
        <f t="shared" si="18"/>
        <v>95.710521934130142</v>
      </c>
      <c r="V70" s="47">
        <f t="shared" si="18"/>
        <v>98.336419429818363</v>
      </c>
    </row>
    <row r="71" spans="1:23" x14ac:dyDescent="0.2">
      <c r="A71" s="16"/>
      <c r="B71" s="34" t="s">
        <v>41</v>
      </c>
      <c r="C71" s="76" t="s">
        <v>42</v>
      </c>
      <c r="D71" s="46">
        <f t="shared" ref="D71:V71" si="19">+IFERROR(IF(D45&gt;0,+((D45/D19)*100)," "),"")</f>
        <v>95.140960884534692</v>
      </c>
      <c r="E71" s="46">
        <f t="shared" si="19"/>
        <v>98.614916381354689</v>
      </c>
      <c r="F71" s="46">
        <f t="shared" si="19"/>
        <v>98.965961854513324</v>
      </c>
      <c r="G71" s="46">
        <f t="shared" si="19"/>
        <v>99.194039119985405</v>
      </c>
      <c r="H71" s="46">
        <f t="shared" si="19"/>
        <v>95.506934263998644</v>
      </c>
      <c r="I71" s="46">
        <f t="shared" si="19"/>
        <v>97.839586913239458</v>
      </c>
      <c r="J71" s="46">
        <f t="shared" si="19"/>
        <v>96.563577074437546</v>
      </c>
      <c r="K71" s="46">
        <f t="shared" si="19"/>
        <v>96.692154505553489</v>
      </c>
      <c r="L71" s="46">
        <f t="shared" si="19"/>
        <v>91.495182134418513</v>
      </c>
      <c r="M71" s="46">
        <f t="shared" si="19"/>
        <v>88.428410037031142</v>
      </c>
      <c r="N71" s="46">
        <f t="shared" si="19"/>
        <v>81.085811297480575</v>
      </c>
      <c r="O71" s="46">
        <f t="shared" si="19"/>
        <v>95.815583815225295</v>
      </c>
      <c r="P71" s="46">
        <f t="shared" si="19"/>
        <v>99.538806541882721</v>
      </c>
      <c r="Q71" s="46">
        <f t="shared" si="19"/>
        <v>85.167793953424379</v>
      </c>
      <c r="R71" s="46">
        <f t="shared" si="19"/>
        <v>97.647445574728337</v>
      </c>
      <c r="S71" s="46">
        <f t="shared" si="19"/>
        <v>98.591313731555729</v>
      </c>
      <c r="T71" s="46">
        <f t="shared" si="19"/>
        <v>84.933922411390483</v>
      </c>
      <c r="U71" s="46">
        <f t="shared" si="19"/>
        <v>97.826713372840203</v>
      </c>
      <c r="V71" s="46">
        <f t="shared" si="19"/>
        <v>97.999200014242788</v>
      </c>
    </row>
    <row r="72" spans="1:23" x14ac:dyDescent="0.2">
      <c r="A72" s="16"/>
      <c r="B72" s="34"/>
      <c r="C72" s="76" t="s">
        <v>43</v>
      </c>
      <c r="D72" s="46">
        <f t="shared" ref="D72:V72" si="20">+IFERROR(IF(D46&gt;0,+((D46/D20)*100)," "),"")</f>
        <v>97.306011475750466</v>
      </c>
      <c r="E72" s="46">
        <f t="shared" si="20"/>
        <v>98.23564150236362</v>
      </c>
      <c r="F72" s="46">
        <f t="shared" si="20"/>
        <v>98.517529025333246</v>
      </c>
      <c r="G72" s="46">
        <f t="shared" si="20"/>
        <v>99.265434516976669</v>
      </c>
      <c r="H72" s="46">
        <f t="shared" si="20"/>
        <v>90.247742051355686</v>
      </c>
      <c r="I72" s="46">
        <f t="shared" si="20"/>
        <v>97.812799015568928</v>
      </c>
      <c r="J72" s="46">
        <f t="shared" si="20"/>
        <v>90.818091834568676</v>
      </c>
      <c r="K72" s="46">
        <f t="shared" si="20"/>
        <v>96.579018741528017</v>
      </c>
      <c r="L72" s="46">
        <f t="shared" si="20"/>
        <v>89.549540101894948</v>
      </c>
      <c r="M72" s="46">
        <f t="shared" si="20"/>
        <v>83.08709850362645</v>
      </c>
      <c r="N72" s="46">
        <f t="shared" si="20"/>
        <v>81.632734086724739</v>
      </c>
      <c r="O72" s="46">
        <f t="shared" si="20"/>
        <v>87.137815940680795</v>
      </c>
      <c r="P72" s="46">
        <f t="shared" si="20"/>
        <v>98.718189402040224</v>
      </c>
      <c r="Q72" s="46">
        <f t="shared" si="20"/>
        <v>97.213240522082373</v>
      </c>
      <c r="R72" s="46">
        <f t="shared" si="20"/>
        <v>98.122589841648136</v>
      </c>
      <c r="S72" s="46">
        <f t="shared" si="20"/>
        <v>98.864283759926607</v>
      </c>
      <c r="T72" s="46">
        <f t="shared" si="20"/>
        <v>96.043336646906639</v>
      </c>
      <c r="U72" s="46">
        <f t="shared" si="20"/>
        <v>97.048115312322082</v>
      </c>
      <c r="V72" s="46">
        <f t="shared" si="20"/>
        <v>99.951560783993614</v>
      </c>
    </row>
    <row r="73" spans="1:23" x14ac:dyDescent="0.2">
      <c r="A73" s="16"/>
      <c r="B73" s="32"/>
      <c r="C73" s="77" t="s">
        <v>60</v>
      </c>
      <c r="D73" s="47">
        <f t="shared" ref="D73:V73" si="21">+IFERROR(IF(D47&gt;0,+((D47/D21)*100)," "),"")</f>
        <v>97.420766729959965</v>
      </c>
      <c r="E73" s="47">
        <f t="shared" si="21"/>
        <v>98.480772680160769</v>
      </c>
      <c r="F73" s="47">
        <f t="shared" si="21"/>
        <v>98.929621525621513</v>
      </c>
      <c r="G73" s="47">
        <f t="shared" si="21"/>
        <v>99.160384730001553</v>
      </c>
      <c r="H73" s="47">
        <f t="shared" si="21"/>
        <v>90.85745825305402</v>
      </c>
      <c r="I73" s="47">
        <f t="shared" si="21"/>
        <v>98.173132478820392</v>
      </c>
      <c r="J73" s="47">
        <f t="shared" si="21"/>
        <v>91.190116941193011</v>
      </c>
      <c r="K73" s="47">
        <f t="shared" si="21"/>
        <v>94.58836107401774</v>
      </c>
      <c r="L73" s="47">
        <f t="shared" si="21"/>
        <v>84.013291378162322</v>
      </c>
      <c r="M73" s="47">
        <f t="shared" si="21"/>
        <v>83.582644318144645</v>
      </c>
      <c r="N73" s="47">
        <f t="shared" si="21"/>
        <v>86.63851219357413</v>
      </c>
      <c r="O73" s="47">
        <f t="shared" si="21"/>
        <v>78.488186836005355</v>
      </c>
      <c r="P73" s="47">
        <f t="shared" si="21"/>
        <v>99.977313989717246</v>
      </c>
      <c r="Q73" s="47">
        <f t="shared" si="21"/>
        <v>98.183931399055766</v>
      </c>
      <c r="R73" s="47">
        <f t="shared" si="21"/>
        <v>97.12378422468413</v>
      </c>
      <c r="S73" s="47">
        <f t="shared" si="21"/>
        <v>98.669154553806976</v>
      </c>
      <c r="T73" s="47">
        <f t="shared" si="21"/>
        <v>96.017385795962923</v>
      </c>
      <c r="U73" s="47">
        <f t="shared" si="21"/>
        <v>97.185664731609336</v>
      </c>
      <c r="V73" s="47">
        <f t="shared" si="21"/>
        <v>99.995202226014896</v>
      </c>
    </row>
    <row r="74" spans="1:23" x14ac:dyDescent="0.2">
      <c r="A74" s="16"/>
      <c r="B74" s="32"/>
      <c r="C74" s="77" t="s">
        <v>61</v>
      </c>
      <c r="D74" s="47">
        <f t="shared" ref="D74:V74" si="22">+IFERROR(IF(D48&gt;0,+((D48/D22)*100)," "),"")</f>
        <v>97.188259722699073</v>
      </c>
      <c r="E74" s="47">
        <f t="shared" si="22"/>
        <v>97.91968671968641</v>
      </c>
      <c r="F74" s="47">
        <f t="shared" si="22"/>
        <v>97.911008797704113</v>
      </c>
      <c r="G74" s="47">
        <f t="shared" si="22"/>
        <v>99.418265064030066</v>
      </c>
      <c r="H74" s="47">
        <f t="shared" si="22"/>
        <v>89.695473719252533</v>
      </c>
      <c r="I74" s="47">
        <f t="shared" si="22"/>
        <v>97.13160850660924</v>
      </c>
      <c r="J74" s="47">
        <f t="shared" si="22"/>
        <v>90.430156640724377</v>
      </c>
      <c r="K74" s="47">
        <f t="shared" si="22"/>
        <v>98.433258975647618</v>
      </c>
      <c r="L74" s="47">
        <f t="shared" si="22"/>
        <v>95.185297919553719</v>
      </c>
      <c r="M74" s="47">
        <f t="shared" si="22"/>
        <v>82.740283358888064</v>
      </c>
      <c r="N74" s="47">
        <f t="shared" si="22"/>
        <v>77.537259036053342</v>
      </c>
      <c r="O74" s="47">
        <f t="shared" si="22"/>
        <v>93.664834946175446</v>
      </c>
      <c r="P74" s="47">
        <f t="shared" si="22"/>
        <v>97.36896165803465</v>
      </c>
      <c r="Q74" s="47">
        <f t="shared" si="22"/>
        <v>96.511131398613003</v>
      </c>
      <c r="R74" s="47">
        <f t="shared" si="22"/>
        <v>99.358494342688275</v>
      </c>
      <c r="S74" s="47">
        <f t="shared" si="22"/>
        <v>99.098801412831492</v>
      </c>
      <c r="T74" s="47">
        <f t="shared" si="22"/>
        <v>96.05841815626637</v>
      </c>
      <c r="U74" s="47">
        <f t="shared" si="22"/>
        <v>96.881819910951165</v>
      </c>
      <c r="V74" s="47">
        <f t="shared" si="22"/>
        <v>99.934995625590531</v>
      </c>
    </row>
    <row r="75" spans="1:23" x14ac:dyDescent="0.2">
      <c r="A75" s="16"/>
      <c r="B75" s="34"/>
      <c r="C75" s="76" t="s">
        <v>44</v>
      </c>
      <c r="D75" s="46">
        <f t="shared" ref="D75:V75" si="23">+IFERROR(IF(D49&gt;0,+((D49/D23)*100)," "),"")</f>
        <v>94.167912858901673</v>
      </c>
      <c r="E75" s="46">
        <f t="shared" si="23"/>
        <v>98.838258568846925</v>
      </c>
      <c r="F75" s="46">
        <f t="shared" si="23"/>
        <v>99.28774159275585</v>
      </c>
      <c r="G75" s="46">
        <f t="shared" si="23"/>
        <v>99.125932119723927</v>
      </c>
      <c r="H75" s="46">
        <f t="shared" si="23"/>
        <v>98.336184891298259</v>
      </c>
      <c r="I75" s="46">
        <f t="shared" si="23"/>
        <v>97.858603024160502</v>
      </c>
      <c r="J75" s="46">
        <f t="shared" si="23"/>
        <v>98.71855507684451</v>
      </c>
      <c r="K75" s="46">
        <f t="shared" si="23"/>
        <v>96.719773934970888</v>
      </c>
      <c r="L75" s="46">
        <f t="shared" si="23"/>
        <v>92.014475324450501</v>
      </c>
      <c r="M75" s="46">
        <f t="shared" si="23"/>
        <v>89.963948915396216</v>
      </c>
      <c r="N75" s="46">
        <f t="shared" si="23"/>
        <v>80.935026049398232</v>
      </c>
      <c r="O75" s="46">
        <f t="shared" si="23"/>
        <v>97.982313653711657</v>
      </c>
      <c r="P75" s="46">
        <f t="shared" si="23"/>
        <v>99.719200284522117</v>
      </c>
      <c r="Q75" s="46">
        <f t="shared" si="23"/>
        <v>82.89905475709088</v>
      </c>
      <c r="R75" s="46">
        <f t="shared" si="23"/>
        <v>97.513372937687095</v>
      </c>
      <c r="S75" s="46">
        <f t="shared" si="23"/>
        <v>98.506478567502057</v>
      </c>
      <c r="T75" s="46">
        <f t="shared" si="23"/>
        <v>82.030390199701699</v>
      </c>
      <c r="U75" s="46">
        <f t="shared" si="23"/>
        <v>98.14178362559376</v>
      </c>
      <c r="V75" s="46">
        <f t="shared" si="23"/>
        <v>97.405627427208003</v>
      </c>
    </row>
    <row r="76" spans="1:23" x14ac:dyDescent="0.2">
      <c r="A76" s="16"/>
      <c r="B76" s="32"/>
      <c r="C76" s="77" t="s">
        <v>60</v>
      </c>
      <c r="D76" s="47">
        <f t="shared" ref="D76:V76" si="24">+IFERROR(IF(D50&gt;0,+((D50/D24)*100)," "),"")</f>
        <v>95.170168931031952</v>
      </c>
      <c r="E76" s="47">
        <f t="shared" si="24"/>
        <v>98.674930210381703</v>
      </c>
      <c r="F76" s="47">
        <f t="shared" si="24"/>
        <v>99.436684398056656</v>
      </c>
      <c r="G76" s="47">
        <f t="shared" si="24"/>
        <v>99.651567461249385</v>
      </c>
      <c r="H76" s="47">
        <f t="shared" si="24"/>
        <v>98.900142388379535</v>
      </c>
      <c r="I76" s="47">
        <f t="shared" si="24"/>
        <v>98.699169429975669</v>
      </c>
      <c r="J76" s="47">
        <f t="shared" si="24"/>
        <v>99.533211590728428</v>
      </c>
      <c r="K76" s="47">
        <f t="shared" si="24"/>
        <v>95.595627439571984</v>
      </c>
      <c r="L76" s="47">
        <f t="shared" si="24"/>
        <v>87.864652743844388</v>
      </c>
      <c r="M76" s="47">
        <f t="shared" si="24"/>
        <v>85.34924200581176</v>
      </c>
      <c r="N76" s="47">
        <f t="shared" si="24"/>
        <v>76.241408253837832</v>
      </c>
      <c r="O76" s="47">
        <f t="shared" si="24"/>
        <v>96.928442479222369</v>
      </c>
      <c r="P76" s="47">
        <f t="shared" si="24"/>
        <v>99.54903100803925</v>
      </c>
      <c r="Q76" s="47">
        <f t="shared" si="24"/>
        <v>78.984170122488806</v>
      </c>
      <c r="R76" s="47">
        <f t="shared" si="24"/>
        <v>97.460816548609415</v>
      </c>
      <c r="S76" s="47">
        <f t="shared" si="24"/>
        <v>99.895471985020919</v>
      </c>
      <c r="T76" s="47">
        <f t="shared" si="24"/>
        <v>69.59247954407229</v>
      </c>
      <c r="U76" s="47">
        <f t="shared" si="24"/>
        <v>99.756125829008383</v>
      </c>
      <c r="V76" s="47">
        <f t="shared" si="24"/>
        <v>96.965021725054214</v>
      </c>
    </row>
    <row r="77" spans="1:23" x14ac:dyDescent="0.2">
      <c r="A77" s="16"/>
      <c r="B77" s="32"/>
      <c r="C77" s="77" t="s">
        <v>61</v>
      </c>
      <c r="D77" s="47">
        <f t="shared" ref="D77:V77" si="25">+IFERROR(IF(D51&gt;0,+((D51/D25)*100)," "),"")</f>
        <v>92.889875863980052</v>
      </c>
      <c r="E77" s="47">
        <f t="shared" si="25"/>
        <v>99.109912935510877</v>
      </c>
      <c r="F77" s="47">
        <f t="shared" si="25"/>
        <v>99.057330068078471</v>
      </c>
      <c r="G77" s="47">
        <f t="shared" si="25"/>
        <v>98.577120518568591</v>
      </c>
      <c r="H77" s="47">
        <f t="shared" si="25"/>
        <v>97.634535109751468</v>
      </c>
      <c r="I77" s="47">
        <f t="shared" si="25"/>
        <v>96.942377587697976</v>
      </c>
      <c r="J77" s="47">
        <f t="shared" si="25"/>
        <v>97.471766401298538</v>
      </c>
      <c r="K77" s="47">
        <f t="shared" si="25"/>
        <v>98.443203144959185</v>
      </c>
      <c r="L77" s="47">
        <f t="shared" si="25"/>
        <v>98.375598812328647</v>
      </c>
      <c r="M77" s="47">
        <f t="shared" si="25"/>
        <v>95.788661550648101</v>
      </c>
      <c r="N77" s="47">
        <f t="shared" si="25"/>
        <v>87.437497545773709</v>
      </c>
      <c r="O77" s="47">
        <f t="shared" si="25"/>
        <v>99.149156774382192</v>
      </c>
      <c r="P77" s="47">
        <f t="shared" si="25"/>
        <v>99.934512347315305</v>
      </c>
      <c r="Q77" s="47">
        <f t="shared" si="25"/>
        <v>88.985238312132481</v>
      </c>
      <c r="R77" s="47">
        <f t="shared" si="25"/>
        <v>97.579395304906242</v>
      </c>
      <c r="S77" s="47">
        <f t="shared" si="25"/>
        <v>96.671393850196011</v>
      </c>
      <c r="T77" s="47">
        <f t="shared" si="25"/>
        <v>96.511597830927428</v>
      </c>
      <c r="U77" s="47">
        <f t="shared" si="25"/>
        <v>96.648781498826565</v>
      </c>
      <c r="V77" s="47">
        <f t="shared" si="25"/>
        <v>97.749593106836485</v>
      </c>
      <c r="W77" s="8"/>
    </row>
    <row r="78" spans="1:23" x14ac:dyDescent="0.2">
      <c r="A78" s="16"/>
      <c r="B78" s="34" t="s">
        <v>45</v>
      </c>
      <c r="C78" s="76" t="s">
        <v>46</v>
      </c>
      <c r="D78" s="46">
        <f t="shared" ref="D78:V78" si="26">+IFERROR(IF(D52&gt;0,+((D52/D26)*100)," "),"")</f>
        <v>81.492177272452921</v>
      </c>
      <c r="E78" s="46">
        <f t="shared" si="26"/>
        <v>92.690470932268326</v>
      </c>
      <c r="F78" s="46">
        <f t="shared" si="26"/>
        <v>84.398883113041649</v>
      </c>
      <c r="G78" s="46">
        <f t="shared" si="26"/>
        <v>98.629699765105343</v>
      </c>
      <c r="H78" s="46">
        <f t="shared" si="26"/>
        <v>95.592236171062453</v>
      </c>
      <c r="I78" s="46">
        <f t="shared" si="26"/>
        <v>93.379688818657414</v>
      </c>
      <c r="J78" s="46">
        <f t="shared" si="26"/>
        <v>91.978695521283925</v>
      </c>
      <c r="K78" s="46">
        <f t="shared" si="26"/>
        <v>86.524129931615903</v>
      </c>
      <c r="L78" s="46">
        <f t="shared" si="26"/>
        <v>97.745332109146887</v>
      </c>
      <c r="M78" s="46">
        <f t="shared" si="26"/>
        <v>93.361637334800704</v>
      </c>
      <c r="N78" s="46">
        <f t="shared" si="26"/>
        <v>94.823412184142427</v>
      </c>
      <c r="O78" s="46">
        <f t="shared" si="26"/>
        <v>97.229893461518941</v>
      </c>
      <c r="P78" s="46">
        <f t="shared" si="26"/>
        <v>94.782790537151087</v>
      </c>
      <c r="Q78" s="46">
        <f t="shared" si="26"/>
        <v>95.103684073174648</v>
      </c>
      <c r="R78" s="46">
        <f t="shared" si="26"/>
        <v>96.022540629275497</v>
      </c>
      <c r="S78" s="46">
        <f t="shared" si="26"/>
        <v>96.893303457872193</v>
      </c>
      <c r="T78" s="46">
        <f t="shared" si="26"/>
        <v>96.752945416540342</v>
      </c>
      <c r="U78" s="46">
        <f t="shared" si="26"/>
        <v>97.97356564399351</v>
      </c>
      <c r="V78" s="46">
        <f t="shared" si="26"/>
        <v>97.287318961018556</v>
      </c>
    </row>
    <row r="79" spans="1:23" x14ac:dyDescent="0.2">
      <c r="A79" s="16"/>
      <c r="B79" s="36" t="s">
        <v>47</v>
      </c>
      <c r="C79" s="78" t="s">
        <v>48</v>
      </c>
      <c r="D79" s="48">
        <f t="shared" ref="D79:V79" si="27">+IFERROR(IF(D53&gt;0,+((D53/D27)*100)," "),"")</f>
        <v>93.314815976948893</v>
      </c>
      <c r="E79" s="48">
        <f t="shared" si="27"/>
        <v>95.917898467049042</v>
      </c>
      <c r="F79" s="48">
        <f t="shared" si="27"/>
        <v>95.852633059446475</v>
      </c>
      <c r="G79" s="48">
        <f t="shared" si="27"/>
        <v>98.789933630308667</v>
      </c>
      <c r="H79" s="48">
        <f t="shared" si="27"/>
        <v>98.52256672616079</v>
      </c>
      <c r="I79" s="48">
        <f t="shared" si="27"/>
        <v>97.662340187000865</v>
      </c>
      <c r="J79" s="48">
        <f t="shared" si="27"/>
        <v>97.304611429412148</v>
      </c>
      <c r="K79" s="48">
        <f t="shared" si="27"/>
        <v>94.066017403338293</v>
      </c>
      <c r="L79" s="48">
        <f t="shared" si="27"/>
        <v>98.03297809411427</v>
      </c>
      <c r="M79" s="48">
        <f t="shared" si="27"/>
        <v>94.605052643994185</v>
      </c>
      <c r="N79" s="48">
        <f t="shared" si="27"/>
        <v>92.637699610348974</v>
      </c>
      <c r="O79" s="48">
        <f t="shared" si="27"/>
        <v>98.421931547181813</v>
      </c>
      <c r="P79" s="48">
        <f t="shared" si="27"/>
        <v>97.426289889196923</v>
      </c>
      <c r="Q79" s="48">
        <f t="shared" si="27"/>
        <v>96.829584201653944</v>
      </c>
      <c r="R79" s="48">
        <f t="shared" si="27"/>
        <v>95.628725156252187</v>
      </c>
      <c r="S79" s="48">
        <f t="shared" si="27"/>
        <v>97.940617413129871</v>
      </c>
      <c r="T79" s="48">
        <f t="shared" si="27"/>
        <v>98.686447096492486</v>
      </c>
      <c r="U79" s="48">
        <f t="shared" si="27"/>
        <v>99.067135507361144</v>
      </c>
      <c r="V79" s="48">
        <f t="shared" si="27"/>
        <v>97.40897744065407</v>
      </c>
    </row>
    <row r="80" spans="1:23" x14ac:dyDescent="0.2">
      <c r="A80" s="16"/>
      <c r="B80" s="38" t="s">
        <v>49</v>
      </c>
      <c r="C80" s="79" t="s">
        <v>63</v>
      </c>
      <c r="D80" s="45">
        <f t="shared" ref="D80:V80" si="28">+IFERROR(IF(D54&gt;0,+((D54/D28)*100)," "),"")</f>
        <v>93.964307401903156</v>
      </c>
      <c r="E80" s="45">
        <f t="shared" si="28"/>
        <v>96.913214856921542</v>
      </c>
      <c r="F80" s="45">
        <f t="shared" si="28"/>
        <v>97.011110706938226</v>
      </c>
      <c r="G80" s="45">
        <f t="shared" si="28"/>
        <v>98.955184919646712</v>
      </c>
      <c r="H80" s="45">
        <f t="shared" si="28"/>
        <v>97.426784162664646</v>
      </c>
      <c r="I80" s="45">
        <f t="shared" si="28"/>
        <v>97.727593219199022</v>
      </c>
      <c r="J80" s="45">
        <f t="shared" si="28"/>
        <v>97.013088724646408</v>
      </c>
      <c r="K80" s="45">
        <f t="shared" si="28"/>
        <v>95.008638122876874</v>
      </c>
      <c r="L80" s="45">
        <f t="shared" si="28"/>
        <v>95.850619009622903</v>
      </c>
      <c r="M80" s="45">
        <f t="shared" si="28"/>
        <v>92.856791850237158</v>
      </c>
      <c r="N80" s="45">
        <f t="shared" si="28"/>
        <v>89.277964133186643</v>
      </c>
      <c r="O80" s="45">
        <f t="shared" si="28"/>
        <v>97.759419255718797</v>
      </c>
      <c r="P80" s="45">
        <f t="shared" si="28"/>
        <v>97.931082959875184</v>
      </c>
      <c r="Q80" s="45">
        <f t="shared" si="28"/>
        <v>93.853962657483819</v>
      </c>
      <c r="R80" s="45">
        <f t="shared" si="28"/>
        <v>96.074267562203673</v>
      </c>
      <c r="S80" s="45">
        <f t="shared" si="28"/>
        <v>98.097100234628243</v>
      </c>
      <c r="T80" s="45">
        <f t="shared" si="28"/>
        <v>95.427120451151183</v>
      </c>
      <c r="U80" s="45">
        <f t="shared" si="28"/>
        <v>98.778229789447124</v>
      </c>
      <c r="V80" s="45">
        <f t="shared" si="28"/>
        <v>97.537845662100693</v>
      </c>
    </row>
    <row r="81" spans="2:22" x14ac:dyDescent="0.2">
      <c r="B81" s="1" t="s">
        <v>52</v>
      </c>
      <c r="C81" s="15"/>
      <c r="D81" s="12"/>
      <c r="E81" s="12"/>
      <c r="F81" s="12"/>
      <c r="G81" s="12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</row>
    <row r="82" spans="2:22" x14ac:dyDescent="0.2">
      <c r="B82" s="1"/>
      <c r="C82" s="15"/>
      <c r="D82" s="12"/>
      <c r="E82" s="12"/>
      <c r="F82" s="12"/>
      <c r="G82" s="12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</row>
    <row r="83" spans="2:22" x14ac:dyDescent="0.2">
      <c r="B83" s="1"/>
      <c r="C83" s="15"/>
      <c r="D83" s="12"/>
      <c r="E83" s="12"/>
      <c r="F83" s="12"/>
      <c r="G83" s="12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</row>
    <row r="84" spans="2:22" x14ac:dyDescent="0.2">
      <c r="B84" s="1"/>
      <c r="C84" s="15"/>
      <c r="D84" s="12"/>
      <c r="E84" s="12"/>
      <c r="F84" s="12"/>
      <c r="G84" s="12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</row>
    <row r="85" spans="2:22" ht="18" customHeight="1" x14ac:dyDescent="0.2">
      <c r="C85" s="131"/>
      <c r="D85" s="160" t="s">
        <v>79</v>
      </c>
      <c r="E85" s="158"/>
      <c r="F85" s="158"/>
      <c r="G85" s="158"/>
      <c r="H85" s="158"/>
      <c r="I85" s="158"/>
      <c r="J85" s="158"/>
      <c r="K85" s="158"/>
      <c r="L85" s="158"/>
      <c r="M85" s="158"/>
      <c r="N85" s="158"/>
      <c r="O85" s="158"/>
      <c r="P85" s="158"/>
      <c r="Q85" s="158"/>
      <c r="R85" s="158"/>
      <c r="S85" s="158"/>
      <c r="T85" s="158"/>
      <c r="U85" s="158"/>
      <c r="V85" s="158"/>
    </row>
    <row r="86" spans="2:22" ht="15.75" customHeight="1" x14ac:dyDescent="0.2">
      <c r="B86" s="157"/>
      <c r="C86" s="158"/>
      <c r="D86" s="158"/>
      <c r="E86" s="158"/>
      <c r="F86" s="158"/>
      <c r="G86" s="158"/>
      <c r="H86" s="158"/>
      <c r="I86" s="158"/>
      <c r="J86" s="158"/>
      <c r="K86" s="158"/>
      <c r="L86" s="158"/>
      <c r="M86" s="158"/>
      <c r="N86" s="158"/>
      <c r="O86" s="158"/>
      <c r="P86" s="158"/>
      <c r="Q86" s="158"/>
      <c r="R86" s="158"/>
      <c r="S86" s="158"/>
      <c r="T86" s="158"/>
      <c r="U86" s="158"/>
      <c r="V86" s="158"/>
    </row>
    <row r="87" spans="2:22" x14ac:dyDescent="0.2">
      <c r="B87" s="163"/>
      <c r="C87" s="155" t="s">
        <v>38</v>
      </c>
      <c r="D87" s="153">
        <v>2000</v>
      </c>
      <c r="E87" s="153">
        <v>2001</v>
      </c>
      <c r="F87" s="153">
        <v>2002</v>
      </c>
      <c r="G87" s="153">
        <v>2003</v>
      </c>
      <c r="H87" s="153">
        <v>2004</v>
      </c>
      <c r="I87" s="153">
        <v>2005</v>
      </c>
      <c r="J87" s="153">
        <v>2006</v>
      </c>
      <c r="K87" s="153">
        <v>2007</v>
      </c>
      <c r="L87" s="153">
        <v>2008</v>
      </c>
      <c r="M87" s="153">
        <v>2009</v>
      </c>
      <c r="N87" s="153">
        <v>2010</v>
      </c>
      <c r="O87" s="153">
        <v>2011</v>
      </c>
      <c r="P87" s="153">
        <v>2012</v>
      </c>
      <c r="Q87" s="153">
        <v>2013</v>
      </c>
      <c r="R87" s="153">
        <v>2014</v>
      </c>
      <c r="S87" s="153">
        <v>2015</v>
      </c>
      <c r="T87" s="153">
        <v>2016</v>
      </c>
      <c r="U87" s="153">
        <v>2017</v>
      </c>
      <c r="V87" s="153">
        <v>2018</v>
      </c>
    </row>
    <row r="88" spans="2:22" ht="12" customHeight="1" thickBot="1" x14ac:dyDescent="0.25">
      <c r="B88" s="154"/>
      <c r="C88" s="156"/>
      <c r="D88" s="154"/>
      <c r="E88" s="154"/>
      <c r="F88" s="154"/>
      <c r="G88" s="154"/>
      <c r="H88" s="154"/>
      <c r="I88" s="154"/>
      <c r="J88" s="154"/>
      <c r="K88" s="154"/>
      <c r="L88" s="154"/>
      <c r="M88" s="154"/>
      <c r="N88" s="154"/>
      <c r="O88" s="154"/>
      <c r="P88" s="154"/>
      <c r="Q88" s="154"/>
      <c r="R88" s="154"/>
      <c r="S88" s="154"/>
      <c r="T88" s="154"/>
      <c r="U88" s="154"/>
      <c r="V88" s="154"/>
    </row>
    <row r="89" spans="2:22" x14ac:dyDescent="0.2">
      <c r="B89" s="34" t="s">
        <v>39</v>
      </c>
      <c r="C89" s="76" t="s">
        <v>40</v>
      </c>
      <c r="D89" s="41">
        <f t="shared" ref="D89:V89" si="29">+D90+D91+D92+D93</f>
        <v>84081.02322090602</v>
      </c>
      <c r="E89" s="41">
        <f t="shared" si="29"/>
        <v>89315.441094013746</v>
      </c>
      <c r="F89" s="41">
        <f t="shared" si="29"/>
        <v>92008.079161025176</v>
      </c>
      <c r="G89" s="41">
        <f t="shared" si="29"/>
        <v>92235.557028493495</v>
      </c>
      <c r="H89" s="41">
        <f t="shared" si="29"/>
        <v>102611.30592073668</v>
      </c>
      <c r="I89" s="41">
        <f t="shared" si="29"/>
        <v>113821.65132822141</v>
      </c>
      <c r="J89" s="41">
        <f t="shared" si="29"/>
        <v>119969.41142678582</v>
      </c>
      <c r="K89" s="41">
        <f t="shared" si="29"/>
        <v>125711.42431366815</v>
      </c>
      <c r="L89" s="41">
        <f t="shared" si="29"/>
        <v>133465.62020789512</v>
      </c>
      <c r="M89" s="41">
        <f t="shared" si="29"/>
        <v>145120.43715054565</v>
      </c>
      <c r="N89" s="41">
        <f t="shared" si="29"/>
        <v>154480.10889893342</v>
      </c>
      <c r="O89" s="41">
        <f t="shared" si="29"/>
        <v>158263.37970965685</v>
      </c>
      <c r="P89" s="41">
        <f t="shared" si="29"/>
        <v>168754.17995551485</v>
      </c>
      <c r="Q89" s="41">
        <f t="shared" si="29"/>
        <v>182772.061038271</v>
      </c>
      <c r="R89" s="41">
        <f t="shared" si="29"/>
        <v>190155.62510349808</v>
      </c>
      <c r="S89" s="41">
        <f t="shared" si="29"/>
        <v>184250.43202010624</v>
      </c>
      <c r="T89" s="41">
        <f t="shared" si="29"/>
        <v>187634.88408522977</v>
      </c>
      <c r="U89" s="41">
        <f t="shared" si="29"/>
        <v>207124.86235888876</v>
      </c>
      <c r="V89" s="41">
        <f t="shared" si="29"/>
        <v>208095.44201488714</v>
      </c>
    </row>
    <row r="90" spans="2:22" x14ac:dyDescent="0.2">
      <c r="B90" s="40"/>
      <c r="C90" s="77" t="s">
        <v>56</v>
      </c>
      <c r="D90" s="42">
        <f>5788.54300133193*Deflactores!$A$5</f>
        <v>21015.647634435983</v>
      </c>
      <c r="E90" s="42">
        <f>6226.02580777387*Deflactores!$B$5</f>
        <v>20997.966515936892</v>
      </c>
      <c r="F90" s="42">
        <f>6749.27750588904*Deflactores!$C$5</f>
        <v>21275.165608121493</v>
      </c>
      <c r="G90" s="42">
        <f>7343.69965827011*Deflactores!$D$5</f>
        <v>21737.830113205386</v>
      </c>
      <c r="H90" s="42">
        <f>7925.12153008757*Deflactores!$E$5</f>
        <v>22236.538106694788</v>
      </c>
      <c r="I90" s="42">
        <f>8630.95519555088*Deflactores!$F$5</f>
        <v>23095.654641409168</v>
      </c>
      <c r="J90" s="42">
        <f>9608.32162909425*Deflactores!$G$5</f>
        <v>24609.019539360819</v>
      </c>
      <c r="K90" s="42">
        <f>10542.7368183158*Deflactores!$H$5</f>
        <v>25547.470997956098</v>
      </c>
      <c r="L90" s="42">
        <f>11769.0282546864*Deflactores!$I$5</f>
        <v>26486.392473265169</v>
      </c>
      <c r="M90" s="42">
        <f>13254.2098876382*Deflactores!$J$5</f>
        <v>29243.421125041645</v>
      </c>
      <c r="N90" s="42">
        <f>14299.2494563826*Deflactores!$K$5</f>
        <v>30579.40297252786</v>
      </c>
      <c r="O90" s="42">
        <f>15115.1169106513*Deflactores!$L$5</f>
        <v>31162.821408115524</v>
      </c>
      <c r="P90" s="42">
        <f>17038.4566477198*Deflactores!$M$5</f>
        <v>34291.457457274511</v>
      </c>
      <c r="Q90" s="42">
        <f>18841.6176992014*Deflactores!$N$5</f>
        <v>37198.827282679871</v>
      </c>
      <c r="R90" s="42">
        <f>20841.599094189*Deflactores!$O$5</f>
        <v>39694.551031474075</v>
      </c>
      <c r="S90" s="42">
        <f>22275.1787486698*Deflactores!$P$5</f>
        <v>39734.871382444981</v>
      </c>
      <c r="T90" s="42">
        <f>24225.6066335424*Deflactores!$Q$5</f>
        <v>40864.378559904821</v>
      </c>
      <c r="U90" s="42">
        <f>26117.3604958183*Deflactores!$R$5</f>
        <v>42324.371028061723</v>
      </c>
      <c r="V90" s="42">
        <f>28628.3014048874*Deflactores!$S$5</f>
        <v>44963.621844805217</v>
      </c>
    </row>
    <row r="91" spans="2:22" x14ac:dyDescent="0.2">
      <c r="B91" s="40"/>
      <c r="C91" s="77" t="s">
        <v>57</v>
      </c>
      <c r="D91" s="42">
        <f>1273.43923354033*Deflactores!$A$5</f>
        <v>4623.2964339717091</v>
      </c>
      <c r="E91" s="42">
        <f>1336.22054933624*Deflactores!$B$5</f>
        <v>4506.5528507504441</v>
      </c>
      <c r="F91" s="42">
        <f>1539.6726618435*Deflactores!$C$5</f>
        <v>4853.3773925336409</v>
      </c>
      <c r="G91" s="42">
        <f>1708.14491831114*Deflactores!$D$5</f>
        <v>5056.2204026368572</v>
      </c>
      <c r="H91" s="42">
        <f>1885.30476507525*Deflactores!$E$5</f>
        <v>5289.8433282279057</v>
      </c>
      <c r="I91" s="42">
        <f>2083.69104322052*Deflactores!$F$5</f>
        <v>5575.7685706010825</v>
      </c>
      <c r="J91" s="42">
        <f>2444.62374856876*Deflactores!$G$5</f>
        <v>6261.2177149387544</v>
      </c>
      <c r="K91" s="42">
        <f>3263.04724748004*Deflactores!$H$5</f>
        <v>7907.1123899376589</v>
      </c>
      <c r="L91" s="42">
        <f>3585.58693083528*Deflactores!$I$5</f>
        <v>8069.4226100865189</v>
      </c>
      <c r="M91" s="42">
        <f>4115.50400136097*Deflactores!$J$5</f>
        <v>9080.2407441760006</v>
      </c>
      <c r="N91" s="42">
        <f>4532.32441600928*Deflactores!$K$5</f>
        <v>9692.5209356013638</v>
      </c>
      <c r="O91" s="42">
        <f>4856.00601690604*Deflactores!$L$5</f>
        <v>10011.622745368282</v>
      </c>
      <c r="P91" s="42">
        <f>5582.9885520968*Deflactores!$M$5</f>
        <v>11236.276757748419</v>
      </c>
      <c r="Q91" s="42">
        <f>6491.11964330533*Deflactores!$N$5</f>
        <v>12815.35600272581</v>
      </c>
      <c r="R91" s="42">
        <f>6819.64730760715*Deflactores!$O$5</f>
        <v>12988.582922312493</v>
      </c>
      <c r="S91" s="42">
        <f>6709.31501787059*Deflactores!$P$5</f>
        <v>11968.198877655002</v>
      </c>
      <c r="T91" s="42">
        <f>6875.13957095281*Deflactores!$Q$5</f>
        <v>11597.162883450792</v>
      </c>
      <c r="U91" s="42">
        <f>6993.05365510317*Deflactores!$R$5</f>
        <v>11332.56163329059</v>
      </c>
      <c r="V91" s="42">
        <f>6788.53771233023*Deflactores!$S$5</f>
        <v>10662.080095478725</v>
      </c>
    </row>
    <row r="92" spans="2:22" x14ac:dyDescent="0.2">
      <c r="B92" s="40"/>
      <c r="C92" s="77" t="s">
        <v>58</v>
      </c>
      <c r="D92" s="42">
        <f>16093.9795080808*Deflactores!$A$5</f>
        <v>58430.144217609617</v>
      </c>
      <c r="E92" s="42">
        <f>18916.5438552905*Deflactores!$B$5</f>
        <v>63798.154189255547</v>
      </c>
      <c r="F92" s="42">
        <f>20895.6034886807*Deflactores!$C$5</f>
        <v>65867.409410181659</v>
      </c>
      <c r="G92" s="42">
        <f>22103.5204609336*Deflactores!$D$5</f>
        <v>65427.862663533379</v>
      </c>
      <c r="H92" s="42">
        <f>26749.763182508*Deflactores!$E$5</f>
        <v>75055.269006875125</v>
      </c>
      <c r="I92" s="42">
        <f>31809.4026939225*Deflactores!$F$5</f>
        <v>85119.081529591247</v>
      </c>
      <c r="J92" s="42">
        <f>34773.4417205905*Deflactores!$G$5</f>
        <v>89062.412748718998</v>
      </c>
      <c r="K92" s="42">
        <f>38057.1374518781*Deflactores!$H$5</f>
        <v>92221.17862488798</v>
      </c>
      <c r="L92" s="42">
        <f>43932.022448872*Deflactores!$I$5</f>
        <v>98869.742135403285</v>
      </c>
      <c r="M92" s="42">
        <f>48397.0210672094*Deflactores!$J$5</f>
        <v>106780.74968360952</v>
      </c>
      <c r="N92" s="42">
        <f>53397.3371526671*Deflactores!$K$5</f>
        <v>114191.91583670843</v>
      </c>
      <c r="O92" s="42">
        <f>56767.6955833396*Deflactores!$L$5</f>
        <v>117037.90117344541</v>
      </c>
      <c r="P92" s="42">
        <f>61217.8692962968*Deflactores!$M$5</f>
        <v>123206.57932829198</v>
      </c>
      <c r="Q92" s="42">
        <f>67233.4214271821*Deflactores!$N$5</f>
        <v>132738.30682804796</v>
      </c>
      <c r="R92" s="42">
        <f>72165.1132780602*Deflactores!$O$5</f>
        <v>137444.43306688292</v>
      </c>
      <c r="S92" s="42">
        <f>74287.5016536634*Deflactores!$P$5</f>
        <v>132515.40456023306</v>
      </c>
      <c r="T92" s="42">
        <f>80120.8290881152*Deflactores!$Q$5</f>
        <v>135149.88251550827</v>
      </c>
      <c r="U92" s="42">
        <f>94672.6718078178*Deflactores!$R$5</f>
        <v>153421.37228812085</v>
      </c>
      <c r="V92" s="42">
        <f>97043.4605101576*Deflactores!$S$5</f>
        <v>152416.49859621411</v>
      </c>
    </row>
    <row r="93" spans="2:22" x14ac:dyDescent="0.2">
      <c r="B93" s="40"/>
      <c r="C93" s="77" t="s">
        <v>59</v>
      </c>
      <c r="D93" s="42">
        <f>3.28735449999999*Deflactores!$A$5</f>
        <v>11.934934888724293</v>
      </c>
      <c r="E93" s="42">
        <f>3.78565331411999*Deflactores!$B$5</f>
        <v>12.767538070848325</v>
      </c>
      <c r="F93" s="42">
        <f>3.84705829198*Deflactores!$C$5</f>
        <v>12.126750188380399</v>
      </c>
      <c r="G93" s="42">
        <f>4.60930688954*Deflactores!$D$5</f>
        <v>13.643849117877734</v>
      </c>
      <c r="H93" s="42">
        <f>10.56923849817*Deflactores!$E$5</f>
        <v>29.65547893884548</v>
      </c>
      <c r="I93" s="42">
        <f>11.63962649185*Deflactores!$F$5</f>
        <v>31.146586619907318</v>
      </c>
      <c r="J93" s="42">
        <f>14.353094504*Deflactores!$G$5</f>
        <v>36.761423767256325</v>
      </c>
      <c r="K93" s="42">
        <f>14.7168482004*Deflactores!$H$5</f>
        <v>35.662300886412893</v>
      </c>
      <c r="L93" s="42">
        <f>17.80168634267*Deflactores!$I$5</f>
        <v>40.062989140175681</v>
      </c>
      <c r="M93" s="42">
        <f>7.2633989993*Deflactores!$J$5</f>
        <v>16.025597718491024</v>
      </c>
      <c r="N93" s="42">
        <f>7.60762703799999*Deflactores!$K$5</f>
        <v>16.269154095766943</v>
      </c>
      <c r="O93" s="42">
        <f>24.7535565309999*Deflactores!$L$5</f>
        <v>51.034382727642615</v>
      </c>
      <c r="P93" s="42">
        <f>9.871059095*Deflactores!$M$5</f>
        <v>19.866412199941507</v>
      </c>
      <c r="Q93" s="42">
        <f>9.912890012*Deflactores!$N$5</f>
        <v>19.570924817364261</v>
      </c>
      <c r="R93" s="42">
        <f>14.731878771*Deflactores!$O$5</f>
        <v>28.058082828586532</v>
      </c>
      <c r="S93" s="42">
        <f>17.915053264*Deflactores!$P$5</f>
        <v>31.957199773187035</v>
      </c>
      <c r="T93" s="42">
        <f>13.907853562*Deflactores!$Q$5</f>
        <v>23.460126365891689</v>
      </c>
      <c r="U93" s="42">
        <f>28.72946758386*Deflactores!$R$5</f>
        <v>46.557409415574433</v>
      </c>
      <c r="V93" s="42">
        <f>33.89880592418*Deflactores!$S$5</f>
        <v>53.241478389111137</v>
      </c>
    </row>
    <row r="94" spans="2:22" x14ac:dyDescent="0.2">
      <c r="B94" s="34" t="s">
        <v>41</v>
      </c>
      <c r="C94" s="76" t="s">
        <v>42</v>
      </c>
      <c r="D94" s="41">
        <f t="shared" ref="D94:V94" si="30">+D95+D98</f>
        <v>57001.236971235434</v>
      </c>
      <c r="E94" s="41">
        <f t="shared" si="30"/>
        <v>71168.216538117194</v>
      </c>
      <c r="F94" s="41">
        <f t="shared" si="30"/>
        <v>71140.344945705961</v>
      </c>
      <c r="G94" s="41">
        <f t="shared" si="30"/>
        <v>79962.435025444807</v>
      </c>
      <c r="H94" s="41">
        <f t="shared" si="30"/>
        <v>71384.092765589841</v>
      </c>
      <c r="I94" s="41">
        <f t="shared" si="30"/>
        <v>82575.816391425382</v>
      </c>
      <c r="J94" s="41">
        <f t="shared" si="30"/>
        <v>96244.479253555211</v>
      </c>
      <c r="K94" s="41">
        <f t="shared" si="30"/>
        <v>92088.991203911632</v>
      </c>
      <c r="L94" s="41">
        <f t="shared" si="30"/>
        <v>80021.603147054338</v>
      </c>
      <c r="M94" s="41">
        <f t="shared" si="30"/>
        <v>72203.372261312514</v>
      </c>
      <c r="N94" s="41">
        <f t="shared" si="30"/>
        <v>68884.796309206155</v>
      </c>
      <c r="O94" s="41">
        <f t="shared" si="30"/>
        <v>69460.164470472722</v>
      </c>
      <c r="P94" s="41">
        <f t="shared" si="30"/>
        <v>72933.421038183355</v>
      </c>
      <c r="Q94" s="41">
        <f t="shared" si="30"/>
        <v>74657.584096007107</v>
      </c>
      <c r="R94" s="41">
        <f t="shared" si="30"/>
        <v>76153.713662816444</v>
      </c>
      <c r="S94" s="41">
        <f t="shared" si="30"/>
        <v>82150.447449398867</v>
      </c>
      <c r="T94" s="41">
        <f t="shared" si="30"/>
        <v>66860.746573994518</v>
      </c>
      <c r="U94" s="41">
        <f t="shared" si="30"/>
        <v>79264.442645780407</v>
      </c>
      <c r="V94" s="41">
        <f t="shared" si="30"/>
        <v>57159.635474740062</v>
      </c>
    </row>
    <row r="95" spans="2:22" x14ac:dyDescent="0.2">
      <c r="B95" s="34"/>
      <c r="C95" s="76" t="s">
        <v>43</v>
      </c>
      <c r="D95" s="41">
        <f t="shared" ref="D95:V95" si="31">+D96+D97</f>
        <v>18067.372999201551</v>
      </c>
      <c r="E95" s="41">
        <f t="shared" si="31"/>
        <v>26275.102524513899</v>
      </c>
      <c r="F95" s="41">
        <f t="shared" si="31"/>
        <v>29763.219559209952</v>
      </c>
      <c r="G95" s="41">
        <f t="shared" si="31"/>
        <v>39014.548025706521</v>
      </c>
      <c r="H95" s="41">
        <f t="shared" si="31"/>
        <v>23201.427733337307</v>
      </c>
      <c r="I95" s="41">
        <f t="shared" si="31"/>
        <v>34256.477560883257</v>
      </c>
      <c r="J95" s="41">
        <f t="shared" si="31"/>
        <v>24671.647595893191</v>
      </c>
      <c r="K95" s="41">
        <f t="shared" si="31"/>
        <v>18021.949847403521</v>
      </c>
      <c r="L95" s="41">
        <f t="shared" si="31"/>
        <v>16469.408804256233</v>
      </c>
      <c r="M95" s="41">
        <f t="shared" si="31"/>
        <v>15113.5626134964</v>
      </c>
      <c r="N95" s="41">
        <f t="shared" si="31"/>
        <v>15030.602200863312</v>
      </c>
      <c r="O95" s="41">
        <f t="shared" si="31"/>
        <v>12592.099536253711</v>
      </c>
      <c r="P95" s="41">
        <f t="shared" si="31"/>
        <v>13029.576633127494</v>
      </c>
      <c r="Q95" s="41">
        <f t="shared" si="31"/>
        <v>13538.280282658383</v>
      </c>
      <c r="R95" s="41">
        <f t="shared" si="31"/>
        <v>16836.046223135731</v>
      </c>
      <c r="S95" s="41">
        <f t="shared" si="31"/>
        <v>19631.532632869959</v>
      </c>
      <c r="T95" s="41">
        <f t="shared" si="31"/>
        <v>15625.443277281076</v>
      </c>
      <c r="U95" s="41">
        <f t="shared" si="31"/>
        <v>22645.73656301848</v>
      </c>
      <c r="V95" s="41">
        <f t="shared" si="31"/>
        <v>15075.075530881195</v>
      </c>
    </row>
    <row r="96" spans="2:22" x14ac:dyDescent="0.2">
      <c r="B96" s="32"/>
      <c r="C96" s="77" t="s">
        <v>60</v>
      </c>
      <c r="D96" s="42">
        <f>2524.53615011964*Deflactores!$A$5</f>
        <v>9165.477765147838</v>
      </c>
      <c r="E96" s="42">
        <f>4398.17005089057*Deflactores!$B$5</f>
        <v>14833.319088508169</v>
      </c>
      <c r="F96" s="42">
        <f>5648.24748038399*Deflactores!$C$5</f>
        <v>17804.483581534914</v>
      </c>
      <c r="G96" s="42">
        <f>7828.35459273359*Deflactores!$D$5</f>
        <v>23172.440339541292</v>
      </c>
      <c r="H96" s="42">
        <f>3996.43172118164*Deflactores!$E$5</f>
        <v>11213.305174119825</v>
      </c>
      <c r="I96" s="42">
        <f>8411.06129619726*Deflactores!$F$5</f>
        <v>22507.238476319824</v>
      </c>
      <c r="J96" s="42">
        <f>4942.61546714898*Deflactores!$G$5</f>
        <v>12659.12250879577</v>
      </c>
      <c r="K96" s="42">
        <f>3519.23972920904*Deflactores!$H$5</f>
        <v>8527.9255724782051</v>
      </c>
      <c r="L96" s="42">
        <f>3471.56170551639*Deflactores!$I$5</f>
        <v>7812.8069571802553</v>
      </c>
      <c r="M96" s="42">
        <f>2845.4082608112*Deflactores!$J$5</f>
        <v>6277.9654727801762</v>
      </c>
      <c r="N96" s="42">
        <f>3360.86251068273*Deflactores!$K$5</f>
        <v>7187.3121287184185</v>
      </c>
      <c r="O96" s="42">
        <f>2372.81323438591*Deflactores!$L$5</f>
        <v>4892.0266707215897</v>
      </c>
      <c r="P96" s="42">
        <f>3393.13494986786*Deflactores!$M$5</f>
        <v>6828.9954416591181</v>
      </c>
      <c r="Q96" s="42">
        <f>2909.13372410395*Deflactores!$N$5</f>
        <v>5743.4751449048263</v>
      </c>
      <c r="R96" s="42">
        <f>4840.87593730627*Deflactores!$O$5</f>
        <v>9219.8490174400849</v>
      </c>
      <c r="S96" s="42">
        <f>5998.53613662173*Deflactores!$P$5</f>
        <v>10700.298505386692</v>
      </c>
      <c r="T96" s="42">
        <f>3415.25511858014*Deflactores!$Q$5</f>
        <v>5760.9404856378578</v>
      </c>
      <c r="U96" s="42">
        <f>7662.48186229947*Deflactores!$R$5</f>
        <v>12417.40050215572</v>
      </c>
      <c r="V96" s="42">
        <f>2964.77775272413*Deflactores!$S$5</f>
        <v>4656.4811457735013</v>
      </c>
    </row>
    <row r="97" spans="2:22" x14ac:dyDescent="0.2">
      <c r="B97" s="32"/>
      <c r="C97" s="77" t="s">
        <v>61</v>
      </c>
      <c r="D97" s="42">
        <f>2451.9350653385*Deflactores!$A$5</f>
        <v>8901.8952340537144</v>
      </c>
      <c r="E97" s="42">
        <f>3392.55893686012*Deflactores!$B$5</f>
        <v>11441.78343600573</v>
      </c>
      <c r="F97" s="42">
        <f>3793.75790626876*Deflactores!$C$5</f>
        <v>11958.73597767504</v>
      </c>
      <c r="G97" s="42">
        <f>5351.9454423602*Deflactores!$D$5</f>
        <v>15842.107686165227</v>
      </c>
      <c r="H97" s="42">
        <f>4272.57731142866*Deflactores!$E$5</f>
        <v>11988.122559217481</v>
      </c>
      <c r="I97" s="42">
        <f>4390.74612498167*Deflactores!$F$5</f>
        <v>11749.239084563433</v>
      </c>
      <c r="J97" s="42">
        <f>4690.15859936179*Deflactores!$G$5</f>
        <v>12012.525087097423</v>
      </c>
      <c r="K97" s="42">
        <f>3917.92202387653*Deflactores!$H$5</f>
        <v>9494.0242749253175</v>
      </c>
      <c r="L97" s="42">
        <f>3846.49558563489*Deflactores!$I$5</f>
        <v>8656.6018470759773</v>
      </c>
      <c r="M97" s="42">
        <f>4004.62238959403*Deflactores!$J$5</f>
        <v>8835.5971407162251</v>
      </c>
      <c r="N97" s="42">
        <f>3667.60467498747*Deflactores!$K$5</f>
        <v>7843.2900721448932</v>
      </c>
      <c r="O97" s="42">
        <f>3734.81913138782*Deflactores!$L$5</f>
        <v>7700.0728655321218</v>
      </c>
      <c r="P97" s="42">
        <f>3080.89365851928*Deflactores!$M$5</f>
        <v>6200.5811914683763</v>
      </c>
      <c r="Q97" s="42">
        <f>3948.15506761166*Deflactores!$N$5</f>
        <v>7794.8051377535558</v>
      </c>
      <c r="R97" s="42">
        <f>3998.87956051021*Deflactores!$O$5</f>
        <v>7616.1972056956447</v>
      </c>
      <c r="S97" s="42">
        <f>5006.80711209762*Deflactores!$P$5</f>
        <v>8931.234127483267</v>
      </c>
      <c r="T97" s="42">
        <f>5847.96766003692*Deflactores!$Q$5</f>
        <v>9864.5027916432191</v>
      </c>
      <c r="U97" s="42">
        <f>6311.66237524982*Deflactores!$R$5</f>
        <v>10228.336060862757</v>
      </c>
      <c r="V97" s="42">
        <f>6633.5105588606*Deflactores!$S$5</f>
        <v>10418.594385107694</v>
      </c>
    </row>
    <row r="98" spans="2:22" x14ac:dyDescent="0.2">
      <c r="B98" s="34"/>
      <c r="C98" s="76" t="s">
        <v>44</v>
      </c>
      <c r="D98" s="41">
        <f t="shared" ref="D98:V98" si="32">+D99+D100</f>
        <v>38933.863972033883</v>
      </c>
      <c r="E98" s="41">
        <f t="shared" si="32"/>
        <v>44893.114013603292</v>
      </c>
      <c r="F98" s="41">
        <f t="shared" si="32"/>
        <v>41377.125386496016</v>
      </c>
      <c r="G98" s="41">
        <f t="shared" si="32"/>
        <v>40947.886999738286</v>
      </c>
      <c r="H98" s="41">
        <f t="shared" si="32"/>
        <v>48182.665032252538</v>
      </c>
      <c r="I98" s="41">
        <f t="shared" si="32"/>
        <v>48319.338830542125</v>
      </c>
      <c r="J98" s="41">
        <f t="shared" si="32"/>
        <v>71572.831657662027</v>
      </c>
      <c r="K98" s="41">
        <f t="shared" si="32"/>
        <v>74067.041356508111</v>
      </c>
      <c r="L98" s="41">
        <f t="shared" si="32"/>
        <v>63552.194342798102</v>
      </c>
      <c r="M98" s="41">
        <f t="shared" si="32"/>
        <v>57089.80964781611</v>
      </c>
      <c r="N98" s="41">
        <f t="shared" si="32"/>
        <v>53854.194108342846</v>
      </c>
      <c r="O98" s="41">
        <f t="shared" si="32"/>
        <v>56868.064934219015</v>
      </c>
      <c r="P98" s="41">
        <f t="shared" si="32"/>
        <v>59903.844405055854</v>
      </c>
      <c r="Q98" s="41">
        <f t="shared" si="32"/>
        <v>61119.303813348721</v>
      </c>
      <c r="R98" s="41">
        <f t="shared" si="32"/>
        <v>59317.667439680721</v>
      </c>
      <c r="S98" s="41">
        <f t="shared" si="32"/>
        <v>62518.914816528915</v>
      </c>
      <c r="T98" s="41">
        <f t="shared" si="32"/>
        <v>51235.30329671345</v>
      </c>
      <c r="U98" s="41">
        <f t="shared" si="32"/>
        <v>56618.706082761928</v>
      </c>
      <c r="V98" s="41">
        <f t="shared" si="32"/>
        <v>42084.559943858869</v>
      </c>
    </row>
    <row r="99" spans="2:22" x14ac:dyDescent="0.2">
      <c r="B99" s="32"/>
      <c r="C99" s="77" t="s">
        <v>60</v>
      </c>
      <c r="D99" s="42">
        <f>6074.22972292359*Deflactores!$A$5</f>
        <v>22052.85016941345</v>
      </c>
      <c r="E99" s="42">
        <f>8299.65154502352*Deflactores!$B$5</f>
        <v>27991.500616451907</v>
      </c>
      <c r="F99" s="42">
        <f>7978.05026683677*Deflactores!$C$5</f>
        <v>25148.520046593065</v>
      </c>
      <c r="G99" s="42">
        <f>7096.54240308964*Deflactores!$D$5</f>
        <v>21006.228512599511</v>
      </c>
      <c r="H99" s="42">
        <f>9573.32850353675*Deflactores!$E$5</f>
        <v>26861.125506860219</v>
      </c>
      <c r="I99" s="42">
        <f>9499.11209202548*Deflactores!$F$5</f>
        <v>25418.76389192072</v>
      </c>
      <c r="J99" s="42">
        <f>17041.7316504578*Deflactores!$G$5</f>
        <v>43647.613325178994</v>
      </c>
      <c r="K99" s="42">
        <f>18284.0067513306*Deflactores!$H$5</f>
        <v>44306.344761878703</v>
      </c>
      <c r="L99" s="42">
        <f>16319.0142442899*Deflactores!$I$5</f>
        <v>36726.211093847392</v>
      </c>
      <c r="M99" s="42">
        <f>13696.6251719467*Deflactores!$J$5</f>
        <v>30219.543925334336</v>
      </c>
      <c r="N99" s="42">
        <f>13721.2577621111*Deflactores!$K$5</f>
        <v>29343.3492210484</v>
      </c>
      <c r="O99" s="42">
        <f>14339.1939088717*Deflactores!$L$5</f>
        <v>29563.101731857678</v>
      </c>
      <c r="P99" s="42">
        <f>16596.7196116956*Deflactores!$M$5</f>
        <v>33402.421138356884</v>
      </c>
      <c r="Q99" s="42">
        <f>17902.1626864768*Deflactores!$N$5</f>
        <v>35344.070153217923</v>
      </c>
      <c r="R99" s="42">
        <f>17331.4251576063*Deflactores!$O$5</f>
        <v>33009.134148376979</v>
      </c>
      <c r="S99" s="42">
        <f>20376.7749838661*Deflactores!$P$5</f>
        <v>36348.464014965204</v>
      </c>
      <c r="T99" s="42">
        <f>13862.1487996668*Deflactores!$Q$5</f>
        <v>23383.030393096178</v>
      </c>
      <c r="U99" s="42">
        <f>17062.9997412807*Deflactores!$R$5</f>
        <v>27651.367450294805</v>
      </c>
      <c r="V99" s="42">
        <f>8077.16362790233*Deflactores!$S$5</f>
        <v>12685.996483242761</v>
      </c>
    </row>
    <row r="100" spans="2:22" x14ac:dyDescent="0.2">
      <c r="B100" s="32"/>
      <c r="C100" s="77" t="s">
        <v>61</v>
      </c>
      <c r="D100" s="42">
        <f>4649.70083255627*Deflactores!$A$5</f>
        <v>16881.013802620429</v>
      </c>
      <c r="E100" s="42">
        <f>5011.43199384638*Deflactores!$B$5</f>
        <v>16901.613397151388</v>
      </c>
      <c r="F100" s="42">
        <f>5148.32001734199*Deflactores!$C$5</f>
        <v>16228.605339902953</v>
      </c>
      <c r="G100" s="42">
        <f>6736.89829457159*Deflactores!$D$5</f>
        <v>19941.658487138779</v>
      </c>
      <c r="H100" s="42">
        <f>7599.01523953614*Deflactores!$E$5</f>
        <v>21321.53952539232</v>
      </c>
      <c r="I100" s="42">
        <f>8558.05298946646*Deflactores!$F$5</f>
        <v>22900.574938621401</v>
      </c>
      <c r="J100" s="42">
        <f>10903.0950571607*Deflactores!$G$5</f>
        <v>27925.21833248304</v>
      </c>
      <c r="K100" s="42">
        <f>12281.4188438467*Deflactores!$H$5</f>
        <v>29760.696594629408</v>
      </c>
      <c r="L100" s="42">
        <f>11919.9228485088*Deflactores!$I$5</f>
        <v>26825.983248950713</v>
      </c>
      <c r="M100" s="42">
        <f>12178.6072874152*Deflactores!$J$5</f>
        <v>26870.265722481774</v>
      </c>
      <c r="N100" s="42">
        <f>11461.5280666204*Deflactores!$K$5</f>
        <v>24510.844887294446</v>
      </c>
      <c r="O100" s="42">
        <f>13243.9134967812*Deflactores!$L$5</f>
        <v>27304.963202361338</v>
      </c>
      <c r="P100" s="42">
        <f>13167.8086880712*Deflactores!$M$5</f>
        <v>26501.42326669897</v>
      </c>
      <c r="Q100" s="42">
        <f>13055.4411041311*Deflactores!$N$5</f>
        <v>25775.233660130798</v>
      </c>
      <c r="R100" s="42">
        <f>13813.2788850217*Deflactores!$O$5</f>
        <v>26308.533291303738</v>
      </c>
      <c r="S100" s="42">
        <f>14671.0294825731*Deflactores!$P$5</f>
        <v>26170.450801563711</v>
      </c>
      <c r="T100" s="42">
        <f>16511.6473317703*Deflactores!$Q$5</f>
        <v>27852.272903617271</v>
      </c>
      <c r="U100" s="42">
        <f>17875.0541896295*Deflactores!$R$5</f>
        <v>28967.338632467126</v>
      </c>
      <c r="V100" s="42">
        <f>18718.0414097016*Deflactores!$S$5</f>
        <v>29398.563460616107</v>
      </c>
    </row>
    <row r="101" spans="2:22" x14ac:dyDescent="0.2">
      <c r="B101" s="34" t="s">
        <v>45</v>
      </c>
      <c r="C101" s="76" t="s">
        <v>46</v>
      </c>
      <c r="D101" s="41">
        <f>3782.81883124352*Deflactores!$A$5</f>
        <v>13733.7474393868</v>
      </c>
      <c r="E101" s="41">
        <f>5449.1810180333*Deflactores!$B$5</f>
        <v>18377.970809737759</v>
      </c>
      <c r="F101" s="41">
        <f>4024.86747222247*Deflactores!$C$5</f>
        <v>12687.242737842489</v>
      </c>
      <c r="G101" s="41">
        <f>4043.25983760931*Deflactores!$D$5</f>
        <v>11968.312913575966</v>
      </c>
      <c r="H101" s="41">
        <f>4998.85522849166*Deflactores!$E$5</f>
        <v>14025.934410746762</v>
      </c>
      <c r="I101" s="41">
        <f>6108.25926121626*Deflactores!$F$5</f>
        <v>16345.148730462808</v>
      </c>
      <c r="J101" s="41">
        <f>6660.05394145813*Deflactores!$G$5</f>
        <v>17057.859208444326</v>
      </c>
      <c r="K101" s="41">
        <f>12478.0178422548*Deflactores!$H$5</f>
        <v>30237.101089649372</v>
      </c>
      <c r="L101" s="41">
        <f>13824.4138626633*Deflactores!$I$5</f>
        <v>31112.071732306722</v>
      </c>
      <c r="M101" s="41">
        <f>20174.0490011978*Deflactores!$J$5</f>
        <v>44511.005615618713</v>
      </c>
      <c r="N101" s="41">
        <f>14331.419520534*Deflactores!$K$5</f>
        <v>30648.199685134245</v>
      </c>
      <c r="O101" s="41">
        <f>21508.7119451102*Deflactores!$L$5</f>
        <v>44344.489892218022</v>
      </c>
      <c r="P101" s="41">
        <f>25722.2427249388*Deflactores!$M$5</f>
        <v>51768.373764414267</v>
      </c>
      <c r="Q101" s="41">
        <f>30679.663845779*Deflactores!$N$5</f>
        <v>60570.569613997774</v>
      </c>
      <c r="R101" s="41">
        <f>33675.6836975565*Deflactores!$O$5</f>
        <v>64138.127742085904</v>
      </c>
      <c r="S101" s="41">
        <f>34705.7334084421*Deflactores!$P$5</f>
        <v>61908.722204988895</v>
      </c>
      <c r="T101" s="41">
        <f>28471.4423253231*Deflactores!$Q$5</f>
        <v>48026.363794646131</v>
      </c>
      <c r="U101" s="41">
        <f>27855.3330214092*Deflactores!$R$5</f>
        <v>45140.834583843498</v>
      </c>
      <c r="V101" s="41">
        <f>23430.6340216743*Deflactores!$S$5</f>
        <v>36800.1633360872</v>
      </c>
    </row>
    <row r="102" spans="2:22" x14ac:dyDescent="0.2">
      <c r="B102" s="36" t="s">
        <v>47</v>
      </c>
      <c r="C102" s="78" t="s">
        <v>48</v>
      </c>
      <c r="D102" s="43">
        <f t="shared" ref="D102:V102" si="33">+D89+D101</f>
        <v>97814.770660292823</v>
      </c>
      <c r="E102" s="43">
        <f t="shared" si="33"/>
        <v>107693.4119037515</v>
      </c>
      <c r="F102" s="43">
        <f t="shared" si="33"/>
        <v>104695.32189886767</v>
      </c>
      <c r="G102" s="43">
        <f t="shared" si="33"/>
        <v>104203.86994206946</v>
      </c>
      <c r="H102" s="43">
        <f t="shared" si="33"/>
        <v>116637.24033148344</v>
      </c>
      <c r="I102" s="43">
        <f t="shared" si="33"/>
        <v>130166.80005868422</v>
      </c>
      <c r="J102" s="43">
        <f t="shared" si="33"/>
        <v>137027.27063523015</v>
      </c>
      <c r="K102" s="43">
        <f t="shared" si="33"/>
        <v>155948.52540331753</v>
      </c>
      <c r="L102" s="43">
        <f t="shared" si="33"/>
        <v>164577.69194020185</v>
      </c>
      <c r="M102" s="43">
        <f t="shared" si="33"/>
        <v>189631.44276616437</v>
      </c>
      <c r="N102" s="43">
        <f t="shared" si="33"/>
        <v>185128.30858406768</v>
      </c>
      <c r="O102" s="43">
        <f t="shared" si="33"/>
        <v>202607.86960187487</v>
      </c>
      <c r="P102" s="43">
        <f t="shared" si="33"/>
        <v>220522.55371992913</v>
      </c>
      <c r="Q102" s="43">
        <f t="shared" si="33"/>
        <v>243342.63065226877</v>
      </c>
      <c r="R102" s="43">
        <f t="shared" si="33"/>
        <v>254293.75284558398</v>
      </c>
      <c r="S102" s="43">
        <f t="shared" si="33"/>
        <v>246159.15422509512</v>
      </c>
      <c r="T102" s="43">
        <f t="shared" si="33"/>
        <v>235661.24787987591</v>
      </c>
      <c r="U102" s="43">
        <f t="shared" si="33"/>
        <v>252265.69694273226</v>
      </c>
      <c r="V102" s="43">
        <f t="shared" si="33"/>
        <v>244895.60535097434</v>
      </c>
    </row>
    <row r="103" spans="2:22" x14ac:dyDescent="0.2">
      <c r="B103" s="38" t="s">
        <v>49</v>
      </c>
      <c r="C103" s="79" t="s">
        <v>63</v>
      </c>
      <c r="D103" s="44">
        <f t="shared" ref="D103:V103" si="34">+D89+D94+D101</f>
        <v>154816.00763152825</v>
      </c>
      <c r="E103" s="44">
        <f t="shared" si="34"/>
        <v>178861.6284418687</v>
      </c>
      <c r="F103" s="44">
        <f t="shared" si="34"/>
        <v>175835.66684457363</v>
      </c>
      <c r="G103" s="44">
        <f t="shared" si="34"/>
        <v>184166.30496751427</v>
      </c>
      <c r="H103" s="44">
        <f t="shared" si="34"/>
        <v>188021.33309707328</v>
      </c>
      <c r="I103" s="44">
        <f t="shared" si="34"/>
        <v>212742.61645010961</v>
      </c>
      <c r="J103" s="44">
        <f t="shared" si="34"/>
        <v>233271.74988878539</v>
      </c>
      <c r="K103" s="44">
        <f t="shared" si="34"/>
        <v>248037.51660722913</v>
      </c>
      <c r="L103" s="44">
        <f t="shared" si="34"/>
        <v>244599.29508725618</v>
      </c>
      <c r="M103" s="44">
        <f t="shared" si="34"/>
        <v>261834.81502747687</v>
      </c>
      <c r="N103" s="44">
        <f t="shared" si="34"/>
        <v>254013.10489327382</v>
      </c>
      <c r="O103" s="44">
        <f t="shared" si="34"/>
        <v>272068.03407234757</v>
      </c>
      <c r="P103" s="44">
        <f t="shared" si="34"/>
        <v>293455.97475811245</v>
      </c>
      <c r="Q103" s="44">
        <f t="shared" si="34"/>
        <v>318000.21474827587</v>
      </c>
      <c r="R103" s="44">
        <f t="shared" si="34"/>
        <v>330447.46650840045</v>
      </c>
      <c r="S103" s="44">
        <f t="shared" si="34"/>
        <v>328309.60167449398</v>
      </c>
      <c r="T103" s="44">
        <f t="shared" si="34"/>
        <v>302521.9944538704</v>
      </c>
      <c r="U103" s="44">
        <f t="shared" si="34"/>
        <v>331530.13958851265</v>
      </c>
      <c r="V103" s="44">
        <f t="shared" si="34"/>
        <v>302055.24082571437</v>
      </c>
    </row>
    <row r="104" spans="2:22" x14ac:dyDescent="0.2">
      <c r="B104" s="36" t="s">
        <v>64</v>
      </c>
      <c r="C104" s="78" t="s">
        <v>65</v>
      </c>
      <c r="D104" s="43">
        <f t="shared" ref="D104:V104" si="35">+D27</f>
        <v>108577.38974510442</v>
      </c>
      <c r="E104" s="43">
        <f t="shared" si="35"/>
        <v>123391.21871875526</v>
      </c>
      <c r="F104" s="43">
        <f t="shared" si="35"/>
        <v>122126.1783495383</v>
      </c>
      <c r="G104" s="43">
        <f t="shared" si="35"/>
        <v>116957.30860106893</v>
      </c>
      <c r="H104" s="43">
        <f t="shared" si="35"/>
        <v>132159.7908609187</v>
      </c>
      <c r="I104" s="43">
        <f t="shared" si="35"/>
        <v>144916.09381175032</v>
      </c>
      <c r="J104" s="43">
        <f t="shared" si="35"/>
        <v>153732.55238435458</v>
      </c>
      <c r="K104" s="43">
        <f t="shared" si="35"/>
        <v>170158.87412341137</v>
      </c>
      <c r="L104" s="43">
        <f t="shared" si="35"/>
        <v>174637.03522496222</v>
      </c>
      <c r="M104" s="43">
        <f t="shared" si="35"/>
        <v>206952.46010841816</v>
      </c>
      <c r="N104" s="43">
        <f t="shared" si="35"/>
        <v>207998.52819550585</v>
      </c>
      <c r="O104" s="43">
        <f t="shared" si="35"/>
        <v>212836.42251382832</v>
      </c>
      <c r="P104" s="43">
        <f t="shared" si="35"/>
        <v>233384.55961635738</v>
      </c>
      <c r="Q104" s="43">
        <f t="shared" si="35"/>
        <v>256688.47631875984</v>
      </c>
      <c r="R104" s="43">
        <f t="shared" si="35"/>
        <v>275394.43498656107</v>
      </c>
      <c r="S104" s="43">
        <f t="shared" si="35"/>
        <v>264648.42130030924</v>
      </c>
      <c r="T104" s="43">
        <f t="shared" si="35"/>
        <v>253637.12288398657</v>
      </c>
      <c r="U104" s="43">
        <f t="shared" si="35"/>
        <v>266893.78074972698</v>
      </c>
      <c r="V104" s="43">
        <f t="shared" si="35"/>
        <v>269494.65449113824</v>
      </c>
    </row>
    <row r="105" spans="2:22" x14ac:dyDescent="0.2">
      <c r="B105" s="38" t="s">
        <v>66</v>
      </c>
      <c r="C105" s="79" t="s">
        <v>70</v>
      </c>
      <c r="D105" s="45">
        <f t="shared" ref="D105:V105" si="36">+D102/D$27*100</f>
        <v>90.087605614688428</v>
      </c>
      <c r="E105" s="45">
        <f t="shared" si="36"/>
        <v>87.278019474964694</v>
      </c>
      <c r="F105" s="45">
        <f t="shared" si="36"/>
        <v>85.72717439762863</v>
      </c>
      <c r="G105" s="45">
        <f t="shared" si="36"/>
        <v>89.095646256276012</v>
      </c>
      <c r="H105" s="45">
        <f t="shared" si="36"/>
        <v>88.254710129065842</v>
      </c>
      <c r="I105" s="45">
        <f t="shared" si="36"/>
        <v>89.822183744321876</v>
      </c>
      <c r="J105" s="45">
        <f t="shared" si="36"/>
        <v>89.133542967946894</v>
      </c>
      <c r="K105" s="45">
        <f t="shared" si="36"/>
        <v>91.648776008127868</v>
      </c>
      <c r="L105" s="45">
        <f t="shared" si="36"/>
        <v>94.239856813990102</v>
      </c>
      <c r="M105" s="45">
        <f t="shared" si="36"/>
        <v>91.630436606948436</v>
      </c>
      <c r="N105" s="45">
        <f t="shared" si="36"/>
        <v>89.004624306792422</v>
      </c>
      <c r="O105" s="45">
        <f t="shared" si="36"/>
        <v>95.194171753526405</v>
      </c>
      <c r="P105" s="45">
        <f t="shared" si="36"/>
        <v>94.488921667495447</v>
      </c>
      <c r="Q105" s="45">
        <f t="shared" si="36"/>
        <v>94.80076166336427</v>
      </c>
      <c r="R105" s="45">
        <f t="shared" si="36"/>
        <v>92.338014331332886</v>
      </c>
      <c r="S105" s="45">
        <f t="shared" si="36"/>
        <v>93.013649208874952</v>
      </c>
      <c r="T105" s="45">
        <f t="shared" si="36"/>
        <v>92.912758668874815</v>
      </c>
      <c r="U105" s="45">
        <f t="shared" si="36"/>
        <v>94.519136502205782</v>
      </c>
      <c r="V105" s="45">
        <f t="shared" si="36"/>
        <v>90.872156931419653</v>
      </c>
    </row>
    <row r="106" spans="2:22" x14ac:dyDescent="0.2">
      <c r="B106" s="1" t="s">
        <v>52</v>
      </c>
      <c r="C106" s="15"/>
      <c r="D106" s="12"/>
      <c r="E106" s="12"/>
      <c r="F106" s="12"/>
      <c r="G106" s="12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</row>
    <row r="111" spans="2:22" ht="18" customHeight="1" x14ac:dyDescent="0.2">
      <c r="C111" s="131"/>
      <c r="D111" s="160" t="s">
        <v>80</v>
      </c>
      <c r="E111" s="158"/>
      <c r="F111" s="158"/>
      <c r="G111" s="158"/>
      <c r="H111" s="158"/>
      <c r="I111" s="158"/>
      <c r="J111" s="158"/>
      <c r="K111" s="158"/>
      <c r="L111" s="158"/>
      <c r="M111" s="158"/>
      <c r="N111" s="158"/>
      <c r="O111" s="158"/>
      <c r="P111" s="158"/>
      <c r="Q111" s="158"/>
      <c r="R111" s="158"/>
      <c r="S111" s="158"/>
      <c r="T111" s="158"/>
      <c r="U111" s="158"/>
      <c r="V111" s="158"/>
    </row>
    <row r="112" spans="2:22" x14ac:dyDescent="0.2">
      <c r="U112" s="29"/>
      <c r="V112" s="29"/>
    </row>
    <row r="113" spans="2:22" x14ac:dyDescent="0.2">
      <c r="B113" s="163"/>
      <c r="C113" s="155" t="s">
        <v>38</v>
      </c>
      <c r="D113" s="153">
        <v>2000</v>
      </c>
      <c r="E113" s="153">
        <v>2001</v>
      </c>
      <c r="F113" s="153">
        <v>2002</v>
      </c>
      <c r="G113" s="153">
        <v>2003</v>
      </c>
      <c r="H113" s="153">
        <v>2004</v>
      </c>
      <c r="I113" s="153">
        <v>2005</v>
      </c>
      <c r="J113" s="153">
        <v>2006</v>
      </c>
      <c r="K113" s="153">
        <v>2007</v>
      </c>
      <c r="L113" s="153">
        <v>2008</v>
      </c>
      <c r="M113" s="153">
        <v>2009</v>
      </c>
      <c r="N113" s="153">
        <v>2010</v>
      </c>
      <c r="O113" s="153">
        <v>2011</v>
      </c>
      <c r="P113" s="153">
        <v>2012</v>
      </c>
      <c r="Q113" s="153">
        <v>2013</v>
      </c>
      <c r="R113" s="153">
        <v>2014</v>
      </c>
      <c r="S113" s="153">
        <v>2015</v>
      </c>
      <c r="T113" s="153">
        <v>2016</v>
      </c>
      <c r="U113" s="153">
        <v>2017</v>
      </c>
      <c r="V113" s="153">
        <v>2018</v>
      </c>
    </row>
    <row r="114" spans="2:22" ht="12" customHeight="1" thickBot="1" x14ac:dyDescent="0.25">
      <c r="B114" s="154"/>
      <c r="C114" s="156"/>
      <c r="D114" s="154"/>
      <c r="E114" s="154"/>
      <c r="F114" s="154"/>
      <c r="G114" s="154"/>
      <c r="H114" s="154"/>
      <c r="I114" s="154"/>
      <c r="J114" s="154"/>
      <c r="K114" s="154"/>
      <c r="L114" s="154"/>
      <c r="M114" s="154"/>
      <c r="N114" s="154"/>
      <c r="O114" s="154"/>
      <c r="P114" s="154"/>
      <c r="Q114" s="154"/>
      <c r="R114" s="154"/>
      <c r="S114" s="154"/>
      <c r="T114" s="154"/>
      <c r="U114" s="154"/>
      <c r="V114" s="154"/>
    </row>
    <row r="115" spans="2:22" x14ac:dyDescent="0.2">
      <c r="B115" s="34" t="s">
        <v>39</v>
      </c>
      <c r="C115" s="76" t="s">
        <v>40</v>
      </c>
      <c r="D115" s="46">
        <f t="shared" ref="D115:V115" si="37">+IFERROR(IF(D89&gt;0,+((D89/D14)*100)," "),"")</f>
        <v>94.051309074160244</v>
      </c>
      <c r="E115" s="46">
        <f t="shared" si="37"/>
        <v>94.907577082778047</v>
      </c>
      <c r="F115" s="46">
        <f t="shared" si="37"/>
        <v>93.999517285764384</v>
      </c>
      <c r="G115" s="46">
        <f t="shared" si="37"/>
        <v>93.739976043077306</v>
      </c>
      <c r="H115" s="46">
        <f t="shared" si="37"/>
        <v>93.440805797927979</v>
      </c>
      <c r="I115" s="46">
        <f t="shared" si="37"/>
        <v>94.540372470062962</v>
      </c>
      <c r="J115" s="46">
        <f t="shared" si="37"/>
        <v>95.061710012407616</v>
      </c>
      <c r="K115" s="46">
        <f t="shared" si="37"/>
        <v>95.902687494738615</v>
      </c>
      <c r="L115" s="46">
        <f t="shared" si="37"/>
        <v>96.619088386185908</v>
      </c>
      <c r="M115" s="46">
        <f t="shared" si="37"/>
        <v>93.82903409098499</v>
      </c>
      <c r="N115" s="46">
        <f t="shared" si="37"/>
        <v>91.370043709493004</v>
      </c>
      <c r="O115" s="46">
        <f t="shared" si="37"/>
        <v>98.168259562117399</v>
      </c>
      <c r="P115" s="46">
        <f t="shared" si="37"/>
        <v>97.370048114617617</v>
      </c>
      <c r="Q115" s="46">
        <f t="shared" si="37"/>
        <v>97.150172883544968</v>
      </c>
      <c r="R115" s="46">
        <f t="shared" si="37"/>
        <v>94.174839394848533</v>
      </c>
      <c r="S115" s="46">
        <f t="shared" si="37"/>
        <v>95.082502879841513</v>
      </c>
      <c r="T115" s="46">
        <f t="shared" si="37"/>
        <v>95.109222318098958</v>
      </c>
      <c r="U115" s="46">
        <f t="shared" si="37"/>
        <v>96.105148202470232</v>
      </c>
      <c r="V115" s="46">
        <f t="shared" si="37"/>
        <v>94.21077930193141</v>
      </c>
    </row>
    <row r="116" spans="2:22" x14ac:dyDescent="0.2">
      <c r="B116" s="40"/>
      <c r="C116" s="77" t="s">
        <v>56</v>
      </c>
      <c r="D116" s="47">
        <f t="shared" ref="D116:V116" si="38">+IFERROR(IF(D90&gt;0,+((D90/D15)*100)," "),"")</f>
        <v>98.220293880536246</v>
      </c>
      <c r="E116" s="47">
        <f t="shared" si="38"/>
        <v>97.619170314756531</v>
      </c>
      <c r="F116" s="47">
        <f t="shared" si="38"/>
        <v>98.253926400523127</v>
      </c>
      <c r="G116" s="47">
        <f t="shared" si="38"/>
        <v>98.559013617245228</v>
      </c>
      <c r="H116" s="47">
        <f t="shared" si="38"/>
        <v>96.556525140890287</v>
      </c>
      <c r="I116" s="47">
        <f t="shared" si="38"/>
        <v>98.571628143020888</v>
      </c>
      <c r="J116" s="47">
        <f t="shared" si="38"/>
        <v>98.106343656800277</v>
      </c>
      <c r="K116" s="47">
        <f t="shared" si="38"/>
        <v>97.569847424844696</v>
      </c>
      <c r="L116" s="47">
        <f t="shared" si="38"/>
        <v>97.430393853458668</v>
      </c>
      <c r="M116" s="47">
        <f t="shared" si="38"/>
        <v>97.489634493333838</v>
      </c>
      <c r="N116" s="47">
        <f t="shared" si="38"/>
        <v>95.44223983943165</v>
      </c>
      <c r="O116" s="47">
        <f t="shared" si="38"/>
        <v>98.617123729711579</v>
      </c>
      <c r="P116" s="47">
        <f t="shared" si="38"/>
        <v>97.32474876244531</v>
      </c>
      <c r="Q116" s="47">
        <f t="shared" si="38"/>
        <v>96.241923631279818</v>
      </c>
      <c r="R116" s="47">
        <f t="shared" si="38"/>
        <v>94.988875192958474</v>
      </c>
      <c r="S116" s="47">
        <f t="shared" si="38"/>
        <v>96.234668675443004</v>
      </c>
      <c r="T116" s="47">
        <f t="shared" si="38"/>
        <v>98.809817616638654</v>
      </c>
      <c r="U116" s="47">
        <f t="shared" si="38"/>
        <v>99.006277060097204</v>
      </c>
      <c r="V116" s="47">
        <f t="shared" si="38"/>
        <v>96.521006361016546</v>
      </c>
    </row>
    <row r="117" spans="2:22" x14ac:dyDescent="0.2">
      <c r="B117" s="40"/>
      <c r="C117" s="77" t="s">
        <v>57</v>
      </c>
      <c r="D117" s="47">
        <f t="shared" ref="D117:V117" si="39">+IFERROR(IF(D91&gt;0,+((D91/D16)*100)," "),"")</f>
        <v>88.97549757478302</v>
      </c>
      <c r="E117" s="47">
        <f t="shared" si="39"/>
        <v>81.026467161340008</v>
      </c>
      <c r="F117" s="47">
        <f t="shared" si="39"/>
        <v>76.047378079520172</v>
      </c>
      <c r="G117" s="47">
        <f t="shared" si="39"/>
        <v>76.416715123053692</v>
      </c>
      <c r="H117" s="47">
        <f t="shared" si="39"/>
        <v>71.72361841503772</v>
      </c>
      <c r="I117" s="47">
        <f t="shared" si="39"/>
        <v>72.288678255600715</v>
      </c>
      <c r="J117" s="47">
        <f t="shared" si="39"/>
        <v>76.705874736100924</v>
      </c>
      <c r="K117" s="47">
        <f t="shared" si="39"/>
        <v>92.419899267171928</v>
      </c>
      <c r="L117" s="47">
        <f t="shared" si="39"/>
        <v>94.697553285095722</v>
      </c>
      <c r="M117" s="47">
        <f t="shared" si="39"/>
        <v>92.611530944748353</v>
      </c>
      <c r="N117" s="47">
        <f t="shared" si="39"/>
        <v>93.143877172448725</v>
      </c>
      <c r="O117" s="47">
        <f t="shared" si="39"/>
        <v>91.601858445812994</v>
      </c>
      <c r="P117" s="47">
        <f t="shared" si="39"/>
        <v>92.595509412013271</v>
      </c>
      <c r="Q117" s="47">
        <f t="shared" si="39"/>
        <v>94.023274965284159</v>
      </c>
      <c r="R117" s="47">
        <f t="shared" si="39"/>
        <v>94.041608711705592</v>
      </c>
      <c r="S117" s="47">
        <f t="shared" si="39"/>
        <v>94.189951906391642</v>
      </c>
      <c r="T117" s="47">
        <f t="shared" si="39"/>
        <v>94.909214219402799</v>
      </c>
      <c r="U117" s="47">
        <f t="shared" si="39"/>
        <v>95.801740791972477</v>
      </c>
      <c r="V117" s="47">
        <f t="shared" si="39"/>
        <v>85.954314582464036</v>
      </c>
    </row>
    <row r="118" spans="2:22" x14ac:dyDescent="0.2">
      <c r="B118" s="40"/>
      <c r="C118" s="77" t="s">
        <v>58</v>
      </c>
      <c r="D118" s="47">
        <f t="shared" ref="D118:V118" si="40">+IFERROR(IF(D92&gt;0,+((D92/D17)*100)," "),"")</f>
        <v>93.049665567975509</v>
      </c>
      <c r="E118" s="47">
        <f t="shared" si="40"/>
        <v>95.206556861331421</v>
      </c>
      <c r="F118" s="47">
        <f t="shared" si="40"/>
        <v>94.333458140110366</v>
      </c>
      <c r="G118" s="47">
        <f t="shared" si="40"/>
        <v>93.870128538710247</v>
      </c>
      <c r="H118" s="47">
        <f t="shared" si="40"/>
        <v>94.559625873296099</v>
      </c>
      <c r="I118" s="47">
        <f t="shared" si="40"/>
        <v>95.423428366560415</v>
      </c>
      <c r="J118" s="47">
        <f t="shared" si="40"/>
        <v>95.859206133559582</v>
      </c>
      <c r="K118" s="47">
        <f t="shared" si="40"/>
        <v>95.767686884351491</v>
      </c>
      <c r="L118" s="47">
        <f t="shared" si="40"/>
        <v>96.564790815766884</v>
      </c>
      <c r="M118" s="47">
        <f t="shared" si="40"/>
        <v>92.977583121286926</v>
      </c>
      <c r="N118" s="47">
        <f t="shared" si="40"/>
        <v>90.194403484331104</v>
      </c>
      <c r="O118" s="47">
        <f t="shared" si="40"/>
        <v>98.658097738276524</v>
      </c>
      <c r="P118" s="47">
        <f t="shared" si="40"/>
        <v>97.843706293225196</v>
      </c>
      <c r="Q118" s="47">
        <f t="shared" si="40"/>
        <v>97.722722553015444</v>
      </c>
      <c r="R118" s="47">
        <f t="shared" si="40"/>
        <v>93.955099706849765</v>
      </c>
      <c r="S118" s="47">
        <f t="shared" si="40"/>
        <v>94.822351335939786</v>
      </c>
      <c r="T118" s="47">
        <f t="shared" si="40"/>
        <v>94.064187287251002</v>
      </c>
      <c r="U118" s="47">
        <f t="shared" si="40"/>
        <v>95.357473356813799</v>
      </c>
      <c r="V118" s="47">
        <f t="shared" si="40"/>
        <v>94.192067187358688</v>
      </c>
    </row>
    <row r="119" spans="2:22" x14ac:dyDescent="0.2">
      <c r="B119" s="40"/>
      <c r="C119" s="77" t="s">
        <v>59</v>
      </c>
      <c r="D119" s="47">
        <f t="shared" ref="D119:V119" si="41">+IFERROR(IF(D93&gt;0,+((D93/D18)*100)," "),"")</f>
        <v>100</v>
      </c>
      <c r="E119" s="47">
        <f t="shared" si="41"/>
        <v>49.789514989853899</v>
      </c>
      <c r="F119" s="47">
        <f t="shared" si="41"/>
        <v>54.798277761666078</v>
      </c>
      <c r="G119" s="47">
        <f t="shared" si="41"/>
        <v>60.867182217721385</v>
      </c>
      <c r="H119" s="47">
        <f t="shared" si="41"/>
        <v>82.650495134778211</v>
      </c>
      <c r="I119" s="47">
        <f t="shared" si="41"/>
        <v>62.565423800557362</v>
      </c>
      <c r="J119" s="47">
        <f t="shared" si="41"/>
        <v>81.06351662801724</v>
      </c>
      <c r="K119" s="47">
        <f t="shared" si="41"/>
        <v>77.357491913569817</v>
      </c>
      <c r="L119" s="47">
        <f t="shared" si="41"/>
        <v>93.763092499853286</v>
      </c>
      <c r="M119" s="47">
        <f t="shared" si="41"/>
        <v>89.245198856082666</v>
      </c>
      <c r="N119" s="47">
        <f t="shared" si="41"/>
        <v>86.744054160680363</v>
      </c>
      <c r="O119" s="47">
        <f t="shared" si="41"/>
        <v>88.996293320739682</v>
      </c>
      <c r="P119" s="47">
        <f t="shared" si="41"/>
        <v>92.271860522724296</v>
      </c>
      <c r="Q119" s="47">
        <f t="shared" si="41"/>
        <v>94.934685705529702</v>
      </c>
      <c r="R119" s="47">
        <f t="shared" si="41"/>
        <v>93.106847582693192</v>
      </c>
      <c r="S119" s="47">
        <f t="shared" si="41"/>
        <v>98.960574996764933</v>
      </c>
      <c r="T119" s="47">
        <f t="shared" si="41"/>
        <v>79.768703707086701</v>
      </c>
      <c r="U119" s="47">
        <f t="shared" si="41"/>
        <v>93.341713864944893</v>
      </c>
      <c r="V119" s="47">
        <f t="shared" si="41"/>
        <v>66.875410108032568</v>
      </c>
    </row>
    <row r="120" spans="2:22" x14ac:dyDescent="0.2">
      <c r="B120" s="34" t="s">
        <v>41</v>
      </c>
      <c r="C120" s="76" t="s">
        <v>42</v>
      </c>
      <c r="D120" s="46">
        <f t="shared" ref="D120:V120" si="42">+IFERROR(IF(D94&gt;0,+((D94/D19)*100)," "),"")</f>
        <v>95.108656411651722</v>
      </c>
      <c r="E120" s="46">
        <f t="shared" si="42"/>
        <v>98.610704418604982</v>
      </c>
      <c r="F120" s="46">
        <f t="shared" si="42"/>
        <v>98.29540910198142</v>
      </c>
      <c r="G120" s="46">
        <f t="shared" si="42"/>
        <v>98.820414514357111</v>
      </c>
      <c r="H120" s="46">
        <f t="shared" si="42"/>
        <v>94.633519319561799</v>
      </c>
      <c r="I120" s="46">
        <f t="shared" si="42"/>
        <v>97.797809909346157</v>
      </c>
      <c r="J120" s="46">
        <f t="shared" si="42"/>
        <v>96.533612024768303</v>
      </c>
      <c r="K120" s="46">
        <f t="shared" si="42"/>
        <v>96.657036919019404</v>
      </c>
      <c r="L120" s="46">
        <f t="shared" si="42"/>
        <v>91.448463068207388</v>
      </c>
      <c r="M120" s="46">
        <f t="shared" si="42"/>
        <v>88.37424746754121</v>
      </c>
      <c r="N120" s="46">
        <f t="shared" si="42"/>
        <v>80.752518769070377</v>
      </c>
      <c r="O120" s="46">
        <f t="shared" si="42"/>
        <v>95.753666575076792</v>
      </c>
      <c r="P120" s="46">
        <f t="shared" si="42"/>
        <v>99.529646630238588</v>
      </c>
      <c r="Q120" s="46">
        <f t="shared" si="42"/>
        <v>84.902040045068247</v>
      </c>
      <c r="R120" s="46">
        <f t="shared" si="42"/>
        <v>97.639320599935303</v>
      </c>
      <c r="S120" s="46">
        <f t="shared" si="42"/>
        <v>98.03667180940198</v>
      </c>
      <c r="T120" s="46">
        <f t="shared" si="42"/>
        <v>84.8669092331467</v>
      </c>
      <c r="U120" s="46">
        <f t="shared" si="42"/>
        <v>97.813794003806279</v>
      </c>
      <c r="V120" s="46">
        <f t="shared" si="42"/>
        <v>75.932567061832529</v>
      </c>
    </row>
    <row r="121" spans="2:22" x14ac:dyDescent="0.2">
      <c r="B121" s="34"/>
      <c r="C121" s="76" t="s">
        <v>43</v>
      </c>
      <c r="D121" s="46">
        <f t="shared" ref="D121:V121" si="43">+IFERROR(IF(D95&gt;0,+((D95/D20)*100)," "),"")</f>
        <v>97.221672620421074</v>
      </c>
      <c r="E121" s="46">
        <f t="shared" si="43"/>
        <v>98.232016517571438</v>
      </c>
      <c r="F121" s="46">
        <f t="shared" si="43"/>
        <v>98.434895041920029</v>
      </c>
      <c r="G121" s="46">
        <f t="shared" si="43"/>
        <v>98.759108026024634</v>
      </c>
      <c r="H121" s="46">
        <f t="shared" si="43"/>
        <v>87.932973138092436</v>
      </c>
      <c r="I121" s="46">
        <f t="shared" si="43"/>
        <v>97.723889301934875</v>
      </c>
      <c r="J121" s="46">
        <f t="shared" si="43"/>
        <v>90.721578511392138</v>
      </c>
      <c r="K121" s="46">
        <f t="shared" si="43"/>
        <v>96.400051152764547</v>
      </c>
      <c r="L121" s="46">
        <f t="shared" si="43"/>
        <v>89.338787970649022</v>
      </c>
      <c r="M121" s="46">
        <f t="shared" si="43"/>
        <v>82.844533568575144</v>
      </c>
      <c r="N121" s="46">
        <f t="shared" si="43"/>
        <v>81.531221848819712</v>
      </c>
      <c r="O121" s="46">
        <f t="shared" si="43"/>
        <v>86.880523858629445</v>
      </c>
      <c r="P121" s="46">
        <f t="shared" si="43"/>
        <v>98.667360747551029</v>
      </c>
      <c r="Q121" s="46">
        <f t="shared" si="43"/>
        <v>97.138136870766786</v>
      </c>
      <c r="R121" s="46">
        <f t="shared" si="43"/>
        <v>98.085670511311889</v>
      </c>
      <c r="S121" s="46">
        <f t="shared" si="43"/>
        <v>98.810606937954091</v>
      </c>
      <c r="T121" s="46">
        <f t="shared" si="43"/>
        <v>95.719919508910493</v>
      </c>
      <c r="U121" s="46">
        <f t="shared" si="43"/>
        <v>97.003269744020542</v>
      </c>
      <c r="V121" s="46">
        <f t="shared" si="43"/>
        <v>85.895680396572388</v>
      </c>
    </row>
    <row r="122" spans="2:22" x14ac:dyDescent="0.2">
      <c r="B122" s="32"/>
      <c r="C122" s="77" t="s">
        <v>60</v>
      </c>
      <c r="D122" s="47">
        <f t="shared" ref="D122:V122" si="44">+IFERROR(IF(D96&gt;0,+((D96/D21)*100)," "),"")</f>
        <v>97.384951136690162</v>
      </c>
      <c r="E122" s="47">
        <f t="shared" si="44"/>
        <v>98.480772680160769</v>
      </c>
      <c r="F122" s="47">
        <f t="shared" si="44"/>
        <v>98.892274388888353</v>
      </c>
      <c r="G122" s="47">
        <f t="shared" si="44"/>
        <v>98.97611611613361</v>
      </c>
      <c r="H122" s="47">
        <f t="shared" si="44"/>
        <v>89.417164810687055</v>
      </c>
      <c r="I122" s="47">
        <f t="shared" si="44"/>
        <v>98.170484252025972</v>
      </c>
      <c r="J122" s="47">
        <f t="shared" si="44"/>
        <v>91.190116941193011</v>
      </c>
      <c r="K122" s="47">
        <f t="shared" si="44"/>
        <v>94.58836107401774</v>
      </c>
      <c r="L122" s="47">
        <f t="shared" si="44"/>
        <v>84.013291378162322</v>
      </c>
      <c r="M122" s="47">
        <f t="shared" si="44"/>
        <v>83.582644318144645</v>
      </c>
      <c r="N122" s="47">
        <f t="shared" si="44"/>
        <v>86.63851219357413</v>
      </c>
      <c r="O122" s="47">
        <f t="shared" si="44"/>
        <v>78.482727262216827</v>
      </c>
      <c r="P122" s="47">
        <f t="shared" si="44"/>
        <v>99.972607949259171</v>
      </c>
      <c r="Q122" s="47">
        <f t="shared" si="44"/>
        <v>98.183931399020324</v>
      </c>
      <c r="R122" s="47">
        <f t="shared" si="44"/>
        <v>97.123773270178546</v>
      </c>
      <c r="S122" s="47">
        <f t="shared" si="44"/>
        <v>98.669143005836787</v>
      </c>
      <c r="T122" s="47">
        <f t="shared" si="44"/>
        <v>96.016320348965735</v>
      </c>
      <c r="U122" s="47">
        <f t="shared" si="44"/>
        <v>97.185664731607289</v>
      </c>
      <c r="V122" s="47">
        <f t="shared" si="44"/>
        <v>96.431337057915329</v>
      </c>
    </row>
    <row r="123" spans="2:22" x14ac:dyDescent="0.2">
      <c r="B123" s="32"/>
      <c r="C123" s="77" t="s">
        <v>61</v>
      </c>
      <c r="D123" s="47">
        <f t="shared" ref="D123:V123" si="45">+IFERROR(IF(D97&gt;0,+((D97/D22)*100)," "),"")</f>
        <v>97.054130561813338</v>
      </c>
      <c r="E123" s="47">
        <f t="shared" si="45"/>
        <v>97.911389414985706</v>
      </c>
      <c r="F123" s="47">
        <f t="shared" si="45"/>
        <v>97.761721360180971</v>
      </c>
      <c r="G123" s="47">
        <f t="shared" si="45"/>
        <v>98.44339615186135</v>
      </c>
      <c r="H123" s="47">
        <f t="shared" si="45"/>
        <v>86.588623000664512</v>
      </c>
      <c r="I123" s="47">
        <f t="shared" si="45"/>
        <v>96.879626216829422</v>
      </c>
      <c r="J123" s="47">
        <f t="shared" si="45"/>
        <v>90.233002489635012</v>
      </c>
      <c r="K123" s="47">
        <f t="shared" si="45"/>
        <v>98.087588236912779</v>
      </c>
      <c r="L123" s="47">
        <f t="shared" si="45"/>
        <v>94.76000557696112</v>
      </c>
      <c r="M123" s="47">
        <f t="shared" si="45"/>
        <v>82.327955728655738</v>
      </c>
      <c r="N123" s="47">
        <f t="shared" si="45"/>
        <v>77.352694607499089</v>
      </c>
      <c r="O123" s="47">
        <f t="shared" si="45"/>
        <v>93.217509794758811</v>
      </c>
      <c r="P123" s="47">
        <f t="shared" si="45"/>
        <v>97.268709847897568</v>
      </c>
      <c r="Q123" s="47">
        <f t="shared" si="45"/>
        <v>96.381704625466853</v>
      </c>
      <c r="R123" s="47">
        <f t="shared" si="45"/>
        <v>99.275905237332253</v>
      </c>
      <c r="S123" s="47">
        <f t="shared" si="45"/>
        <v>98.98062653671424</v>
      </c>
      <c r="T123" s="47">
        <f t="shared" si="45"/>
        <v>95.547664192381021</v>
      </c>
      <c r="U123" s="47">
        <f t="shared" si="45"/>
        <v>96.78275665260982</v>
      </c>
      <c r="V123" s="47">
        <f t="shared" si="45"/>
        <v>81.896618647176751</v>
      </c>
    </row>
    <row r="124" spans="2:22" x14ac:dyDescent="0.2">
      <c r="B124" s="34"/>
      <c r="C124" s="76" t="s">
        <v>44</v>
      </c>
      <c r="D124" s="46">
        <f t="shared" ref="D124:V124" si="46">+IFERROR(IF(D98&gt;0,+((D98/D23)*100)," "),"")</f>
        <v>94.158994422959324</v>
      </c>
      <c r="E124" s="46">
        <f t="shared" si="46"/>
        <v>98.83370095457029</v>
      </c>
      <c r="F124" s="46">
        <f t="shared" si="46"/>
        <v>98.195318862549072</v>
      </c>
      <c r="G124" s="46">
        <f t="shared" si="46"/>
        <v>98.878897290458269</v>
      </c>
      <c r="H124" s="46">
        <f t="shared" si="46"/>
        <v>98.238164999101514</v>
      </c>
      <c r="I124" s="46">
        <f t="shared" si="46"/>
        <v>97.850284444196674</v>
      </c>
      <c r="J124" s="46">
        <f t="shared" si="46"/>
        <v>98.713550506494101</v>
      </c>
      <c r="K124" s="46">
        <f t="shared" si="46"/>
        <v>96.719773934970888</v>
      </c>
      <c r="L124" s="46">
        <f t="shared" si="46"/>
        <v>92.011536795557532</v>
      </c>
      <c r="M124" s="46">
        <f t="shared" si="46"/>
        <v>89.963948915396216</v>
      </c>
      <c r="N124" s="46">
        <f t="shared" si="46"/>
        <v>80.537832273331617</v>
      </c>
      <c r="O124" s="46">
        <f t="shared" si="46"/>
        <v>97.969179062023045</v>
      </c>
      <c r="P124" s="46">
        <f t="shared" si="46"/>
        <v>99.719200284495642</v>
      </c>
      <c r="Q124" s="46">
        <f t="shared" si="46"/>
        <v>82.597392199896078</v>
      </c>
      <c r="R124" s="46">
        <f t="shared" si="46"/>
        <v>97.51337293766143</v>
      </c>
      <c r="S124" s="46">
        <f t="shared" si="46"/>
        <v>97.79614388774894</v>
      </c>
      <c r="T124" s="46">
        <f t="shared" si="46"/>
        <v>82.030390199701415</v>
      </c>
      <c r="U124" s="46">
        <f t="shared" si="46"/>
        <v>98.141783625593476</v>
      </c>
      <c r="V124" s="46">
        <f t="shared" si="46"/>
        <v>72.903500380792323</v>
      </c>
    </row>
    <row r="125" spans="2:22" x14ac:dyDescent="0.2">
      <c r="B125" s="32"/>
      <c r="C125" s="77" t="s">
        <v>60</v>
      </c>
      <c r="D125" s="47">
        <f t="shared" ref="D125:V125" si="47">+IFERROR(IF(D99&gt;0,+((D99/D24)*100)," "),"")</f>
        <v>95.158211933642988</v>
      </c>
      <c r="E125" s="47">
        <f t="shared" si="47"/>
        <v>98.674930210381703</v>
      </c>
      <c r="F125" s="47">
        <f t="shared" si="47"/>
        <v>98.261581470375646</v>
      </c>
      <c r="G125" s="47">
        <f t="shared" si="47"/>
        <v>99.307464826930698</v>
      </c>
      <c r="H125" s="47">
        <f t="shared" si="47"/>
        <v>98.785271912958976</v>
      </c>
      <c r="I125" s="47">
        <f t="shared" si="47"/>
        <v>98.699169429975669</v>
      </c>
      <c r="J125" s="47">
        <f t="shared" si="47"/>
        <v>99.533211590728428</v>
      </c>
      <c r="K125" s="47">
        <f t="shared" si="47"/>
        <v>95.595627439571984</v>
      </c>
      <c r="L125" s="47">
        <f t="shared" si="47"/>
        <v>87.86093915153414</v>
      </c>
      <c r="M125" s="47">
        <f t="shared" si="47"/>
        <v>85.34924200581176</v>
      </c>
      <c r="N125" s="47">
        <f t="shared" si="47"/>
        <v>75.557570203020248</v>
      </c>
      <c r="O125" s="47">
        <f t="shared" si="47"/>
        <v>96.928442479222369</v>
      </c>
      <c r="P125" s="47">
        <f t="shared" si="47"/>
        <v>99.54903100803925</v>
      </c>
      <c r="Q125" s="47">
        <f t="shared" si="47"/>
        <v>78.488465749234791</v>
      </c>
      <c r="R125" s="47">
        <f t="shared" si="47"/>
        <v>97.460816548609415</v>
      </c>
      <c r="S125" s="47">
        <f t="shared" si="47"/>
        <v>99.895471985020919</v>
      </c>
      <c r="T125" s="47">
        <f t="shared" si="47"/>
        <v>69.59247954407229</v>
      </c>
      <c r="U125" s="47">
        <f t="shared" si="47"/>
        <v>99.756125829008383</v>
      </c>
      <c r="V125" s="47">
        <f t="shared" si="47"/>
        <v>50.126516931109833</v>
      </c>
    </row>
    <row r="126" spans="2:22" x14ac:dyDescent="0.2">
      <c r="B126" s="32"/>
      <c r="C126" s="77" t="s">
        <v>61</v>
      </c>
      <c r="D126" s="47">
        <f t="shared" ref="D126:V126" si="48">+IFERROR(IF(D100&gt;0,+((D100/D25)*100)," "),"")</f>
        <v>92.884832080482397</v>
      </c>
      <c r="E126" s="47">
        <f t="shared" si="48"/>
        <v>99.097774911858579</v>
      </c>
      <c r="F126" s="47">
        <f t="shared" si="48"/>
        <v>98.092811940730456</v>
      </c>
      <c r="G126" s="47">
        <f t="shared" si="48"/>
        <v>98.431433398072272</v>
      </c>
      <c r="H126" s="47">
        <f t="shared" si="48"/>
        <v>97.557479932270155</v>
      </c>
      <c r="I126" s="47">
        <f t="shared" si="48"/>
        <v>96.924991675866764</v>
      </c>
      <c r="J126" s="47">
        <f t="shared" si="48"/>
        <v>97.459102600913781</v>
      </c>
      <c r="K126" s="47">
        <f t="shared" si="48"/>
        <v>98.443203144959185</v>
      </c>
      <c r="L126" s="47">
        <f t="shared" si="48"/>
        <v>98.373848352085005</v>
      </c>
      <c r="M126" s="47">
        <f t="shared" si="48"/>
        <v>95.788661550648101</v>
      </c>
      <c r="N126" s="47">
        <f t="shared" si="48"/>
        <v>87.437416680760649</v>
      </c>
      <c r="O126" s="47">
        <f t="shared" si="48"/>
        <v>99.121479600710444</v>
      </c>
      <c r="P126" s="47">
        <f t="shared" si="48"/>
        <v>99.934512347255364</v>
      </c>
      <c r="Q126" s="47">
        <f t="shared" si="48"/>
        <v>88.98523831210521</v>
      </c>
      <c r="R126" s="47">
        <f t="shared" si="48"/>
        <v>97.579395304848319</v>
      </c>
      <c r="S126" s="47">
        <f t="shared" si="48"/>
        <v>95.022592293244941</v>
      </c>
      <c r="T126" s="47">
        <f t="shared" si="48"/>
        <v>96.511597830926846</v>
      </c>
      <c r="U126" s="47">
        <f t="shared" si="48"/>
        <v>96.648781498826011</v>
      </c>
      <c r="V126" s="47">
        <f t="shared" si="48"/>
        <v>90.684706011721701</v>
      </c>
    </row>
    <row r="127" spans="2:22" x14ac:dyDescent="0.2">
      <c r="B127" s="34" t="s">
        <v>45</v>
      </c>
      <c r="C127" s="76" t="s">
        <v>46</v>
      </c>
      <c r="D127" s="46">
        <f t="shared" ref="D127:V127" si="49">+IFERROR(IF(D101&gt;0,+((D101/D26)*100)," "),"")</f>
        <v>71.610905573604228</v>
      </c>
      <c r="E127" s="46">
        <f t="shared" si="49"/>
        <v>62.758984712978716</v>
      </c>
      <c r="F127" s="46">
        <f t="shared" si="49"/>
        <v>52.329876563801172</v>
      </c>
      <c r="G127" s="46">
        <f t="shared" si="49"/>
        <v>64.476823338793736</v>
      </c>
      <c r="H127" s="46">
        <f t="shared" si="49"/>
        <v>62.768339267332273</v>
      </c>
      <c r="I127" s="46">
        <f t="shared" si="49"/>
        <v>66.656840906540936</v>
      </c>
      <c r="J127" s="46">
        <f t="shared" si="49"/>
        <v>61.958871072715525</v>
      </c>
      <c r="K127" s="46">
        <f t="shared" si="49"/>
        <v>77.379049287391595</v>
      </c>
      <c r="L127" s="46">
        <f t="shared" si="49"/>
        <v>85.235836167650476</v>
      </c>
      <c r="M127" s="46">
        <f t="shared" si="49"/>
        <v>85.127082496127485</v>
      </c>
      <c r="N127" s="46">
        <f t="shared" si="49"/>
        <v>78.731125382053918</v>
      </c>
      <c r="O127" s="46">
        <f t="shared" si="49"/>
        <v>85.905677148064967</v>
      </c>
      <c r="P127" s="46">
        <f t="shared" si="49"/>
        <v>86.176705340446503</v>
      </c>
      <c r="Q127" s="46">
        <f t="shared" si="49"/>
        <v>88.353332948790225</v>
      </c>
      <c r="R127" s="46">
        <f t="shared" si="49"/>
        <v>87.290332690460815</v>
      </c>
      <c r="S127" s="46">
        <f t="shared" si="49"/>
        <v>87.356702643653279</v>
      </c>
      <c r="T127" s="46">
        <f t="shared" si="49"/>
        <v>85.223334972240295</v>
      </c>
      <c r="U127" s="46">
        <f t="shared" si="49"/>
        <v>87.865760677232828</v>
      </c>
      <c r="V127" s="46">
        <f t="shared" si="49"/>
        <v>75.702092991969053</v>
      </c>
    </row>
    <row r="128" spans="2:22" x14ac:dyDescent="0.2">
      <c r="B128" s="36" t="s">
        <v>47</v>
      </c>
      <c r="C128" s="78" t="s">
        <v>48</v>
      </c>
      <c r="D128" s="48">
        <f t="shared" ref="D128:V128" si="50">+IFERROR(IF(D102&gt;0,+((D102/D27)*100)," "),"")</f>
        <v>90.087605614688428</v>
      </c>
      <c r="E128" s="48">
        <f t="shared" si="50"/>
        <v>87.278019474964694</v>
      </c>
      <c r="F128" s="48">
        <f t="shared" si="50"/>
        <v>85.72717439762863</v>
      </c>
      <c r="G128" s="48">
        <f t="shared" si="50"/>
        <v>89.095646256276012</v>
      </c>
      <c r="H128" s="48">
        <f t="shared" si="50"/>
        <v>88.254710129065842</v>
      </c>
      <c r="I128" s="48">
        <f t="shared" si="50"/>
        <v>89.822183744321876</v>
      </c>
      <c r="J128" s="48">
        <f t="shared" si="50"/>
        <v>89.133542967946894</v>
      </c>
      <c r="K128" s="48">
        <f t="shared" si="50"/>
        <v>91.648776008127868</v>
      </c>
      <c r="L128" s="48">
        <f t="shared" si="50"/>
        <v>94.239856813990102</v>
      </c>
      <c r="M128" s="48">
        <f t="shared" si="50"/>
        <v>91.630436606948436</v>
      </c>
      <c r="N128" s="48">
        <f t="shared" si="50"/>
        <v>89.004624306792422</v>
      </c>
      <c r="O128" s="48">
        <f t="shared" si="50"/>
        <v>95.194171753526405</v>
      </c>
      <c r="P128" s="48">
        <f t="shared" si="50"/>
        <v>94.488921667495447</v>
      </c>
      <c r="Q128" s="48">
        <f t="shared" si="50"/>
        <v>94.80076166336427</v>
      </c>
      <c r="R128" s="48">
        <f t="shared" si="50"/>
        <v>92.338014331332886</v>
      </c>
      <c r="S128" s="48">
        <f t="shared" si="50"/>
        <v>93.013649208874952</v>
      </c>
      <c r="T128" s="48">
        <f t="shared" si="50"/>
        <v>92.912758668874815</v>
      </c>
      <c r="U128" s="48">
        <f t="shared" si="50"/>
        <v>94.519136502205782</v>
      </c>
      <c r="V128" s="48">
        <f t="shared" si="50"/>
        <v>90.872156931419653</v>
      </c>
    </row>
    <row r="129" spans="2:22" x14ac:dyDescent="0.2">
      <c r="B129" s="38" t="s">
        <v>49</v>
      </c>
      <c r="C129" s="79" t="s">
        <v>63</v>
      </c>
      <c r="D129" s="45">
        <f t="shared" ref="D129:V129" si="51">+IFERROR(IF(D103&gt;0,+((D103/D28)*100)," "),"")</f>
        <v>91.873405538528374</v>
      </c>
      <c r="E129" s="45">
        <f t="shared" si="51"/>
        <v>91.460270918618974</v>
      </c>
      <c r="F129" s="45">
        <f t="shared" si="51"/>
        <v>90.403846837909768</v>
      </c>
      <c r="G129" s="45">
        <f t="shared" si="51"/>
        <v>93.072406122733014</v>
      </c>
      <c r="H129" s="45">
        <f t="shared" si="51"/>
        <v>90.572561516632746</v>
      </c>
      <c r="I129" s="45">
        <f t="shared" si="51"/>
        <v>92.758394764921263</v>
      </c>
      <c r="J129" s="45">
        <f t="shared" si="51"/>
        <v>92.044728033005995</v>
      </c>
      <c r="K129" s="45">
        <f t="shared" si="51"/>
        <v>93.446431773883347</v>
      </c>
      <c r="L129" s="45">
        <f t="shared" si="51"/>
        <v>93.30807131057945</v>
      </c>
      <c r="M129" s="45">
        <f t="shared" si="51"/>
        <v>90.708792249046695</v>
      </c>
      <c r="N129" s="45">
        <f t="shared" si="51"/>
        <v>86.604593161625615</v>
      </c>
      <c r="O129" s="45">
        <f t="shared" si="51"/>
        <v>95.336390764344586</v>
      </c>
      <c r="P129" s="45">
        <f t="shared" si="51"/>
        <v>95.693420116846198</v>
      </c>
      <c r="Q129" s="45">
        <f t="shared" si="51"/>
        <v>92.275004581460323</v>
      </c>
      <c r="R129" s="45">
        <f t="shared" si="51"/>
        <v>93.50804101159099</v>
      </c>
      <c r="S129" s="45">
        <f t="shared" si="51"/>
        <v>94.22161170493149</v>
      </c>
      <c r="T129" s="45">
        <f t="shared" si="51"/>
        <v>91.005905051031007</v>
      </c>
      <c r="U129" s="45">
        <f t="shared" si="51"/>
        <v>95.28649252100837</v>
      </c>
      <c r="V129" s="45">
        <f t="shared" si="51"/>
        <v>87.610271565141858</v>
      </c>
    </row>
    <row r="130" spans="2:22" x14ac:dyDescent="0.2">
      <c r="B130" s="1" t="s">
        <v>52</v>
      </c>
      <c r="C130" s="15"/>
      <c r="D130" s="12"/>
      <c r="E130" s="12"/>
      <c r="F130" s="12"/>
      <c r="G130" s="12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</row>
    <row r="131" spans="2:22" x14ac:dyDescent="0.2">
      <c r="B131" s="1"/>
      <c r="C131" s="15"/>
      <c r="D131" s="12"/>
      <c r="E131" s="12"/>
      <c r="F131" s="12"/>
      <c r="G131" s="12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</row>
    <row r="132" spans="2:22" x14ac:dyDescent="0.2">
      <c r="B132" s="1"/>
      <c r="C132" s="15"/>
      <c r="D132" s="12"/>
      <c r="E132" s="12"/>
      <c r="F132" s="12"/>
      <c r="G132" s="12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</row>
    <row r="133" spans="2:22" x14ac:dyDescent="0.2">
      <c r="B133" s="1"/>
      <c r="C133" s="15"/>
      <c r="D133" s="12"/>
      <c r="E133" s="12"/>
      <c r="F133" s="12"/>
      <c r="G133" s="12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</row>
    <row r="134" spans="2:22" x14ac:dyDescent="0.2">
      <c r="B134" s="1"/>
      <c r="C134" s="15"/>
      <c r="D134" s="12"/>
      <c r="E134" s="12"/>
      <c r="F134" s="12"/>
      <c r="G134" s="12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</row>
    <row r="135" spans="2:22" ht="18" customHeight="1" x14ac:dyDescent="0.2">
      <c r="C135" s="131"/>
      <c r="D135" s="160" t="s">
        <v>81</v>
      </c>
      <c r="E135" s="158"/>
      <c r="F135" s="158"/>
      <c r="G135" s="158"/>
      <c r="H135" s="158"/>
      <c r="I135" s="158"/>
      <c r="J135" s="158"/>
      <c r="K135" s="158"/>
      <c r="L135" s="158"/>
      <c r="M135" s="158"/>
      <c r="N135" s="158"/>
      <c r="O135" s="158"/>
      <c r="P135" s="158"/>
      <c r="Q135" s="158"/>
      <c r="R135" s="158"/>
      <c r="S135" s="158"/>
      <c r="T135" s="158"/>
      <c r="U135" s="158"/>
      <c r="V135" s="158"/>
    </row>
    <row r="136" spans="2:22" ht="15.75" customHeight="1" x14ac:dyDescent="0.2">
      <c r="B136" s="157"/>
      <c r="C136" s="158"/>
      <c r="D136" s="158"/>
      <c r="E136" s="158"/>
      <c r="F136" s="158"/>
      <c r="G136" s="158"/>
      <c r="H136" s="158"/>
      <c r="I136" s="158"/>
      <c r="J136" s="158"/>
      <c r="K136" s="158"/>
      <c r="L136" s="158"/>
      <c r="M136" s="158"/>
      <c r="N136" s="158"/>
      <c r="O136" s="158"/>
      <c r="P136" s="158"/>
      <c r="Q136" s="158"/>
      <c r="R136" s="158"/>
      <c r="S136" s="158"/>
      <c r="T136" s="158"/>
      <c r="U136" s="158"/>
      <c r="V136" s="158"/>
    </row>
    <row r="137" spans="2:22" x14ac:dyDescent="0.2">
      <c r="B137" s="163"/>
      <c r="C137" s="155" t="s">
        <v>38</v>
      </c>
      <c r="D137" s="153" t="s">
        <v>27</v>
      </c>
      <c r="E137" s="153" t="s">
        <v>28</v>
      </c>
      <c r="F137" s="153" t="s">
        <v>29</v>
      </c>
      <c r="G137" s="153" t="s">
        <v>30</v>
      </c>
      <c r="H137" s="153">
        <v>2004</v>
      </c>
      <c r="I137" s="153" t="s">
        <v>31</v>
      </c>
      <c r="J137" s="153" t="s">
        <v>32</v>
      </c>
      <c r="K137" s="153" t="s">
        <v>33</v>
      </c>
      <c r="L137" s="153" t="s">
        <v>34</v>
      </c>
      <c r="M137" s="153" t="s">
        <v>35</v>
      </c>
      <c r="N137" s="153">
        <v>2010</v>
      </c>
      <c r="O137" s="153">
        <v>2011</v>
      </c>
      <c r="P137" s="153">
        <v>2012</v>
      </c>
      <c r="Q137" s="153">
        <v>2013</v>
      </c>
      <c r="R137" s="153">
        <v>2014</v>
      </c>
      <c r="S137" s="153">
        <v>2015</v>
      </c>
      <c r="T137" s="153">
        <v>2016</v>
      </c>
      <c r="U137" s="153">
        <v>2017</v>
      </c>
      <c r="V137" s="153">
        <v>2018</v>
      </c>
    </row>
    <row r="138" spans="2:22" ht="12" customHeight="1" thickBot="1" x14ac:dyDescent="0.25">
      <c r="B138" s="154"/>
      <c r="C138" s="156"/>
      <c r="D138" s="154"/>
      <c r="E138" s="154"/>
      <c r="F138" s="154"/>
      <c r="G138" s="154"/>
      <c r="H138" s="154"/>
      <c r="I138" s="154"/>
      <c r="J138" s="154"/>
      <c r="K138" s="154"/>
      <c r="L138" s="154"/>
      <c r="M138" s="154"/>
      <c r="N138" s="154"/>
      <c r="O138" s="154"/>
      <c r="P138" s="154"/>
      <c r="Q138" s="154"/>
      <c r="R138" s="154"/>
      <c r="S138" s="154"/>
      <c r="T138" s="154"/>
      <c r="U138" s="154"/>
      <c r="V138" s="154"/>
    </row>
    <row r="139" spans="2:22" x14ac:dyDescent="0.2">
      <c r="B139" s="34" t="s">
        <v>39</v>
      </c>
      <c r="C139" s="76" t="s">
        <v>40</v>
      </c>
      <c r="D139" s="41">
        <f t="shared" ref="D139:V139" si="52">+D140+D141+D142+D143</f>
        <v>75188.196346148907</v>
      </c>
      <c r="E139" s="41">
        <f t="shared" si="52"/>
        <v>86778.281869176892</v>
      </c>
      <c r="F139" s="41">
        <f t="shared" si="52"/>
        <v>89030.888727676982</v>
      </c>
      <c r="G139" s="41">
        <f t="shared" si="52"/>
        <v>90689.016036341927</v>
      </c>
      <c r="H139" s="41">
        <f t="shared" si="52"/>
        <v>99728.080104618188</v>
      </c>
      <c r="I139" s="41">
        <f t="shared" si="52"/>
        <v>112295.17277333312</v>
      </c>
      <c r="J139" s="41">
        <f t="shared" si="52"/>
        <v>117657.32140949703</v>
      </c>
      <c r="K139" s="41">
        <f t="shared" si="52"/>
        <v>123441.85253329534</v>
      </c>
      <c r="L139" s="41">
        <f t="shared" si="52"/>
        <v>130017.66143039466</v>
      </c>
      <c r="M139" s="41">
        <f t="shared" si="52"/>
        <v>139087.90500523316</v>
      </c>
      <c r="N139" s="41">
        <f t="shared" si="52"/>
        <v>143488.95976665965</v>
      </c>
      <c r="O139" s="41">
        <f t="shared" si="52"/>
        <v>145901.83626132528</v>
      </c>
      <c r="P139" s="41">
        <f t="shared" si="52"/>
        <v>154250.94927902884</v>
      </c>
      <c r="Q139" s="41">
        <f t="shared" si="52"/>
        <v>169622.52937176853</v>
      </c>
      <c r="R139" s="41">
        <f t="shared" si="52"/>
        <v>179637.21677713972</v>
      </c>
      <c r="S139" s="41">
        <f t="shared" si="52"/>
        <v>178898.18362794866</v>
      </c>
      <c r="T139" s="41">
        <f t="shared" si="52"/>
        <v>183717.39951968359</v>
      </c>
      <c r="U139" s="41">
        <f t="shared" si="52"/>
        <v>202639.14303754678</v>
      </c>
      <c r="V139" s="41">
        <f t="shared" si="52"/>
        <v>207869.33299774697</v>
      </c>
    </row>
    <row r="140" spans="2:22" x14ac:dyDescent="0.2">
      <c r="B140" s="40"/>
      <c r="C140" s="77" t="s">
        <v>56</v>
      </c>
      <c r="D140" s="42">
        <f>5536.69532383403*Deflactores!$A$5</f>
        <v>20101.299749894213</v>
      </c>
      <c r="E140" s="42">
        <f>6085.78580803861*Deflactores!$B$5</f>
        <v>20524.991473822687</v>
      </c>
      <c r="F140" s="42">
        <f>6583.09505979162*Deflactores!$C$5</f>
        <v>20751.323010332264</v>
      </c>
      <c r="G140" s="42">
        <f>7167.7117535827*Deflactores!$D$5</f>
        <v>21216.894433358277</v>
      </c>
      <c r="H140" s="42">
        <f>7781.42628950585*Deflactores!$E$5</f>
        <v>21833.353792004436</v>
      </c>
      <c r="I140" s="42">
        <f>8514.89685575096*Deflactores!$F$5</f>
        <v>22785.093032231078</v>
      </c>
      <c r="J140" s="42">
        <f>9536.43673933454*Deflactores!$G$5</f>
        <v>24424.906566776215</v>
      </c>
      <c r="K140" s="42">
        <f>10488.5906271949*Deflactores!$H$5</f>
        <v>25416.262349656372</v>
      </c>
      <c r="L140" s="42">
        <f>11689.6227300988*Deflactores!$I$5</f>
        <v>26307.689028659603</v>
      </c>
      <c r="M140" s="42">
        <f>13129.6224664513*Deflactores!$J$5</f>
        <v>28968.537713994294</v>
      </c>
      <c r="N140" s="42">
        <f>14221.9583182624*Deflactores!$K$5</f>
        <v>30414.113397995123</v>
      </c>
      <c r="O140" s="42">
        <f>15015.9375952732*Deflactores!$L$5</f>
        <v>30958.34351285499</v>
      </c>
      <c r="P140" s="42">
        <f>16734.6894176685*Deflactores!$M$5</f>
        <v>33680.098033026872</v>
      </c>
      <c r="Q140" s="42">
        <f>18674.8932389789*Deflactores!$N$5</f>
        <v>36869.664760723077</v>
      </c>
      <c r="R140" s="42">
        <f>20622.2648127526*Deflactores!$O$5</f>
        <v>39276.810732945043</v>
      </c>
      <c r="S140" s="42">
        <f>21941.9005402817*Deflactores!$P$5</f>
        <v>39140.36361690511</v>
      </c>
      <c r="T140" s="42">
        <f>23627.7357138171*Deflactores!$Q$5</f>
        <v>39855.874460784114</v>
      </c>
      <c r="U140" s="42">
        <f>25585.9840042135*Deflactores!$R$5</f>
        <v>41463.251245690451</v>
      </c>
      <c r="V140" s="42">
        <f>28619.9621744331*Deflactores!$S$5</f>
        <v>44950.524246057714</v>
      </c>
    </row>
    <row r="141" spans="2:22" x14ac:dyDescent="0.2">
      <c r="B141" s="40"/>
      <c r="C141" s="77" t="s">
        <v>57</v>
      </c>
      <c r="D141" s="42">
        <f>888.064024843599*Deflactores!$A$5</f>
        <v>3224.168952124518</v>
      </c>
      <c r="E141" s="42">
        <f>1230.06552794873*Deflactores!$B$5</f>
        <v>4148.5332001074439</v>
      </c>
      <c r="F141" s="42">
        <f>1334.13783427012*Deflactores!$C$5</f>
        <v>4205.487675294291</v>
      </c>
      <c r="G141" s="42">
        <f>1546.14778712226*Deflactores!$D$5</f>
        <v>4576.6983251449201</v>
      </c>
      <c r="H141" s="42">
        <f>1604.02403697395*Deflactores!$E$5</f>
        <v>4500.6176229365065</v>
      </c>
      <c r="I141" s="42">
        <f>1835.50396917425*Deflactores!$F$5</f>
        <v>4911.642431748076</v>
      </c>
      <c r="J141" s="42">
        <f>2266.66424057011*Deflactores!$G$5</f>
        <v>5805.4243746853581</v>
      </c>
      <c r="K141" s="42">
        <f>2942.72075225407*Deflactores!$H$5</f>
        <v>7130.8877731526491</v>
      </c>
      <c r="L141" s="42">
        <f>3253.7157159398*Deflactores!$I$5</f>
        <v>7322.5409595304645</v>
      </c>
      <c r="M141" s="42">
        <f>3623.79789436037*Deflactores!$J$5</f>
        <v>7995.3651553123937</v>
      </c>
      <c r="N141" s="42">
        <f>4073.29148183188*Deflactores!$K$5</f>
        <v>8710.8643028745992</v>
      </c>
      <c r="O141" s="42">
        <f>4403.67004205122*Deflactores!$L$5</f>
        <v>9079.0421186889489</v>
      </c>
      <c r="P141" s="42">
        <f>4978.31161383418*Deflactores!$M$5</f>
        <v>10019.308934163144</v>
      </c>
      <c r="Q141" s="42">
        <f>5901.46207552404*Deflactores!$N$5</f>
        <v>11651.200654177846</v>
      </c>
      <c r="R141" s="42">
        <f>6096.68206768592*Deflactores!$O$5</f>
        <v>11611.635765794324</v>
      </c>
      <c r="S141" s="42">
        <f>5966.37169783937*Deflactores!$P$5</f>
        <v>10642.922991029398</v>
      </c>
      <c r="T141" s="42">
        <f>5784.7300651314*Deflactores!$Q$5</f>
        <v>9757.831984322378</v>
      </c>
      <c r="U141" s="42">
        <f>5903.87585680597*Deflactores!$R$5</f>
        <v>9567.4994533647496</v>
      </c>
      <c r="V141" s="42">
        <f>6728.57401724903*Deflactores!$S$5</f>
        <v>10567.901091565205</v>
      </c>
    </row>
    <row r="142" spans="2:22" x14ac:dyDescent="0.2">
      <c r="B142" s="40"/>
      <c r="C142" s="77" t="s">
        <v>58</v>
      </c>
      <c r="D142" s="42">
        <f>14283.634446176*Deflactores!$A$5</f>
        <v>51857.579427302575</v>
      </c>
      <c r="E142" s="42">
        <f>18410.6556112563*Deflactores!$B$5</f>
        <v>62091.989657175916</v>
      </c>
      <c r="F142" s="42">
        <f>20322.8447101945*Deflactores!$C$5</f>
        <v>64061.951291862046</v>
      </c>
      <c r="G142" s="42">
        <f>21920.9485596407*Deflactores!$D$5</f>
        <v>64887.43792417457</v>
      </c>
      <c r="H142" s="42">
        <f>26149.0506906068*Deflactores!$E$5</f>
        <v>73369.772302929821</v>
      </c>
      <c r="I142" s="42">
        <f>31603.7566373406*Deflactores!$F$5</f>
        <v>84568.791301734251</v>
      </c>
      <c r="J142" s="42">
        <f>34120.591114632*Deflactores!$G$5</f>
        <v>87390.319126283648</v>
      </c>
      <c r="K142" s="42">
        <f>37495.0536371099*Deflactores!$H$5</f>
        <v>90859.120536587419</v>
      </c>
      <c r="L142" s="42">
        <f>42811.3485133804*Deflactores!$I$5</f>
        <v>96347.646933688593</v>
      </c>
      <c r="M142" s="42">
        <f>46279.4565657244*Deflactores!$J$5</f>
        <v>102108.66202230575</v>
      </c>
      <c r="N142" s="42">
        <f>48794.0939955158*Deflactores!$K$5</f>
        <v>104347.73290162232</v>
      </c>
      <c r="O142" s="42">
        <f>51339.1703046179*Deflactores!$L$5</f>
        <v>105845.91603894501</v>
      </c>
      <c r="P142" s="42">
        <f>54920.6022913183*Deflactores!$M$5</f>
        <v>110532.7516417205</v>
      </c>
      <c r="Q142" s="42">
        <f>61330.5806793997*Deflactores!$N$5</f>
        <v>121084.38427429459</v>
      </c>
      <c r="R142" s="42">
        <f>67585.0603719136*Deflactores!$O$5</f>
        <v>128721.34310683387</v>
      </c>
      <c r="S142" s="42">
        <f>72367.6028223255*Deflactores!$P$5</f>
        <v>129090.65389981135</v>
      </c>
      <c r="T142" s="42">
        <f>79487.0375321914*Deflactores!$Q$5</f>
        <v>134080.7865600955</v>
      </c>
      <c r="U142" s="42">
        <f>93531.9782274185*Deflactores!$R$5</f>
        <v>151572.82643932122</v>
      </c>
      <c r="V142" s="42">
        <f>96968.0847192129*Deflactores!$S$5</f>
        <v>152298.1133482611</v>
      </c>
    </row>
    <row r="143" spans="2:22" x14ac:dyDescent="0.2">
      <c r="B143" s="40"/>
      <c r="C143" s="77" t="s">
        <v>59</v>
      </c>
      <c r="D143" s="42">
        <f>1.41802313233999*Deflactores!$A$5</f>
        <v>5.1482168275988185</v>
      </c>
      <c r="E143" s="42">
        <f>3.78565331411999*Deflactores!$B$5</f>
        <v>12.767538070848325</v>
      </c>
      <c r="F143" s="42">
        <f>3.84705829198*Deflactores!$C$5</f>
        <v>12.126750188380399</v>
      </c>
      <c r="G143" s="42">
        <f>2.69769515491*Deflactores!$D$5</f>
        <v>7.9853536641590601</v>
      </c>
      <c r="H143" s="42">
        <f>8.6735094128*Deflactores!$E$5</f>
        <v>24.33638674741837</v>
      </c>
      <c r="I143" s="42">
        <f>11.07885303385*Deflactores!$F$5</f>
        <v>29.646007619715888</v>
      </c>
      <c r="J143" s="42">
        <f>14.3179229696*Deflactores!$G$5</f>
        <v>36.671341751823157</v>
      </c>
      <c r="K143" s="42">
        <f>14.6836582004*Deflactores!$H$5</f>
        <v>35.581873898901542</v>
      </c>
      <c r="L143" s="42">
        <f>17.67794558267*Deflactores!$I$5</f>
        <v>39.784508516000528</v>
      </c>
      <c r="M143" s="42">
        <f>6.9527120223*Deflactores!$J$5</f>
        <v>15.340113620721386</v>
      </c>
      <c r="N143" s="42">
        <f>7.598279538*Deflactores!$K$5</f>
        <v>16.249164167613209</v>
      </c>
      <c r="O143" s="42">
        <f>8.989959661*Deflactores!$L$5</f>
        <v>18.534590836309594</v>
      </c>
      <c r="P143" s="42">
        <f>9.336553239*Deflactores!$M$5</f>
        <v>18.790670118328677</v>
      </c>
      <c r="Q143" s="42">
        <f>8.752350458*Deflactores!$N$5</f>
        <v>17.279682573032229</v>
      </c>
      <c r="R143" s="42">
        <f>14.400619209*Deflactores!$O$5</f>
        <v>27.427171566497293</v>
      </c>
      <c r="S143" s="42">
        <f>13.590577172*Deflactores!$P$5</f>
        <v>24.24312020278899</v>
      </c>
      <c r="T143" s="42">
        <f>13.579656139*Deflactores!$Q$5</f>
        <v>22.906514481626726</v>
      </c>
      <c r="U143" s="42">
        <f>21.94686861086*Deflactores!$R$5</f>
        <v>35.565899170357824</v>
      </c>
      <c r="V143" s="42">
        <f>33.61409536118*Deflactores!$S$5</f>
        <v>52.794311862920786</v>
      </c>
    </row>
    <row r="144" spans="2:22" x14ac:dyDescent="0.2">
      <c r="B144" s="34" t="s">
        <v>41</v>
      </c>
      <c r="C144" s="76" t="s">
        <v>42</v>
      </c>
      <c r="D144" s="41">
        <f t="shared" ref="D144:V144" si="53">+D145+D148</f>
        <v>56205.56546557929</v>
      </c>
      <c r="E144" s="41">
        <f t="shared" si="53"/>
        <v>68897.519595768928</v>
      </c>
      <c r="F144" s="41">
        <f t="shared" si="53"/>
        <v>68397.567440853658</v>
      </c>
      <c r="G144" s="41">
        <f t="shared" si="53"/>
        <v>75451.883225435013</v>
      </c>
      <c r="H144" s="41">
        <f t="shared" si="53"/>
        <v>66986.324983215847</v>
      </c>
      <c r="I144" s="41">
        <f t="shared" si="53"/>
        <v>80292.546304662377</v>
      </c>
      <c r="J144" s="41">
        <f t="shared" si="53"/>
        <v>92002.83526478587</v>
      </c>
      <c r="K144" s="41">
        <f t="shared" si="53"/>
        <v>88385.884168613498</v>
      </c>
      <c r="L144" s="41">
        <f t="shared" si="53"/>
        <v>77639.877570023411</v>
      </c>
      <c r="M144" s="41">
        <f t="shared" si="53"/>
        <v>69952.709103099056</v>
      </c>
      <c r="N144" s="41">
        <f t="shared" si="53"/>
        <v>67339.680501869851</v>
      </c>
      <c r="O144" s="41">
        <f t="shared" si="53"/>
        <v>67590.106633358344</v>
      </c>
      <c r="P144" s="41">
        <f t="shared" si="53"/>
        <v>72751.713021517979</v>
      </c>
      <c r="Q144" s="41">
        <f t="shared" si="53"/>
        <v>73531.655911976632</v>
      </c>
      <c r="R144" s="41">
        <f t="shared" si="53"/>
        <v>74847.555794595653</v>
      </c>
      <c r="S144" s="41">
        <f t="shared" si="53"/>
        <v>81690.967857006704</v>
      </c>
      <c r="T144" s="41">
        <f t="shared" si="53"/>
        <v>66733.698809782873</v>
      </c>
      <c r="U144" s="41">
        <f t="shared" si="53"/>
        <v>79240.152230891588</v>
      </c>
      <c r="V144" s="41">
        <f t="shared" si="53"/>
        <v>57136.073593990746</v>
      </c>
    </row>
    <row r="145" spans="2:22" x14ac:dyDescent="0.2">
      <c r="B145" s="34"/>
      <c r="C145" s="76" t="s">
        <v>43</v>
      </c>
      <c r="D145" s="41">
        <f t="shared" ref="D145:V145" si="54">+D146+D147</f>
        <v>17877.320809785448</v>
      </c>
      <c r="E145" s="41">
        <f t="shared" si="54"/>
        <v>25805.388626168064</v>
      </c>
      <c r="F145" s="41">
        <f t="shared" si="54"/>
        <v>29194.627048878199</v>
      </c>
      <c r="G145" s="41">
        <f t="shared" si="54"/>
        <v>35784.325835737371</v>
      </c>
      <c r="H145" s="41">
        <f t="shared" si="54"/>
        <v>20512.066863473006</v>
      </c>
      <c r="I145" s="41">
        <f t="shared" si="54"/>
        <v>32398.096765754854</v>
      </c>
      <c r="J145" s="41">
        <f t="shared" si="54"/>
        <v>22501.571969712677</v>
      </c>
      <c r="K145" s="41">
        <f t="shared" si="54"/>
        <v>16593.323118119813</v>
      </c>
      <c r="L145" s="41">
        <f t="shared" si="54"/>
        <v>15221.045067421001</v>
      </c>
      <c r="M145" s="41">
        <f t="shared" si="54"/>
        <v>13874.65662317</v>
      </c>
      <c r="N145" s="41">
        <f t="shared" si="54"/>
        <v>13979.452976690496</v>
      </c>
      <c r="O145" s="41">
        <f t="shared" si="54"/>
        <v>11133.205507214956</v>
      </c>
      <c r="P145" s="41">
        <f t="shared" si="54"/>
        <v>13029.500096669912</v>
      </c>
      <c r="Q145" s="41">
        <f t="shared" si="54"/>
        <v>12625.069741049912</v>
      </c>
      <c r="R145" s="41">
        <f t="shared" si="54"/>
        <v>15720.309591597637</v>
      </c>
      <c r="S145" s="41">
        <f t="shared" si="54"/>
        <v>19370.059283766102</v>
      </c>
      <c r="T145" s="41">
        <f t="shared" si="54"/>
        <v>15625.443277281076</v>
      </c>
      <c r="U145" s="41">
        <f t="shared" si="54"/>
        <v>22645.73656301848</v>
      </c>
      <c r="V145" s="41">
        <f t="shared" si="54"/>
        <v>15075.075530881195</v>
      </c>
    </row>
    <row r="146" spans="2:22" x14ac:dyDescent="0.2">
      <c r="B146" s="32"/>
      <c r="C146" s="77" t="s">
        <v>60</v>
      </c>
      <c r="D146" s="42">
        <f>2493.60005488522*Deflactores!$A$5</f>
        <v>9053.1624421931101</v>
      </c>
      <c r="E146" s="42">
        <f>4319.99324263563*Deflactores!$B$5</f>
        <v>14569.659082471833</v>
      </c>
      <c r="F146" s="42">
        <f>5544.42162090215*Deflactores!$C$5</f>
        <v>17477.202275801919</v>
      </c>
      <c r="G146" s="42">
        <f>7544.53861961724*Deflactores!$D$5</f>
        <v>22332.326542121835</v>
      </c>
      <c r="H146" s="42">
        <f>3747.49133615979*Deflactores!$E$5</f>
        <v>10514.820950651712</v>
      </c>
      <c r="I146" s="42">
        <f>8189.87073913316*Deflactores!$F$5</f>
        <v>21915.352572598909</v>
      </c>
      <c r="J146" s="42">
        <f>4717.39946956163*Deflactores!$G$5</f>
        <v>12082.294931706618</v>
      </c>
      <c r="K146" s="42">
        <f>3340.27429503312*Deflactores!$H$5</f>
        <v>8094.2512507116935</v>
      </c>
      <c r="L146" s="42">
        <f>3374.09124745946*Deflactores!$I$5</f>
        <v>7593.4480814279796</v>
      </c>
      <c r="M146" s="42">
        <f>2750.38880165926*Deflactores!$J$5</f>
        <v>6068.3193239255797</v>
      </c>
      <c r="N146" s="42">
        <f>3278.17077937629*Deflactores!$K$5</f>
        <v>7010.4732126739873</v>
      </c>
      <c r="O146" s="42">
        <f>2188.69272693391*Deflactores!$L$5</f>
        <v>4512.4256047678728</v>
      </c>
      <c r="P146" s="42">
        <f>3393.13494986786*Deflactores!$M$5</f>
        <v>6828.9954416591181</v>
      </c>
      <c r="Q146" s="42">
        <f>2851.34747890945*Deflactores!$N$5</f>
        <v>5629.3883085926818</v>
      </c>
      <c r="R146" s="42">
        <f>4767.30280819024*Deflactores!$O$5</f>
        <v>9079.7229016347119</v>
      </c>
      <c r="S146" s="42">
        <f>5975.63018509173*Deflactores!$P$5</f>
        <v>10659.438449976748</v>
      </c>
      <c r="T146" s="42">
        <f>3415.25511858014*Deflactores!$Q$5</f>
        <v>5760.9404856378578</v>
      </c>
      <c r="U146" s="42">
        <f>7662.48186229947*Deflactores!$R$5</f>
        <v>12417.40050215572</v>
      </c>
      <c r="V146" s="42">
        <f>2964.77775272413*Deflactores!$S$5</f>
        <v>4656.4811457735013</v>
      </c>
    </row>
    <row r="147" spans="2:22" x14ac:dyDescent="0.2">
      <c r="B147" s="32"/>
      <c r="C147" s="77" t="s">
        <v>61</v>
      </c>
      <c r="D147" s="42">
        <f>2430.52324867085*Deflactores!$A$5</f>
        <v>8824.1583675923375</v>
      </c>
      <c r="E147" s="42">
        <f>3331.46269450077*Deflactores!$B$5</f>
        <v>11235.72954369623</v>
      </c>
      <c r="F147" s="42">
        <f>3717.20497525441*Deflactores!$C$5</f>
        <v>11717.42477307628</v>
      </c>
      <c r="G147" s="42">
        <f>4544.49418829354*Deflactores!$D$5</f>
        <v>13451.999293615536</v>
      </c>
      <c r="H147" s="42">
        <f>3563.02714231521*Deflactores!$E$5</f>
        <v>9997.245912821294</v>
      </c>
      <c r="I147" s="42">
        <f>3917.45100376292*Deflactores!$F$5</f>
        <v>10482.744193155942</v>
      </c>
      <c r="J147" s="42">
        <f>4068.09238229403*Deflactores!$G$5</f>
        <v>10419.277038006059</v>
      </c>
      <c r="K147" s="42">
        <f>3507.3326007574*Deflactores!$H$5</f>
        <v>8499.0718674081199</v>
      </c>
      <c r="L147" s="42">
        <f>3389.26505503247*Deflactores!$I$5</f>
        <v>7627.5969859930201</v>
      </c>
      <c r="M147" s="42">
        <f>3538.12341502287*Deflactores!$J$5</f>
        <v>7806.3372992444201</v>
      </c>
      <c r="N147" s="42">
        <f>3258.76800772336*Deflactores!$K$5</f>
        <v>6968.9797640165089</v>
      </c>
      <c r="O147" s="42">
        <f>3211.32226618982*Deflactores!$L$5</f>
        <v>6620.7799024470833</v>
      </c>
      <c r="P147" s="42">
        <f>3080.85562971528*Deflactores!$M$5</f>
        <v>6200.5046550107927</v>
      </c>
      <c r="Q147" s="42">
        <f>3543.39006695334*Deflactores!$N$5</f>
        <v>6995.6814324572297</v>
      </c>
      <c r="R147" s="42">
        <f>3486.63587182725*Deflactores!$O$5</f>
        <v>6640.5866899629264</v>
      </c>
      <c r="S147" s="42">
        <f>4883.13235538164*Deflactores!$P$5</f>
        <v>8710.6208337893568</v>
      </c>
      <c r="T147" s="42">
        <f>5847.96766003692*Deflactores!$Q$5</f>
        <v>9864.5027916432191</v>
      </c>
      <c r="U147" s="42">
        <f>6311.66237524982*Deflactores!$R$5</f>
        <v>10228.336060862757</v>
      </c>
      <c r="V147" s="42">
        <f>6633.5105588606*Deflactores!$S$5</f>
        <v>10418.594385107694</v>
      </c>
    </row>
    <row r="148" spans="2:22" x14ac:dyDescent="0.2">
      <c r="B148" s="34"/>
      <c r="C148" s="76" t="s">
        <v>44</v>
      </c>
      <c r="D148" s="41">
        <f t="shared" ref="D148:V148" si="55">+D149+D150</f>
        <v>38328.244655793838</v>
      </c>
      <c r="E148" s="41">
        <f t="shared" si="55"/>
        <v>43092.130969600861</v>
      </c>
      <c r="F148" s="41">
        <f t="shared" si="55"/>
        <v>39202.940391975455</v>
      </c>
      <c r="G148" s="41">
        <f t="shared" si="55"/>
        <v>39667.557389697642</v>
      </c>
      <c r="H148" s="41">
        <f t="shared" si="55"/>
        <v>46474.258119742837</v>
      </c>
      <c r="I148" s="41">
        <f t="shared" si="55"/>
        <v>47894.449538907524</v>
      </c>
      <c r="J148" s="41">
        <f t="shared" si="55"/>
        <v>69501.263295073193</v>
      </c>
      <c r="K148" s="41">
        <f t="shared" si="55"/>
        <v>71792.561050493678</v>
      </c>
      <c r="L148" s="41">
        <f t="shared" si="55"/>
        <v>62418.832502602403</v>
      </c>
      <c r="M148" s="41">
        <f t="shared" si="55"/>
        <v>56078.052479929058</v>
      </c>
      <c r="N148" s="41">
        <f t="shared" si="55"/>
        <v>53360.227525179362</v>
      </c>
      <c r="O148" s="41">
        <f t="shared" si="55"/>
        <v>56456.901126143392</v>
      </c>
      <c r="P148" s="41">
        <f t="shared" si="55"/>
        <v>59722.212924848063</v>
      </c>
      <c r="Q148" s="41">
        <f t="shared" si="55"/>
        <v>60906.586170926719</v>
      </c>
      <c r="R148" s="41">
        <f t="shared" si="55"/>
        <v>59127.246202998023</v>
      </c>
      <c r="S148" s="41">
        <f t="shared" si="55"/>
        <v>62320.908573240595</v>
      </c>
      <c r="T148" s="41">
        <f t="shared" si="55"/>
        <v>51108.255532501797</v>
      </c>
      <c r="U148" s="41">
        <f t="shared" si="55"/>
        <v>56594.415667873109</v>
      </c>
      <c r="V148" s="41">
        <f t="shared" si="55"/>
        <v>42060.998063109553</v>
      </c>
    </row>
    <row r="149" spans="2:22" x14ac:dyDescent="0.2">
      <c r="B149" s="32"/>
      <c r="C149" s="77" t="s">
        <v>60</v>
      </c>
      <c r="D149" s="42">
        <f>5996.64616033858*Deflactores!$A$5</f>
        <v>21771.178458045732</v>
      </c>
      <c r="E149" s="42">
        <f>7838.04527889175*Deflactores!$B$5</f>
        <v>26434.681994261318</v>
      </c>
      <c r="F149" s="42">
        <f>7294.42019768011*Deflactores!$C$5</f>
        <v>22993.571917210484</v>
      </c>
      <c r="G149" s="42">
        <f>7015.17017846429*Deflactores!$D$5</f>
        <v>20765.361418743429</v>
      </c>
      <c r="H149" s="42">
        <f>9383.45183920503*Deflactores!$E$5</f>
        <v>26328.364000812031</v>
      </c>
      <c r="I149" s="42">
        <f>9471.38247462775*Deflactores!$F$5</f>
        <v>25344.561946452792</v>
      </c>
      <c r="J149" s="42">
        <f>16553.412144309*Deflactores!$G$5</f>
        <v>42396.919943737761</v>
      </c>
      <c r="K149" s="42">
        <f>17728.5609090329*Deflactores!$H$5</f>
        <v>42960.372004370125</v>
      </c>
      <c r="L149" s="42">
        <f>16110.7426538197*Deflactores!$I$5</f>
        <v>36257.492439524489</v>
      </c>
      <c r="M149" s="42">
        <f>13480.4910184717*Deflactores!$J$5</f>
        <v>29742.676415074915</v>
      </c>
      <c r="N149" s="42">
        <f>13648.382382926*Deflactores!$K$5</f>
        <v>29187.502888436709</v>
      </c>
      <c r="O149" s="42">
        <f>14231.952410353*Deflactores!$L$5</f>
        <v>29342.002041684464</v>
      </c>
      <c r="P149" s="42">
        <f>16531.6123650902*Deflactores!$M$5</f>
        <v>33271.386830303629</v>
      </c>
      <c r="Q149" s="42">
        <f>17809.7668843994*Deflactores!$N$5</f>
        <v>35161.653996707777</v>
      </c>
      <c r="R149" s="42">
        <f>17247.1774421307*Deflactores!$O$5</f>
        <v>32848.67739905951</v>
      </c>
      <c r="S149" s="42">
        <f>20267.0774013158*Deflactores!$P$5</f>
        <v>36152.783460264312</v>
      </c>
      <c r="T149" s="42">
        <f>13862.1487996668*Deflactores!$Q$5</f>
        <v>23383.030393096178</v>
      </c>
      <c r="U149" s="42">
        <f>17062.9997412807*Deflactores!$R$5</f>
        <v>27651.367450294805</v>
      </c>
      <c r="V149" s="42">
        <f>8077.16197390233*Deflactores!$S$5</f>
        <v>12685.993885469688</v>
      </c>
    </row>
    <row r="150" spans="2:22" x14ac:dyDescent="0.2">
      <c r="B150" s="32"/>
      <c r="C150" s="77" t="s">
        <v>61</v>
      </c>
      <c r="D150" s="42">
        <f>4560.47281191182*Deflactores!$A$5</f>
        <v>16557.066197748107</v>
      </c>
      <c r="E150" s="42">
        <f>4939.03574583889*Deflactores!$B$5</f>
        <v>16657.448975339543</v>
      </c>
      <c r="F150" s="42">
        <f>5142.21736490905*Deflactores!$C$5</f>
        <v>16209.368474764971</v>
      </c>
      <c r="G150" s="42">
        <f>6385.73626574278*Deflactores!$D$5</f>
        <v>18902.195970954213</v>
      </c>
      <c r="H150" s="42">
        <f>7180.01419369926*Deflactores!$E$5</f>
        <v>20145.894118930803</v>
      </c>
      <c r="I150" s="42">
        <f>8426.999472283*Deflactores!$F$5</f>
        <v>22549.887592454732</v>
      </c>
      <c r="J150" s="42">
        <f>10582.5934287424*Deflactores!$G$5</f>
        <v>27104.343351335432</v>
      </c>
      <c r="K150" s="42">
        <f>11898.2493818479*Deflactores!$H$5</f>
        <v>28832.189046123553</v>
      </c>
      <c r="L150" s="42">
        <f>11624.5936736611*Deflactores!$I$5</f>
        <v>26161.340063077914</v>
      </c>
      <c r="M150" s="42">
        <f>11936.1753312289*Deflactores!$J$5</f>
        <v>26335.376064854139</v>
      </c>
      <c r="N150" s="42">
        <f>11303.4194922562*Deflactores!$K$5</f>
        <v>24172.724636742649</v>
      </c>
      <c r="O150" s="42">
        <f>13151.7253946517*Deflactores!$L$5</f>
        <v>27114.899084458924</v>
      </c>
      <c r="P150" s="42">
        <f>13142.6683823456*Deflactores!$M$5</f>
        <v>26450.826094544434</v>
      </c>
      <c r="Q150" s="42">
        <f>13040.0930661693*Deflactores!$N$5</f>
        <v>25744.932174218939</v>
      </c>
      <c r="R150" s="42">
        <f>13797.5460497458*Deflactores!$O$5</f>
        <v>26278.56880393851</v>
      </c>
      <c r="S150" s="42">
        <f>14669.7257126804*Deflactores!$P$5</f>
        <v>26168.125112976279</v>
      </c>
      <c r="T150" s="42">
        <f>16436.3296769343*Deflactores!$Q$5</f>
        <v>27725.225139405618</v>
      </c>
      <c r="U150" s="42">
        <f>17860.0651536005*Deflactores!$R$5</f>
        <v>28943.0482175783</v>
      </c>
      <c r="V150" s="42">
        <f>18703.0412334201*Deflactores!$S$5</f>
        <v>29375.004177639868</v>
      </c>
    </row>
    <row r="151" spans="2:22" x14ac:dyDescent="0.2">
      <c r="B151" s="34" t="s">
        <v>45</v>
      </c>
      <c r="C151" s="76" t="s">
        <v>46</v>
      </c>
      <c r="D151" s="41">
        <f>2615.81160303518*Deflactores!$A$5</f>
        <v>9496.8586939420384</v>
      </c>
      <c r="E151" s="41">
        <f>5175.8680623544*Deflactores!$B$5</f>
        <v>17456.192380141227</v>
      </c>
      <c r="F151" s="41">
        <f>3612.64863811889*Deflactores!$C$5</f>
        <v>11387.840845612069</v>
      </c>
      <c r="G151" s="41">
        <f>3818.87483637343*Deflactores!$D$5</f>
        <v>11304.118670375405</v>
      </c>
      <c r="H151" s="41">
        <f>4668.08029494895*Deflactores!$E$5</f>
        <v>13097.836414200248</v>
      </c>
      <c r="I151" s="41">
        <f>5852.53477107567*Deflactores!$F$5</f>
        <v>15660.85314859233</v>
      </c>
      <c r="J151" s="41">
        <f>6256.14431597698*Deflactores!$G$5</f>
        <v>16023.35804900109</v>
      </c>
      <c r="K151" s="41">
        <f>11094.5779598787*Deflactores!$H$5</f>
        <v>26884.708738261306</v>
      </c>
      <c r="L151" s="41">
        <f>11878.5029609326*Deflactores!$I$5</f>
        <v>26732.767107838557</v>
      </c>
      <c r="M151" s="41">
        <f>17017.6982478993*Deflactores!$J$5</f>
        <v>37546.992288567199</v>
      </c>
      <c r="N151" s="41">
        <f>12521.4130145728*Deflactores!$K$5</f>
        <v>26777.442796983079</v>
      </c>
      <c r="O151" s="41">
        <f>16684.2655093627*Deflactores!$L$5</f>
        <v>34397.933503740795</v>
      </c>
      <c r="P151" s="41">
        <f>19741.6364103951*Deflactores!$M$5</f>
        <v>39731.854774219915</v>
      </c>
      <c r="Q151" s="41">
        <f>23694.7128255822*Deflactores!$N$5</f>
        <v>46780.247003360564</v>
      </c>
      <c r="R151" s="41">
        <f>27831.8570110541*Deflactores!$O$5</f>
        <v>53008.075984630486</v>
      </c>
      <c r="S151" s="41">
        <f>28783.8317050822*Deflactores!$P$5</f>
        <v>51345.125603702843</v>
      </c>
      <c r="T151" s="41">
        <f>23899.681646081*Deflactores!$Q$5</f>
        <v>40314.599878560512</v>
      </c>
      <c r="U151" s="41">
        <f>22330.7659023129*Deflactores!$R$5</f>
        <v>36188.022198552884</v>
      </c>
      <c r="V151" s="41">
        <f>23227.7350515509*Deflactores!$S$5</f>
        <v>36481.490130984937</v>
      </c>
    </row>
    <row r="152" spans="2:22" x14ac:dyDescent="0.2">
      <c r="B152" s="36" t="s">
        <v>47</v>
      </c>
      <c r="C152" s="78" t="s">
        <v>48</v>
      </c>
      <c r="D152" s="43">
        <f t="shared" ref="D152:V152" si="56">+D139+D151</f>
        <v>84685.055040090941</v>
      </c>
      <c r="E152" s="43">
        <f t="shared" si="56"/>
        <v>104234.47424931813</v>
      </c>
      <c r="F152" s="43">
        <f t="shared" si="56"/>
        <v>100418.72957328905</v>
      </c>
      <c r="G152" s="43">
        <f t="shared" si="56"/>
        <v>101993.13470671733</v>
      </c>
      <c r="H152" s="43">
        <f t="shared" si="56"/>
        <v>112825.91651881844</v>
      </c>
      <c r="I152" s="43">
        <f t="shared" si="56"/>
        <v>127956.02592192545</v>
      </c>
      <c r="J152" s="43">
        <f t="shared" si="56"/>
        <v>133680.67945849811</v>
      </c>
      <c r="K152" s="43">
        <f t="shared" si="56"/>
        <v>150326.56127155665</v>
      </c>
      <c r="L152" s="43">
        <f t="shared" si="56"/>
        <v>156750.42853823322</v>
      </c>
      <c r="M152" s="43">
        <f t="shared" si="56"/>
        <v>176634.89729380037</v>
      </c>
      <c r="N152" s="43">
        <f t="shared" si="56"/>
        <v>170266.40256364274</v>
      </c>
      <c r="O152" s="43">
        <f t="shared" si="56"/>
        <v>180299.76976506607</v>
      </c>
      <c r="P152" s="43">
        <f t="shared" si="56"/>
        <v>193982.80405324875</v>
      </c>
      <c r="Q152" s="43">
        <f t="shared" si="56"/>
        <v>216402.77637512909</v>
      </c>
      <c r="R152" s="43">
        <f t="shared" si="56"/>
        <v>232645.29276177019</v>
      </c>
      <c r="S152" s="43">
        <f t="shared" si="56"/>
        <v>230243.30923165151</v>
      </c>
      <c r="T152" s="43">
        <f t="shared" si="56"/>
        <v>224031.99939824411</v>
      </c>
      <c r="U152" s="43">
        <f t="shared" si="56"/>
        <v>238827.16523609965</v>
      </c>
      <c r="V152" s="43">
        <f t="shared" si="56"/>
        <v>244350.82312873192</v>
      </c>
    </row>
    <row r="153" spans="2:22" x14ac:dyDescent="0.2">
      <c r="B153" s="38" t="s">
        <v>49</v>
      </c>
      <c r="C153" s="79" t="s">
        <v>63</v>
      </c>
      <c r="D153" s="44">
        <f t="shared" ref="D153:V153" si="57">+D139+D144+D151</f>
        <v>140890.62050567023</v>
      </c>
      <c r="E153" s="44">
        <f t="shared" si="57"/>
        <v>173131.99384508707</v>
      </c>
      <c r="F153" s="44">
        <f t="shared" si="57"/>
        <v>168816.29701414271</v>
      </c>
      <c r="G153" s="44">
        <f t="shared" si="57"/>
        <v>177445.01793215235</v>
      </c>
      <c r="H153" s="44">
        <f t="shared" si="57"/>
        <v>179812.2415020343</v>
      </c>
      <c r="I153" s="44">
        <f t="shared" si="57"/>
        <v>208248.57222658786</v>
      </c>
      <c r="J153" s="44">
        <f t="shared" si="57"/>
        <v>225683.514723284</v>
      </c>
      <c r="K153" s="44">
        <f t="shared" si="57"/>
        <v>238712.44544017015</v>
      </c>
      <c r="L153" s="44">
        <f t="shared" si="57"/>
        <v>234390.30610825663</v>
      </c>
      <c r="M153" s="44">
        <f t="shared" si="57"/>
        <v>246587.60639689938</v>
      </c>
      <c r="N153" s="44">
        <f t="shared" si="57"/>
        <v>237606.08306551259</v>
      </c>
      <c r="O153" s="44">
        <f t="shared" si="57"/>
        <v>247889.87639842441</v>
      </c>
      <c r="P153" s="44">
        <f t="shared" si="57"/>
        <v>266734.51707476674</v>
      </c>
      <c r="Q153" s="44">
        <f t="shared" si="57"/>
        <v>289934.43228710571</v>
      </c>
      <c r="R153" s="44">
        <f t="shared" si="57"/>
        <v>307492.84855636588</v>
      </c>
      <c r="S153" s="44">
        <f t="shared" si="57"/>
        <v>311934.27708865819</v>
      </c>
      <c r="T153" s="44">
        <f t="shared" si="57"/>
        <v>290765.698208027</v>
      </c>
      <c r="U153" s="44">
        <f t="shared" si="57"/>
        <v>318067.31746699126</v>
      </c>
      <c r="V153" s="44">
        <f t="shared" si="57"/>
        <v>301486.89672272262</v>
      </c>
    </row>
    <row r="154" spans="2:22" x14ac:dyDescent="0.2">
      <c r="B154" s="36" t="s">
        <v>64</v>
      </c>
      <c r="C154" s="78" t="s">
        <v>65</v>
      </c>
      <c r="D154" s="43">
        <f t="shared" ref="D154:V154" si="58">+D27</f>
        <v>108577.38974510442</v>
      </c>
      <c r="E154" s="43">
        <f t="shared" si="58"/>
        <v>123391.21871875526</v>
      </c>
      <c r="F154" s="43">
        <f t="shared" si="58"/>
        <v>122126.1783495383</v>
      </c>
      <c r="G154" s="43">
        <f t="shared" si="58"/>
        <v>116957.30860106893</v>
      </c>
      <c r="H154" s="43">
        <f t="shared" si="58"/>
        <v>132159.7908609187</v>
      </c>
      <c r="I154" s="43">
        <f t="shared" si="58"/>
        <v>144916.09381175032</v>
      </c>
      <c r="J154" s="43">
        <f t="shared" si="58"/>
        <v>153732.55238435458</v>
      </c>
      <c r="K154" s="43">
        <f t="shared" si="58"/>
        <v>170158.87412341137</v>
      </c>
      <c r="L154" s="43">
        <f t="shared" si="58"/>
        <v>174637.03522496222</v>
      </c>
      <c r="M154" s="43">
        <f t="shared" si="58"/>
        <v>206952.46010841816</v>
      </c>
      <c r="N154" s="43">
        <f t="shared" si="58"/>
        <v>207998.52819550585</v>
      </c>
      <c r="O154" s="43">
        <f t="shared" si="58"/>
        <v>212836.42251382832</v>
      </c>
      <c r="P154" s="43">
        <f t="shared" si="58"/>
        <v>233384.55961635738</v>
      </c>
      <c r="Q154" s="43">
        <f t="shared" si="58"/>
        <v>256688.47631875984</v>
      </c>
      <c r="R154" s="43">
        <f t="shared" si="58"/>
        <v>275394.43498656107</v>
      </c>
      <c r="S154" s="43">
        <f t="shared" si="58"/>
        <v>264648.42130030924</v>
      </c>
      <c r="T154" s="43">
        <f t="shared" si="58"/>
        <v>253637.12288398657</v>
      </c>
      <c r="U154" s="43">
        <f t="shared" si="58"/>
        <v>266893.78074972698</v>
      </c>
      <c r="V154" s="43">
        <f t="shared" si="58"/>
        <v>269494.65449113824</v>
      </c>
    </row>
    <row r="155" spans="2:22" x14ac:dyDescent="0.2">
      <c r="B155" s="38" t="s">
        <v>66</v>
      </c>
      <c r="C155" s="79" t="s">
        <v>73</v>
      </c>
      <c r="D155" s="45">
        <f t="shared" ref="D155:V155" si="59">+D152/D$27*100</f>
        <v>77.995110435880832</v>
      </c>
      <c r="E155" s="45">
        <f t="shared" si="59"/>
        <v>84.474791100733853</v>
      </c>
      <c r="F155" s="45">
        <f t="shared" si="59"/>
        <v>82.225392565613419</v>
      </c>
      <c r="G155" s="45">
        <f t="shared" si="59"/>
        <v>87.205439255281533</v>
      </c>
      <c r="H155" s="45">
        <f t="shared" si="59"/>
        <v>85.370834641796094</v>
      </c>
      <c r="I155" s="45">
        <f t="shared" si="59"/>
        <v>88.296629143305211</v>
      </c>
      <c r="J155" s="45">
        <f t="shared" si="59"/>
        <v>86.956651265553859</v>
      </c>
      <c r="K155" s="45">
        <f t="shared" si="59"/>
        <v>88.344826002156722</v>
      </c>
      <c r="L155" s="45">
        <f t="shared" si="59"/>
        <v>89.75783878620706</v>
      </c>
      <c r="M155" s="45">
        <f t="shared" si="59"/>
        <v>85.350469958784231</v>
      </c>
      <c r="N155" s="45">
        <f t="shared" si="59"/>
        <v>81.859426622289746</v>
      </c>
      <c r="O155" s="45">
        <f t="shared" si="59"/>
        <v>84.712836099916927</v>
      </c>
      <c r="P155" s="45">
        <f t="shared" si="59"/>
        <v>83.117239791750535</v>
      </c>
      <c r="Q155" s="45">
        <f t="shared" si="59"/>
        <v>84.305606343775509</v>
      </c>
      <c r="R155" s="45">
        <f t="shared" si="59"/>
        <v>84.477121977110031</v>
      </c>
      <c r="S155" s="45">
        <f t="shared" si="59"/>
        <v>86.999691175328564</v>
      </c>
      <c r="T155" s="45">
        <f t="shared" si="59"/>
        <v>88.327764031890624</v>
      </c>
      <c r="U155" s="45">
        <f t="shared" si="59"/>
        <v>89.483975447166344</v>
      </c>
      <c r="V155" s="45">
        <f t="shared" si="59"/>
        <v>90.670007384790964</v>
      </c>
    </row>
    <row r="156" spans="2:22" x14ac:dyDescent="0.2">
      <c r="B156" s="1" t="s">
        <v>52</v>
      </c>
      <c r="C156" s="15"/>
      <c r="D156" s="12"/>
      <c r="E156" s="12"/>
      <c r="F156" s="12"/>
      <c r="G156" s="12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</row>
    <row r="163" spans="2:22" ht="18" customHeight="1" x14ac:dyDescent="0.2">
      <c r="C163" s="131"/>
      <c r="D163" s="160" t="s">
        <v>82</v>
      </c>
      <c r="E163" s="158"/>
      <c r="F163" s="158"/>
      <c r="G163" s="158"/>
      <c r="H163" s="158"/>
      <c r="I163" s="158"/>
      <c r="J163" s="158"/>
      <c r="K163" s="158"/>
      <c r="L163" s="158"/>
      <c r="M163" s="158"/>
      <c r="N163" s="158"/>
      <c r="O163" s="158"/>
      <c r="P163" s="158"/>
      <c r="Q163" s="158"/>
      <c r="R163" s="158"/>
      <c r="S163" s="158"/>
      <c r="T163" s="158"/>
      <c r="U163" s="158"/>
      <c r="V163" s="158"/>
    </row>
    <row r="164" spans="2:22" x14ac:dyDescent="0.2">
      <c r="U164" s="29"/>
      <c r="V164" s="29"/>
    </row>
    <row r="165" spans="2:22" x14ac:dyDescent="0.2">
      <c r="B165" s="163"/>
      <c r="C165" s="155" t="s">
        <v>38</v>
      </c>
      <c r="D165" s="153" t="s">
        <v>27</v>
      </c>
      <c r="E165" s="153" t="s">
        <v>28</v>
      </c>
      <c r="F165" s="153" t="s">
        <v>29</v>
      </c>
      <c r="G165" s="153" t="s">
        <v>30</v>
      </c>
      <c r="H165" s="153">
        <v>2004</v>
      </c>
      <c r="I165" s="153" t="s">
        <v>31</v>
      </c>
      <c r="J165" s="153" t="s">
        <v>32</v>
      </c>
      <c r="K165" s="153" t="s">
        <v>33</v>
      </c>
      <c r="L165" s="153" t="s">
        <v>34</v>
      </c>
      <c r="M165" s="153" t="s">
        <v>35</v>
      </c>
      <c r="N165" s="153">
        <v>2010</v>
      </c>
      <c r="O165" s="153">
        <v>2011</v>
      </c>
      <c r="P165" s="153">
        <v>2012</v>
      </c>
      <c r="Q165" s="153">
        <v>2013</v>
      </c>
      <c r="R165" s="153">
        <v>2014</v>
      </c>
      <c r="S165" s="153">
        <v>2015</v>
      </c>
      <c r="T165" s="153">
        <v>2016</v>
      </c>
      <c r="U165" s="153">
        <v>2017</v>
      </c>
      <c r="V165" s="153">
        <v>2018</v>
      </c>
    </row>
    <row r="166" spans="2:22" ht="12" customHeight="1" thickBot="1" x14ac:dyDescent="0.25">
      <c r="B166" s="154"/>
      <c r="C166" s="156"/>
      <c r="D166" s="154"/>
      <c r="E166" s="154"/>
      <c r="F166" s="154"/>
      <c r="G166" s="154"/>
      <c r="H166" s="154"/>
      <c r="I166" s="154"/>
      <c r="J166" s="154"/>
      <c r="K166" s="154"/>
      <c r="L166" s="154"/>
      <c r="M166" s="154"/>
      <c r="N166" s="154"/>
      <c r="O166" s="154"/>
      <c r="P166" s="154"/>
      <c r="Q166" s="154"/>
      <c r="R166" s="154"/>
      <c r="S166" s="154"/>
      <c r="T166" s="154"/>
      <c r="U166" s="154"/>
      <c r="V166" s="154"/>
    </row>
    <row r="167" spans="2:22" x14ac:dyDescent="0.2">
      <c r="B167" s="34" t="s">
        <v>39</v>
      </c>
      <c r="C167" s="76" t="s">
        <v>40</v>
      </c>
      <c r="D167" s="46">
        <f t="shared" ref="D167:V167" si="60">+IFERROR(IF(D139&gt;0,+((D139/D14)*100)," "),"")</f>
        <v>84.103975218061066</v>
      </c>
      <c r="E167" s="46">
        <f t="shared" si="60"/>
        <v>92.211563585525951</v>
      </c>
      <c r="F167" s="46">
        <f t="shared" si="60"/>
        <v>90.957888048915009</v>
      </c>
      <c r="G167" s="46">
        <f t="shared" si="60"/>
        <v>92.168210010275658</v>
      </c>
      <c r="H167" s="46">
        <f t="shared" si="60"/>
        <v>90.815257461533065</v>
      </c>
      <c r="I167" s="46">
        <f t="shared" si="60"/>
        <v>93.272477922209745</v>
      </c>
      <c r="J167" s="46">
        <f t="shared" si="60"/>
        <v>93.229649421860984</v>
      </c>
      <c r="K167" s="46">
        <f t="shared" si="60"/>
        <v>94.171277367231966</v>
      </c>
      <c r="L167" s="46">
        <f t="shared" si="60"/>
        <v>94.123025105197712</v>
      </c>
      <c r="M167" s="46">
        <f t="shared" si="60"/>
        <v>89.92864159333628</v>
      </c>
      <c r="N167" s="46">
        <f t="shared" si="60"/>
        <v>84.869130525320941</v>
      </c>
      <c r="O167" s="46">
        <f t="shared" si="60"/>
        <v>90.500590591250869</v>
      </c>
      <c r="P167" s="46">
        <f t="shared" si="60"/>
        <v>89.001779730633857</v>
      </c>
      <c r="Q167" s="46">
        <f t="shared" si="60"/>
        <v>90.160705962389727</v>
      </c>
      <c r="R167" s="46">
        <f t="shared" si="60"/>
        <v>88.965582954051214</v>
      </c>
      <c r="S167" s="46">
        <f t="shared" si="60"/>
        <v>92.320473138139661</v>
      </c>
      <c r="T167" s="46">
        <f t="shared" si="60"/>
        <v>93.123509947562283</v>
      </c>
      <c r="U167" s="46">
        <f t="shared" si="60"/>
        <v>94.0237915016736</v>
      </c>
      <c r="V167" s="46">
        <f t="shared" si="60"/>
        <v>94.108413260149277</v>
      </c>
    </row>
    <row r="168" spans="2:22" x14ac:dyDescent="0.2">
      <c r="B168" s="40"/>
      <c r="C168" s="77" t="s">
        <v>56</v>
      </c>
      <c r="D168" s="47">
        <f t="shared" ref="D168:V168" si="61">+IFERROR(IF(D140&gt;0,+((D140/D15)*100)," "),"")</f>
        <v>93.946929600218681</v>
      </c>
      <c r="E168" s="47">
        <f t="shared" si="61"/>
        <v>95.420317813694922</v>
      </c>
      <c r="F168" s="47">
        <f t="shared" si="61"/>
        <v>95.834692962030218</v>
      </c>
      <c r="G168" s="47">
        <f t="shared" si="61"/>
        <v>96.197098628657201</v>
      </c>
      <c r="H168" s="47">
        <f t="shared" si="61"/>
        <v>94.805799545430318</v>
      </c>
      <c r="I168" s="47">
        <f t="shared" si="61"/>
        <v>97.246159610922462</v>
      </c>
      <c r="J168" s="47">
        <f t="shared" si="61"/>
        <v>97.372358683072662</v>
      </c>
      <c r="K168" s="47">
        <f t="shared" si="61"/>
        <v>97.068740767498923</v>
      </c>
      <c r="L168" s="47">
        <f t="shared" si="61"/>
        <v>96.773031888877625</v>
      </c>
      <c r="M168" s="47">
        <f t="shared" si="61"/>
        <v>96.573247756067346</v>
      </c>
      <c r="N168" s="47">
        <f t="shared" si="61"/>
        <v>94.92634987160973</v>
      </c>
      <c r="O168" s="47">
        <f t="shared" si="61"/>
        <v>97.970037843847351</v>
      </c>
      <c r="P168" s="47">
        <f t="shared" si="61"/>
        <v>95.589611011517434</v>
      </c>
      <c r="Q168" s="47">
        <f t="shared" si="61"/>
        <v>95.39030446437144</v>
      </c>
      <c r="R168" s="47">
        <f t="shared" si="61"/>
        <v>93.98922460997089</v>
      </c>
      <c r="S168" s="47">
        <f t="shared" si="61"/>
        <v>94.794818592853233</v>
      </c>
      <c r="T168" s="47">
        <f t="shared" si="61"/>
        <v>96.371260868402089</v>
      </c>
      <c r="U168" s="47">
        <f t="shared" si="61"/>
        <v>96.991923114970547</v>
      </c>
      <c r="V168" s="47">
        <f t="shared" si="61"/>
        <v>96.492890445079325</v>
      </c>
    </row>
    <row r="169" spans="2:22" x14ac:dyDescent="0.2">
      <c r="B169" s="40"/>
      <c r="C169" s="77" t="s">
        <v>57</v>
      </c>
      <c r="D169" s="47">
        <f t="shared" ref="D169:V169" si="62">+IFERROR(IF(D141&gt;0,+((D141/D16)*100)," "),"")</f>
        <v>62.049241461682399</v>
      </c>
      <c r="E169" s="47">
        <f t="shared" si="62"/>
        <v>74.589381338390254</v>
      </c>
      <c r="F169" s="47">
        <f t="shared" si="62"/>
        <v>65.895619768589938</v>
      </c>
      <c r="G169" s="47">
        <f t="shared" si="62"/>
        <v>69.169502962008195</v>
      </c>
      <c r="H169" s="47">
        <f t="shared" si="62"/>
        <v>61.0227110691443</v>
      </c>
      <c r="I169" s="47">
        <f t="shared" si="62"/>
        <v>63.678421182555823</v>
      </c>
      <c r="J169" s="47">
        <f t="shared" si="62"/>
        <v>71.121972617570606</v>
      </c>
      <c r="K169" s="47">
        <f t="shared" si="62"/>
        <v>83.347231856593311</v>
      </c>
      <c r="L169" s="47">
        <f t="shared" si="62"/>
        <v>85.93263064827849</v>
      </c>
      <c r="M169" s="47">
        <f t="shared" si="62"/>
        <v>81.546627270945876</v>
      </c>
      <c r="N169" s="47">
        <f t="shared" si="62"/>
        <v>83.710283432313219</v>
      </c>
      <c r="O169" s="47">
        <f t="shared" si="62"/>
        <v>83.069163923947499</v>
      </c>
      <c r="P169" s="47">
        <f t="shared" si="62"/>
        <v>82.566764304324408</v>
      </c>
      <c r="Q169" s="47">
        <f t="shared" si="62"/>
        <v>85.482138970657886</v>
      </c>
      <c r="R169" s="47">
        <f t="shared" si="62"/>
        <v>84.072058801258336</v>
      </c>
      <c r="S169" s="47">
        <f t="shared" si="62"/>
        <v>83.760005571106106</v>
      </c>
      <c r="T169" s="47">
        <f t="shared" si="62"/>
        <v>79.856442081929686</v>
      </c>
      <c r="U169" s="47">
        <f t="shared" si="62"/>
        <v>80.880486894157173</v>
      </c>
      <c r="V169" s="47">
        <f t="shared" si="62"/>
        <v>85.19507326585844</v>
      </c>
    </row>
    <row r="170" spans="2:22" x14ac:dyDescent="0.2">
      <c r="B170" s="40"/>
      <c r="C170" s="77" t="s">
        <v>58</v>
      </c>
      <c r="D170" s="47">
        <f t="shared" ref="D170:V170" si="63">+IFERROR(IF(D142&gt;0,+((D142/D17)*100)," "),"")</f>
        <v>82.582894283204226</v>
      </c>
      <c r="E170" s="47">
        <f t="shared" si="63"/>
        <v>92.660432250008668</v>
      </c>
      <c r="F170" s="47">
        <f t="shared" si="63"/>
        <v>91.74773161232774</v>
      </c>
      <c r="G170" s="47">
        <f t="shared" si="63"/>
        <v>93.09477477222714</v>
      </c>
      <c r="H170" s="47">
        <f t="shared" si="63"/>
        <v>92.436124887360748</v>
      </c>
      <c r="I170" s="47">
        <f t="shared" si="63"/>
        <v>94.806521097413309</v>
      </c>
      <c r="J170" s="47">
        <f t="shared" si="63"/>
        <v>94.059506773517867</v>
      </c>
      <c r="K170" s="47">
        <f t="shared" si="63"/>
        <v>94.353248742661293</v>
      </c>
      <c r="L170" s="47">
        <f t="shared" si="63"/>
        <v>94.101493245540695</v>
      </c>
      <c r="M170" s="47">
        <f t="shared" si="63"/>
        <v>88.909439563895418</v>
      </c>
      <c r="N170" s="47">
        <f t="shared" si="63"/>
        <v>82.418982596477846</v>
      </c>
      <c r="O170" s="47">
        <f t="shared" si="63"/>
        <v>89.223718343104963</v>
      </c>
      <c r="P170" s="47">
        <f t="shared" si="63"/>
        <v>87.778868193373086</v>
      </c>
      <c r="Q170" s="47">
        <f t="shared" si="63"/>
        <v>89.143036194276021</v>
      </c>
      <c r="R170" s="47">
        <f t="shared" si="63"/>
        <v>87.99211693148041</v>
      </c>
      <c r="S170" s="47">
        <f t="shared" si="63"/>
        <v>92.37174635580034</v>
      </c>
      <c r="T170" s="47">
        <f t="shared" si="63"/>
        <v>93.320097538105642</v>
      </c>
      <c r="U170" s="47">
        <f t="shared" si="63"/>
        <v>94.208528728716445</v>
      </c>
      <c r="V170" s="47">
        <f t="shared" si="63"/>
        <v>94.118906136344634</v>
      </c>
    </row>
    <row r="171" spans="2:22" x14ac:dyDescent="0.2">
      <c r="B171" s="40"/>
      <c r="C171" s="77" t="s">
        <v>59</v>
      </c>
      <c r="D171" s="47">
        <f t="shared" ref="D171:V171" si="64">+IFERROR(IF(D143&gt;0,+((D143/D18)*100)," "),"")</f>
        <v>43.135692616661636</v>
      </c>
      <c r="E171" s="47">
        <f t="shared" si="64"/>
        <v>49.789514989853899</v>
      </c>
      <c r="F171" s="47">
        <f t="shared" si="64"/>
        <v>54.798277761666078</v>
      </c>
      <c r="G171" s="47">
        <f t="shared" si="64"/>
        <v>35.623816442857432</v>
      </c>
      <c r="H171" s="47">
        <f t="shared" si="64"/>
        <v>67.826064067737818</v>
      </c>
      <c r="I171" s="47">
        <f t="shared" si="64"/>
        <v>59.551149323585065</v>
      </c>
      <c r="J171" s="47">
        <f t="shared" si="64"/>
        <v>80.864874567737303</v>
      </c>
      <c r="K171" s="47">
        <f t="shared" si="64"/>
        <v>77.183032333525929</v>
      </c>
      <c r="L171" s="47">
        <f t="shared" si="64"/>
        <v>93.111338722006309</v>
      </c>
      <c r="M171" s="47">
        <f t="shared" si="64"/>
        <v>85.427795867890453</v>
      </c>
      <c r="N171" s="47">
        <f t="shared" si="64"/>
        <v>86.637471642607906</v>
      </c>
      <c r="O171" s="47">
        <f t="shared" si="64"/>
        <v>32.321540782634969</v>
      </c>
      <c r="P171" s="47">
        <f t="shared" si="64"/>
        <v>87.275451391874952</v>
      </c>
      <c r="Q171" s="47">
        <f t="shared" si="64"/>
        <v>83.820322722136027</v>
      </c>
      <c r="R171" s="47">
        <f t="shared" si="64"/>
        <v>91.013256260847825</v>
      </c>
      <c r="S171" s="47">
        <f t="shared" si="64"/>
        <v>75.07269510505138</v>
      </c>
      <c r="T171" s="47">
        <f t="shared" si="64"/>
        <v>77.886322441278224</v>
      </c>
      <c r="U171" s="47">
        <f t="shared" si="64"/>
        <v>71.305126839778239</v>
      </c>
      <c r="V171" s="47">
        <f t="shared" si="64"/>
        <v>66.313734404608084</v>
      </c>
    </row>
    <row r="172" spans="2:22" x14ac:dyDescent="0.2">
      <c r="B172" s="34" t="s">
        <v>41</v>
      </c>
      <c r="C172" s="76" t="s">
        <v>42</v>
      </c>
      <c r="D172" s="46">
        <f t="shared" ref="D172:V172" si="65">+IFERROR(IF(D144&gt;0,+((D144/D19)*100)," "),"")</f>
        <v>93.781049295227575</v>
      </c>
      <c r="E172" s="46">
        <f t="shared" si="65"/>
        <v>95.464425982834328</v>
      </c>
      <c r="F172" s="46">
        <f t="shared" si="65"/>
        <v>94.505682792375694</v>
      </c>
      <c r="G172" s="46">
        <f t="shared" si="65"/>
        <v>93.246114551835831</v>
      </c>
      <c r="H172" s="46">
        <f t="shared" si="65"/>
        <v>88.803421516639929</v>
      </c>
      <c r="I172" s="46">
        <f t="shared" si="65"/>
        <v>95.09364271276084</v>
      </c>
      <c r="J172" s="46">
        <f t="shared" si="65"/>
        <v>92.279225504785913</v>
      </c>
      <c r="K172" s="46">
        <f t="shared" si="65"/>
        <v>92.770238413068469</v>
      </c>
      <c r="L172" s="46">
        <f t="shared" si="65"/>
        <v>88.72663377581668</v>
      </c>
      <c r="M172" s="46">
        <f t="shared" si="65"/>
        <v>85.619519306227787</v>
      </c>
      <c r="N172" s="46">
        <f t="shared" si="65"/>
        <v>78.941204808407079</v>
      </c>
      <c r="O172" s="46">
        <f t="shared" si="65"/>
        <v>93.175715659235252</v>
      </c>
      <c r="P172" s="46">
        <f t="shared" si="65"/>
        <v>99.281676160306603</v>
      </c>
      <c r="Q172" s="46">
        <f t="shared" si="65"/>
        <v>83.621612866424272</v>
      </c>
      <c r="R172" s="46">
        <f t="shared" si="65"/>
        <v>95.96465024289914</v>
      </c>
      <c r="S172" s="46">
        <f t="shared" si="65"/>
        <v>97.488338216572615</v>
      </c>
      <c r="T172" s="46">
        <f t="shared" si="65"/>
        <v>84.70564643507592</v>
      </c>
      <c r="U172" s="46">
        <f t="shared" si="65"/>
        <v>97.783819180810056</v>
      </c>
      <c r="V172" s="46">
        <f t="shared" si="65"/>
        <v>75.901266755676971</v>
      </c>
    </row>
    <row r="173" spans="2:22" x14ac:dyDescent="0.2">
      <c r="B173" s="34"/>
      <c r="C173" s="76" t="s">
        <v>43</v>
      </c>
      <c r="D173" s="46">
        <f t="shared" ref="D173:V173" si="66">+IFERROR(IF(D145&gt;0,+((D145/D20)*100)," "),"")</f>
        <v>96.198989813074192</v>
      </c>
      <c r="E173" s="46">
        <f t="shared" si="66"/>
        <v>96.475945599188051</v>
      </c>
      <c r="F173" s="46">
        <f t="shared" si="66"/>
        <v>96.554408155587566</v>
      </c>
      <c r="G173" s="46">
        <f t="shared" si="66"/>
        <v>90.582315563965906</v>
      </c>
      <c r="H173" s="46">
        <f t="shared" si="66"/>
        <v>77.740346208128997</v>
      </c>
      <c r="I173" s="46">
        <f t="shared" si="66"/>
        <v>92.422462767896121</v>
      </c>
      <c r="J173" s="46">
        <f t="shared" si="66"/>
        <v>82.741864731394529</v>
      </c>
      <c r="K173" s="46">
        <f t="shared" si="66"/>
        <v>88.758275931589026</v>
      </c>
      <c r="L173" s="46">
        <f t="shared" si="66"/>
        <v>82.567002503368158</v>
      </c>
      <c r="M173" s="46">
        <f t="shared" si="66"/>
        <v>76.053508081821292</v>
      </c>
      <c r="N173" s="46">
        <f t="shared" si="66"/>
        <v>75.829422316973535</v>
      </c>
      <c r="O173" s="46">
        <f t="shared" si="66"/>
        <v>76.814730054173623</v>
      </c>
      <c r="P173" s="46">
        <f t="shared" si="66"/>
        <v>98.666781169988141</v>
      </c>
      <c r="Q173" s="46">
        <f t="shared" si="66"/>
        <v>90.585785410277452</v>
      </c>
      <c r="R173" s="46">
        <f t="shared" si="66"/>
        <v>91.585464098950098</v>
      </c>
      <c r="S173" s="46">
        <f t="shared" si="66"/>
        <v>97.49454360218617</v>
      </c>
      <c r="T173" s="46">
        <f t="shared" si="66"/>
        <v>95.719919508910493</v>
      </c>
      <c r="U173" s="46">
        <f t="shared" si="66"/>
        <v>97.003269744020542</v>
      </c>
      <c r="V173" s="46">
        <f t="shared" si="66"/>
        <v>85.895680396572388</v>
      </c>
    </row>
    <row r="174" spans="2:22" x14ac:dyDescent="0.2">
      <c r="B174" s="32"/>
      <c r="C174" s="77" t="s">
        <v>60</v>
      </c>
      <c r="D174" s="47">
        <f t="shared" ref="D174:V174" si="67">+IFERROR(IF(D146&gt;0,+((D146/D21)*100)," "),"")</f>
        <v>96.191579386944696</v>
      </c>
      <c r="E174" s="47">
        <f t="shared" si="67"/>
        <v>96.730291822546747</v>
      </c>
      <c r="F174" s="47">
        <f t="shared" si="67"/>
        <v>97.074440552782747</v>
      </c>
      <c r="G174" s="47">
        <f t="shared" si="67"/>
        <v>95.387749955912426</v>
      </c>
      <c r="H174" s="47">
        <f t="shared" si="67"/>
        <v>83.84731025329377</v>
      </c>
      <c r="I174" s="47">
        <f t="shared" si="67"/>
        <v>95.588838091775614</v>
      </c>
      <c r="J174" s="47">
        <f t="shared" si="67"/>
        <v>87.034933659483173</v>
      </c>
      <c r="K174" s="47">
        <f t="shared" si="67"/>
        <v>89.778217858396303</v>
      </c>
      <c r="L174" s="47">
        <f t="shared" si="67"/>
        <v>81.654464231150186</v>
      </c>
      <c r="M174" s="47">
        <f t="shared" si="67"/>
        <v>80.791488557833873</v>
      </c>
      <c r="N174" s="47">
        <f t="shared" si="67"/>
        <v>84.506830653990605</v>
      </c>
      <c r="O174" s="47">
        <f t="shared" si="67"/>
        <v>72.392791754302294</v>
      </c>
      <c r="P174" s="47">
        <f t="shared" si="67"/>
        <v>99.972607949259171</v>
      </c>
      <c r="Q174" s="47">
        <f t="shared" si="67"/>
        <v>96.233632350553137</v>
      </c>
      <c r="R174" s="47">
        <f t="shared" si="67"/>
        <v>95.647656136918755</v>
      </c>
      <c r="S174" s="47">
        <f t="shared" si="67"/>
        <v>98.292365979621991</v>
      </c>
      <c r="T174" s="47">
        <f t="shared" si="67"/>
        <v>96.016320348965735</v>
      </c>
      <c r="U174" s="47">
        <f t="shared" si="67"/>
        <v>97.185664731607289</v>
      </c>
      <c r="V174" s="47">
        <f t="shared" si="67"/>
        <v>96.431337057915329</v>
      </c>
    </row>
    <row r="175" spans="2:22" x14ac:dyDescent="0.2">
      <c r="B175" s="32"/>
      <c r="C175" s="77" t="s">
        <v>61</v>
      </c>
      <c r="D175" s="47">
        <f t="shared" ref="D175:V175" si="68">+IFERROR(IF(D147&gt;0,+((D147/D22)*100)," "),"")</f>
        <v>96.206593740873586</v>
      </c>
      <c r="E175" s="47">
        <f t="shared" si="68"/>
        <v>96.148113348520326</v>
      </c>
      <c r="F175" s="47">
        <f t="shared" si="68"/>
        <v>95.789021336607078</v>
      </c>
      <c r="G175" s="47">
        <f t="shared" si="68"/>
        <v>83.591181282804826</v>
      </c>
      <c r="H175" s="47">
        <f t="shared" si="68"/>
        <v>72.208784412587946</v>
      </c>
      <c r="I175" s="47">
        <f t="shared" si="68"/>
        <v>86.436605115464147</v>
      </c>
      <c r="J175" s="47">
        <f t="shared" si="68"/>
        <v>78.265197707717618</v>
      </c>
      <c r="K175" s="47">
        <f t="shared" si="68"/>
        <v>87.808229427853945</v>
      </c>
      <c r="L175" s="47">
        <f t="shared" si="68"/>
        <v>83.495942830691064</v>
      </c>
      <c r="M175" s="47">
        <f t="shared" si="68"/>
        <v>72.737561631635472</v>
      </c>
      <c r="N175" s="47">
        <f t="shared" si="68"/>
        <v>68.730004685953361</v>
      </c>
      <c r="O175" s="47">
        <f t="shared" si="68"/>
        <v>80.151529236555206</v>
      </c>
      <c r="P175" s="47">
        <f t="shared" si="68"/>
        <v>97.267509218108913</v>
      </c>
      <c r="Q175" s="47">
        <f t="shared" si="68"/>
        <v>86.500648773277035</v>
      </c>
      <c r="R175" s="47">
        <f t="shared" si="68"/>
        <v>86.558979126753727</v>
      </c>
      <c r="S175" s="47">
        <f t="shared" si="68"/>
        <v>96.535674168378478</v>
      </c>
      <c r="T175" s="47">
        <f t="shared" si="68"/>
        <v>95.547664192381021</v>
      </c>
      <c r="U175" s="47">
        <f t="shared" si="68"/>
        <v>96.78275665260982</v>
      </c>
      <c r="V175" s="47">
        <f t="shared" si="68"/>
        <v>81.896618647176751</v>
      </c>
    </row>
    <row r="176" spans="2:22" x14ac:dyDescent="0.2">
      <c r="B176" s="34"/>
      <c r="C176" s="76" t="s">
        <v>44</v>
      </c>
      <c r="D176" s="46">
        <f t="shared" ref="D176:V176" si="69">+IFERROR(IF(D148&gt;0,+((D148/D23)*100)," "),"")</f>
        <v>92.694343859089187</v>
      </c>
      <c r="E176" s="46">
        <f t="shared" si="69"/>
        <v>94.868776188129459</v>
      </c>
      <c r="F176" s="46">
        <f t="shared" si="69"/>
        <v>93.035589016434812</v>
      </c>
      <c r="G176" s="46">
        <f t="shared" si="69"/>
        <v>95.7872217661522</v>
      </c>
      <c r="H176" s="46">
        <f t="shared" si="69"/>
        <v>94.754946292863679</v>
      </c>
      <c r="I176" s="46">
        <f t="shared" si="69"/>
        <v>96.989851767550462</v>
      </c>
      <c r="J176" s="46">
        <f t="shared" si="69"/>
        <v>95.856434706379233</v>
      </c>
      <c r="K176" s="46">
        <f t="shared" si="69"/>
        <v>93.749664464033728</v>
      </c>
      <c r="L176" s="46">
        <f t="shared" si="69"/>
        <v>90.370643577939404</v>
      </c>
      <c r="M176" s="46">
        <f t="shared" si="69"/>
        <v>88.369589594037748</v>
      </c>
      <c r="N176" s="46">
        <f t="shared" si="69"/>
        <v>79.799115475464106</v>
      </c>
      <c r="O176" s="46">
        <f t="shared" si="69"/>
        <v>97.260848634677259</v>
      </c>
      <c r="P176" s="46">
        <f t="shared" si="69"/>
        <v>99.416846635365218</v>
      </c>
      <c r="Q176" s="46">
        <f t="shared" si="69"/>
        <v>82.30992291535344</v>
      </c>
      <c r="R176" s="46">
        <f t="shared" si="69"/>
        <v>97.200336065691147</v>
      </c>
      <c r="S176" s="46">
        <f t="shared" si="69"/>
        <v>97.486409671854048</v>
      </c>
      <c r="T176" s="46">
        <f t="shared" si="69"/>
        <v>81.826980109359468</v>
      </c>
      <c r="U176" s="46">
        <f t="shared" si="69"/>
        <v>98.099679084406858</v>
      </c>
      <c r="V176" s="46">
        <f t="shared" si="69"/>
        <v>72.862683901198096</v>
      </c>
    </row>
    <row r="177" spans="2:22" x14ac:dyDescent="0.2">
      <c r="B177" s="32"/>
      <c r="C177" s="77" t="s">
        <v>60</v>
      </c>
      <c r="D177" s="47">
        <f t="shared" ref="D177:V177" si="70">+IFERROR(IF(D149&gt;0,+((D149/D24)*100)," "),"")</f>
        <v>93.942796411380172</v>
      </c>
      <c r="E177" s="47">
        <f t="shared" si="70"/>
        <v>93.186872567463126</v>
      </c>
      <c r="F177" s="47">
        <f t="shared" si="70"/>
        <v>89.841658119520389</v>
      </c>
      <c r="G177" s="47">
        <f t="shared" si="70"/>
        <v>98.168759683514267</v>
      </c>
      <c r="H177" s="47">
        <f t="shared" si="70"/>
        <v>96.825972395658894</v>
      </c>
      <c r="I177" s="47">
        <f t="shared" si="70"/>
        <v>98.411048795199221</v>
      </c>
      <c r="J177" s="47">
        <f t="shared" si="70"/>
        <v>96.681153494385697</v>
      </c>
      <c r="K177" s="47">
        <f t="shared" si="70"/>
        <v>92.691548780812695</v>
      </c>
      <c r="L177" s="47">
        <f t="shared" si="70"/>
        <v>86.739612993999941</v>
      </c>
      <c r="M177" s="47">
        <f t="shared" si="70"/>
        <v>84.002422191508757</v>
      </c>
      <c r="N177" s="47">
        <f t="shared" si="70"/>
        <v>75.15627415025935</v>
      </c>
      <c r="O177" s="47">
        <f t="shared" si="70"/>
        <v>96.203523666727335</v>
      </c>
      <c r="P177" s="47">
        <f t="shared" si="70"/>
        <v>99.158510262807056</v>
      </c>
      <c r="Q177" s="47">
        <f t="shared" si="70"/>
        <v>78.083374762535001</v>
      </c>
      <c r="R177" s="47">
        <f t="shared" si="70"/>
        <v>96.987061443767146</v>
      </c>
      <c r="S177" s="47">
        <f t="shared" si="70"/>
        <v>99.357688562808406</v>
      </c>
      <c r="T177" s="47">
        <f t="shared" si="70"/>
        <v>69.59247954407229</v>
      </c>
      <c r="U177" s="47">
        <f t="shared" si="70"/>
        <v>99.756125829008383</v>
      </c>
      <c r="V177" s="47">
        <f t="shared" si="70"/>
        <v>50.126506666459669</v>
      </c>
    </row>
    <row r="178" spans="2:22" x14ac:dyDescent="0.2">
      <c r="B178" s="32"/>
      <c r="C178" s="77" t="s">
        <v>61</v>
      </c>
      <c r="D178" s="47">
        <f t="shared" ref="D178:V178" si="71">+IFERROR(IF(D150&gt;0,+((D150/D25)*100)," "),"")</f>
        <v>91.102366925648553</v>
      </c>
      <c r="E178" s="47">
        <f t="shared" si="71"/>
        <v>97.666186675538356</v>
      </c>
      <c r="F178" s="47">
        <f t="shared" si="71"/>
        <v>97.976535886517127</v>
      </c>
      <c r="G178" s="47">
        <f t="shared" si="71"/>
        <v>93.300677322914254</v>
      </c>
      <c r="H178" s="47">
        <f t="shared" si="71"/>
        <v>92.178271596411264</v>
      </c>
      <c r="I178" s="47">
        <f t="shared" si="71"/>
        <v>95.440733389813346</v>
      </c>
      <c r="J178" s="47">
        <f t="shared" si="71"/>
        <v>94.594246252874825</v>
      </c>
      <c r="K178" s="47">
        <f t="shared" si="71"/>
        <v>95.371861823073431</v>
      </c>
      <c r="L178" s="47">
        <f t="shared" si="71"/>
        <v>95.936528259526796</v>
      </c>
      <c r="M178" s="47">
        <f t="shared" si="71"/>
        <v>93.881856277093732</v>
      </c>
      <c r="N178" s="47">
        <f t="shared" si="71"/>
        <v>86.23124197027461</v>
      </c>
      <c r="O178" s="47">
        <f t="shared" si="71"/>
        <v>98.431515785492337</v>
      </c>
      <c r="P178" s="47">
        <f t="shared" si="71"/>
        <v>99.743714906886666</v>
      </c>
      <c r="Q178" s="47">
        <f t="shared" si="71"/>
        <v>88.88062684744763</v>
      </c>
      <c r="R178" s="47">
        <f t="shared" si="71"/>
        <v>97.468255830619796</v>
      </c>
      <c r="S178" s="47">
        <f t="shared" si="71"/>
        <v>95.014147923672539</v>
      </c>
      <c r="T178" s="47">
        <f t="shared" si="71"/>
        <v>96.071361489449629</v>
      </c>
      <c r="U178" s="47">
        <f t="shared" si="71"/>
        <v>96.567737153299746</v>
      </c>
      <c r="V178" s="47">
        <f t="shared" si="71"/>
        <v>90.61203352711513</v>
      </c>
    </row>
    <row r="179" spans="2:22" x14ac:dyDescent="0.2">
      <c r="B179" s="34" t="s">
        <v>45</v>
      </c>
      <c r="C179" s="76" t="s">
        <v>46</v>
      </c>
      <c r="D179" s="46">
        <f t="shared" ref="D179:V179" si="72">+IFERROR(IF(D151&gt;0,+((D151/D26)*100)," "),"")</f>
        <v>49.518796976516313</v>
      </c>
      <c r="E179" s="46">
        <f t="shared" si="72"/>
        <v>59.611200935830155</v>
      </c>
      <c r="F179" s="46">
        <f t="shared" si="72"/>
        <v>46.970355820624249</v>
      </c>
      <c r="G179" s="46">
        <f t="shared" si="72"/>
        <v>60.898613511666909</v>
      </c>
      <c r="H179" s="46">
        <f t="shared" si="72"/>
        <v>58.614949680972337</v>
      </c>
      <c r="I179" s="46">
        <f t="shared" si="72"/>
        <v>63.866228077868456</v>
      </c>
      <c r="J179" s="46">
        <f t="shared" si="72"/>
        <v>58.201276219852168</v>
      </c>
      <c r="K179" s="46">
        <f t="shared" si="72"/>
        <v>68.800021416312703</v>
      </c>
      <c r="L179" s="46">
        <f t="shared" si="72"/>
        <v>73.238123681284748</v>
      </c>
      <c r="M179" s="46">
        <f t="shared" si="72"/>
        <v>71.808440762541821</v>
      </c>
      <c r="N179" s="46">
        <f t="shared" si="72"/>
        <v>68.787668702205437</v>
      </c>
      <c r="O179" s="46">
        <f t="shared" si="72"/>
        <v>66.636864632228651</v>
      </c>
      <c r="P179" s="46">
        <f t="shared" si="72"/>
        <v>66.140001945763316</v>
      </c>
      <c r="Q179" s="46">
        <f t="shared" si="72"/>
        <v>68.237607228302963</v>
      </c>
      <c r="R179" s="46">
        <f t="shared" si="72"/>
        <v>72.14262016793225</v>
      </c>
      <c r="S179" s="46">
        <f t="shared" si="72"/>
        <v>72.450871376606258</v>
      </c>
      <c r="T179" s="46">
        <f t="shared" si="72"/>
        <v>71.538721199321969</v>
      </c>
      <c r="U179" s="46">
        <f t="shared" si="72"/>
        <v>70.439284678588749</v>
      </c>
      <c r="V179" s="46">
        <f t="shared" si="72"/>
        <v>75.046546211201274</v>
      </c>
    </row>
    <row r="180" spans="2:22" x14ac:dyDescent="0.2">
      <c r="B180" s="36" t="s">
        <v>47</v>
      </c>
      <c r="C180" s="78" t="s">
        <v>48</v>
      </c>
      <c r="D180" s="48">
        <f t="shared" ref="D180:V180" si="73">+IFERROR(IF(D152&gt;0,+((D152/D27)*100)," "),"")</f>
        <v>77.995110435880832</v>
      </c>
      <c r="E180" s="48">
        <f t="shared" si="73"/>
        <v>84.474791100733853</v>
      </c>
      <c r="F180" s="48">
        <f t="shared" si="73"/>
        <v>82.225392565613419</v>
      </c>
      <c r="G180" s="48">
        <f t="shared" si="73"/>
        <v>87.205439255281533</v>
      </c>
      <c r="H180" s="48">
        <f t="shared" si="73"/>
        <v>85.370834641796094</v>
      </c>
      <c r="I180" s="48">
        <f t="shared" si="73"/>
        <v>88.296629143305211</v>
      </c>
      <c r="J180" s="48">
        <f t="shared" si="73"/>
        <v>86.956651265553859</v>
      </c>
      <c r="K180" s="48">
        <f t="shared" si="73"/>
        <v>88.344826002156722</v>
      </c>
      <c r="L180" s="48">
        <f t="shared" si="73"/>
        <v>89.75783878620706</v>
      </c>
      <c r="M180" s="48">
        <f t="shared" si="73"/>
        <v>85.350469958784231</v>
      </c>
      <c r="N180" s="48">
        <f t="shared" si="73"/>
        <v>81.859426622289746</v>
      </c>
      <c r="O180" s="48">
        <f t="shared" si="73"/>
        <v>84.712836099916927</v>
      </c>
      <c r="P180" s="48">
        <f t="shared" si="73"/>
        <v>83.117239791750535</v>
      </c>
      <c r="Q180" s="48">
        <f t="shared" si="73"/>
        <v>84.305606343775509</v>
      </c>
      <c r="R180" s="48">
        <f t="shared" si="73"/>
        <v>84.477121977110031</v>
      </c>
      <c r="S180" s="48">
        <f t="shared" si="73"/>
        <v>86.999691175328564</v>
      </c>
      <c r="T180" s="48">
        <f t="shared" si="73"/>
        <v>88.327764031890624</v>
      </c>
      <c r="U180" s="48">
        <f t="shared" si="73"/>
        <v>89.483975447166344</v>
      </c>
      <c r="V180" s="48">
        <f t="shared" si="73"/>
        <v>90.670007384790964</v>
      </c>
    </row>
    <row r="181" spans="2:22" x14ac:dyDescent="0.2">
      <c r="B181" s="38" t="s">
        <v>49</v>
      </c>
      <c r="C181" s="66" t="s">
        <v>63</v>
      </c>
      <c r="D181" s="45">
        <f t="shared" ref="D181:V181" si="74">+IFERROR(IF(D153&gt;0,+((D153/D28)*100)," "),"")</f>
        <v>83.609578313762682</v>
      </c>
      <c r="E181" s="45">
        <f t="shared" si="74"/>
        <v>88.530442217788064</v>
      </c>
      <c r="F181" s="45">
        <f t="shared" si="74"/>
        <v>86.79492012561856</v>
      </c>
      <c r="G181" s="45">
        <f t="shared" si="74"/>
        <v>89.675659053647763</v>
      </c>
      <c r="H181" s="45">
        <f t="shared" si="74"/>
        <v>86.618124851174841</v>
      </c>
      <c r="I181" s="45">
        <f t="shared" si="74"/>
        <v>90.798936264634364</v>
      </c>
      <c r="J181" s="45">
        <f t="shared" si="74"/>
        <v>89.050550459458989</v>
      </c>
      <c r="K181" s="45">
        <f t="shared" si="74"/>
        <v>89.933275221928938</v>
      </c>
      <c r="L181" s="45">
        <f t="shared" si="74"/>
        <v>89.413615803986119</v>
      </c>
      <c r="M181" s="45">
        <f t="shared" si="74"/>
        <v>85.426622725854045</v>
      </c>
      <c r="N181" s="45">
        <f t="shared" si="74"/>
        <v>81.010694961041878</v>
      </c>
      <c r="O181" s="45">
        <f t="shared" si="74"/>
        <v>86.864030915740969</v>
      </c>
      <c r="P181" s="45">
        <f t="shared" si="74"/>
        <v>86.979787080972088</v>
      </c>
      <c r="Q181" s="45">
        <f t="shared" si="74"/>
        <v>84.131078618275779</v>
      </c>
      <c r="R181" s="45">
        <f t="shared" si="74"/>
        <v>87.012480977361804</v>
      </c>
      <c r="S181" s="45">
        <f t="shared" si="74"/>
        <v>89.522055350808856</v>
      </c>
      <c r="T181" s="45">
        <f t="shared" si="74"/>
        <v>87.469327878080506</v>
      </c>
      <c r="U181" s="45">
        <f t="shared" si="74"/>
        <v>91.417085350407746</v>
      </c>
      <c r="V181" s="45">
        <f t="shared" si="74"/>
        <v>87.445424959370555</v>
      </c>
    </row>
    <row r="182" spans="2:22" x14ac:dyDescent="0.2">
      <c r="B182" s="1" t="s">
        <v>52</v>
      </c>
      <c r="C182" s="15"/>
      <c r="D182" s="12"/>
      <c r="E182" s="12"/>
      <c r="F182" s="12"/>
      <c r="G182" s="12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</row>
  </sheetData>
  <mergeCells count="181">
    <mergeCell ref="J165:J166"/>
    <mergeCell ref="B12:B13"/>
    <mergeCell ref="C137:C138"/>
    <mergeCell ref="B11:V11"/>
    <mergeCell ref="B165:B166"/>
    <mergeCell ref="T165:T166"/>
    <mergeCell ref="L12:L13"/>
    <mergeCell ref="Q64:Q65"/>
    <mergeCell ref="V165:V166"/>
    <mergeCell ref="N12:N13"/>
    <mergeCell ref="T87:T88"/>
    <mergeCell ref="M165:M166"/>
    <mergeCell ref="D38:D39"/>
    <mergeCell ref="O165:O166"/>
    <mergeCell ref="G12:G13"/>
    <mergeCell ref="D163:V163"/>
    <mergeCell ref="G165:G166"/>
    <mergeCell ref="E64:E65"/>
    <mergeCell ref="E38:E39"/>
    <mergeCell ref="P165:P166"/>
    <mergeCell ref="R165:R166"/>
    <mergeCell ref="D111:V111"/>
    <mergeCell ref="E165:E166"/>
    <mergeCell ref="V87:V88"/>
    <mergeCell ref="P6:P7"/>
    <mergeCell ref="R6:R7"/>
    <mergeCell ref="E137:E138"/>
    <mergeCell ref="G137:G138"/>
    <mergeCell ref="E87:E88"/>
    <mergeCell ref="R12:R13"/>
    <mergeCell ref="G87:G88"/>
    <mergeCell ref="Q38:Q39"/>
    <mergeCell ref="T12:T13"/>
    <mergeCell ref="S38:S39"/>
    <mergeCell ref="S137:S138"/>
    <mergeCell ref="B37:V37"/>
    <mergeCell ref="T64:T65"/>
    <mergeCell ref="D87:D88"/>
    <mergeCell ref="J137:J138"/>
    <mergeCell ref="V137:V138"/>
    <mergeCell ref="E113:E114"/>
    <mergeCell ref="L38:L39"/>
    <mergeCell ref="G113:G114"/>
    <mergeCell ref="N38:N39"/>
    <mergeCell ref="B64:B65"/>
    <mergeCell ref="D64:D65"/>
    <mergeCell ref="F64:F65"/>
    <mergeCell ref="E12:E13"/>
    <mergeCell ref="M137:M138"/>
    <mergeCell ref="O137:O138"/>
    <mergeCell ref="D85:V85"/>
    <mergeCell ref="J113:J114"/>
    <mergeCell ref="L113:L114"/>
    <mergeCell ref="G64:G65"/>
    <mergeCell ref="D12:D13"/>
    <mergeCell ref="S87:S88"/>
    <mergeCell ref="H12:H13"/>
    <mergeCell ref="D62:V63"/>
    <mergeCell ref="J12:J13"/>
    <mergeCell ref="I38:I39"/>
    <mergeCell ref="P87:P88"/>
    <mergeCell ref="D165:D166"/>
    <mergeCell ref="C38:C39"/>
    <mergeCell ref="C64:C65"/>
    <mergeCell ref="F12:F13"/>
    <mergeCell ref="K113:K114"/>
    <mergeCell ref="Q165:Q166"/>
    <mergeCell ref="I165:I166"/>
    <mergeCell ref="K165:K166"/>
    <mergeCell ref="Q137:Q138"/>
    <mergeCell ref="C165:C166"/>
    <mergeCell ref="C87:C88"/>
    <mergeCell ref="P64:P65"/>
    <mergeCell ref="J64:J65"/>
    <mergeCell ref="F137:F138"/>
    <mergeCell ref="H137:H138"/>
    <mergeCell ref="P38:P39"/>
    <mergeCell ref="H38:H39"/>
    <mergeCell ref="C113:C114"/>
    <mergeCell ref="J38:J39"/>
    <mergeCell ref="B136:V136"/>
    <mergeCell ref="R87:R88"/>
    <mergeCell ref="G38:G39"/>
    <mergeCell ref="J87:J88"/>
    <mergeCell ref="L87:L88"/>
    <mergeCell ref="U165:U166"/>
    <mergeCell ref="M12:M13"/>
    <mergeCell ref="R113:R114"/>
    <mergeCell ref="G6:G7"/>
    <mergeCell ref="O12:O13"/>
    <mergeCell ref="U87:U88"/>
    <mergeCell ref="T113:T114"/>
    <mergeCell ref="Q6:Q7"/>
    <mergeCell ref="O64:O65"/>
    <mergeCell ref="S6:S7"/>
    <mergeCell ref="N6:N7"/>
    <mergeCell ref="S113:S114"/>
    <mergeCell ref="U113:U114"/>
    <mergeCell ref="R64:R65"/>
    <mergeCell ref="U137:U138"/>
    <mergeCell ref="R137:R138"/>
    <mergeCell ref="R38:R39"/>
    <mergeCell ref="T137:T138"/>
    <mergeCell ref="I6:I7"/>
    <mergeCell ref="K6:K7"/>
    <mergeCell ref="Q12:Q13"/>
    <mergeCell ref="S12:S13"/>
    <mergeCell ref="U6:U7"/>
    <mergeCell ref="L137:L138"/>
    <mergeCell ref="F165:F166"/>
    <mergeCell ref="S64:S65"/>
    <mergeCell ref="D36:V36"/>
    <mergeCell ref="P12:P13"/>
    <mergeCell ref="U64:U65"/>
    <mergeCell ref="T6:T7"/>
    <mergeCell ref="I137:I138"/>
    <mergeCell ref="K137:K138"/>
    <mergeCell ref="U38:U39"/>
    <mergeCell ref="M38:M39"/>
    <mergeCell ref="H113:H114"/>
    <mergeCell ref="O38:O39"/>
    <mergeCell ref="H165:H166"/>
    <mergeCell ref="D135:V135"/>
    <mergeCell ref="F87:F88"/>
    <mergeCell ref="D6:D7"/>
    <mergeCell ref="F6:F7"/>
    <mergeCell ref="O87:O88"/>
    <mergeCell ref="Q87:Q88"/>
    <mergeCell ref="B86:V86"/>
    <mergeCell ref="L165:L166"/>
    <mergeCell ref="I113:I114"/>
    <mergeCell ref="N165:N166"/>
    <mergeCell ref="F113:F114"/>
    <mergeCell ref="H6:H7"/>
    <mergeCell ref="M113:M114"/>
    <mergeCell ref="J6:J7"/>
    <mergeCell ref="H64:H65"/>
    <mergeCell ref="B38:B39"/>
    <mergeCell ref="V6:V7"/>
    <mergeCell ref="O113:O114"/>
    <mergeCell ref="Q113:Q114"/>
    <mergeCell ref="L64:L65"/>
    <mergeCell ref="I12:I13"/>
    <mergeCell ref="N64:N65"/>
    <mergeCell ref="K12:K13"/>
    <mergeCell ref="M6:M7"/>
    <mergeCell ref="E6:E7"/>
    <mergeCell ref="U12:U13"/>
    <mergeCell ref="V113:V114"/>
    <mergeCell ref="C12:C13"/>
    <mergeCell ref="V12:V13"/>
    <mergeCell ref="A7:C7"/>
    <mergeCell ref="V64:V65"/>
    <mergeCell ref="T38:T39"/>
    <mergeCell ref="V38:V39"/>
    <mergeCell ref="I87:I88"/>
    <mergeCell ref="L6:L7"/>
    <mergeCell ref="D2:V2"/>
    <mergeCell ref="B113:B114"/>
    <mergeCell ref="D113:D114"/>
    <mergeCell ref="A5:C6"/>
    <mergeCell ref="N113:N114"/>
    <mergeCell ref="S165:S166"/>
    <mergeCell ref="P113:P114"/>
    <mergeCell ref="K64:K65"/>
    <mergeCell ref="O6:O7"/>
    <mergeCell ref="M64:M65"/>
    <mergeCell ref="B137:B138"/>
    <mergeCell ref="D137:D138"/>
    <mergeCell ref="D10:V10"/>
    <mergeCell ref="B87:B88"/>
    <mergeCell ref="N137:N138"/>
    <mergeCell ref="P137:P138"/>
    <mergeCell ref="F38:F39"/>
    <mergeCell ref="N87:N88"/>
    <mergeCell ref="I64:I65"/>
    <mergeCell ref="K38:K39"/>
    <mergeCell ref="K87:K88"/>
    <mergeCell ref="M87:M88"/>
    <mergeCell ref="H87:H88"/>
    <mergeCell ref="D4:V4"/>
  </mergeCells>
  <pageMargins left="0.7" right="0.7" top="0.75" bottom="0.75" header="0.3" footer="0.3"/>
  <pageSetup paperSize="9" orientation="portrait" horizontalDpi="1200" verticalDpi="120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/>
  <dimension ref="A1:X182"/>
  <sheetViews>
    <sheetView showGridLines="0" tabSelected="1" zoomScaleNormal="100" workbookViewId="0">
      <pane xSplit="3" ySplit="7" topLeftCell="F8" activePane="bottomRight" state="frozen"/>
      <selection activeCell="O5" sqref="O5:O6"/>
      <selection pane="topRight" activeCell="O5" sqref="O5:O6"/>
      <selection pane="bottomLeft" activeCell="O5" sqref="O5:O6"/>
      <selection pane="bottomRight" activeCell="D10" sqref="D10:V10"/>
    </sheetView>
  </sheetViews>
  <sheetFormatPr baseColWidth="10" defaultColWidth="11.42578125" defaultRowHeight="11.25" x14ac:dyDescent="0.2"/>
  <cols>
    <col min="1" max="1" width="2.7109375" style="3" customWidth="1"/>
    <col min="2" max="2" width="3.85546875" style="3" customWidth="1"/>
    <col min="3" max="3" width="54.140625" style="3" customWidth="1"/>
    <col min="4" max="4" width="12" style="3" customWidth="1"/>
    <col min="5" max="5" width="11.5703125" style="3" customWidth="1"/>
    <col min="6" max="6" width="11.28515625" style="3" customWidth="1"/>
    <col min="7" max="7" width="11" style="3" customWidth="1"/>
    <col min="8" max="8" width="11.42578125" style="3" customWidth="1"/>
    <col min="9" max="9" width="12.28515625" style="3" customWidth="1"/>
    <col min="10" max="10" width="11.7109375" style="3" customWidth="1"/>
    <col min="11" max="17" width="11.28515625" style="3" customWidth="1"/>
    <col min="18" max="20" width="10.7109375" style="3" customWidth="1"/>
    <col min="21" max="22" width="11.28515625" style="3" bestFit="1" customWidth="1"/>
    <col min="23" max="33" width="10.7109375" style="3" customWidth="1"/>
    <col min="34" max="34" width="11.42578125" style="3" customWidth="1"/>
    <col min="35" max="16384" width="11.42578125" style="3"/>
  </cols>
  <sheetData>
    <row r="1" spans="1:24" ht="16.5" customHeight="1" x14ac:dyDescent="0.2"/>
    <row r="2" spans="1:24" s="98" customFormat="1" ht="16.5" customHeight="1" x14ac:dyDescent="0.25">
      <c r="A2" s="120"/>
      <c r="D2" s="159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  <c r="U2" s="152"/>
      <c r="V2" s="152"/>
      <c r="W2" s="134"/>
      <c r="X2" s="134"/>
    </row>
    <row r="3" spans="1:24" s="98" customFormat="1" ht="16.5" customHeight="1" x14ac:dyDescent="0.25">
      <c r="A3" s="99"/>
    </row>
    <row r="4" spans="1:24" s="98" customFormat="1" ht="15" customHeight="1" x14ac:dyDescent="0.25">
      <c r="A4" s="99"/>
      <c r="D4" s="161"/>
      <c r="E4" s="152"/>
      <c r="F4" s="152"/>
      <c r="G4" s="152"/>
      <c r="H4" s="152"/>
      <c r="I4" s="152"/>
      <c r="J4" s="152"/>
      <c r="K4" s="152"/>
      <c r="L4" s="152"/>
      <c r="M4" s="152"/>
      <c r="N4" s="152"/>
      <c r="O4" s="152"/>
      <c r="P4" s="152"/>
      <c r="Q4" s="152"/>
      <c r="R4" s="152"/>
      <c r="S4" s="152"/>
      <c r="T4" s="152"/>
      <c r="U4" s="152"/>
      <c r="V4" s="152"/>
    </row>
    <row r="5" spans="1:24" s="98" customFormat="1" ht="15" customHeight="1" x14ac:dyDescent="0.25">
      <c r="A5" s="165" t="s">
        <v>4</v>
      </c>
      <c r="B5" s="152"/>
      <c r="C5" s="152"/>
      <c r="D5" s="147"/>
      <c r="E5" s="147"/>
      <c r="F5" s="147"/>
      <c r="G5" s="147"/>
      <c r="H5" s="147"/>
      <c r="I5" s="147"/>
      <c r="J5" s="147"/>
      <c r="K5" s="147"/>
      <c r="L5" s="147"/>
      <c r="M5" s="147"/>
      <c r="N5" s="147"/>
      <c r="O5" s="147"/>
      <c r="P5" s="147"/>
      <c r="Q5" s="147"/>
      <c r="R5" s="147"/>
      <c r="S5" s="147"/>
      <c r="T5" s="147"/>
      <c r="U5" s="147"/>
      <c r="V5" s="147"/>
    </row>
    <row r="6" spans="1:24" s="98" customFormat="1" ht="15" customHeight="1" x14ac:dyDescent="0.25">
      <c r="A6" s="152"/>
      <c r="B6" s="152"/>
      <c r="C6" s="152"/>
      <c r="D6" s="151" t="s">
        <v>27</v>
      </c>
      <c r="E6" s="151" t="s">
        <v>28</v>
      </c>
      <c r="F6" s="151" t="s">
        <v>29</v>
      </c>
      <c r="G6" s="151" t="s">
        <v>30</v>
      </c>
      <c r="H6" s="151">
        <v>2004</v>
      </c>
      <c r="I6" s="151" t="s">
        <v>31</v>
      </c>
      <c r="J6" s="151" t="s">
        <v>32</v>
      </c>
      <c r="K6" s="151" t="s">
        <v>33</v>
      </c>
      <c r="L6" s="151" t="s">
        <v>34</v>
      </c>
      <c r="M6" s="151" t="s">
        <v>35</v>
      </c>
      <c r="N6" s="151">
        <v>2010</v>
      </c>
      <c r="O6" s="151">
        <v>2011</v>
      </c>
      <c r="P6" s="151">
        <v>2012</v>
      </c>
      <c r="Q6" s="151">
        <v>2013</v>
      </c>
      <c r="R6" s="151">
        <v>2014</v>
      </c>
      <c r="S6" s="151">
        <v>2015</v>
      </c>
      <c r="T6" s="151">
        <v>2016</v>
      </c>
      <c r="U6" s="151">
        <v>2017</v>
      </c>
      <c r="V6" s="151">
        <v>2018</v>
      </c>
    </row>
    <row r="7" spans="1:24" s="98" customFormat="1" ht="15" customHeight="1" x14ac:dyDescent="0.25">
      <c r="A7" s="162" t="s">
        <v>227</v>
      </c>
      <c r="B7" s="152"/>
      <c r="C7" s="152"/>
      <c r="D7" s="152"/>
      <c r="E7" s="152"/>
      <c r="F7" s="152"/>
      <c r="G7" s="152"/>
      <c r="H7" s="152"/>
      <c r="I7" s="152"/>
      <c r="J7" s="152"/>
      <c r="K7" s="152"/>
      <c r="L7" s="152"/>
      <c r="M7" s="152"/>
      <c r="N7" s="152"/>
      <c r="O7" s="152"/>
      <c r="P7" s="152"/>
      <c r="Q7" s="152"/>
      <c r="R7" s="152"/>
      <c r="S7" s="152"/>
      <c r="T7" s="152"/>
      <c r="U7" s="152"/>
      <c r="V7" s="152"/>
    </row>
    <row r="8" spans="1:24" s="98" customFormat="1" ht="15" customHeight="1" x14ac:dyDescent="0.25">
      <c r="A8" s="99"/>
    </row>
    <row r="10" spans="1:24" ht="16.5" customHeight="1" x14ac:dyDescent="0.2">
      <c r="C10" s="131"/>
      <c r="D10" s="160" t="s">
        <v>83</v>
      </c>
      <c r="E10" s="158"/>
      <c r="F10" s="158"/>
      <c r="G10" s="158"/>
      <c r="H10" s="158"/>
      <c r="I10" s="158"/>
      <c r="J10" s="158"/>
      <c r="K10" s="158"/>
      <c r="L10" s="158"/>
      <c r="M10" s="158"/>
      <c r="N10" s="158"/>
      <c r="O10" s="158"/>
      <c r="P10" s="158"/>
      <c r="Q10" s="158"/>
      <c r="R10" s="158"/>
      <c r="S10" s="158"/>
      <c r="T10" s="158"/>
      <c r="U10" s="158"/>
      <c r="V10" s="158"/>
    </row>
    <row r="11" spans="1:24" ht="15.75" customHeight="1" x14ac:dyDescent="0.2">
      <c r="B11" s="157"/>
      <c r="C11" s="158"/>
      <c r="D11" s="158"/>
      <c r="E11" s="158"/>
      <c r="F11" s="158"/>
      <c r="G11" s="158"/>
      <c r="H11" s="158"/>
      <c r="I11" s="158"/>
      <c r="J11" s="158"/>
      <c r="K11" s="158"/>
      <c r="L11" s="158"/>
      <c r="M11" s="158"/>
      <c r="N11" s="158"/>
      <c r="O11" s="158"/>
      <c r="P11" s="158"/>
      <c r="Q11" s="158"/>
      <c r="R11" s="158"/>
      <c r="S11" s="158"/>
      <c r="T11" s="158"/>
      <c r="U11" s="158"/>
      <c r="V11" s="158"/>
    </row>
    <row r="12" spans="1:24" x14ac:dyDescent="0.2">
      <c r="B12" s="163"/>
      <c r="C12" s="155" t="s">
        <v>38</v>
      </c>
      <c r="D12" s="153" t="s">
        <v>27</v>
      </c>
      <c r="E12" s="153" t="s">
        <v>28</v>
      </c>
      <c r="F12" s="153" t="s">
        <v>29</v>
      </c>
      <c r="G12" s="153" t="s">
        <v>30</v>
      </c>
      <c r="H12" s="153">
        <v>2004</v>
      </c>
      <c r="I12" s="153" t="s">
        <v>31</v>
      </c>
      <c r="J12" s="153" t="s">
        <v>32</v>
      </c>
      <c r="K12" s="153" t="s">
        <v>33</v>
      </c>
      <c r="L12" s="153" t="s">
        <v>34</v>
      </c>
      <c r="M12" s="153" t="s">
        <v>35</v>
      </c>
      <c r="N12" s="153">
        <v>2010</v>
      </c>
      <c r="O12" s="153">
        <v>2011</v>
      </c>
      <c r="P12" s="153">
        <v>2012</v>
      </c>
      <c r="Q12" s="153">
        <v>2013</v>
      </c>
      <c r="R12" s="153">
        <v>2014</v>
      </c>
      <c r="S12" s="153">
        <v>2015</v>
      </c>
      <c r="T12" s="153">
        <v>2016</v>
      </c>
      <c r="U12" s="153">
        <v>2017</v>
      </c>
      <c r="V12" s="153">
        <v>2018</v>
      </c>
    </row>
    <row r="13" spans="1:24" ht="12" customHeight="1" thickBot="1" x14ac:dyDescent="0.25">
      <c r="B13" s="154"/>
      <c r="C13" s="156"/>
      <c r="D13" s="154"/>
      <c r="E13" s="154"/>
      <c r="F13" s="154"/>
      <c r="G13" s="154"/>
      <c r="H13" s="154"/>
      <c r="I13" s="154"/>
      <c r="J13" s="154"/>
      <c r="K13" s="154"/>
      <c r="L13" s="154"/>
      <c r="M13" s="154"/>
      <c r="N13" s="154"/>
      <c r="O13" s="154"/>
      <c r="P13" s="154"/>
      <c r="Q13" s="154"/>
      <c r="R13" s="154"/>
      <c r="S13" s="154"/>
      <c r="T13" s="154"/>
      <c r="U13" s="154"/>
      <c r="V13" s="154"/>
    </row>
    <row r="14" spans="1:24" x14ac:dyDescent="0.2">
      <c r="B14" s="34" t="s">
        <v>39</v>
      </c>
      <c r="C14" s="76" t="s">
        <v>40</v>
      </c>
      <c r="D14" s="41">
        <f t="shared" ref="D14:V14" si="0">+D15+D16+D17+D18</f>
        <v>6543.9181044458892</v>
      </c>
      <c r="E14" s="41">
        <f t="shared" si="0"/>
        <v>6674.8996994454465</v>
      </c>
      <c r="F14" s="41">
        <f t="shared" si="0"/>
        <v>6648.9912918259397</v>
      </c>
      <c r="G14" s="41">
        <f t="shared" si="0"/>
        <v>6510.5624517877513</v>
      </c>
      <c r="H14" s="41">
        <f t="shared" si="0"/>
        <v>12641.878859617625</v>
      </c>
      <c r="I14" s="41">
        <f t="shared" si="0"/>
        <v>11577.547636037772</v>
      </c>
      <c r="J14" s="41">
        <f t="shared" si="0"/>
        <v>7010.584697619207</v>
      </c>
      <c r="K14" s="41">
        <f t="shared" si="0"/>
        <v>6719.8559605050759</v>
      </c>
      <c r="L14" s="41">
        <f t="shared" si="0"/>
        <v>6609.9061372247152</v>
      </c>
      <c r="M14" s="41">
        <f t="shared" si="0"/>
        <v>8210.6781298838177</v>
      </c>
      <c r="N14" s="41">
        <f t="shared" si="0"/>
        <v>10958.375190854913</v>
      </c>
      <c r="O14" s="41">
        <f t="shared" si="0"/>
        <v>10449.660348995663</v>
      </c>
      <c r="P14" s="41">
        <f t="shared" si="0"/>
        <v>10090.95856732259</v>
      </c>
      <c r="Q14" s="41">
        <f t="shared" si="0"/>
        <v>10823.839175821227</v>
      </c>
      <c r="R14" s="41">
        <f t="shared" si="0"/>
        <v>10489.51462964456</v>
      </c>
      <c r="S14" s="41">
        <f t="shared" si="0"/>
        <v>10519.884907126157</v>
      </c>
      <c r="T14" s="41">
        <f t="shared" si="0"/>
        <v>9485.6364917591782</v>
      </c>
      <c r="U14" s="41">
        <f t="shared" si="0"/>
        <v>9559.5287114472376</v>
      </c>
      <c r="V14" s="41">
        <f t="shared" si="0"/>
        <v>9537.6408947388045</v>
      </c>
    </row>
    <row r="15" spans="1:24" x14ac:dyDescent="0.2">
      <c r="B15" s="40"/>
      <c r="C15" s="77" t="s">
        <v>56</v>
      </c>
      <c r="D15" s="42">
        <f>457.39211624942*Deflactores!$A$5</f>
        <v>1660.5891229718779</v>
      </c>
      <c r="E15" s="42">
        <f>487.46464800409*Deflactores!$B$5</f>
        <v>1644.028899416443</v>
      </c>
      <c r="F15" s="42">
        <f>508.088639466469*Deflactores!$C$5</f>
        <v>1601.6040144774536</v>
      </c>
      <c r="G15" s="42">
        <f>533.13004096*Deflactores!$D$5</f>
        <v>1578.0997042251925</v>
      </c>
      <c r="H15" s="42">
        <f>549.90061784487*Deflactores!$E$5</f>
        <v>1542.9272594974761</v>
      </c>
      <c r="I15" s="42">
        <f>556.41631552393*Deflactores!$F$5</f>
        <v>1488.9196814288209</v>
      </c>
      <c r="J15" s="42">
        <f>601.143216179*Deflactores!$G$5</f>
        <v>1539.6596537846915</v>
      </c>
      <c r="K15" s="42">
        <f>638.777217872999*Deflactores!$H$5</f>
        <v>1547.9038060984724</v>
      </c>
      <c r="L15" s="42">
        <f>747.13995296342*Deflactores!$I$5</f>
        <v>1681.4508044677409</v>
      </c>
      <c r="M15" s="42">
        <f>842.244122891*Deflactores!$J$5</f>
        <v>1858.2850116750139</v>
      </c>
      <c r="N15" s="42">
        <f>839.71032166405*Deflactores!$K$5</f>
        <v>1795.7474190992896</v>
      </c>
      <c r="O15" s="42">
        <f>883.667815514*Deflactores!$L$5</f>
        <v>1821.8570509075728</v>
      </c>
      <c r="P15" s="42">
        <f>1006.00150877*Deflactores!$M$5</f>
        <v>2024.6703473907116</v>
      </c>
      <c r="Q15" s="42">
        <f>1301.94520772074*Deflactores!$N$5</f>
        <v>2570.4180865302933</v>
      </c>
      <c r="R15" s="42">
        <f>1457.214984863*Deflactores!$O$5</f>
        <v>2775.3865871357652</v>
      </c>
      <c r="S15" s="42">
        <f>1464.37295195764*Deflactores!$P$5</f>
        <v>2612.1752628109807</v>
      </c>
      <c r="T15" s="42">
        <f>1530.764305732*Deflactores!$Q$5</f>
        <v>2582.1327416755539</v>
      </c>
      <c r="U15" s="42">
        <f>1661.431910594*Deflactores!$R$5</f>
        <v>2692.4260065675799</v>
      </c>
      <c r="V15" s="42">
        <f>1936.51496238158*Deflactores!$S$5</f>
        <v>3041.4911885225429</v>
      </c>
    </row>
    <row r="16" spans="1:24" x14ac:dyDescent="0.2">
      <c r="B16" s="40"/>
      <c r="C16" s="77" t="s">
        <v>57</v>
      </c>
      <c r="D16" s="42">
        <f>282.93993638758*Deflactores!$A$5</f>
        <v>1027.2301688806519</v>
      </c>
      <c r="E16" s="42">
        <f>263.318144886*Deflactores!$B$5</f>
        <v>888.06981533085013</v>
      </c>
      <c r="F16" s="42">
        <f>274.86106533421*Deflactores!$C$5</f>
        <v>866.42083972804983</v>
      </c>
      <c r="G16" s="42">
        <f>238.93056758924*Deflactores!$D$5</f>
        <v>707.25006860235635</v>
      </c>
      <c r="H16" s="42">
        <f>269.94858740706*Deflactores!$E$5</f>
        <v>757.42965302630387</v>
      </c>
      <c r="I16" s="42">
        <f>265.26232504202*Deflactores!$F$5</f>
        <v>709.81796449433341</v>
      </c>
      <c r="J16" s="42">
        <f>302.92279216805*Deflactores!$G$5</f>
        <v>775.85172511382791</v>
      </c>
      <c r="K16" s="42">
        <f>308.77206124621*Deflactores!$H$5</f>
        <v>748.22557136798901</v>
      </c>
      <c r="L16" s="42">
        <f>328.45491964231*Deflactores!$I$5</f>
        <v>739.19322166270103</v>
      </c>
      <c r="M16" s="42">
        <f>365.247319675999*Deflactores!$J$5</f>
        <v>805.86328982460645</v>
      </c>
      <c r="N16" s="42">
        <f>389.021029284*Deflactores!$K$5</f>
        <v>831.93393160597645</v>
      </c>
      <c r="O16" s="42">
        <f>424.56217133749*Deflactores!$L$5</f>
        <v>875.319403762511</v>
      </c>
      <c r="P16" s="42">
        <f>561.470673479*Deflactores!$M$5</f>
        <v>1130.0112510888155</v>
      </c>
      <c r="Q16" s="42">
        <f>613.32508626791*Deflactores!$N$5</f>
        <v>1210.8819060256023</v>
      </c>
      <c r="R16" s="42">
        <f>658.994226151*Deflactores!$O$5</f>
        <v>1255.1090643851351</v>
      </c>
      <c r="S16" s="42">
        <f>615.41266441708*Deflactores!$P$5</f>
        <v>1097.7843699324173</v>
      </c>
      <c r="T16" s="42">
        <f>708.641188398*Deflactores!$Q$5</f>
        <v>1195.3542474243618</v>
      </c>
      <c r="U16" s="42">
        <f>695.86291176*Deflactores!$R$5</f>
        <v>1127.6775103944071</v>
      </c>
      <c r="V16" s="42">
        <f>750.19319794951*Deflactores!$S$5</f>
        <v>1178.2537422003065</v>
      </c>
    </row>
    <row r="17" spans="2:22" x14ac:dyDescent="0.2">
      <c r="B17" s="40"/>
      <c r="C17" s="77" t="s">
        <v>58</v>
      </c>
      <c r="D17" s="42">
        <f>675.215913043*Deflactores!$A$5</f>
        <v>2451.4112968342029</v>
      </c>
      <c r="E17" s="42">
        <f>814.3243959464*Deflactores!$B$5</f>
        <v>2746.399858773937</v>
      </c>
      <c r="F17" s="42">
        <f>799.70189238463*Deflactores!$C$5</f>
        <v>2520.831330874435</v>
      </c>
      <c r="G17" s="42">
        <f>827.17534747576*Deflactores!$D$5</f>
        <v>2448.492995898926</v>
      </c>
      <c r="H17" s="42">
        <f>3108.88496424937*Deflactores!$E$5</f>
        <v>8723.0004883089423</v>
      </c>
      <c r="I17" s="42">
        <f>2715.42278569513*Deflactores!$F$5</f>
        <v>7266.2255153585156</v>
      </c>
      <c r="J17" s="42">
        <f>906.43745449158*Deflactores!$G$5</f>
        <v>2321.5851727160125</v>
      </c>
      <c r="K17" s="42">
        <f>992.28356104128*Deflactores!$H$5</f>
        <v>2404.5308096290323</v>
      </c>
      <c r="L17" s="42">
        <f>962.55053975127*Deflactores!$I$5</f>
        <v>2166.2358879165336</v>
      </c>
      <c r="M17" s="42">
        <f>1377.36675980122*Deflactores!$J$5</f>
        <v>3038.9526453831159</v>
      </c>
      <c r="N17" s="42">
        <f>2491.06361743995*Deflactores!$K$5</f>
        <v>5327.2193355503496</v>
      </c>
      <c r="O17" s="42">
        <f>2242.29434277551*Deflactores!$L$5</f>
        <v>4622.9360025062533</v>
      </c>
      <c r="P17" s="42">
        <f>1846.407300416*Deflactores!$M$5</f>
        <v>3716.0641189581988</v>
      </c>
      <c r="Q17" s="42">
        <f>1982.78376126517*Deflactores!$N$5</f>
        <v>3914.5911912506112</v>
      </c>
      <c r="R17" s="42">
        <f>1837.96197806258*Deflactores!$O$5</f>
        <v>3500.550759200421</v>
      </c>
      <c r="S17" s="42">
        <f>2093.1558443634*Deflactores!$P$5</f>
        <v>3733.8096900416313</v>
      </c>
      <c r="T17" s="42">
        <f>1673.35882245547*Deflactores!$Q$5</f>
        <v>2822.6648530112734</v>
      </c>
      <c r="U17" s="42">
        <f>1983.304982392*Deflactores!$R$5</f>
        <v>3214.0359646987517</v>
      </c>
      <c r="V17" s="42">
        <f>1846.4291634429*Deflactores!$S$5</f>
        <v>2900.0023960238568</v>
      </c>
    </row>
    <row r="18" spans="2:22" x14ac:dyDescent="0.2">
      <c r="B18" s="40"/>
      <c r="C18" s="77" t="s">
        <v>59</v>
      </c>
      <c r="D18" s="42">
        <f>386.90666258995*Deflactores!$A$5</f>
        <v>1404.6875157591571</v>
      </c>
      <c r="E18" s="42">
        <f>414.041494990009*Deflactores!$B$5</f>
        <v>1396.4011259242166</v>
      </c>
      <c r="F18" s="42">
        <f>526.65688902653*Deflactores!$C$5</f>
        <v>1660.1351067460018</v>
      </c>
      <c r="G18" s="42">
        <f>600.22990617691*Deflactores!$D$5</f>
        <v>1776.719683061277</v>
      </c>
      <c r="H18" s="42">
        <f>576.84245624831*Deflactores!$E$5</f>
        <v>1618.5214587849016</v>
      </c>
      <c r="I18" s="42">
        <f>789.48279369161*Deflactores!$F$5</f>
        <v>2112.5844747561027</v>
      </c>
      <c r="J18" s="42">
        <f>926.70240084859*Deflactores!$G$5</f>
        <v>2373.4881460046754</v>
      </c>
      <c r="K18" s="42">
        <f>833.26641707181*Deflactores!$H$5</f>
        <v>2019.1957734095827</v>
      </c>
      <c r="L18" s="42">
        <f>898.91640790956*Deflactores!$I$5</f>
        <v>2023.0262231777397</v>
      </c>
      <c r="M18" s="42">
        <f>1136.52756805832*Deflactores!$J$5</f>
        <v>2507.5771830010813</v>
      </c>
      <c r="N18" s="42">
        <f>1404.45616991718*Deflactores!$K$5</f>
        <v>3003.4745045992977</v>
      </c>
      <c r="O18" s="42">
        <f>1517.94606922249*Deflactores!$L$5</f>
        <v>3129.5478918193257</v>
      </c>
      <c r="P18" s="42">
        <f>1600.032810141*Deflactores!$M$5</f>
        <v>3220.2128498848642</v>
      </c>
      <c r="Q18" s="42">
        <f>1584.34027504859*Deflactores!$N$5</f>
        <v>3127.9479920147196</v>
      </c>
      <c r="R18" s="42">
        <f>1553.34188067293*Deflactores!$O$5</f>
        <v>2958.4682189232394</v>
      </c>
      <c r="S18" s="42">
        <f>1724.45567605487*Deflactores!$P$5</f>
        <v>3076.1155843411275</v>
      </c>
      <c r="T18" s="42">
        <f>1710.60024727952*Deflactores!$Q$5</f>
        <v>2885.4846496479895</v>
      </c>
      <c r="U18" s="42">
        <f>1558.3574972174*Deflactores!$R$5</f>
        <v>2525.3892297864986</v>
      </c>
      <c r="V18" s="42">
        <f>1539.47086532162*Deflactores!$S$5</f>
        <v>2417.8935679920978</v>
      </c>
    </row>
    <row r="19" spans="2:22" x14ac:dyDescent="0.2">
      <c r="B19" s="34" t="s">
        <v>41</v>
      </c>
      <c r="C19" s="76" t="s">
        <v>42</v>
      </c>
      <c r="D19" s="41">
        <f t="shared" ref="D19:V19" si="1">+D20+D23</f>
        <v>142.33455734841246</v>
      </c>
      <c r="E19" s="41">
        <f t="shared" si="1"/>
        <v>13.282373512639058</v>
      </c>
      <c r="F19" s="41">
        <f t="shared" si="1"/>
        <v>14.696261994111</v>
      </c>
      <c r="G19" s="41">
        <f t="shared" si="1"/>
        <v>13.98271515340452</v>
      </c>
      <c r="H19" s="41">
        <f t="shared" si="1"/>
        <v>11.264282262956094</v>
      </c>
      <c r="I19" s="41">
        <f t="shared" si="1"/>
        <v>11.226137278484371</v>
      </c>
      <c r="J19" s="41">
        <f t="shared" si="1"/>
        <v>7.6805846685205026</v>
      </c>
      <c r="K19" s="41">
        <f t="shared" si="1"/>
        <v>6.918640123750027</v>
      </c>
      <c r="L19" s="41">
        <f t="shared" si="1"/>
        <v>5.26103246120568</v>
      </c>
      <c r="M19" s="41">
        <f t="shared" si="1"/>
        <v>8.81370488007415</v>
      </c>
      <c r="N19" s="41">
        <f t="shared" si="1"/>
        <v>4.8533984428934236</v>
      </c>
      <c r="O19" s="41">
        <f t="shared" si="1"/>
        <v>3.8978481279669115</v>
      </c>
      <c r="P19" s="41">
        <f t="shared" si="1"/>
        <v>2.4557644659069511</v>
      </c>
      <c r="Q19" s="41">
        <f t="shared" si="1"/>
        <v>2.7205723422413728</v>
      </c>
      <c r="R19" s="41">
        <f t="shared" si="1"/>
        <v>2.0062875150598845</v>
      </c>
      <c r="S19" s="41">
        <f t="shared" si="1"/>
        <v>2.8024389062914459</v>
      </c>
      <c r="T19" s="41">
        <f t="shared" si="1"/>
        <v>2.172296177260935</v>
      </c>
      <c r="U19" s="41">
        <f t="shared" si="1"/>
        <v>2.5039048523272003</v>
      </c>
      <c r="V19" s="41">
        <f t="shared" si="1"/>
        <v>2.021038176806826</v>
      </c>
    </row>
    <row r="20" spans="2:22" x14ac:dyDescent="0.2">
      <c r="B20" s="34"/>
      <c r="C20" s="76" t="s">
        <v>43</v>
      </c>
      <c r="D20" s="41">
        <f t="shared" ref="D20:V20" si="2">+D21+D22</f>
        <v>23.464642509625325</v>
      </c>
      <c r="E20" s="41">
        <f t="shared" si="2"/>
        <v>11.916785631497362</v>
      </c>
      <c r="F20" s="41">
        <f t="shared" si="2"/>
        <v>11.157575921392983</v>
      </c>
      <c r="G20" s="41">
        <f t="shared" si="2"/>
        <v>10.306290130315549</v>
      </c>
      <c r="H20" s="41">
        <f t="shared" si="2"/>
        <v>7.9079492676519356</v>
      </c>
      <c r="I20" s="41">
        <f t="shared" si="2"/>
        <v>5.9974348315083965</v>
      </c>
      <c r="J20" s="41">
        <f t="shared" si="2"/>
        <v>3.4622563541770091</v>
      </c>
      <c r="K20" s="41">
        <f t="shared" si="2"/>
        <v>3.0787906386494108</v>
      </c>
      <c r="L20" s="41">
        <f t="shared" si="2"/>
        <v>2.6101490561262559</v>
      </c>
      <c r="M20" s="41">
        <f t="shared" si="2"/>
        <v>2.2129686821824848</v>
      </c>
      <c r="N20" s="41">
        <f t="shared" si="2"/>
        <v>2.4658437842514211</v>
      </c>
      <c r="O20" s="41">
        <f t="shared" si="2"/>
        <v>1.9250083555922497</v>
      </c>
      <c r="P20" s="41">
        <f t="shared" si="2"/>
        <v>0.34254311760151046</v>
      </c>
      <c r="Q20" s="41">
        <f t="shared" si="2"/>
        <v>1.0248542110722036</v>
      </c>
      <c r="R20" s="41">
        <f t="shared" si="2"/>
        <v>0.32130311732542483</v>
      </c>
      <c r="S20" s="41">
        <f t="shared" si="2"/>
        <v>0.33996365835050146</v>
      </c>
      <c r="T20" s="41">
        <f t="shared" si="2"/>
        <v>0.39060144386572759</v>
      </c>
      <c r="U20" s="41">
        <f t="shared" si="2"/>
        <v>0.48130201355328356</v>
      </c>
      <c r="V20" s="41">
        <f t="shared" si="2"/>
        <v>0.22145465741936049</v>
      </c>
    </row>
    <row r="21" spans="2:22" x14ac:dyDescent="0.2">
      <c r="B21" s="32"/>
      <c r="C21" s="77" t="s">
        <v>60</v>
      </c>
      <c r="D21" s="42">
        <f>5.484993336*Deflactores!$A$5</f>
        <v>19.913592625999673</v>
      </c>
      <c r="E21" s="42">
        <f>2.9314*Deflactores!$B$5</f>
        <v>9.8864734816809214</v>
      </c>
      <c r="F21" s="42">
        <f>2.9769*Deflactores!$C$5</f>
        <v>9.3838252233005903</v>
      </c>
      <c r="G21" s="42">
        <f>3.101606026*Deflactores!$D$5</f>
        <v>9.1809561949275196</v>
      </c>
      <c r="H21" s="42">
        <f>2.4795*Deflactores!$E$5</f>
        <v>6.9570537216658295</v>
      </c>
      <c r="I21" s="42">
        <f>1.98950431*Deflactores!$F$5</f>
        <v>5.3237334003356862</v>
      </c>
      <c r="J21" s="42">
        <f>1.1729*Deflactores!$G$5</f>
        <v>3.0040542075855998</v>
      </c>
      <c r="K21" s="42">
        <f>1.12667958094*Deflactores!$H$5</f>
        <v>2.7302032113756387</v>
      </c>
      <c r="L21" s="42">
        <f>1.0417*Deflactores!$I$5</f>
        <v>2.3443630554981212</v>
      </c>
      <c r="M21" s="42">
        <f>0.9164*Deflactores!$J$5</f>
        <v>2.0218988039402084</v>
      </c>
      <c r="N21" s="42">
        <f>1.060855608*Deflactores!$K$5</f>
        <v>2.2686736972910149</v>
      </c>
      <c r="O21" s="42">
        <f>0.8797*Deflactores!$L$5</f>
        <v>1.813676609633182</v>
      </c>
      <c r="P21" s="42">
        <f>0.1402*Deflactores!$M$5</f>
        <v>0.28216536479278359</v>
      </c>
      <c r="Q21" s="42">
        <f>0.4837*Deflactores!$N$5</f>
        <v>0.95496432651825258</v>
      </c>
      <c r="R21" s="42">
        <f>0.14793561*Deflactores!$O$5</f>
        <v>0.2817556174062732</v>
      </c>
      <c r="S21" s="42">
        <f>0.170141165*Deflactores!$P$5</f>
        <v>0.30350092290676084</v>
      </c>
      <c r="T21" s="42">
        <f>0.213840013*Deflactores!$Q$5</f>
        <v>0.36071085338221665</v>
      </c>
      <c r="U21" s="42">
        <f>0.285*Deflactores!$R$5</f>
        <v>0.46185546755113066</v>
      </c>
      <c r="V21" s="42">
        <f>0.138*Deflactores!$S$5</f>
        <v>0.21674285619767197</v>
      </c>
    </row>
    <row r="22" spans="2:22" x14ac:dyDescent="0.2">
      <c r="B22" s="32"/>
      <c r="C22" s="77" t="s">
        <v>61</v>
      </c>
      <c r="D22" s="42">
        <f>0.9781*Deflactores!$A$5</f>
        <v>3.5510498836256525</v>
      </c>
      <c r="E22" s="42">
        <f>0.602*Deflactores!$B$5</f>
        <v>2.0303121498164409</v>
      </c>
      <c r="F22" s="42">
        <f>0.5627*Deflactores!$C$5</f>
        <v>1.7737506980923921</v>
      </c>
      <c r="G22" s="42">
        <f>0.380172004*Deflactores!$D$5</f>
        <v>1.1253339353880305</v>
      </c>
      <c r="H22" s="42">
        <f>0.3389*Deflactores!$E$5</f>
        <v>0.95089554598610593</v>
      </c>
      <c r="I22" s="42">
        <f>0.251765406*Deflactores!$F$5</f>
        <v>0.67370143117270997</v>
      </c>
      <c r="J22" s="42">
        <f>0.1789*Deflactores!$G$5</f>
        <v>0.45820214659140918</v>
      </c>
      <c r="K22" s="42">
        <f>0.14385241906*Deflactores!$H$5</f>
        <v>0.34858742727377195</v>
      </c>
      <c r="L22" s="42">
        <f>0.1181*Deflactores!$I$5</f>
        <v>0.26578600062813484</v>
      </c>
      <c r="M22" s="42">
        <f>0.0866*Deflactores!$J$5</f>
        <v>0.19106987824227634</v>
      </c>
      <c r="N22" s="42">
        <f>0.0921988*Deflactores!$K$5</f>
        <v>0.19717008696040642</v>
      </c>
      <c r="O22" s="42">
        <f>0.054*Deflactores!$L$5</f>
        <v>0.11133174595906767</v>
      </c>
      <c r="P22" s="42">
        <f>0.03*Deflactores!$M$5</f>
        <v>6.0377752808726877E-2</v>
      </c>
      <c r="Q22" s="42">
        <f>0.0354*Deflactores!$N$5</f>
        <v>6.9889884553951093E-2</v>
      </c>
      <c r="R22" s="42">
        <f>0.02076439*Deflactores!$O$5</f>
        <v>3.9547499919151616E-2</v>
      </c>
      <c r="S22" s="42">
        <f>0.020440835*Deflactores!$P$5</f>
        <v>3.6462735443740603E-2</v>
      </c>
      <c r="T22" s="42">
        <f>0.017720022*Deflactores!$Q$5</f>
        <v>2.9890590483510927E-2</v>
      </c>
      <c r="U22" s="42">
        <f>0.012*Deflactores!$R$5</f>
        <v>1.9446546002152874E-2</v>
      </c>
      <c r="V22" s="42">
        <f>0.003*Deflactores!$S$5</f>
        <v>4.7118012216885207E-3</v>
      </c>
    </row>
    <row r="23" spans="2:22" x14ac:dyDescent="0.2">
      <c r="B23" s="34"/>
      <c r="C23" s="76" t="s">
        <v>44</v>
      </c>
      <c r="D23" s="41">
        <f t="shared" ref="D23:V23" si="3">+D24+D25</f>
        <v>118.86991483878714</v>
      </c>
      <c r="E23" s="41">
        <f t="shared" si="3"/>
        <v>1.3655878811416957</v>
      </c>
      <c r="F23" s="41">
        <f t="shared" si="3"/>
        <v>3.5386860727180167</v>
      </c>
      <c r="G23" s="41">
        <f t="shared" si="3"/>
        <v>3.6764250230889708</v>
      </c>
      <c r="H23" s="41">
        <f t="shared" si="3"/>
        <v>3.3563329953041574</v>
      </c>
      <c r="I23" s="41">
        <f t="shared" si="3"/>
        <v>5.2287024469759746</v>
      </c>
      <c r="J23" s="41">
        <f t="shared" si="3"/>
        <v>4.2183283143434931</v>
      </c>
      <c r="K23" s="41">
        <f t="shared" si="3"/>
        <v>3.8398494851006162</v>
      </c>
      <c r="L23" s="41">
        <f t="shared" si="3"/>
        <v>2.6508834050794245</v>
      </c>
      <c r="M23" s="41">
        <f t="shared" si="3"/>
        <v>6.6007361978916652</v>
      </c>
      <c r="N23" s="41">
        <f t="shared" si="3"/>
        <v>2.3875546586420024</v>
      </c>
      <c r="O23" s="41">
        <f t="shared" si="3"/>
        <v>1.972839772374662</v>
      </c>
      <c r="P23" s="41">
        <f t="shared" si="3"/>
        <v>2.1132213483054407</v>
      </c>
      <c r="Q23" s="41">
        <f t="shared" si="3"/>
        <v>1.6957181311691691</v>
      </c>
      <c r="R23" s="41">
        <f t="shared" si="3"/>
        <v>1.6849843977344596</v>
      </c>
      <c r="S23" s="41">
        <f t="shared" si="3"/>
        <v>2.4624752479409442</v>
      </c>
      <c r="T23" s="41">
        <f t="shared" si="3"/>
        <v>1.7816947333952076</v>
      </c>
      <c r="U23" s="41">
        <f t="shared" si="3"/>
        <v>2.0226028387739166</v>
      </c>
      <c r="V23" s="41">
        <f t="shared" si="3"/>
        <v>1.7995835193874654</v>
      </c>
    </row>
    <row r="24" spans="2:22" x14ac:dyDescent="0.2">
      <c r="B24" s="32"/>
      <c r="C24" s="77" t="s">
        <v>60</v>
      </c>
      <c r="D24" s="42">
        <f>23.447102206*Deflactores!$A$5</f>
        <v>85.126090951819947</v>
      </c>
      <c r="E24" s="42">
        <f>0.068363728*Deflactores!$B$5</f>
        <v>0.23056429828097411</v>
      </c>
      <c r="F24" s="42">
        <f>0.63210963*Deflactores!$C$5</f>
        <v>1.9925446907471542</v>
      </c>
      <c r="G24" s="42">
        <f>0.877207567*Deflactores!$D$5</f>
        <v>2.5965916299409293</v>
      </c>
      <c r="H24" s="42">
        <f>0.870299999999999*Deflactores!$E$5</f>
        <v>2.4419132300729034</v>
      </c>
      <c r="I24" s="42">
        <f>1.442057823*Deflactores!$F$5</f>
        <v>3.8588161678928294</v>
      </c>
      <c r="J24" s="42">
        <f>1.2344*Deflactores!$G$5</f>
        <v>3.1615691992869506</v>
      </c>
      <c r="K24" s="42">
        <f>1.205*Deflactores!$H$5</f>
        <v>2.9199915622530876</v>
      </c>
      <c r="L24" s="42">
        <f>0.9096*Deflactores!$I$5</f>
        <v>2.0470698236354909</v>
      </c>
      <c r="M24" s="42">
        <f>0.8124*Deflactores!$J$5</f>
        <v>1.7924384420788142</v>
      </c>
      <c r="N24" s="42">
        <f>0.892344391999999*Deflactores!$K$5</f>
        <v>1.9083070644007385</v>
      </c>
      <c r="O24" s="42">
        <f>0.774799999999999*Deflactores!$L$5</f>
        <v>1.5974043846126948</v>
      </c>
      <c r="P24" s="42">
        <f>0.9249*Deflactores!$M$5</f>
        <v>1.8614461190930498</v>
      </c>
      <c r="Q24" s="42">
        <f>0.7187*Deflactores!$N$5</f>
        <v>1.4189225996871369</v>
      </c>
      <c r="R24" s="42">
        <f>0.7403*Deflactores!$O$5</f>
        <v>1.4099626423000118</v>
      </c>
      <c r="S24" s="42">
        <f>1.250644803*Deflactores!$P$5</f>
        <v>2.2309230804846321</v>
      </c>
      <c r="T24" s="42">
        <f>0.934381204*Deflactores!$Q$5</f>
        <v>1.5761383323482265</v>
      </c>
      <c r="U24" s="42">
        <f>1.1215*Deflactores!$R$5</f>
        <v>1.8174417784512038</v>
      </c>
      <c r="V24" s="42">
        <f>1.022551069*Deflactores!$S$5</f>
        <v>1.6060191253843676</v>
      </c>
    </row>
    <row r="25" spans="2:22" x14ac:dyDescent="0.2">
      <c r="B25" s="32"/>
      <c r="C25" s="77" t="s">
        <v>61</v>
      </c>
      <c r="D25" s="42">
        <f>9.29438763899999*Deflactores!$A$5</f>
        <v>33.743823886967199</v>
      </c>
      <c r="E25" s="42">
        <f>0.336541451*Deflactores!$B$5</f>
        <v>1.1350235828607216</v>
      </c>
      <c r="F25" s="42">
        <f>0.49049382*Deflactores!$C$5</f>
        <v>1.5461413819708623</v>
      </c>
      <c r="G25" s="42">
        <f>0.364800538*Deflactores!$D$5</f>
        <v>1.0798333931480415</v>
      </c>
      <c r="H25" s="42">
        <f>0.3259*Deflactores!$E$5</f>
        <v>0.9144197652312539</v>
      </c>
      <c r="I25" s="42">
        <f>0.511932971*Deflactores!$F$5</f>
        <v>1.3698862790831452</v>
      </c>
      <c r="J25" s="42">
        <f>0.4126*Deflactores!$G$5</f>
        <v>1.0567591150565423</v>
      </c>
      <c r="K25" s="42">
        <f>0.3796*Deflactores!$H$5</f>
        <v>0.91985792284752865</v>
      </c>
      <c r="L25" s="42">
        <f>0.2683*Deflactores!$I$5</f>
        <v>0.60381358144393382</v>
      </c>
      <c r="M25" s="42">
        <f>2.1793*Deflactores!$J$5</f>
        <v>4.808297755812851</v>
      </c>
      <c r="N25" s="42">
        <f>0.2241012*Deflactores!$K$5</f>
        <v>0.47924759424126379</v>
      </c>
      <c r="O25" s="42">
        <f>0.1821*Deflactores!$L$5</f>
        <v>0.37543538776196711</v>
      </c>
      <c r="P25" s="42">
        <f>0.1251*Deflactores!$M$5</f>
        <v>0.25177522921239109</v>
      </c>
      <c r="Q25" s="42">
        <f>0.1402*Deflactores!$N$5</f>
        <v>0.27679553148203223</v>
      </c>
      <c r="R25" s="42">
        <f>0.1444*Deflactores!$O$5</f>
        <v>0.27502175543444779</v>
      </c>
      <c r="S25" s="42">
        <f>0.129807037*Deflactores!$P$5</f>
        <v>0.23155216745631221</v>
      </c>
      <c r="T25" s="42">
        <f>0.121859886*Deflactores!$Q$5</f>
        <v>0.20555640104698103</v>
      </c>
      <c r="U25" s="42">
        <f>0.1266*Deflactores!$R$5</f>
        <v>0.20516106032271278</v>
      </c>
      <c r="V25" s="42">
        <f>0.123242292*Deflactores!$S$5</f>
        <v>0.19356439400309783</v>
      </c>
    </row>
    <row r="26" spans="2:22" x14ac:dyDescent="0.2">
      <c r="B26" s="34" t="s">
        <v>45</v>
      </c>
      <c r="C26" s="76" t="s">
        <v>46</v>
      </c>
      <c r="D26" s="41">
        <f>2338.370875789*Deflactores!$A$5</f>
        <v>8489.5937290094516</v>
      </c>
      <c r="E26" s="41">
        <f>2783.69515994516*Deflactores!$B$5</f>
        <v>9388.3224329267086</v>
      </c>
      <c r="F26" s="41">
        <f>2941.322953059*Deflactores!$C$5</f>
        <v>9271.6787654230993</v>
      </c>
      <c r="G26" s="41">
        <f>2691.98146157578*Deflactores!$D$5</f>
        <v>7968.4407591114859</v>
      </c>
      <c r="H26" s="41">
        <f>3211.59896679605*Deflactores!$E$5</f>
        <v>9011.1984450278651</v>
      </c>
      <c r="I26" s="41">
        <f>3434.71174400036*Deflactores!$F$5</f>
        <v>9190.9776420941507</v>
      </c>
      <c r="J26" s="41">
        <f>4232.65884881217*Deflactores!$G$5</f>
        <v>10840.767860899155</v>
      </c>
      <c r="K26" s="41">
        <f>4866.383832294*Deflactores!$H$5</f>
        <v>11792.364920318112</v>
      </c>
      <c r="L26" s="41">
        <f>5871.13275141252*Deflactores!$I$5</f>
        <v>13213.081229083751</v>
      </c>
      <c r="M26" s="41">
        <f>7491.189982078*Deflactores!$J$5</f>
        <v>16528.18426980836</v>
      </c>
      <c r="N26" s="41">
        <f>7481.620269971*Deflactores!$K$5</f>
        <v>15999.684586295283</v>
      </c>
      <c r="O26" s="41">
        <f>7823.13384257*Deflactores!$L$5</f>
        <v>16128.947214162741</v>
      </c>
      <c r="P26" s="41">
        <f>8232.081412312*Deflactores!$M$5</f>
        <v>16567.819220462974</v>
      </c>
      <c r="Q26" s="41">
        <f>8921.74412575093*Deflactores!$N$5</f>
        <v>17614.114886119318</v>
      </c>
      <c r="R26" s="41">
        <f>5905.84866196*Deflactores!$O$5</f>
        <v>11248.177744753628</v>
      </c>
      <c r="S26" s="41">
        <f>6359.92069832*Deflactores!$P$5</f>
        <v>11344.942898174764</v>
      </c>
      <c r="T26" s="41">
        <f>7733.01603822476*Deflactores!$Q$5</f>
        <v>13044.251051211924</v>
      </c>
      <c r="U26" s="41">
        <f>8716.370073791*Deflactores!$R$5</f>
        <v>14125.274300980444</v>
      </c>
      <c r="V26" s="41">
        <f>7670.596868813*Deflactores!$S$5</f>
        <v>12047.442565851079</v>
      </c>
    </row>
    <row r="27" spans="2:22" x14ac:dyDescent="0.2">
      <c r="B27" s="36" t="s">
        <v>47</v>
      </c>
      <c r="C27" s="78" t="s">
        <v>48</v>
      </c>
      <c r="D27" s="43">
        <f t="shared" ref="D27:V27" si="4">+D14+D26</f>
        <v>15033.511833455341</v>
      </c>
      <c r="E27" s="43">
        <f t="shared" si="4"/>
        <v>16063.222132372155</v>
      </c>
      <c r="F27" s="43">
        <f t="shared" si="4"/>
        <v>15920.670057249039</v>
      </c>
      <c r="G27" s="43">
        <f t="shared" si="4"/>
        <v>14479.003210899238</v>
      </c>
      <c r="H27" s="43">
        <f t="shared" si="4"/>
        <v>21653.077304645492</v>
      </c>
      <c r="I27" s="43">
        <f t="shared" si="4"/>
        <v>20768.525278131921</v>
      </c>
      <c r="J27" s="43">
        <f t="shared" si="4"/>
        <v>17851.352558518363</v>
      </c>
      <c r="K27" s="43">
        <f t="shared" si="4"/>
        <v>18512.220880823188</v>
      </c>
      <c r="L27" s="43">
        <f t="shared" si="4"/>
        <v>19822.987366308465</v>
      </c>
      <c r="M27" s="43">
        <f t="shared" si="4"/>
        <v>24738.862399692178</v>
      </c>
      <c r="N27" s="43">
        <f t="shared" si="4"/>
        <v>26958.059777150196</v>
      </c>
      <c r="O27" s="43">
        <f t="shared" si="4"/>
        <v>26578.607563158403</v>
      </c>
      <c r="P27" s="43">
        <f t="shared" si="4"/>
        <v>26658.777787785562</v>
      </c>
      <c r="Q27" s="43">
        <f t="shared" si="4"/>
        <v>28437.954061940545</v>
      </c>
      <c r="R27" s="43">
        <f t="shared" si="4"/>
        <v>21737.69237439819</v>
      </c>
      <c r="S27" s="43">
        <f t="shared" si="4"/>
        <v>21864.82780530092</v>
      </c>
      <c r="T27" s="43">
        <f t="shared" si="4"/>
        <v>22529.887542971104</v>
      </c>
      <c r="U27" s="43">
        <f t="shared" si="4"/>
        <v>23684.803012427681</v>
      </c>
      <c r="V27" s="43">
        <f t="shared" si="4"/>
        <v>21585.083460589885</v>
      </c>
    </row>
    <row r="28" spans="2:22" ht="15.75" customHeight="1" x14ac:dyDescent="0.2">
      <c r="B28" s="38" t="s">
        <v>49</v>
      </c>
      <c r="C28" s="79" t="s">
        <v>50</v>
      </c>
      <c r="D28" s="44">
        <f t="shared" ref="D28:V28" si="5">+D14+D19+D26</f>
        <v>15175.846390803752</v>
      </c>
      <c r="E28" s="44">
        <f t="shared" si="5"/>
        <v>16076.504505884794</v>
      </c>
      <c r="F28" s="44">
        <f t="shared" si="5"/>
        <v>15935.36631924315</v>
      </c>
      <c r="G28" s="44">
        <f t="shared" si="5"/>
        <v>14492.985926052643</v>
      </c>
      <c r="H28" s="44">
        <f t="shared" si="5"/>
        <v>21664.341586908449</v>
      </c>
      <c r="I28" s="44">
        <f t="shared" si="5"/>
        <v>20779.751415410406</v>
      </c>
      <c r="J28" s="44">
        <f t="shared" si="5"/>
        <v>17859.033143186884</v>
      </c>
      <c r="K28" s="44">
        <f t="shared" si="5"/>
        <v>18519.139520946937</v>
      </c>
      <c r="L28" s="44">
        <f t="shared" si="5"/>
        <v>19828.248398769672</v>
      </c>
      <c r="M28" s="44">
        <f t="shared" si="5"/>
        <v>24747.676104572252</v>
      </c>
      <c r="N28" s="44">
        <f t="shared" si="5"/>
        <v>26962.91317559309</v>
      </c>
      <c r="O28" s="44">
        <f t="shared" si="5"/>
        <v>26582.505411286373</v>
      </c>
      <c r="P28" s="44">
        <f t="shared" si="5"/>
        <v>26661.23355225147</v>
      </c>
      <c r="Q28" s="44">
        <f t="shared" si="5"/>
        <v>28440.674634282786</v>
      </c>
      <c r="R28" s="44">
        <f t="shared" si="5"/>
        <v>21739.698661913248</v>
      </c>
      <c r="S28" s="44">
        <f t="shared" si="5"/>
        <v>21867.630244207212</v>
      </c>
      <c r="T28" s="44">
        <f t="shared" si="5"/>
        <v>22532.059839148365</v>
      </c>
      <c r="U28" s="44">
        <f t="shared" si="5"/>
        <v>23687.30691728001</v>
      </c>
      <c r="V28" s="44">
        <f t="shared" si="5"/>
        <v>21587.10449876669</v>
      </c>
    </row>
    <row r="29" spans="2:22" x14ac:dyDescent="0.2">
      <c r="B29" s="1" t="s">
        <v>52</v>
      </c>
    </row>
    <row r="35" spans="1:22" x14ac:dyDescent="0.2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</row>
    <row r="36" spans="1:22" ht="15" customHeight="1" x14ac:dyDescent="0.2">
      <c r="A36" s="5"/>
      <c r="C36" s="131"/>
      <c r="D36" s="160" t="s">
        <v>84</v>
      </c>
      <c r="E36" s="158"/>
      <c r="F36" s="158"/>
      <c r="G36" s="158"/>
      <c r="H36" s="158"/>
      <c r="I36" s="158"/>
      <c r="J36" s="158"/>
      <c r="K36" s="158"/>
      <c r="L36" s="158"/>
      <c r="M36" s="158"/>
      <c r="N36" s="158"/>
      <c r="O36" s="158"/>
      <c r="P36" s="158"/>
      <c r="Q36" s="158"/>
      <c r="R36" s="158"/>
      <c r="S36" s="158"/>
      <c r="T36" s="158"/>
      <c r="U36" s="158"/>
      <c r="V36" s="158"/>
    </row>
    <row r="37" spans="1:22" ht="15.75" customHeight="1" x14ac:dyDescent="0.2">
      <c r="A37" s="5"/>
      <c r="B37" s="157"/>
      <c r="C37" s="158"/>
      <c r="D37" s="158"/>
      <c r="E37" s="158"/>
      <c r="F37" s="158"/>
      <c r="G37" s="158"/>
      <c r="H37" s="158"/>
      <c r="I37" s="158"/>
      <c r="J37" s="158"/>
      <c r="K37" s="158"/>
      <c r="L37" s="158"/>
      <c r="M37" s="158"/>
      <c r="N37" s="158"/>
      <c r="O37" s="158"/>
      <c r="P37" s="158"/>
      <c r="Q37" s="158"/>
      <c r="R37" s="158"/>
      <c r="S37" s="158"/>
      <c r="T37" s="158"/>
      <c r="U37" s="158"/>
      <c r="V37" s="158"/>
    </row>
    <row r="38" spans="1:22" x14ac:dyDescent="0.2">
      <c r="A38" s="5"/>
      <c r="B38" s="163"/>
      <c r="C38" s="155" t="s">
        <v>38</v>
      </c>
      <c r="D38" s="153">
        <v>2000</v>
      </c>
      <c r="E38" s="153">
        <v>2001</v>
      </c>
      <c r="F38" s="153">
        <v>2002</v>
      </c>
      <c r="G38" s="153">
        <v>2003</v>
      </c>
      <c r="H38" s="153">
        <v>2004</v>
      </c>
      <c r="I38" s="153">
        <v>2005</v>
      </c>
      <c r="J38" s="153">
        <v>2006</v>
      </c>
      <c r="K38" s="153">
        <v>2007</v>
      </c>
      <c r="L38" s="153">
        <v>2008</v>
      </c>
      <c r="M38" s="153">
        <v>2009</v>
      </c>
      <c r="N38" s="153">
        <v>2010</v>
      </c>
      <c r="O38" s="153">
        <v>2011</v>
      </c>
      <c r="P38" s="153">
        <v>2012</v>
      </c>
      <c r="Q38" s="153">
        <v>2013</v>
      </c>
      <c r="R38" s="153">
        <v>2014</v>
      </c>
      <c r="S38" s="153">
        <v>2015</v>
      </c>
      <c r="T38" s="153">
        <v>2016</v>
      </c>
      <c r="U38" s="153">
        <v>2017</v>
      </c>
      <c r="V38" s="153">
        <v>2018</v>
      </c>
    </row>
    <row r="39" spans="1:22" ht="12" customHeight="1" thickBot="1" x14ac:dyDescent="0.25">
      <c r="A39" s="5"/>
      <c r="B39" s="154"/>
      <c r="C39" s="156"/>
      <c r="D39" s="154"/>
      <c r="E39" s="154"/>
      <c r="F39" s="154"/>
      <c r="G39" s="154"/>
      <c r="H39" s="154"/>
      <c r="I39" s="154"/>
      <c r="J39" s="154"/>
      <c r="K39" s="154"/>
      <c r="L39" s="154"/>
      <c r="M39" s="154"/>
      <c r="N39" s="154"/>
      <c r="O39" s="154"/>
      <c r="P39" s="154"/>
      <c r="Q39" s="154"/>
      <c r="R39" s="154"/>
      <c r="S39" s="154"/>
      <c r="T39" s="154"/>
      <c r="U39" s="154"/>
      <c r="V39" s="154"/>
    </row>
    <row r="40" spans="1:22" x14ac:dyDescent="0.2">
      <c r="A40" s="5"/>
      <c r="B40" s="34" t="s">
        <v>39</v>
      </c>
      <c r="C40" s="76" t="s">
        <v>40</v>
      </c>
      <c r="D40" s="41">
        <f t="shared" ref="D40:V40" si="6">+D41+D42+D43+D44</f>
        <v>5390.9180936145767</v>
      </c>
      <c r="E40" s="41">
        <f t="shared" si="6"/>
        <v>5779.6489039588641</v>
      </c>
      <c r="F40" s="41">
        <f t="shared" si="6"/>
        <v>5729.6243081870707</v>
      </c>
      <c r="G40" s="41">
        <f t="shared" si="6"/>
        <v>5727.1013721726504</v>
      </c>
      <c r="H40" s="41">
        <f t="shared" si="6"/>
        <v>11922.532690891025</v>
      </c>
      <c r="I40" s="41">
        <f t="shared" si="6"/>
        <v>10914.059016513447</v>
      </c>
      <c r="J40" s="41">
        <f t="shared" si="6"/>
        <v>6130.0209576285033</v>
      </c>
      <c r="K40" s="41">
        <f t="shared" si="6"/>
        <v>5597.8080700915216</v>
      </c>
      <c r="L40" s="41">
        <f t="shared" si="6"/>
        <v>5637.7615899012162</v>
      </c>
      <c r="M40" s="41">
        <f t="shared" si="6"/>
        <v>6993.843275729877</v>
      </c>
      <c r="N40" s="41">
        <f t="shared" si="6"/>
        <v>9824.3056505985369</v>
      </c>
      <c r="O40" s="41">
        <f t="shared" si="6"/>
        <v>9052.981177490452</v>
      </c>
      <c r="P40" s="41">
        <f t="shared" si="6"/>
        <v>8867.5841777302321</v>
      </c>
      <c r="Q40" s="41">
        <f t="shared" si="6"/>
        <v>8971.2230900217928</v>
      </c>
      <c r="R40" s="41">
        <f t="shared" si="6"/>
        <v>9151.9970942964537</v>
      </c>
      <c r="S40" s="41">
        <f t="shared" si="6"/>
        <v>9327.4499233684055</v>
      </c>
      <c r="T40" s="41">
        <f t="shared" si="6"/>
        <v>8830.6208335488482</v>
      </c>
      <c r="U40" s="41">
        <f t="shared" si="6"/>
        <v>9065.8146018890602</v>
      </c>
      <c r="V40" s="41">
        <f t="shared" si="6"/>
        <v>8750.6243806878138</v>
      </c>
    </row>
    <row r="41" spans="1:22" x14ac:dyDescent="0.2">
      <c r="A41" s="5"/>
      <c r="B41" s="40"/>
      <c r="C41" s="77" t="s">
        <v>56</v>
      </c>
      <c r="D41" s="42">
        <f>434.569263028639*Deflactores!$A$5</f>
        <v>1577.7294048718272</v>
      </c>
      <c r="E41" s="42">
        <f>462.07347314219*Deflactores!$B$5</f>
        <v>1558.3943299476232</v>
      </c>
      <c r="F41" s="42">
        <f>491.842695283009*Deflactores!$C$5</f>
        <v>1550.3933252352604</v>
      </c>
      <c r="G41" s="42">
        <f>508.53503526843*Deflactores!$D$5</f>
        <v>1505.2968827270965</v>
      </c>
      <c r="H41" s="42">
        <f>519.03184188987*Deflactores!$E$5</f>
        <v>1456.3147438124583</v>
      </c>
      <c r="I41" s="42">
        <f>537.78496093108*Deflactores!$F$5</f>
        <v>1439.0638634540144</v>
      </c>
      <c r="J41" s="42">
        <f>569.52066911331*Deflactores!$G$5</f>
        <v>1458.6673734818014</v>
      </c>
      <c r="K41" s="42">
        <f>600.011112569499*Deflactores!$H$5</f>
        <v>1453.9646356523026</v>
      </c>
      <c r="L41" s="42">
        <f>714.006121764569*Deflactores!$I$5</f>
        <v>1606.8825700915315</v>
      </c>
      <c r="M41" s="42">
        <f>784.45454828535*Deflactores!$J$5</f>
        <v>1730.7810049362786</v>
      </c>
      <c r="N41" s="42">
        <f>793.888327805699*Deflactores!$K$5</f>
        <v>1697.7556175384204</v>
      </c>
      <c r="O41" s="42">
        <f>831.39335502828*Deflactores!$L$5</f>
        <v>1714.0828480382486</v>
      </c>
      <c r="P41" s="42">
        <f>937.192858249097*Deflactores!$M$5</f>
        <v>1886.1866243156062</v>
      </c>
      <c r="Q41" s="42">
        <f>1091.97526146894*Deflactores!$N$5</f>
        <v>2155.8764112947674</v>
      </c>
      <c r="R41" s="42">
        <f>1273.57369292303*Deflactores!$O$5</f>
        <v>2425.6265422633246</v>
      </c>
      <c r="S41" s="42">
        <f>1326.20300545046*Deflactores!$P$5</f>
        <v>2365.7051843740142</v>
      </c>
      <c r="T41" s="42">
        <f>1426.26511408405*Deflactores!$Q$5</f>
        <v>2405.8608079608671</v>
      </c>
      <c r="U41" s="42">
        <f>1547.4665631477*Deflactores!$R$5</f>
        <v>2507.7399755870961</v>
      </c>
      <c r="V41" s="42">
        <f>1809.86422450421*Deflactores!$S$5</f>
        <v>2842.573488036428</v>
      </c>
    </row>
    <row r="42" spans="1:22" x14ac:dyDescent="0.2">
      <c r="A42" s="5"/>
      <c r="B42" s="40"/>
      <c r="C42" s="77" t="s">
        <v>57</v>
      </c>
      <c r="D42" s="42">
        <f>242.2271596887*Deflactores!$A$5</f>
        <v>879.4200257882942</v>
      </c>
      <c r="E42" s="42">
        <f>251.02699244185*Deflactores!$B$5</f>
        <v>846.61653270194017</v>
      </c>
      <c r="F42" s="42">
        <f>262.793666146579*Deflactores!$C$5</f>
        <v>828.38181763240379</v>
      </c>
      <c r="G42" s="42">
        <f>227.7433330699*Deflactores!$D$5</f>
        <v>674.13512453678084</v>
      </c>
      <c r="H42" s="42">
        <f>249.29071860401*Deflactores!$E$5</f>
        <v>699.4671996937999</v>
      </c>
      <c r="I42" s="42">
        <f>250.34431546311*Deflactores!$F$5</f>
        <v>669.89872156403237</v>
      </c>
      <c r="J42" s="42">
        <f>274.1008536891*Deflactores!$G$5</f>
        <v>702.03241779141081</v>
      </c>
      <c r="K42" s="42">
        <f>271.485695263999*Deflactores!$H$5</f>
        <v>657.87214891559336</v>
      </c>
      <c r="L42" s="42">
        <f>295.69983782566*Deflactores!$I$5</f>
        <v>665.47736902684369</v>
      </c>
      <c r="M42" s="42">
        <f>342.193749986989*Deflactores!$J$5</f>
        <v>754.99905479540359</v>
      </c>
      <c r="N42" s="42">
        <f>358.02012536279*Deflactores!$K$5</f>
        <v>765.63750560047322</v>
      </c>
      <c r="O42" s="42">
        <f>380.145929409269*Deflactores!$L$5</f>
        <v>783.74648222900748</v>
      </c>
      <c r="P42" s="42">
        <f>508.27690454293*Deflactores!$M$5</f>
        <v>1022.9539100292633</v>
      </c>
      <c r="Q42" s="42">
        <f>562.750749762287*Deflactores!$N$5</f>
        <v>1111.0334726987473</v>
      </c>
      <c r="R42" s="42">
        <f>588.812518789808*Deflactores!$O$5</f>
        <v>1121.442192100774</v>
      </c>
      <c r="S42" s="42">
        <f>581.806818446066*Deflactores!$P$5</f>
        <v>1037.8376470610583</v>
      </c>
      <c r="T42" s="42">
        <f>678.63936884993*Deflactores!$Q$5</f>
        <v>1144.7464038296102</v>
      </c>
      <c r="U42" s="42">
        <f>660.8345022621*Deflactores!$R$5</f>
        <v>1070.9123790041438</v>
      </c>
      <c r="V42" s="42">
        <f>667.506875000535*Deflactores!$S$5</f>
        <v>1048.3865697043359</v>
      </c>
    </row>
    <row r="43" spans="1:22" x14ac:dyDescent="0.2">
      <c r="A43" s="5"/>
      <c r="B43" s="40"/>
      <c r="C43" s="77" t="s">
        <v>58</v>
      </c>
      <c r="D43" s="42">
        <f>446.70245230153*Deflactores!$A$5</f>
        <v>1621.7796659448336</v>
      </c>
      <c r="E43" s="42">
        <f>619.54559498521*Deflactores!$B$5</f>
        <v>2089.4866260194813</v>
      </c>
      <c r="F43" s="42">
        <f>590.15871040122*Deflactores!$C$5</f>
        <v>1860.3064235995555</v>
      </c>
      <c r="G43" s="42">
        <f>625.16338690624*Deflactores!$D$5</f>
        <v>1850.5244127542569</v>
      </c>
      <c r="H43" s="42">
        <f>2926.70814690073*Deflactores!$E$5</f>
        <v>8211.8434384454231</v>
      </c>
      <c r="I43" s="42">
        <f>2536.86536542491*Deflactores!$F$5</f>
        <v>6788.4220256187282</v>
      </c>
      <c r="J43" s="42">
        <f>682.82374729575*Deflactores!$G$5</f>
        <v>1748.8614128256152</v>
      </c>
      <c r="K43" s="42">
        <f>692.34615233723*Deflactores!$H$5</f>
        <v>1677.7136290316203</v>
      </c>
      <c r="L43" s="42">
        <f>668.60202703876*Deflactores!$I$5</f>
        <v>1504.6999049830322</v>
      </c>
      <c r="M43" s="42">
        <f>1007.43957823098*Deflactores!$J$5</f>
        <v>2222.7639439843369</v>
      </c>
      <c r="N43" s="42">
        <f>2103.32480113953*Deflactores!$K$5</f>
        <v>4498.0274574794976</v>
      </c>
      <c r="O43" s="42">
        <f>1870.15117088134*Deflactores!$L$5</f>
        <v>3855.6887974373017</v>
      </c>
      <c r="P43" s="42">
        <f>1605.89553657127*Deflactores!$M$5</f>
        <v>3232.0121247912653</v>
      </c>
      <c r="Q43" s="42">
        <f>1572.98460321365*Deflactores!$N$5</f>
        <v>3105.528596715948</v>
      </c>
      <c r="R43" s="42">
        <f>1542.13749801662*Deflactores!$O$5</f>
        <v>2937.1285445001249</v>
      </c>
      <c r="S43" s="42">
        <f>1858.04590128999*Deflactores!$P$5</f>
        <v>3314.4162721857242</v>
      </c>
      <c r="T43" s="42">
        <f>1539.75343159271*Deflactores!$Q$5</f>
        <v>2597.2958311969564</v>
      </c>
      <c r="U43" s="42">
        <f>1879.00796580775*Deflactores!$R$5</f>
        <v>3045.0179037910084</v>
      </c>
      <c r="V43" s="42">
        <f>1589.51859688868*Deflactores!$S$5</f>
        <v>2496.4985555722351</v>
      </c>
    </row>
    <row r="44" spans="1:22" x14ac:dyDescent="0.2">
      <c r="A44" s="5"/>
      <c r="B44" s="40"/>
      <c r="C44" s="77" t="s">
        <v>59</v>
      </c>
      <c r="D44" s="42">
        <f>361.37381338752*Deflactores!$A$5</f>
        <v>1311.9889970096219</v>
      </c>
      <c r="E44" s="42">
        <f>381.05527372942*Deflactores!$B$5</f>
        <v>1285.1514152898189</v>
      </c>
      <c r="F44" s="42">
        <f>472.85585379489*Deflactores!$C$5</f>
        <v>1490.5427417198512</v>
      </c>
      <c r="G44" s="42">
        <f>573.34714367837*Deflactores!$D$5</f>
        <v>1697.1449521545164</v>
      </c>
      <c r="H44" s="42">
        <f>554.17031789025*Deflactores!$E$5</f>
        <v>1554.9073089393426</v>
      </c>
      <c r="I44" s="42">
        <f>753.64074807077*Deflactores!$F$5</f>
        <v>2016.6744058766733</v>
      </c>
      <c r="J44" s="42">
        <f>866.95414428228*Deflactores!$G$5</f>
        <v>2220.4597535296757</v>
      </c>
      <c r="K44" s="42">
        <f>746.21807276442*Deflactores!$H$5</f>
        <v>1808.2576564920057</v>
      </c>
      <c r="L44" s="42">
        <f>826.78875358229*Deflactores!$I$5</f>
        <v>1860.7017457998086</v>
      </c>
      <c r="M44" s="42">
        <f>1035.78292286058*Deflactores!$J$5</f>
        <v>2285.2992720138582</v>
      </c>
      <c r="N44" s="42">
        <f>1338.71507620266*Deflactores!$K$5</f>
        <v>2862.8850699801469</v>
      </c>
      <c r="O44" s="42">
        <f>1309.33906975673*Deflactores!$L$5</f>
        <v>2699.4630497858934</v>
      </c>
      <c r="P44" s="42">
        <f>1354.68681348473*Deflactores!$M$5</f>
        <v>2726.4315185940977</v>
      </c>
      <c r="Q44" s="42">
        <f>1316.31316544299*Deflactores!$N$5</f>
        <v>2598.7846093123303</v>
      </c>
      <c r="R44" s="42">
        <f>1400.72661793563*Deflactores!$O$5</f>
        <v>2667.7998154322299</v>
      </c>
      <c r="S44" s="42">
        <f>1462.86806602252*Deflactores!$P$5</f>
        <v>2609.4908197476084</v>
      </c>
      <c r="T44" s="42">
        <f>1590.39408387612*Deflactores!$Q$5</f>
        <v>2682.7177905614135</v>
      </c>
      <c r="U44" s="42">
        <f>1506.98906216237*Deflactores!$R$5</f>
        <v>2442.1443435068118</v>
      </c>
      <c r="V44" s="42">
        <f>1504.6257192454*Deflactores!$S$5</f>
        <v>2363.165767374815</v>
      </c>
    </row>
    <row r="45" spans="1:22" x14ac:dyDescent="0.2">
      <c r="A45" s="5"/>
      <c r="B45" s="34" t="s">
        <v>41</v>
      </c>
      <c r="C45" s="76" t="s">
        <v>42</v>
      </c>
      <c r="D45" s="41">
        <f t="shared" ref="D45:V45" si="7">+D46+D49</f>
        <v>131.22018761761035</v>
      </c>
      <c r="E45" s="41">
        <f t="shared" si="7"/>
        <v>13.203828596142113</v>
      </c>
      <c r="F45" s="41">
        <f t="shared" si="7"/>
        <v>13.80135043511434</v>
      </c>
      <c r="G45" s="41">
        <f t="shared" si="7"/>
        <v>13.864358126885097</v>
      </c>
      <c r="H45" s="41">
        <f t="shared" si="7"/>
        <v>10.980431406220621</v>
      </c>
      <c r="I45" s="41">
        <f t="shared" si="7"/>
        <v>10.360993349794947</v>
      </c>
      <c r="J45" s="41">
        <f t="shared" si="7"/>
        <v>7.606793225008321</v>
      </c>
      <c r="K45" s="41">
        <f t="shared" si="7"/>
        <v>4.4954106115068004</v>
      </c>
      <c r="L45" s="41">
        <f t="shared" si="7"/>
        <v>5.1705363159970661</v>
      </c>
      <c r="M45" s="41">
        <f t="shared" si="7"/>
        <v>7.3209892121256743</v>
      </c>
      <c r="N45" s="41">
        <f t="shared" si="7"/>
        <v>4.6842101835191343</v>
      </c>
      <c r="O45" s="41">
        <f t="shared" si="7"/>
        <v>2.4331746136848524</v>
      </c>
      <c r="P45" s="41">
        <f t="shared" si="7"/>
        <v>2.1493979568965571</v>
      </c>
      <c r="Q45" s="41">
        <f t="shared" si="7"/>
        <v>1.9699156819047647</v>
      </c>
      <c r="R45" s="41">
        <f t="shared" si="7"/>
        <v>1.9912539646935896</v>
      </c>
      <c r="S45" s="41">
        <f t="shared" si="7"/>
        <v>2.8024388028299843</v>
      </c>
      <c r="T45" s="41">
        <f t="shared" si="7"/>
        <v>2.1704442444670931</v>
      </c>
      <c r="U45" s="41">
        <f t="shared" si="7"/>
        <v>2.3943565293803752</v>
      </c>
      <c r="V45" s="41">
        <f t="shared" si="7"/>
        <v>1.9854771211681637</v>
      </c>
    </row>
    <row r="46" spans="1:22" x14ac:dyDescent="0.2">
      <c r="A46" s="5"/>
      <c r="B46" s="34"/>
      <c r="C46" s="76" t="s">
        <v>43</v>
      </c>
      <c r="D46" s="41">
        <f t="shared" ref="D46:V46" si="8">+D47+D48</f>
        <v>16.68453096278688</v>
      </c>
      <c r="E46" s="41">
        <f t="shared" si="8"/>
        <v>11.843532807934203</v>
      </c>
      <c r="F46" s="41">
        <f t="shared" si="8"/>
        <v>11.151633987245123</v>
      </c>
      <c r="G46" s="41">
        <f t="shared" si="8"/>
        <v>10.248290647406511</v>
      </c>
      <c r="H46" s="41">
        <f t="shared" si="8"/>
        <v>7.62409841091646</v>
      </c>
      <c r="I46" s="41">
        <f t="shared" si="8"/>
        <v>5.1322909028189727</v>
      </c>
      <c r="J46" s="41">
        <f t="shared" si="8"/>
        <v>3.3884649106648279</v>
      </c>
      <c r="K46" s="41">
        <f t="shared" si="8"/>
        <v>3.0787906386494108</v>
      </c>
      <c r="L46" s="41">
        <f t="shared" si="8"/>
        <v>2.5196529109176415</v>
      </c>
      <c r="M46" s="41">
        <f t="shared" si="8"/>
        <v>2.2129686790935952</v>
      </c>
      <c r="N46" s="41">
        <f t="shared" si="8"/>
        <v>2.296675675665663</v>
      </c>
      <c r="O46" s="41">
        <f t="shared" si="8"/>
        <v>1.1579176765548298</v>
      </c>
      <c r="P46" s="41">
        <f t="shared" si="8"/>
        <v>0.29618768328870781</v>
      </c>
      <c r="Q46" s="41">
        <f t="shared" si="8"/>
        <v>0.29409917314064021</v>
      </c>
      <c r="R46" s="41">
        <f t="shared" si="8"/>
        <v>0.30626957457746129</v>
      </c>
      <c r="S46" s="41">
        <f t="shared" si="8"/>
        <v>0.33996365835050146</v>
      </c>
      <c r="T46" s="41">
        <f t="shared" si="8"/>
        <v>0.38875738139628213</v>
      </c>
      <c r="U46" s="41">
        <f t="shared" si="8"/>
        <v>0.39595511750279438</v>
      </c>
      <c r="V46" s="41">
        <f t="shared" si="8"/>
        <v>0.18653366071165434</v>
      </c>
    </row>
    <row r="47" spans="1:22" x14ac:dyDescent="0.2">
      <c r="A47" s="5"/>
      <c r="B47" s="32"/>
      <c r="C47" s="77" t="s">
        <v>60</v>
      </c>
      <c r="D47" s="42">
        <f>3.65824905912*Deflactores!$A$5</f>
        <v>13.281489516063521</v>
      </c>
      <c r="E47" s="42">
        <f>2.91486056692*Deflactores!$B$5</f>
        <v>9.8306923987350743</v>
      </c>
      <c r="F47" s="42">
        <f>2.97582357547999*Deflactores!$C$5</f>
        <v>9.3804321030876689</v>
      </c>
      <c r="G47" s="42">
        <f>3.0890682435*Deflactores!$D$5</f>
        <v>9.1438435407254381</v>
      </c>
      <c r="H47" s="42">
        <f>2.40092111228*Deflactores!$E$5</f>
        <v>6.7365747770169939</v>
      </c>
      <c r="I47" s="42">
        <f>1.69820650503*Deflactores!$F$5</f>
        <v>4.5442468488522874</v>
      </c>
      <c r="J47" s="42">
        <f>1.15288949445999*Deflactores!$G$5</f>
        <v>2.9528029130478024</v>
      </c>
      <c r="K47" s="42">
        <f>1.12667958094*Deflactores!$H$5</f>
        <v>2.7302032113756387</v>
      </c>
      <c r="L47" s="42">
        <f>1.01209124926999*Deflactores!$I$5</f>
        <v>2.2777280729399099</v>
      </c>
      <c r="M47" s="42">
        <f>0.91639999937*Deflactores!$J$5</f>
        <v>2.0218988025502083</v>
      </c>
      <c r="N47" s="42">
        <f>1.0035663036*Deflactores!$K$5</f>
        <v>2.1461586848347878</v>
      </c>
      <c r="O47" s="42">
        <f>0.531089072*Deflactores!$L$5</f>
        <v>1.0949458082507593</v>
      </c>
      <c r="P47" s="42">
        <f>0.121940248*Deflactores!$M$5</f>
        <v>0.24541593837262843</v>
      </c>
      <c r="Q47" s="42">
        <f>0.127142019*Deflactores!$N$5</f>
        <v>0.25101528332955525</v>
      </c>
      <c r="R47" s="42">
        <f>0.14275677018*Deflactores!$O$5</f>
        <v>0.271892088192906</v>
      </c>
      <c r="S47" s="42">
        <f>0.170141165*Deflactores!$P$5</f>
        <v>0.30350092290676084</v>
      </c>
      <c r="T47" s="42">
        <f>0.213840013*Deflactores!$Q$5</f>
        <v>0.36071085338221665</v>
      </c>
      <c r="U47" s="42">
        <f>0.23542695539*Deflactores!$R$5</f>
        <v>0.38152009317820224</v>
      </c>
      <c r="V47" s="42">
        <f>0.11701085069*Deflactores!$S$5</f>
        <v>0.18377728974398505</v>
      </c>
    </row>
    <row r="48" spans="1:22" x14ac:dyDescent="0.2">
      <c r="A48" s="5"/>
      <c r="B48" s="32"/>
      <c r="C48" s="77" t="s">
        <v>61</v>
      </c>
      <c r="D48" s="42">
        <f>0.93733260532*Deflactores!$A$5</f>
        <v>3.4030414467233574</v>
      </c>
      <c r="E48" s="42">
        <f>0.59681952179*Deflactores!$B$5</f>
        <v>2.0128404091991281</v>
      </c>
      <c r="F48" s="42">
        <f>0.561891420979999*Deflactores!$C$5</f>
        <v>1.7712018841574542</v>
      </c>
      <c r="G48" s="42">
        <f>0.37311579848*Deflactores!$D$5</f>
        <v>1.1044471066810739</v>
      </c>
      <c r="H48" s="42">
        <f>0.316314195389999*Deflactores!$E$5</f>
        <v>0.88752363389946565</v>
      </c>
      <c r="I48" s="42">
        <f>0.21975483967*Deflactores!$F$5</f>
        <v>0.58804405396668513</v>
      </c>
      <c r="J48" s="42">
        <f>0.17009944618*Deflactores!$G$5</f>
        <v>0.43566199761702556</v>
      </c>
      <c r="K48" s="42">
        <f>0.14385241906*Deflactores!$H$5</f>
        <v>0.34858742727377195</v>
      </c>
      <c r="L48" s="42">
        <f>0.10749747277*Deflactores!$I$5</f>
        <v>0.24192483797773184</v>
      </c>
      <c r="M48" s="42">
        <f>0.0865999992299999*Deflactores!$J$5</f>
        <v>0.19106987654338692</v>
      </c>
      <c r="N48" s="42">
        <f>0.07038332309*Deflactores!$K$5</f>
        <v>0.15051699083087505</v>
      </c>
      <c r="O48" s="42">
        <f>0.0305436769999999*Deflactores!$L$5</f>
        <v>6.2971868304070505E-2</v>
      </c>
      <c r="P48" s="42">
        <f>0.025227046*Deflactores!$M$5</f>
        <v>5.0771744916079407E-2</v>
      </c>
      <c r="Q48" s="42">
        <f>0.021822467*Deflactores!$N$5</f>
        <v>4.3083889811084956E-2</v>
      </c>
      <c r="R48" s="42">
        <f>0.01804987764*Deflactores!$O$5</f>
        <v>3.4377486384555317E-2</v>
      </c>
      <c r="S48" s="42">
        <f>0.020440835*Deflactores!$P$5</f>
        <v>3.6462735443740603E-2</v>
      </c>
      <c r="T48" s="42">
        <f>0.01662680748*Deflactores!$Q$5</f>
        <v>2.8046528014065462E-2</v>
      </c>
      <c r="U48" s="42">
        <f>0.00890750943*Deflactores!$R$5</f>
        <v>1.4435024324592125E-2</v>
      </c>
      <c r="V48" s="42">
        <f>0.00175497914999999*Deflactores!$S$5</f>
        <v>2.7563709676692782E-3</v>
      </c>
    </row>
    <row r="49" spans="1:22" x14ac:dyDescent="0.2">
      <c r="A49" s="5"/>
      <c r="B49" s="34"/>
      <c r="C49" s="76" t="s">
        <v>44</v>
      </c>
      <c r="D49" s="41">
        <f t="shared" ref="D49:V49" si="9">+D50+D51</f>
        <v>114.53565665482348</v>
      </c>
      <c r="E49" s="41">
        <f t="shared" si="9"/>
        <v>1.3602957882079105</v>
      </c>
      <c r="F49" s="41">
        <f t="shared" si="9"/>
        <v>2.6497164478692161</v>
      </c>
      <c r="G49" s="41">
        <f t="shared" si="9"/>
        <v>3.6160674794785859</v>
      </c>
      <c r="H49" s="41">
        <f t="shared" si="9"/>
        <v>3.3563329953041605</v>
      </c>
      <c r="I49" s="41">
        <f t="shared" si="9"/>
        <v>5.2287024469759746</v>
      </c>
      <c r="J49" s="41">
        <f t="shared" si="9"/>
        <v>4.2183283143434931</v>
      </c>
      <c r="K49" s="41">
        <f t="shared" si="9"/>
        <v>1.4166199728573901</v>
      </c>
      <c r="L49" s="41">
        <f t="shared" si="9"/>
        <v>2.6508834050794245</v>
      </c>
      <c r="M49" s="41">
        <f t="shared" si="9"/>
        <v>5.1080205330320787</v>
      </c>
      <c r="N49" s="41">
        <f t="shared" si="9"/>
        <v>2.3875345078534713</v>
      </c>
      <c r="O49" s="41">
        <f t="shared" si="9"/>
        <v>1.2752569371300229</v>
      </c>
      <c r="P49" s="41">
        <f t="shared" si="9"/>
        <v>1.8532102736078495</v>
      </c>
      <c r="Q49" s="41">
        <f t="shared" si="9"/>
        <v>1.6758165087641246</v>
      </c>
      <c r="R49" s="41">
        <f t="shared" si="9"/>
        <v>1.6849843901161283</v>
      </c>
      <c r="S49" s="41">
        <f t="shared" si="9"/>
        <v>2.462475144479483</v>
      </c>
      <c r="T49" s="41">
        <f t="shared" si="9"/>
        <v>1.7816868630708109</v>
      </c>
      <c r="U49" s="41">
        <f t="shared" si="9"/>
        <v>1.9984014118775808</v>
      </c>
      <c r="V49" s="41">
        <f t="shared" si="9"/>
        <v>1.7989434604565093</v>
      </c>
    </row>
    <row r="50" spans="1:22" x14ac:dyDescent="0.2">
      <c r="A50" s="5"/>
      <c r="B50" s="32"/>
      <c r="C50" s="77" t="s">
        <v>60</v>
      </c>
      <c r="D50" s="42">
        <f>22.343096502*Deflactores!$A$5</f>
        <v>81.11793296520176</v>
      </c>
      <c r="E50" s="42">
        <f>0.067668509*Deflactores!$B$5</f>
        <v>0.22821959465558669</v>
      </c>
      <c r="F50" s="42">
        <f>0.51002678493*Deflactores!$C$5</f>
        <v>1.6077134633293155</v>
      </c>
      <c r="G50" s="42">
        <f>0.87329680818*Deflactores!$D$5</f>
        <v>2.5850155286842358</v>
      </c>
      <c r="H50" s="42">
        <f>0.8703*Deflactores!$E$5</f>
        <v>2.4419132300729065</v>
      </c>
      <c r="I50" s="42">
        <f>1.442057823*Deflactores!$F$5</f>
        <v>3.8588161678928294</v>
      </c>
      <c r="J50" s="42">
        <f>1.2344*Deflactores!$G$5</f>
        <v>3.1615691992869506</v>
      </c>
      <c r="K50" s="42">
        <f>0.205*Deflactores!$H$5</f>
        <v>0.49676205000986134</v>
      </c>
      <c r="L50" s="42">
        <f>0.9096*Deflactores!$I$5</f>
        <v>2.0470698236354909</v>
      </c>
      <c r="M50" s="42">
        <f>0.8124*Deflactores!$J$5</f>
        <v>1.7924384420788142</v>
      </c>
      <c r="N50" s="42">
        <f>0.89234439156*Deflactores!$K$5</f>
        <v>1.9083070634597865</v>
      </c>
      <c r="O50" s="42">
        <f>0.549967381*Deflactores!$L$5</f>
        <v>1.1338671990234404</v>
      </c>
      <c r="P50" s="42">
        <f>0.795709454*Deflactores!$M$5</f>
        <v>1.6014382907059679</v>
      </c>
      <c r="Q50" s="42">
        <f>0.708641824*Deflactores!$N$5</f>
        <v>1.3990648381203763</v>
      </c>
      <c r="R50" s="42">
        <f>0.740299999*Deflactores!$O$5</f>
        <v>1.4099626403954288</v>
      </c>
      <c r="S50" s="42">
        <f>1.250644745*Deflactores!$P$5</f>
        <v>2.2309229770231709</v>
      </c>
      <c r="T50" s="42">
        <f>0.9343812038*Deflactores!$Q$5</f>
        <v>1.5761383320108613</v>
      </c>
      <c r="U50" s="42">
        <f>1.1078660112*Deflactores!$R$5</f>
        <v>1.7953472792518674</v>
      </c>
      <c r="V50" s="42">
        <f>1.022488845*Deflactores!$S$5</f>
        <v>1.6059213963446284</v>
      </c>
    </row>
    <row r="51" spans="1:22" x14ac:dyDescent="0.2">
      <c r="A51" s="5"/>
      <c r="B51" s="32"/>
      <c r="C51" s="77" t="s">
        <v>61</v>
      </c>
      <c r="D51" s="42">
        <f>9.204566709*Deflactores!$A$5</f>
        <v>33.417723689621724</v>
      </c>
      <c r="E51" s="42">
        <f>0.335667532*Deflactores!$B$5</f>
        <v>1.1320761935523238</v>
      </c>
      <c r="F51" s="42">
        <f>0.33056228253*Deflactores!$C$5</f>
        <v>1.0420029845399006</v>
      </c>
      <c r="G51" s="42">
        <f>0.34832068423*Deflactores!$D$5</f>
        <v>1.0310519507943499</v>
      </c>
      <c r="H51" s="42">
        <f>0.3259*Deflactores!$E$5</f>
        <v>0.9144197652312539</v>
      </c>
      <c r="I51" s="42">
        <f>0.511932971*Deflactores!$F$5</f>
        <v>1.3698862790831452</v>
      </c>
      <c r="J51" s="42">
        <f>0.4126*Deflactores!$G$5</f>
        <v>1.0567591150565423</v>
      </c>
      <c r="K51" s="42">
        <f>0.3796*Deflactores!$H$5</f>
        <v>0.91985792284752865</v>
      </c>
      <c r="L51" s="42">
        <f>0.2683*Deflactores!$I$5</f>
        <v>0.60381358144393382</v>
      </c>
      <c r="M51" s="42">
        <f>1.502745549*Deflactores!$J$5</f>
        <v>3.3155820909532645</v>
      </c>
      <c r="N51" s="42">
        <f>0.22409177772*Deflactores!$K$5</f>
        <v>0.47922744439368481</v>
      </c>
      <c r="O51" s="42">
        <f>0.068579234*Deflactores!$L$5</f>
        <v>0.14138973810658254</v>
      </c>
      <c r="P51" s="42">
        <f>0.125098387*Deflactores!$M$5</f>
        <v>0.25177198290188174</v>
      </c>
      <c r="Q51" s="42">
        <f>0.140177784*Deflactores!$N$5</f>
        <v>0.27675167064374834</v>
      </c>
      <c r="R51" s="42">
        <f>0.144399997*Deflactores!$O$5</f>
        <v>0.27502174972069943</v>
      </c>
      <c r="S51" s="42">
        <f>0.129807037*Deflactores!$P$5</f>
        <v>0.23155216745631221</v>
      </c>
      <c r="T51" s="42">
        <f>0.12185522044*Deflactores!$Q$5</f>
        <v>0.20554853105994961</v>
      </c>
      <c r="U51" s="42">
        <f>0.12529986514*Deflactores!$R$5</f>
        <v>0.20305413262571342</v>
      </c>
      <c r="V51" s="42">
        <f>0.122896991*Deflactores!$S$5</f>
        <v>0.19302206411188105</v>
      </c>
    </row>
    <row r="52" spans="1:22" x14ac:dyDescent="0.2">
      <c r="A52" s="5"/>
      <c r="B52" s="34" t="s">
        <v>45</v>
      </c>
      <c r="C52" s="76" t="s">
        <v>46</v>
      </c>
      <c r="D52" s="41">
        <f>1816.90084432714*Deflactores!$A$5</f>
        <v>6596.3659460251929</v>
      </c>
      <c r="E52" s="41">
        <f>2444.42400977596*Deflactores!$B$5</f>
        <v>8244.0926351348062</v>
      </c>
      <c r="F52" s="41">
        <f>2611.04680600357*Deflactores!$C$5</f>
        <v>8230.5777410711635</v>
      </c>
      <c r="G52" s="41">
        <f>2593.3764388676*Deflactores!$D$5</f>
        <v>7676.5634586114138</v>
      </c>
      <c r="H52" s="41">
        <f>3028.58485493613*Deflactores!$E$5</f>
        <v>8497.6920897012187</v>
      </c>
      <c r="I52" s="41">
        <f>3282.95946242233*Deflactores!$F$5</f>
        <v>8784.9022765101963</v>
      </c>
      <c r="J52" s="41">
        <f>3997.02975798642*Deflactores!$G$5</f>
        <v>10237.270067630621</v>
      </c>
      <c r="K52" s="41">
        <f>4579.31653701105*Deflactores!$H$5</f>
        <v>11096.734978388626</v>
      </c>
      <c r="L52" s="41">
        <f>5668.10436126272*Deflactores!$I$5</f>
        <v>12756.162483682534</v>
      </c>
      <c r="M52" s="41">
        <f>6985.85880736266*Deflactores!$J$5</f>
        <v>15413.247017788883</v>
      </c>
      <c r="N52" s="41">
        <f>6771.62051244038*Deflactores!$K$5</f>
        <v>14481.327363270906</v>
      </c>
      <c r="O52" s="41">
        <f>6770.34379832602*Deflactores!$L$5</f>
        <v>13958.411033532995</v>
      </c>
      <c r="P52" s="41">
        <f>7612.25867998777*Deflactores!$M$5</f>
        <v>15320.369096546239</v>
      </c>
      <c r="Q52" s="41">
        <f>8537.56862075744*Deflactores!$N$5</f>
        <v>16855.640827010535</v>
      </c>
      <c r="R52" s="41">
        <f>5662.63794292863*Deflactores!$O$5</f>
        <v>10784.962794002369</v>
      </c>
      <c r="S52" s="41">
        <f>6108.66604407169*Deflactores!$P$5</f>
        <v>10896.750249153105</v>
      </c>
      <c r="T52" s="41">
        <f>7604.45771518405*Deflactores!$Q$5</f>
        <v>12827.395553670398</v>
      </c>
      <c r="U52" s="41">
        <f>8576.41154759714*Deflactores!$R$5</f>
        <v>13898.46514114524</v>
      </c>
      <c r="V52" s="41">
        <f>7312.07314657487*Deflactores!$S$5</f>
        <v>11484.345061702434</v>
      </c>
    </row>
    <row r="53" spans="1:22" x14ac:dyDescent="0.2">
      <c r="A53" s="5"/>
      <c r="B53" s="36" t="s">
        <v>47</v>
      </c>
      <c r="C53" s="78" t="s">
        <v>48</v>
      </c>
      <c r="D53" s="43">
        <f t="shared" ref="D53:V53" si="10">+D40+D52</f>
        <v>11987.28403963977</v>
      </c>
      <c r="E53" s="43">
        <f t="shared" si="10"/>
        <v>14023.741539093669</v>
      </c>
      <c r="F53" s="43">
        <f t="shared" si="10"/>
        <v>13960.202049258234</v>
      </c>
      <c r="G53" s="43">
        <f t="shared" si="10"/>
        <v>13403.664830784064</v>
      </c>
      <c r="H53" s="43">
        <f t="shared" si="10"/>
        <v>20420.224780592245</v>
      </c>
      <c r="I53" s="43">
        <f t="shared" si="10"/>
        <v>19698.961293023644</v>
      </c>
      <c r="J53" s="43">
        <f t="shared" si="10"/>
        <v>16367.291025259125</v>
      </c>
      <c r="K53" s="43">
        <f t="shared" si="10"/>
        <v>16694.543048480147</v>
      </c>
      <c r="L53" s="43">
        <f t="shared" si="10"/>
        <v>18393.924073583752</v>
      </c>
      <c r="M53" s="43">
        <f t="shared" si="10"/>
        <v>22407.090293518759</v>
      </c>
      <c r="N53" s="43">
        <f t="shared" si="10"/>
        <v>24305.633013869443</v>
      </c>
      <c r="O53" s="43">
        <f t="shared" si="10"/>
        <v>23011.392211023449</v>
      </c>
      <c r="P53" s="43">
        <f t="shared" si="10"/>
        <v>24187.953274276471</v>
      </c>
      <c r="Q53" s="43">
        <f t="shared" si="10"/>
        <v>25826.863917032329</v>
      </c>
      <c r="R53" s="43">
        <f t="shared" si="10"/>
        <v>19936.959888298821</v>
      </c>
      <c r="S53" s="43">
        <f t="shared" si="10"/>
        <v>20224.200172521509</v>
      </c>
      <c r="T53" s="43">
        <f t="shared" si="10"/>
        <v>21658.016387219246</v>
      </c>
      <c r="U53" s="43">
        <f t="shared" si="10"/>
        <v>22964.279743034298</v>
      </c>
      <c r="V53" s="43">
        <f t="shared" si="10"/>
        <v>20234.969442390247</v>
      </c>
    </row>
    <row r="54" spans="1:22" x14ac:dyDescent="0.2">
      <c r="A54" s="5"/>
      <c r="B54" s="38" t="s">
        <v>49</v>
      </c>
      <c r="C54" s="79" t="s">
        <v>63</v>
      </c>
      <c r="D54" s="44">
        <f t="shared" ref="D54:V54" si="11">+D40+D45+D52</f>
        <v>12118.504227257381</v>
      </c>
      <c r="E54" s="44">
        <f t="shared" si="11"/>
        <v>14036.945367689812</v>
      </c>
      <c r="F54" s="44">
        <f t="shared" si="11"/>
        <v>13974.003399693349</v>
      </c>
      <c r="G54" s="44">
        <f t="shared" si="11"/>
        <v>13417.52918891095</v>
      </c>
      <c r="H54" s="44">
        <f t="shared" si="11"/>
        <v>20431.205211998466</v>
      </c>
      <c r="I54" s="44">
        <f t="shared" si="11"/>
        <v>19709.322286373441</v>
      </c>
      <c r="J54" s="44">
        <f t="shared" si="11"/>
        <v>16374.897818484133</v>
      </c>
      <c r="K54" s="44">
        <f t="shared" si="11"/>
        <v>16699.038459091655</v>
      </c>
      <c r="L54" s="44">
        <f t="shared" si="11"/>
        <v>18399.094609899748</v>
      </c>
      <c r="M54" s="44">
        <f t="shared" si="11"/>
        <v>22414.411282730885</v>
      </c>
      <c r="N54" s="44">
        <f t="shared" si="11"/>
        <v>24310.31722405296</v>
      </c>
      <c r="O54" s="44">
        <f t="shared" si="11"/>
        <v>23013.82538563713</v>
      </c>
      <c r="P54" s="44">
        <f t="shared" si="11"/>
        <v>24190.10267223337</v>
      </c>
      <c r="Q54" s="44">
        <f t="shared" si="11"/>
        <v>25828.833832714234</v>
      </c>
      <c r="R54" s="44">
        <f t="shared" si="11"/>
        <v>19938.951142263519</v>
      </c>
      <c r="S54" s="44">
        <f t="shared" si="11"/>
        <v>20227.00261132434</v>
      </c>
      <c r="T54" s="44">
        <f t="shared" si="11"/>
        <v>21660.186831463714</v>
      </c>
      <c r="U54" s="44">
        <f t="shared" si="11"/>
        <v>22966.674099563679</v>
      </c>
      <c r="V54" s="44">
        <f t="shared" si="11"/>
        <v>20236.954919511416</v>
      </c>
    </row>
    <row r="55" spans="1:22" x14ac:dyDescent="0.2">
      <c r="A55" s="5"/>
      <c r="B55" s="36" t="s">
        <v>64</v>
      </c>
      <c r="C55" s="78" t="s">
        <v>65</v>
      </c>
      <c r="D55" s="43">
        <f t="shared" ref="D55:V55" si="12">+D27</f>
        <v>15033.511833455341</v>
      </c>
      <c r="E55" s="43">
        <f t="shared" si="12"/>
        <v>16063.222132372155</v>
      </c>
      <c r="F55" s="43">
        <f t="shared" si="12"/>
        <v>15920.670057249039</v>
      </c>
      <c r="G55" s="43">
        <f t="shared" si="12"/>
        <v>14479.003210899238</v>
      </c>
      <c r="H55" s="43">
        <f t="shared" si="12"/>
        <v>21653.077304645492</v>
      </c>
      <c r="I55" s="43">
        <f t="shared" si="12"/>
        <v>20768.525278131921</v>
      </c>
      <c r="J55" s="43">
        <f t="shared" si="12"/>
        <v>17851.352558518363</v>
      </c>
      <c r="K55" s="43">
        <f t="shared" si="12"/>
        <v>18512.220880823188</v>
      </c>
      <c r="L55" s="43">
        <f t="shared" si="12"/>
        <v>19822.987366308465</v>
      </c>
      <c r="M55" s="43">
        <f t="shared" si="12"/>
        <v>24738.862399692178</v>
      </c>
      <c r="N55" s="43">
        <f t="shared" si="12"/>
        <v>26958.059777150196</v>
      </c>
      <c r="O55" s="43">
        <f t="shared" si="12"/>
        <v>26578.607563158403</v>
      </c>
      <c r="P55" s="43">
        <f t="shared" si="12"/>
        <v>26658.777787785562</v>
      </c>
      <c r="Q55" s="43">
        <f t="shared" si="12"/>
        <v>28437.954061940545</v>
      </c>
      <c r="R55" s="43">
        <f t="shared" si="12"/>
        <v>21737.69237439819</v>
      </c>
      <c r="S55" s="43">
        <f t="shared" si="12"/>
        <v>21864.82780530092</v>
      </c>
      <c r="T55" s="43">
        <f t="shared" si="12"/>
        <v>22529.887542971104</v>
      </c>
      <c r="U55" s="43">
        <f t="shared" si="12"/>
        <v>23684.803012427681</v>
      </c>
      <c r="V55" s="43">
        <f t="shared" si="12"/>
        <v>21585.083460589885</v>
      </c>
    </row>
    <row r="56" spans="1:22" x14ac:dyDescent="0.2">
      <c r="A56" s="5"/>
      <c r="B56" s="38" t="s">
        <v>66</v>
      </c>
      <c r="C56" s="66" t="s">
        <v>77</v>
      </c>
      <c r="D56" s="45">
        <f t="shared" ref="D56:V56" si="13">+D53/D$27*100</f>
        <v>79.737084537782152</v>
      </c>
      <c r="E56" s="45">
        <f t="shared" si="13"/>
        <v>87.303415364167023</v>
      </c>
      <c r="F56" s="45">
        <f t="shared" si="13"/>
        <v>87.686020745727603</v>
      </c>
      <c r="G56" s="45">
        <f t="shared" si="13"/>
        <v>92.573118712304037</v>
      </c>
      <c r="H56" s="45">
        <f t="shared" si="13"/>
        <v>94.306340356579483</v>
      </c>
      <c r="I56" s="45">
        <f t="shared" si="13"/>
        <v>94.850072545909327</v>
      </c>
      <c r="J56" s="45">
        <f t="shared" si="13"/>
        <v>91.686559724848024</v>
      </c>
      <c r="K56" s="45">
        <f t="shared" si="13"/>
        <v>90.181200602322249</v>
      </c>
      <c r="L56" s="45">
        <f t="shared" si="13"/>
        <v>92.790878255042543</v>
      </c>
      <c r="M56" s="45">
        <f t="shared" si="13"/>
        <v>90.574457028378021</v>
      </c>
      <c r="N56" s="45">
        <f t="shared" si="13"/>
        <v>90.160913711123357</v>
      </c>
      <c r="O56" s="45">
        <f t="shared" si="13"/>
        <v>86.578622135647151</v>
      </c>
      <c r="P56" s="45">
        <f t="shared" si="13"/>
        <v>90.731666195735485</v>
      </c>
      <c r="Q56" s="45">
        <f t="shared" si="13"/>
        <v>90.818291149844981</v>
      </c>
      <c r="R56" s="45">
        <f t="shared" si="13"/>
        <v>91.716082576363064</v>
      </c>
      <c r="S56" s="45">
        <f t="shared" si="13"/>
        <v>92.496498726682603</v>
      </c>
      <c r="T56" s="45">
        <f t="shared" si="13"/>
        <v>96.130157533680787</v>
      </c>
      <c r="U56" s="45">
        <f t="shared" si="13"/>
        <v>96.957866742588834</v>
      </c>
      <c r="V56" s="45">
        <f t="shared" si="13"/>
        <v>93.745152662185987</v>
      </c>
    </row>
    <row r="57" spans="1:22" x14ac:dyDescent="0.2">
      <c r="B57" s="1" t="s">
        <v>52</v>
      </c>
      <c r="C57" s="15"/>
      <c r="D57" s="12"/>
      <c r="E57" s="12"/>
      <c r="F57" s="12"/>
      <c r="G57" s="12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</row>
    <row r="62" spans="1:22" ht="18" customHeight="1" x14ac:dyDescent="0.2">
      <c r="A62" s="5"/>
      <c r="C62" s="131"/>
      <c r="D62" s="160" t="s">
        <v>85</v>
      </c>
      <c r="E62" s="158"/>
      <c r="F62" s="158"/>
      <c r="G62" s="158"/>
      <c r="H62" s="158"/>
      <c r="I62" s="158"/>
      <c r="J62" s="158"/>
      <c r="K62" s="158"/>
      <c r="L62" s="158"/>
      <c r="M62" s="158"/>
      <c r="N62" s="158"/>
      <c r="O62" s="158"/>
      <c r="P62" s="158"/>
      <c r="Q62" s="158"/>
      <c r="R62" s="158"/>
      <c r="S62" s="158"/>
      <c r="T62" s="158"/>
      <c r="U62" s="158"/>
      <c r="V62" s="158"/>
    </row>
    <row r="63" spans="1:22" x14ac:dyDescent="0.2">
      <c r="A63" s="5"/>
      <c r="T63" s="29"/>
      <c r="U63" s="29"/>
      <c r="V63" s="29"/>
    </row>
    <row r="64" spans="1:22" x14ac:dyDescent="0.2">
      <c r="A64" s="5"/>
      <c r="B64" s="163"/>
      <c r="C64" s="155" t="s">
        <v>38</v>
      </c>
      <c r="D64" s="153">
        <v>2000</v>
      </c>
      <c r="E64" s="153">
        <v>2001</v>
      </c>
      <c r="F64" s="153">
        <v>2002</v>
      </c>
      <c r="G64" s="153">
        <v>2003</v>
      </c>
      <c r="H64" s="153">
        <v>2004</v>
      </c>
      <c r="I64" s="153">
        <v>2005</v>
      </c>
      <c r="J64" s="153">
        <v>2006</v>
      </c>
      <c r="K64" s="153">
        <v>2007</v>
      </c>
      <c r="L64" s="153">
        <v>2008</v>
      </c>
      <c r="M64" s="153">
        <v>2009</v>
      </c>
      <c r="N64" s="153">
        <v>2010</v>
      </c>
      <c r="O64" s="153">
        <v>2011</v>
      </c>
      <c r="P64" s="153">
        <v>2012</v>
      </c>
      <c r="Q64" s="153">
        <v>2013</v>
      </c>
      <c r="R64" s="153">
        <v>2014</v>
      </c>
      <c r="S64" s="153">
        <v>2015</v>
      </c>
      <c r="T64" s="153">
        <v>2016</v>
      </c>
      <c r="U64" s="153">
        <v>2017</v>
      </c>
      <c r="V64" s="153">
        <v>2018</v>
      </c>
    </row>
    <row r="65" spans="1:22" ht="12" customHeight="1" thickBot="1" x14ac:dyDescent="0.25">
      <c r="A65" s="5"/>
      <c r="B65" s="154"/>
      <c r="C65" s="156"/>
      <c r="D65" s="154"/>
      <c r="E65" s="154"/>
      <c r="F65" s="154"/>
      <c r="G65" s="154"/>
      <c r="H65" s="154"/>
      <c r="I65" s="154"/>
      <c r="J65" s="154"/>
      <c r="K65" s="154"/>
      <c r="L65" s="154"/>
      <c r="M65" s="154"/>
      <c r="N65" s="154"/>
      <c r="O65" s="154"/>
      <c r="P65" s="154"/>
      <c r="Q65" s="154"/>
      <c r="R65" s="154"/>
      <c r="S65" s="154"/>
      <c r="T65" s="154"/>
      <c r="U65" s="154"/>
      <c r="V65" s="154"/>
    </row>
    <row r="66" spans="1:22" x14ac:dyDescent="0.2">
      <c r="A66" s="5"/>
      <c r="B66" s="34" t="s">
        <v>39</v>
      </c>
      <c r="C66" s="76" t="s">
        <v>40</v>
      </c>
      <c r="D66" s="46">
        <f t="shared" ref="D66:V66" si="14">+IFERROR(IF(D40&gt;0,+((D40/D14)*100)," "),"")</f>
        <v>82.380586180502888</v>
      </c>
      <c r="E66" s="46">
        <f t="shared" si="14"/>
        <v>86.587801528149399</v>
      </c>
      <c r="F66" s="46">
        <f t="shared" si="14"/>
        <v>86.172835197286091</v>
      </c>
      <c r="G66" s="46">
        <f t="shared" si="14"/>
        <v>87.966307282714595</v>
      </c>
      <c r="H66" s="46">
        <f t="shared" si="14"/>
        <v>94.30981599559199</v>
      </c>
      <c r="I66" s="46">
        <f t="shared" si="14"/>
        <v>94.269178237202283</v>
      </c>
      <c r="J66" s="46">
        <f t="shared" si="14"/>
        <v>87.439510711713638</v>
      </c>
      <c r="K66" s="46">
        <f t="shared" si="14"/>
        <v>83.302500871920188</v>
      </c>
      <c r="L66" s="46">
        <f t="shared" si="14"/>
        <v>85.292611920028406</v>
      </c>
      <c r="M66" s="46">
        <f t="shared" si="14"/>
        <v>85.179849521501595</v>
      </c>
      <c r="N66" s="46">
        <f t="shared" si="14"/>
        <v>89.651115968334523</v>
      </c>
      <c r="O66" s="46">
        <f t="shared" si="14"/>
        <v>86.634214655221314</v>
      </c>
      <c r="P66" s="46">
        <f t="shared" si="14"/>
        <v>87.876529455249226</v>
      </c>
      <c r="Q66" s="46">
        <f t="shared" si="14"/>
        <v>82.883928191229131</v>
      </c>
      <c r="R66" s="46">
        <f t="shared" si="14"/>
        <v>87.249004529073929</v>
      </c>
      <c r="S66" s="46">
        <f t="shared" si="14"/>
        <v>88.664942684401439</v>
      </c>
      <c r="T66" s="46">
        <f t="shared" si="14"/>
        <v>93.094657814692908</v>
      </c>
      <c r="U66" s="46">
        <f t="shared" si="14"/>
        <v>94.835371863395622</v>
      </c>
      <c r="V66" s="46">
        <f t="shared" si="14"/>
        <v>91.748310481209998</v>
      </c>
    </row>
    <row r="67" spans="1:22" x14ac:dyDescent="0.2">
      <c r="A67" s="5"/>
      <c r="B67" s="40"/>
      <c r="C67" s="77" t="s">
        <v>56</v>
      </c>
      <c r="D67" s="47">
        <f t="shared" ref="D67:V67" si="15">+IFERROR(IF(D41&gt;0,+((D41/D15)*100)," "),"")</f>
        <v>95.010221556084829</v>
      </c>
      <c r="E67" s="47">
        <f t="shared" si="15"/>
        <v>94.791176146647032</v>
      </c>
      <c r="F67" s="47">
        <f t="shared" si="15"/>
        <v>96.802537407543809</v>
      </c>
      <c r="G67" s="47">
        <f t="shared" si="15"/>
        <v>95.386677958105295</v>
      </c>
      <c r="H67" s="47">
        <f t="shared" si="15"/>
        <v>94.386480947052092</v>
      </c>
      <c r="I67" s="47">
        <f t="shared" si="15"/>
        <v>96.651544163419004</v>
      </c>
      <c r="J67" s="47">
        <f t="shared" si="15"/>
        <v>94.739598449319615</v>
      </c>
      <c r="K67" s="47">
        <f t="shared" si="15"/>
        <v>93.931201016751444</v>
      </c>
      <c r="L67" s="47">
        <f t="shared" si="15"/>
        <v>95.565244360520325</v>
      </c>
      <c r="M67" s="47">
        <f t="shared" si="15"/>
        <v>93.138619429330362</v>
      </c>
      <c r="N67" s="47">
        <f t="shared" si="15"/>
        <v>94.543118897532935</v>
      </c>
      <c r="O67" s="47">
        <f t="shared" si="15"/>
        <v>94.084376553273728</v>
      </c>
      <c r="P67" s="47">
        <f t="shared" si="15"/>
        <v>93.160184162642778</v>
      </c>
      <c r="Q67" s="47">
        <f t="shared" si="15"/>
        <v>83.872597325398559</v>
      </c>
      <c r="R67" s="47">
        <f t="shared" si="15"/>
        <v>87.397790041444367</v>
      </c>
      <c r="S67" s="47">
        <f t="shared" si="15"/>
        <v>90.56456578752919</v>
      </c>
      <c r="T67" s="47">
        <f t="shared" si="15"/>
        <v>93.173397677444598</v>
      </c>
      <c r="U67" s="47">
        <f t="shared" si="15"/>
        <v>93.140534576252691</v>
      </c>
      <c r="V67" s="47">
        <f t="shared" si="15"/>
        <v>93.459862674047642</v>
      </c>
    </row>
    <row r="68" spans="1:22" x14ac:dyDescent="0.2">
      <c r="A68" s="5"/>
      <c r="B68" s="40"/>
      <c r="C68" s="77" t="s">
        <v>57</v>
      </c>
      <c r="D68" s="47">
        <f t="shared" ref="D68:V68" si="16">+IFERROR(IF(D42&gt;0,+((D42/D16)*100)," "),"")</f>
        <v>85.610805876795567</v>
      </c>
      <c r="E68" s="47">
        <f t="shared" si="16"/>
        <v>95.332204527921434</v>
      </c>
      <c r="F68" s="47">
        <f t="shared" si="16"/>
        <v>95.609636754860887</v>
      </c>
      <c r="G68" s="47">
        <f t="shared" si="16"/>
        <v>95.317788497212007</v>
      </c>
      <c r="H68" s="47">
        <f t="shared" si="16"/>
        <v>92.347480310426789</v>
      </c>
      <c r="I68" s="47">
        <f t="shared" si="16"/>
        <v>94.376129525160863</v>
      </c>
      <c r="J68" s="47">
        <f t="shared" si="16"/>
        <v>90.485384651095956</v>
      </c>
      <c r="K68" s="47">
        <f t="shared" si="16"/>
        <v>87.924307065955858</v>
      </c>
      <c r="L68" s="47">
        <f t="shared" si="16"/>
        <v>90.027525892344499</v>
      </c>
      <c r="M68" s="47">
        <f t="shared" si="16"/>
        <v>93.688230290242743</v>
      </c>
      <c r="N68" s="47">
        <f t="shared" si="16"/>
        <v>92.031046759022828</v>
      </c>
      <c r="O68" s="47">
        <f t="shared" si="16"/>
        <v>89.538342102336301</v>
      </c>
      <c r="P68" s="47">
        <f t="shared" si="16"/>
        <v>90.525993351269932</v>
      </c>
      <c r="Q68" s="47">
        <f t="shared" si="16"/>
        <v>91.754073388165409</v>
      </c>
      <c r="R68" s="47">
        <f t="shared" si="16"/>
        <v>89.350178715357856</v>
      </c>
      <c r="S68" s="47">
        <f t="shared" si="16"/>
        <v>94.53929892670547</v>
      </c>
      <c r="T68" s="47">
        <f t="shared" si="16"/>
        <v>95.766289055834562</v>
      </c>
      <c r="U68" s="47">
        <f t="shared" si="16"/>
        <v>94.966191054886806</v>
      </c>
      <c r="V68" s="47">
        <f t="shared" si="16"/>
        <v>88.977996178187155</v>
      </c>
    </row>
    <row r="69" spans="1:22" x14ac:dyDescent="0.2">
      <c r="A69" s="5"/>
      <c r="B69" s="40"/>
      <c r="C69" s="77" t="s">
        <v>58</v>
      </c>
      <c r="D69" s="47">
        <f t="shared" ref="D69:V69" si="17">+IFERROR(IF(D43&gt;0,+((D43/D17)*100)," "),"")</f>
        <v>66.156979370994549</v>
      </c>
      <c r="E69" s="47">
        <f t="shared" si="17"/>
        <v>76.080932619632506</v>
      </c>
      <c r="F69" s="47">
        <f t="shared" si="17"/>
        <v>73.797338235805157</v>
      </c>
      <c r="G69" s="47">
        <f t="shared" si="17"/>
        <v>75.578097052095742</v>
      </c>
      <c r="H69" s="47">
        <f t="shared" si="17"/>
        <v>94.140123567015721</v>
      </c>
      <c r="I69" s="47">
        <f t="shared" si="17"/>
        <v>93.424323416196458</v>
      </c>
      <c r="J69" s="47">
        <f t="shared" si="17"/>
        <v>75.330486831961878</v>
      </c>
      <c r="K69" s="47">
        <f t="shared" si="17"/>
        <v>69.773014440619946</v>
      </c>
      <c r="L69" s="47">
        <f t="shared" si="17"/>
        <v>69.461498324184774</v>
      </c>
      <c r="M69" s="47">
        <f t="shared" si="17"/>
        <v>73.142434363406039</v>
      </c>
      <c r="N69" s="47">
        <f t="shared" si="17"/>
        <v>84.434808746518613</v>
      </c>
      <c r="O69" s="47">
        <f t="shared" si="17"/>
        <v>83.403464710456717</v>
      </c>
      <c r="P69" s="47">
        <f t="shared" si="17"/>
        <v>86.974067759018169</v>
      </c>
      <c r="Q69" s="47">
        <f t="shared" si="17"/>
        <v>79.332130610650339</v>
      </c>
      <c r="R69" s="47">
        <f t="shared" si="17"/>
        <v>83.904755181182111</v>
      </c>
      <c r="S69" s="47">
        <f t="shared" si="17"/>
        <v>88.767680929896812</v>
      </c>
      <c r="T69" s="47">
        <f t="shared" si="17"/>
        <v>92.015735712516872</v>
      </c>
      <c r="U69" s="47">
        <f t="shared" si="17"/>
        <v>94.741251723249292</v>
      </c>
      <c r="V69" s="47">
        <f t="shared" si="17"/>
        <v>86.086085963071653</v>
      </c>
    </row>
    <row r="70" spans="1:22" x14ac:dyDescent="0.2">
      <c r="A70" s="5"/>
      <c r="B70" s="40"/>
      <c r="C70" s="77" t="s">
        <v>59</v>
      </c>
      <c r="D70" s="47">
        <f t="shared" ref="D70:V70" si="18">+IFERROR(IF(D44&gt;0,+((D44/D18)*100)," "),"")</f>
        <v>93.400772932801587</v>
      </c>
      <c r="E70" s="47">
        <f t="shared" si="18"/>
        <v>92.033112221907842</v>
      </c>
      <c r="F70" s="47">
        <f t="shared" si="18"/>
        <v>89.784423910017466</v>
      </c>
      <c r="G70" s="47">
        <f t="shared" si="18"/>
        <v>95.521255735195439</v>
      </c>
      <c r="H70" s="47">
        <f t="shared" si="18"/>
        <v>96.069613442547919</v>
      </c>
      <c r="I70" s="47">
        <f t="shared" si="18"/>
        <v>95.46005993959119</v>
      </c>
      <c r="J70" s="47">
        <f t="shared" si="18"/>
        <v>93.552595038968505</v>
      </c>
      <c r="K70" s="47">
        <f t="shared" si="18"/>
        <v>89.553359822985854</v>
      </c>
      <c r="L70" s="47">
        <f t="shared" si="18"/>
        <v>91.976155547655026</v>
      </c>
      <c r="M70" s="47">
        <f t="shared" si="18"/>
        <v>91.135749978343654</v>
      </c>
      <c r="N70" s="47">
        <f t="shared" si="18"/>
        <v>95.319106774375399</v>
      </c>
      <c r="O70" s="47">
        <f t="shared" si="18"/>
        <v>86.257285176632735</v>
      </c>
      <c r="P70" s="47">
        <f t="shared" si="18"/>
        <v>84.666189649282927</v>
      </c>
      <c r="Q70" s="47">
        <f t="shared" si="18"/>
        <v>83.082730785381315</v>
      </c>
      <c r="R70" s="47">
        <f t="shared" si="18"/>
        <v>90.175037148217157</v>
      </c>
      <c r="S70" s="47">
        <f t="shared" si="18"/>
        <v>84.830714197839043</v>
      </c>
      <c r="T70" s="47">
        <f t="shared" si="18"/>
        <v>92.972866478034732</v>
      </c>
      <c r="U70" s="47">
        <f t="shared" si="18"/>
        <v>96.703680949541209</v>
      </c>
      <c r="V70" s="47">
        <f t="shared" si="18"/>
        <v>97.736550469310743</v>
      </c>
    </row>
    <row r="71" spans="1:22" x14ac:dyDescent="0.2">
      <c r="A71" s="5"/>
      <c r="B71" s="34" t="s">
        <v>41</v>
      </c>
      <c r="C71" s="76" t="s">
        <v>42</v>
      </c>
      <c r="D71" s="46">
        <f t="shared" ref="D71:V71" si="19">+IFERROR(IF(D45&gt;0,+((D45/D19)*100)," "),"")</f>
        <v>92.191376473953625</v>
      </c>
      <c r="E71" s="46">
        <f t="shared" si="19"/>
        <v>99.408653006014291</v>
      </c>
      <c r="F71" s="46">
        <f t="shared" si="19"/>
        <v>93.910617819992169</v>
      </c>
      <c r="G71" s="46">
        <f t="shared" si="19"/>
        <v>99.153547610596888</v>
      </c>
      <c r="H71" s="46">
        <f t="shared" si="19"/>
        <v>97.480080398296224</v>
      </c>
      <c r="I71" s="46">
        <f t="shared" si="19"/>
        <v>92.293485219109797</v>
      </c>
      <c r="J71" s="46">
        <f t="shared" si="19"/>
        <v>99.039247053487713</v>
      </c>
      <c r="K71" s="46">
        <f t="shared" si="19"/>
        <v>64.975349651084429</v>
      </c>
      <c r="L71" s="46">
        <f t="shared" si="19"/>
        <v>98.279878600333234</v>
      </c>
      <c r="M71" s="46">
        <f t="shared" si="19"/>
        <v>83.063698089969208</v>
      </c>
      <c r="N71" s="46">
        <f t="shared" si="19"/>
        <v>96.514024938092135</v>
      </c>
      <c r="O71" s="46">
        <f t="shared" si="19"/>
        <v>62.42353559716495</v>
      </c>
      <c r="P71" s="46">
        <f t="shared" si="19"/>
        <v>87.524597197180782</v>
      </c>
      <c r="Q71" s="46">
        <f t="shared" si="19"/>
        <v>72.408134542815674</v>
      </c>
      <c r="R71" s="46">
        <f t="shared" si="19"/>
        <v>99.250678167837464</v>
      </c>
      <c r="S71" s="46">
        <f t="shared" si="19"/>
        <v>99.999996308163531</v>
      </c>
      <c r="T71" s="46">
        <f t="shared" si="19"/>
        <v>99.914747684352278</v>
      </c>
      <c r="U71" s="46">
        <f t="shared" si="19"/>
        <v>95.624900728755421</v>
      </c>
      <c r="V71" s="46">
        <f t="shared" si="19"/>
        <v>98.240456016776108</v>
      </c>
    </row>
    <row r="72" spans="1:22" x14ac:dyDescent="0.2">
      <c r="A72" s="5"/>
      <c r="B72" s="34"/>
      <c r="C72" s="76" t="s">
        <v>43</v>
      </c>
      <c r="D72" s="46">
        <f t="shared" ref="D72:V72" si="20">+IFERROR(IF(D46&gt;0,+((D46/D20)*100)," "),"")</f>
        <v>71.104986815557893</v>
      </c>
      <c r="E72" s="46">
        <f t="shared" si="20"/>
        <v>99.385297127695722</v>
      </c>
      <c r="F72" s="46">
        <f t="shared" si="20"/>
        <v>99.946745294948286</v>
      </c>
      <c r="G72" s="46">
        <f t="shared" si="20"/>
        <v>99.437241896204384</v>
      </c>
      <c r="H72" s="46">
        <f t="shared" si="20"/>
        <v>96.410563002767489</v>
      </c>
      <c r="I72" s="46">
        <f t="shared" si="20"/>
        <v>85.574767329787989</v>
      </c>
      <c r="J72" s="46">
        <f t="shared" si="20"/>
        <v>97.868689202544005</v>
      </c>
      <c r="K72" s="46">
        <f t="shared" si="20"/>
        <v>100</v>
      </c>
      <c r="L72" s="46">
        <f t="shared" si="20"/>
        <v>96.532912747024483</v>
      </c>
      <c r="M72" s="46">
        <f t="shared" si="20"/>
        <v>99.99999986041874</v>
      </c>
      <c r="N72" s="46">
        <f t="shared" si="20"/>
        <v>93.139544781134049</v>
      </c>
      <c r="O72" s="46">
        <f t="shared" si="20"/>
        <v>60.151306522437608</v>
      </c>
      <c r="P72" s="46">
        <f t="shared" si="20"/>
        <v>86.467270270270276</v>
      </c>
      <c r="Q72" s="46">
        <f t="shared" si="20"/>
        <v>28.696683875939126</v>
      </c>
      <c r="R72" s="46">
        <f t="shared" si="20"/>
        <v>95.32107161825725</v>
      </c>
      <c r="S72" s="46">
        <f t="shared" si="20"/>
        <v>100</v>
      </c>
      <c r="T72" s="46">
        <f t="shared" si="20"/>
        <v>99.527891537933129</v>
      </c>
      <c r="U72" s="46">
        <f t="shared" si="20"/>
        <v>82.26749657239057</v>
      </c>
      <c r="V72" s="46">
        <f t="shared" si="20"/>
        <v>84.231084992907796</v>
      </c>
    </row>
    <row r="73" spans="1:22" x14ac:dyDescent="0.2">
      <c r="A73" s="5"/>
      <c r="B73" s="32"/>
      <c r="C73" s="77" t="s">
        <v>60</v>
      </c>
      <c r="D73" s="47">
        <f t="shared" ref="D73:V73" si="21">+IFERROR(IF(D47&gt;0,+((D47/D21)*100)," "),"")</f>
        <v>66.695597150676292</v>
      </c>
      <c r="E73" s="47">
        <f t="shared" si="21"/>
        <v>99.43578382070001</v>
      </c>
      <c r="F73" s="47">
        <f t="shared" si="21"/>
        <v>99.963840756491322</v>
      </c>
      <c r="G73" s="47">
        <f t="shared" si="21"/>
        <v>99.595764826515719</v>
      </c>
      <c r="H73" s="47">
        <f t="shared" si="21"/>
        <v>96.830857522887683</v>
      </c>
      <c r="I73" s="47">
        <f t="shared" si="21"/>
        <v>85.358272233649998</v>
      </c>
      <c r="J73" s="47">
        <f t="shared" si="21"/>
        <v>98.293929103929557</v>
      </c>
      <c r="K73" s="47">
        <f t="shared" si="21"/>
        <v>100</v>
      </c>
      <c r="L73" s="47">
        <f t="shared" si="21"/>
        <v>97.157650885090703</v>
      </c>
      <c r="M73" s="47">
        <f t="shared" si="21"/>
        <v>99.999999931252731</v>
      </c>
      <c r="N73" s="47">
        <f t="shared" si="21"/>
        <v>94.599707635235504</v>
      </c>
      <c r="O73" s="47">
        <f t="shared" si="21"/>
        <v>60.37161214050245</v>
      </c>
      <c r="P73" s="47">
        <f t="shared" si="21"/>
        <v>86.975925820256791</v>
      </c>
      <c r="Q73" s="47">
        <f t="shared" si="21"/>
        <v>26.285304734339466</v>
      </c>
      <c r="R73" s="47">
        <f t="shared" si="21"/>
        <v>96.499260847337567</v>
      </c>
      <c r="S73" s="47">
        <f t="shared" si="21"/>
        <v>100</v>
      </c>
      <c r="T73" s="47">
        <f t="shared" si="21"/>
        <v>100</v>
      </c>
      <c r="U73" s="47">
        <f t="shared" si="21"/>
        <v>82.605949259649122</v>
      </c>
      <c r="V73" s="47">
        <f t="shared" si="21"/>
        <v>84.790471514492765</v>
      </c>
    </row>
    <row r="74" spans="1:22" x14ac:dyDescent="0.2">
      <c r="A74" s="5"/>
      <c r="B74" s="32"/>
      <c r="C74" s="77" t="s">
        <v>61</v>
      </c>
      <c r="D74" s="47">
        <f t="shared" ref="D74:V74" si="22">+IFERROR(IF(D48&gt;0,+((D48/D22)*100)," "),"")</f>
        <v>95.831980914016981</v>
      </c>
      <c r="E74" s="47">
        <f t="shared" si="22"/>
        <v>99.139455446843854</v>
      </c>
      <c r="F74" s="47">
        <f t="shared" si="22"/>
        <v>99.856303710680479</v>
      </c>
      <c r="G74" s="47">
        <f t="shared" si="22"/>
        <v>98.143943939648949</v>
      </c>
      <c r="H74" s="47">
        <f t="shared" si="22"/>
        <v>93.335554850988203</v>
      </c>
      <c r="I74" s="47">
        <f t="shared" si="22"/>
        <v>87.285558076235446</v>
      </c>
      <c r="J74" s="47">
        <f t="shared" si="22"/>
        <v>95.080741296813869</v>
      </c>
      <c r="K74" s="47">
        <f t="shared" si="22"/>
        <v>100</v>
      </c>
      <c r="L74" s="47">
        <f t="shared" si="22"/>
        <v>91.022415554614739</v>
      </c>
      <c r="M74" s="47">
        <f t="shared" si="22"/>
        <v>99.999999110854404</v>
      </c>
      <c r="N74" s="47">
        <f t="shared" si="22"/>
        <v>76.338654179880876</v>
      </c>
      <c r="O74" s="47">
        <f t="shared" si="22"/>
        <v>56.562364814814636</v>
      </c>
      <c r="P74" s="47">
        <f t="shared" si="22"/>
        <v>84.090153333333333</v>
      </c>
      <c r="Q74" s="47">
        <f t="shared" si="22"/>
        <v>61.645387005649724</v>
      </c>
      <c r="R74" s="47">
        <f t="shared" si="22"/>
        <v>86.927078715050143</v>
      </c>
      <c r="S74" s="47">
        <f t="shared" si="22"/>
        <v>100</v>
      </c>
      <c r="T74" s="47">
        <f t="shared" si="22"/>
        <v>93.830625492451418</v>
      </c>
      <c r="U74" s="47">
        <f t="shared" si="22"/>
        <v>74.229245249999991</v>
      </c>
      <c r="V74" s="47">
        <f t="shared" si="22"/>
        <v>58.499304999999666</v>
      </c>
    </row>
    <row r="75" spans="1:22" x14ac:dyDescent="0.2">
      <c r="A75" s="5"/>
      <c r="B75" s="34"/>
      <c r="C75" s="76" t="s">
        <v>44</v>
      </c>
      <c r="D75" s="46">
        <f t="shared" ref="D75:V75" si="23">+IFERROR(IF(D49&gt;0,+((D49/D23)*100)," "),"")</f>
        <v>96.353780357425308</v>
      </c>
      <c r="E75" s="46">
        <f t="shared" si="23"/>
        <v>99.612467787180364</v>
      </c>
      <c r="F75" s="46">
        <f t="shared" si="23"/>
        <v>74.878539475359702</v>
      </c>
      <c r="G75" s="46">
        <f t="shared" si="23"/>
        <v>98.358254466463407</v>
      </c>
      <c r="H75" s="46">
        <f t="shared" si="23"/>
        <v>100.00000000000009</v>
      </c>
      <c r="I75" s="46">
        <f t="shared" si="23"/>
        <v>100</v>
      </c>
      <c r="J75" s="46">
        <f t="shared" si="23"/>
        <v>100</v>
      </c>
      <c r="K75" s="46">
        <f t="shared" si="23"/>
        <v>36.892591190205728</v>
      </c>
      <c r="L75" s="46">
        <f t="shared" si="23"/>
        <v>100</v>
      </c>
      <c r="M75" s="46">
        <f t="shared" si="23"/>
        <v>77.385618511214346</v>
      </c>
      <c r="N75" s="46">
        <f t="shared" si="23"/>
        <v>99.999156007237019</v>
      </c>
      <c r="O75" s="46">
        <f t="shared" si="23"/>
        <v>64.640674574145734</v>
      </c>
      <c r="P75" s="46">
        <f t="shared" si="23"/>
        <v>87.695984857142861</v>
      </c>
      <c r="Q75" s="46">
        <f t="shared" si="23"/>
        <v>98.826360228198851</v>
      </c>
      <c r="R75" s="46">
        <f t="shared" si="23"/>
        <v>99.999999547869322</v>
      </c>
      <c r="S75" s="46">
        <f t="shared" si="23"/>
        <v>99.999995798477116</v>
      </c>
      <c r="T75" s="46">
        <f t="shared" si="23"/>
        <v>99.999558267516363</v>
      </c>
      <c r="U75" s="46">
        <f t="shared" si="23"/>
        <v>98.80345135325696</v>
      </c>
      <c r="V75" s="46">
        <f t="shared" si="23"/>
        <v>99.964432941063279</v>
      </c>
    </row>
    <row r="76" spans="1:22" x14ac:dyDescent="0.2">
      <c r="A76" s="5"/>
      <c r="B76" s="32"/>
      <c r="C76" s="77" t="s">
        <v>60</v>
      </c>
      <c r="D76" s="47">
        <f t="shared" ref="D76:V76" si="24">+IFERROR(IF(D50&gt;0,+((D50/D24)*100)," "),"")</f>
        <v>95.291504705781989</v>
      </c>
      <c r="E76" s="47">
        <f t="shared" si="24"/>
        <v>98.983058676963907</v>
      </c>
      <c r="F76" s="47">
        <f t="shared" si="24"/>
        <v>80.686444364089184</v>
      </c>
      <c r="G76" s="47">
        <f t="shared" si="24"/>
        <v>99.554180906877647</v>
      </c>
      <c r="H76" s="47">
        <f t="shared" si="24"/>
        <v>100.00000000000013</v>
      </c>
      <c r="I76" s="47">
        <f t="shared" si="24"/>
        <v>100</v>
      </c>
      <c r="J76" s="47">
        <f t="shared" si="24"/>
        <v>100</v>
      </c>
      <c r="K76" s="47">
        <f t="shared" si="24"/>
        <v>17.012448132780079</v>
      </c>
      <c r="L76" s="47">
        <f t="shared" si="24"/>
        <v>100</v>
      </c>
      <c r="M76" s="47">
        <f t="shared" si="24"/>
        <v>100</v>
      </c>
      <c r="N76" s="47">
        <f t="shared" si="24"/>
        <v>99.999999950691802</v>
      </c>
      <c r="O76" s="47">
        <f t="shared" si="24"/>
        <v>70.981850929272156</v>
      </c>
      <c r="P76" s="47">
        <f t="shared" si="24"/>
        <v>86.031944426424474</v>
      </c>
      <c r="Q76" s="47">
        <f t="shared" si="24"/>
        <v>98.600504243773486</v>
      </c>
      <c r="R76" s="47">
        <f t="shared" si="24"/>
        <v>99.999999864919616</v>
      </c>
      <c r="S76" s="47">
        <f t="shared" si="24"/>
        <v>99.999995362392269</v>
      </c>
      <c r="T76" s="47">
        <f t="shared" si="24"/>
        <v>99.999999978595454</v>
      </c>
      <c r="U76" s="47">
        <f t="shared" si="24"/>
        <v>98.784307730717785</v>
      </c>
      <c r="V76" s="47">
        <f t="shared" si="24"/>
        <v>99.993914827152764</v>
      </c>
    </row>
    <row r="77" spans="1:22" x14ac:dyDescent="0.2">
      <c r="A77" s="5"/>
      <c r="B77" s="32"/>
      <c r="C77" s="77" t="s">
        <v>61</v>
      </c>
      <c r="D77" s="47">
        <f t="shared" ref="D77:V77" si="25">+IFERROR(IF(D51&gt;0,+((D51/D25)*100)," "),"")</f>
        <v>99.033600345835666</v>
      </c>
      <c r="E77" s="47">
        <f t="shared" si="25"/>
        <v>99.74032351812734</v>
      </c>
      <c r="F77" s="47">
        <f t="shared" si="25"/>
        <v>67.393771144761814</v>
      </c>
      <c r="G77" s="47">
        <f t="shared" si="25"/>
        <v>95.48250288764649</v>
      </c>
      <c r="H77" s="47">
        <f t="shared" si="25"/>
        <v>100</v>
      </c>
      <c r="I77" s="47">
        <f t="shared" si="25"/>
        <v>100</v>
      </c>
      <c r="J77" s="47">
        <f t="shared" si="25"/>
        <v>100</v>
      </c>
      <c r="K77" s="47">
        <f t="shared" si="25"/>
        <v>100</v>
      </c>
      <c r="L77" s="47">
        <f t="shared" si="25"/>
        <v>100</v>
      </c>
      <c r="M77" s="47">
        <f t="shared" si="25"/>
        <v>68.955423714036598</v>
      </c>
      <c r="N77" s="47">
        <f t="shared" si="25"/>
        <v>99.995795524521952</v>
      </c>
      <c r="O77" s="47">
        <f t="shared" si="25"/>
        <v>37.660205381658429</v>
      </c>
      <c r="P77" s="47">
        <f t="shared" si="25"/>
        <v>99.998710631494802</v>
      </c>
      <c r="Q77" s="47">
        <f t="shared" si="25"/>
        <v>99.984154065620544</v>
      </c>
      <c r="R77" s="47">
        <f t="shared" si="25"/>
        <v>99.999997922437672</v>
      </c>
      <c r="S77" s="47">
        <f t="shared" si="25"/>
        <v>100</v>
      </c>
      <c r="T77" s="47">
        <f t="shared" si="25"/>
        <v>99.996171373408302</v>
      </c>
      <c r="U77" s="47">
        <f t="shared" si="25"/>
        <v>98.973037235387068</v>
      </c>
      <c r="V77" s="47">
        <f t="shared" si="25"/>
        <v>99.719819394465645</v>
      </c>
    </row>
    <row r="78" spans="1:22" x14ac:dyDescent="0.2">
      <c r="A78" s="5"/>
      <c r="B78" s="34" t="s">
        <v>45</v>
      </c>
      <c r="C78" s="76" t="s">
        <v>46</v>
      </c>
      <c r="D78" s="46">
        <f t="shared" ref="D78:V78" si="26">+IFERROR(IF(D52&gt;0,+((D52/D26)*100)," "),"")</f>
        <v>77.699430109181961</v>
      </c>
      <c r="E78" s="46">
        <f t="shared" si="26"/>
        <v>87.812201743531276</v>
      </c>
      <c r="F78" s="46">
        <f t="shared" si="26"/>
        <v>88.771170241202526</v>
      </c>
      <c r="G78" s="46">
        <f t="shared" si="26"/>
        <v>96.337083887254522</v>
      </c>
      <c r="H78" s="46">
        <f t="shared" si="26"/>
        <v>94.301464356164686</v>
      </c>
      <c r="I78" s="46">
        <f t="shared" si="26"/>
        <v>95.58180444565383</v>
      </c>
      <c r="J78" s="46">
        <f t="shared" si="26"/>
        <v>94.433071522126681</v>
      </c>
      <c r="K78" s="46">
        <f t="shared" si="26"/>
        <v>94.101014116931509</v>
      </c>
      <c r="L78" s="46">
        <f t="shared" si="26"/>
        <v>96.541921316615557</v>
      </c>
      <c r="M78" s="46">
        <f t="shared" si="26"/>
        <v>93.254327070541521</v>
      </c>
      <c r="N78" s="46">
        <f t="shared" si="26"/>
        <v>90.510080277926576</v>
      </c>
      <c r="O78" s="46">
        <f t="shared" si="26"/>
        <v>86.54260472299265</v>
      </c>
      <c r="P78" s="46">
        <f t="shared" si="26"/>
        <v>92.470643798575466</v>
      </c>
      <c r="Q78" s="46">
        <f t="shared" si="26"/>
        <v>95.693941682494128</v>
      </c>
      <c r="R78" s="46">
        <f t="shared" si="26"/>
        <v>95.881866723102675</v>
      </c>
      <c r="S78" s="46">
        <f t="shared" si="26"/>
        <v>96.049405862644164</v>
      </c>
      <c r="T78" s="46">
        <f t="shared" si="26"/>
        <v>98.337539681732991</v>
      </c>
      <c r="U78" s="46">
        <f t="shared" si="26"/>
        <v>98.394302616697075</v>
      </c>
      <c r="V78" s="46">
        <f t="shared" si="26"/>
        <v>95.325999679427682</v>
      </c>
    </row>
    <row r="79" spans="1:22" x14ac:dyDescent="0.2">
      <c r="A79" s="5"/>
      <c r="B79" s="36" t="s">
        <v>47</v>
      </c>
      <c r="C79" s="78" t="s">
        <v>48</v>
      </c>
      <c r="D79" s="48">
        <f t="shared" ref="D79:V79" si="27">+IFERROR(IF(D53&gt;0,+((D53/D27)*100)," "),"")</f>
        <v>79.737084537782152</v>
      </c>
      <c r="E79" s="48">
        <f t="shared" si="27"/>
        <v>87.303415364167023</v>
      </c>
      <c r="F79" s="48">
        <f t="shared" si="27"/>
        <v>87.686020745727603</v>
      </c>
      <c r="G79" s="48">
        <f t="shared" si="27"/>
        <v>92.573118712304037</v>
      </c>
      <c r="H79" s="48">
        <f t="shared" si="27"/>
        <v>94.306340356579483</v>
      </c>
      <c r="I79" s="48">
        <f t="shared" si="27"/>
        <v>94.850072545909327</v>
      </c>
      <c r="J79" s="48">
        <f t="shared" si="27"/>
        <v>91.686559724848024</v>
      </c>
      <c r="K79" s="48">
        <f t="shared" si="27"/>
        <v>90.181200602322249</v>
      </c>
      <c r="L79" s="48">
        <f t="shared" si="27"/>
        <v>92.790878255042543</v>
      </c>
      <c r="M79" s="48">
        <f t="shared" si="27"/>
        <v>90.574457028378021</v>
      </c>
      <c r="N79" s="48">
        <f t="shared" si="27"/>
        <v>90.160913711123357</v>
      </c>
      <c r="O79" s="48">
        <f t="shared" si="27"/>
        <v>86.578622135647151</v>
      </c>
      <c r="P79" s="48">
        <f t="shared" si="27"/>
        <v>90.731666195735485</v>
      </c>
      <c r="Q79" s="48">
        <f t="shared" si="27"/>
        <v>90.818291149844981</v>
      </c>
      <c r="R79" s="48">
        <f t="shared" si="27"/>
        <v>91.716082576363064</v>
      </c>
      <c r="S79" s="48">
        <f t="shared" si="27"/>
        <v>92.496498726682603</v>
      </c>
      <c r="T79" s="48">
        <f t="shared" si="27"/>
        <v>96.130157533680787</v>
      </c>
      <c r="U79" s="48">
        <f t="shared" si="27"/>
        <v>96.957866742588834</v>
      </c>
      <c r="V79" s="48">
        <f t="shared" si="27"/>
        <v>93.745152662185987</v>
      </c>
    </row>
    <row r="80" spans="1:22" x14ac:dyDescent="0.2">
      <c r="A80" s="5"/>
      <c r="B80" s="38" t="s">
        <v>49</v>
      </c>
      <c r="C80" s="79" t="s">
        <v>63</v>
      </c>
      <c r="D80" s="45">
        <f t="shared" ref="D80:V80" si="28">+IFERROR(IF(D54&gt;0,+((D54/D28)*100)," "),"")</f>
        <v>79.853893583167405</v>
      </c>
      <c r="E80" s="45">
        <f t="shared" si="28"/>
        <v>87.313416685521389</v>
      </c>
      <c r="F80" s="45">
        <f t="shared" si="28"/>
        <v>87.691761329758023</v>
      </c>
      <c r="G80" s="45">
        <f t="shared" si="28"/>
        <v>92.579467456678827</v>
      </c>
      <c r="H80" s="45">
        <f t="shared" si="28"/>
        <v>94.307990529215274</v>
      </c>
      <c r="I80" s="45">
        <f t="shared" si="28"/>
        <v>94.848691364791165</v>
      </c>
      <c r="J80" s="45">
        <f t="shared" si="28"/>
        <v>91.689721874619295</v>
      </c>
      <c r="K80" s="45">
        <f t="shared" si="28"/>
        <v>90.171783846670778</v>
      </c>
      <c r="L80" s="45">
        <f t="shared" si="28"/>
        <v>92.792334652421431</v>
      </c>
      <c r="M80" s="45">
        <f t="shared" si="28"/>
        <v>90.571782126200191</v>
      </c>
      <c r="N80" s="45">
        <f t="shared" si="28"/>
        <v>90.162057288597182</v>
      </c>
      <c r="O80" s="45">
        <f t="shared" si="28"/>
        <v>86.575080225003703</v>
      </c>
      <c r="P80" s="45">
        <f t="shared" si="28"/>
        <v>90.731370792821338</v>
      </c>
      <c r="Q80" s="45">
        <f t="shared" si="28"/>
        <v>90.816530074781681</v>
      </c>
      <c r="R80" s="45">
        <f t="shared" si="28"/>
        <v>91.716777920180931</v>
      </c>
      <c r="S80" s="45">
        <f t="shared" si="28"/>
        <v>92.497460334928249</v>
      </c>
      <c r="T80" s="45">
        <f t="shared" si="28"/>
        <v>96.130522402706319</v>
      </c>
      <c r="U80" s="45">
        <f t="shared" si="28"/>
        <v>96.957725839273763</v>
      </c>
      <c r="V80" s="45">
        <f t="shared" si="28"/>
        <v>93.745573523617253</v>
      </c>
    </row>
    <row r="81" spans="2:22" x14ac:dyDescent="0.2">
      <c r="B81" s="1" t="s">
        <v>52</v>
      </c>
      <c r="C81" s="82"/>
      <c r="D81" s="12"/>
      <c r="E81" s="12"/>
      <c r="F81" s="12"/>
      <c r="G81" s="12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</row>
    <row r="82" spans="2:22" x14ac:dyDescent="0.2">
      <c r="B82" s="1"/>
      <c r="C82" s="15"/>
      <c r="D82" s="12"/>
      <c r="E82" s="12"/>
      <c r="F82" s="12"/>
      <c r="G82" s="12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</row>
    <row r="83" spans="2:22" x14ac:dyDescent="0.2">
      <c r="B83" s="1"/>
      <c r="C83" s="15"/>
      <c r="D83" s="12"/>
      <c r="E83" s="12"/>
      <c r="F83" s="12"/>
      <c r="G83" s="12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</row>
    <row r="84" spans="2:22" x14ac:dyDescent="0.2">
      <c r="B84" s="1"/>
      <c r="C84" s="15"/>
      <c r="D84" s="12"/>
      <c r="E84" s="12"/>
      <c r="F84" s="12"/>
      <c r="G84" s="12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</row>
    <row r="85" spans="2:22" ht="18" customHeight="1" x14ac:dyDescent="0.2">
      <c r="C85" s="131"/>
      <c r="D85" s="160" t="s">
        <v>86</v>
      </c>
      <c r="E85" s="158"/>
      <c r="F85" s="158"/>
      <c r="G85" s="158"/>
      <c r="H85" s="158"/>
      <c r="I85" s="158"/>
      <c r="J85" s="158"/>
      <c r="K85" s="158"/>
      <c r="L85" s="158"/>
      <c r="M85" s="158"/>
      <c r="N85" s="158"/>
      <c r="O85" s="158"/>
      <c r="P85" s="158"/>
      <c r="Q85" s="158"/>
      <c r="R85" s="158"/>
      <c r="S85" s="158"/>
      <c r="T85" s="158"/>
      <c r="U85" s="158"/>
      <c r="V85" s="158"/>
    </row>
    <row r="86" spans="2:22" ht="15.75" customHeight="1" x14ac:dyDescent="0.2"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</row>
    <row r="87" spans="2:22" ht="13.5" customHeight="1" x14ac:dyDescent="0.2">
      <c r="B87" s="163"/>
      <c r="C87" s="155" t="s">
        <v>38</v>
      </c>
      <c r="D87" s="153">
        <v>2000</v>
      </c>
      <c r="E87" s="153">
        <v>2001</v>
      </c>
      <c r="F87" s="153">
        <v>2002</v>
      </c>
      <c r="G87" s="153">
        <v>2003</v>
      </c>
      <c r="H87" s="153">
        <v>2004</v>
      </c>
      <c r="I87" s="153">
        <v>2005</v>
      </c>
      <c r="J87" s="153">
        <v>2006</v>
      </c>
      <c r="K87" s="153">
        <v>2007</v>
      </c>
      <c r="L87" s="153">
        <v>2008</v>
      </c>
      <c r="M87" s="153">
        <v>2009</v>
      </c>
      <c r="N87" s="153">
        <v>2010</v>
      </c>
      <c r="O87" s="153">
        <v>2011</v>
      </c>
      <c r="P87" s="153">
        <v>2012</v>
      </c>
      <c r="Q87" s="153">
        <v>2013</v>
      </c>
      <c r="R87" s="153">
        <v>2014</v>
      </c>
      <c r="S87" s="153">
        <v>2015</v>
      </c>
      <c r="T87" s="153">
        <v>2016</v>
      </c>
      <c r="U87" s="153">
        <v>2017</v>
      </c>
      <c r="V87" s="153">
        <v>2018</v>
      </c>
    </row>
    <row r="88" spans="2:22" ht="12" customHeight="1" thickBot="1" x14ac:dyDescent="0.25">
      <c r="B88" s="154"/>
      <c r="C88" s="156"/>
      <c r="D88" s="154"/>
      <c r="E88" s="154"/>
      <c r="F88" s="154"/>
      <c r="G88" s="154"/>
      <c r="H88" s="154"/>
      <c r="I88" s="154"/>
      <c r="J88" s="154"/>
      <c r="K88" s="154"/>
      <c r="L88" s="154"/>
      <c r="M88" s="154"/>
      <c r="N88" s="154"/>
      <c r="O88" s="154"/>
      <c r="P88" s="154"/>
      <c r="Q88" s="154"/>
      <c r="R88" s="154"/>
      <c r="S88" s="154"/>
      <c r="T88" s="154"/>
      <c r="U88" s="154"/>
      <c r="V88" s="154"/>
    </row>
    <row r="89" spans="2:22" x14ac:dyDescent="0.2">
      <c r="B89" s="34" t="s">
        <v>39</v>
      </c>
      <c r="C89" s="76" t="s">
        <v>40</v>
      </c>
      <c r="D89" s="41">
        <f t="shared" ref="D89:V89" si="29">+D90+D91+D92+D93</f>
        <v>5199.1167441567814</v>
      </c>
      <c r="E89" s="41">
        <f t="shared" si="29"/>
        <v>5111.699362274634</v>
      </c>
      <c r="F89" s="41">
        <f t="shared" si="29"/>
        <v>5235.6713009290424</v>
      </c>
      <c r="G89" s="41">
        <f t="shared" si="29"/>
        <v>5187.0907554681535</v>
      </c>
      <c r="H89" s="41">
        <f t="shared" si="29"/>
        <v>10828.497427854012</v>
      </c>
      <c r="I89" s="41">
        <f t="shared" si="29"/>
        <v>10353.780485422716</v>
      </c>
      <c r="J89" s="41">
        <f t="shared" si="29"/>
        <v>5075.7931407647302</v>
      </c>
      <c r="K89" s="41">
        <f t="shared" si="29"/>
        <v>5462.5889312594281</v>
      </c>
      <c r="L89" s="41">
        <f t="shared" si="29"/>
        <v>5502.4760010497075</v>
      </c>
      <c r="M89" s="41">
        <f t="shared" si="29"/>
        <v>6586.9637643895694</v>
      </c>
      <c r="N89" s="41">
        <f t="shared" si="29"/>
        <v>9454.0613098416616</v>
      </c>
      <c r="O89" s="41">
        <f t="shared" si="29"/>
        <v>8792.0381914138816</v>
      </c>
      <c r="P89" s="41">
        <f t="shared" si="29"/>
        <v>8520.8096764373076</v>
      </c>
      <c r="Q89" s="41">
        <f t="shared" si="29"/>
        <v>8818.9754605924099</v>
      </c>
      <c r="R89" s="41">
        <f t="shared" si="29"/>
        <v>9042.3018876470142</v>
      </c>
      <c r="S89" s="41">
        <f t="shared" si="29"/>
        <v>9230.9213159859901</v>
      </c>
      <c r="T89" s="41">
        <f t="shared" si="29"/>
        <v>8646.8361360437229</v>
      </c>
      <c r="U89" s="41">
        <f t="shared" si="29"/>
        <v>8917.2155381222601</v>
      </c>
      <c r="V89" s="41">
        <f t="shared" si="29"/>
        <v>8480.542415225802</v>
      </c>
    </row>
    <row r="90" spans="2:22" x14ac:dyDescent="0.2">
      <c r="B90" s="40"/>
      <c r="C90" s="77" t="s">
        <v>56</v>
      </c>
      <c r="D90" s="42">
        <f>433.96766905537*Deflactores!$A$5</f>
        <v>1575.5452823805003</v>
      </c>
      <c r="E90" s="42">
        <f>459.283604562239*Deflactores!$B$5</f>
        <v>1548.9851869671156</v>
      </c>
      <c r="F90" s="42">
        <f>488.794805216009*Deflactores!$C$5</f>
        <v>1540.7857241440038</v>
      </c>
      <c r="G90" s="42">
        <f>500.39854287778*Deflactores!$D$5</f>
        <v>1481.2123344018996</v>
      </c>
      <c r="H90" s="42">
        <f>509.28505017275*Deflactores!$E$5</f>
        <v>1428.9669101403908</v>
      </c>
      <c r="I90" s="42">
        <f>525.692785298729*Deflactores!$F$5</f>
        <v>1406.7062963087224</v>
      </c>
      <c r="J90" s="42">
        <f>559.74931893874*Deflactores!$G$5</f>
        <v>1433.640802072722</v>
      </c>
      <c r="K90" s="42">
        <f>597.38463209396*Deflactores!$H$5</f>
        <v>1447.6000706506459</v>
      </c>
      <c r="L90" s="42">
        <f>710.74803921303*Deflactores!$I$5</f>
        <v>1599.550201496359</v>
      </c>
      <c r="M90" s="42">
        <f>780.896416399429*Deflactores!$J$5</f>
        <v>1722.9305219546054</v>
      </c>
      <c r="N90" s="42">
        <f>789.97492716727*Deflactores!$K$5</f>
        <v>1689.3866849255237</v>
      </c>
      <c r="O90" s="42">
        <f>819.97249421755*Deflactores!$L$5</f>
        <v>1690.5364707342844</v>
      </c>
      <c r="P90" s="42">
        <f>933.727024113175*Deflactores!$M$5</f>
        <v>1879.211315091115</v>
      </c>
      <c r="Q90" s="42">
        <f>1089.60832926814*Deflactores!$N$5</f>
        <v>2151.203399479487</v>
      </c>
      <c r="R90" s="42">
        <f>1268.40219245967*Deflactores!$O$5</f>
        <v>2415.7769914623318</v>
      </c>
      <c r="S90" s="42">
        <f>1324.54134989647*Deflactores!$P$5</f>
        <v>2362.7410927963579</v>
      </c>
      <c r="T90" s="42">
        <f>1421.94660448868*Deflactores!$Q$5</f>
        <v>2398.5762345097546</v>
      </c>
      <c r="U90" s="42">
        <f>1544.75339714988*Deflactores!$R$5</f>
        <v>2503.3431666380889</v>
      </c>
      <c r="V90" s="42">
        <f>1807.79176101968*Deflactores!$S$5</f>
        <v>2839.318476043657</v>
      </c>
    </row>
    <row r="91" spans="2:22" x14ac:dyDescent="0.2">
      <c r="B91" s="40"/>
      <c r="C91" s="77" t="s">
        <v>57</v>
      </c>
      <c r="D91" s="42">
        <f>236.355671004419*Deflactores!$A$5</f>
        <v>858.10323894745443</v>
      </c>
      <c r="E91" s="42">
        <f>230.96088382827*Deflactores!$B$5</f>
        <v>778.94134313767461</v>
      </c>
      <c r="F91" s="42">
        <f>240.026269781699*Deflactores!$C$5</f>
        <v>756.6141169109676</v>
      </c>
      <c r="G91" s="42">
        <f>196.976361807919*Deflactores!$D$5</f>
        <v>583.06288227294624</v>
      </c>
      <c r="H91" s="42">
        <f>213.181473757749*Deflactores!$E$5</f>
        <v>598.15082290645455</v>
      </c>
      <c r="I91" s="42">
        <f>217.60645184336*Deflactores!$F$5</f>
        <v>582.29516266141422</v>
      </c>
      <c r="J91" s="42">
        <f>233.37345239094*Deflactores!$G$5</f>
        <v>597.72060840121151</v>
      </c>
      <c r="K91" s="42">
        <f>253.689939956259*Deflactores!$H$5</f>
        <v>614.74894946121879</v>
      </c>
      <c r="L91" s="42">
        <f>280.22998457557*Deflactores!$I$5</f>
        <v>630.66220877582271</v>
      </c>
      <c r="M91" s="42">
        <f>320.37525767258*Deflactores!$J$5</f>
        <v>706.85983227872714</v>
      </c>
      <c r="N91" s="42">
        <f>324.04938118221*Deflactores!$K$5</f>
        <v>692.98998107526609</v>
      </c>
      <c r="O91" s="42">
        <f>357.285478904851*Deflactores!$L$5</f>
        <v>736.61511430182782</v>
      </c>
      <c r="P91" s="42">
        <f>481.681820749882*Deflactores!$M$5</f>
        <v>969.42886352312883</v>
      </c>
      <c r="Q91" s="42">
        <f>551.018955501277*Deflactores!$N$5</f>
        <v>1087.8715024582757</v>
      </c>
      <c r="R91" s="42">
        <f>573.796294129764*Deflactores!$O$5</f>
        <v>1092.8425489844074</v>
      </c>
      <c r="S91" s="42">
        <f>571.505857859425*Deflactores!$P$5</f>
        <v>1019.4626051076795</v>
      </c>
      <c r="T91" s="42">
        <f>657.483547864119*Deflactores!$Q$5</f>
        <v>1109.0602189349561</v>
      </c>
      <c r="U91" s="42">
        <f>634.642439657189*Deflactores!$R$5</f>
        <v>1028.4669498093378</v>
      </c>
      <c r="V91" s="42">
        <f>635.481594863429*Deflactores!$S$5</f>
        <v>998.08765167935815</v>
      </c>
    </row>
    <row r="92" spans="2:22" x14ac:dyDescent="0.2">
      <c r="B92" s="40"/>
      <c r="C92" s="77" t="s">
        <v>58</v>
      </c>
      <c r="D92" s="42">
        <f>427.4261685441*Deflactores!$A$5</f>
        <v>1551.7959779849555</v>
      </c>
      <c r="E92" s="42">
        <f>521.77291948396*Deflactores!$B$5</f>
        <v>1759.7373718828562</v>
      </c>
      <c r="F92" s="42">
        <f>508.941710756099*Deflactores!$C$5</f>
        <v>1604.2930775581428</v>
      </c>
      <c r="G92" s="42">
        <f>566.168537850119*Deflactores!$D$5</f>
        <v>1675.8958105493784</v>
      </c>
      <c r="H92" s="42">
        <f>2667.24320864953*Deflactores!$E$5</f>
        <v>7483.8291152744996</v>
      </c>
      <c r="I92" s="42">
        <f>2505.78869852561*Deflactores!$F$5</f>
        <v>6705.2636787323572</v>
      </c>
      <c r="J92" s="42">
        <f>579.91803954924*Deflactores!$G$5</f>
        <v>1485.2973201148322</v>
      </c>
      <c r="K92" s="42">
        <f>671.83248908061*Deflactores!$H$5</f>
        <v>1628.004314823959</v>
      </c>
      <c r="L92" s="42">
        <f>653.99088777579*Deflactores!$I$5</f>
        <v>1471.817294743189</v>
      </c>
      <c r="M92" s="42">
        <f>911.607270599529*Deflactores!$J$5</f>
        <v>2011.3243671850564</v>
      </c>
      <c r="N92" s="42">
        <f>2079.85684881446*Deflactores!$K$5</f>
        <v>4447.8404897454629</v>
      </c>
      <c r="O92" s="42">
        <f>1843.4948350306*Deflactores!$L$5</f>
        <v>3800.7314564903722</v>
      </c>
      <c r="P92" s="42">
        <f>1577.70751918863*Deflactores!$M$5</f>
        <v>3175.2811532680275</v>
      </c>
      <c r="Q92" s="42">
        <f>1549.24128520961*Deflactores!$N$5</f>
        <v>3058.6523889693349</v>
      </c>
      <c r="R92" s="42">
        <f>1529.6207800669*Deflactores!$O$5</f>
        <v>2913.2894188573973</v>
      </c>
      <c r="S92" s="42">
        <f>1842.59135108352*Deflactores!$P$5</f>
        <v>3286.8481627821443</v>
      </c>
      <c r="T92" s="42">
        <f>1528.35982315874*Deflactores!$Q$5</f>
        <v>2578.0767984085505</v>
      </c>
      <c r="U92" s="42">
        <f>1870.47763073715*Deflactores!$R$5</f>
        <v>3031.1941076773251</v>
      </c>
      <c r="V92" s="42">
        <f>1563.65829937535*Deflactores!$S$5</f>
        <v>2455.8823617667231</v>
      </c>
    </row>
    <row r="93" spans="2:22" x14ac:dyDescent="0.2">
      <c r="B93" s="40"/>
      <c r="C93" s="77" t="s">
        <v>59</v>
      </c>
      <c r="D93" s="42">
        <f>334.293479839759*Deflactores!$A$5</f>
        <v>1213.6722448438716</v>
      </c>
      <c r="E93" s="42">
        <f>303.63279220316*Deflactores!$B$5</f>
        <v>1024.0354602869875</v>
      </c>
      <c r="F93" s="42">
        <f>423.18778875546*Deflactores!$C$5</f>
        <v>1333.9783823159287</v>
      </c>
      <c r="G93" s="42">
        <f>488.81345831267*Deflactores!$D$5</f>
        <v>1446.9197282439291</v>
      </c>
      <c r="H93" s="42">
        <f>469.57617299655*Deflactores!$E$5</f>
        <v>1317.550579532666</v>
      </c>
      <c r="I93" s="42">
        <f>620.16872155776*Deflactores!$F$5</f>
        <v>1659.5153477202214</v>
      </c>
      <c r="J93" s="42">
        <f>608.74692110338*Deflactores!$G$5</f>
        <v>1559.1344101759637</v>
      </c>
      <c r="K93" s="42">
        <f>731.352761828579*Deflactores!$H$5</f>
        <v>1772.2355963236039</v>
      </c>
      <c r="L93" s="42">
        <f>800.014700018579*Deflactores!$I$5</f>
        <v>1800.4462960343367</v>
      </c>
      <c r="M93" s="42">
        <f>972.57887444546*Deflactores!$J$5</f>
        <v>2145.8490429711806</v>
      </c>
      <c r="N93" s="42">
        <f>1226.9370375801*Deflactores!$K$5</f>
        <v>2623.8441540954086</v>
      </c>
      <c r="O93" s="42">
        <f>1243.70975143808*Deflactores!$L$5</f>
        <v>2564.1551498873987</v>
      </c>
      <c r="P93" s="42">
        <f>1240.63329375558*Deflactores!$M$5</f>
        <v>2496.8883445550355</v>
      </c>
      <c r="Q93" s="42">
        <f>1277.04010067383*Deflactores!$N$5</f>
        <v>2521.2481696853124</v>
      </c>
      <c r="R93" s="42">
        <f>1375.83566163696*Deflactores!$O$5</f>
        <v>2620.3929283428783</v>
      </c>
      <c r="S93" s="42">
        <f>1436.17175700165*Deflactores!$P$5</f>
        <v>2561.869455299809</v>
      </c>
      <c r="T93" s="42">
        <f>1518.30904369701*Deflactores!$Q$5</f>
        <v>2561.1228841904617</v>
      </c>
      <c r="U93" s="42">
        <f>1452.72768566935*Deflactores!$R$5</f>
        <v>2354.2113139975077</v>
      </c>
      <c r="V93" s="42">
        <f>1392.62279295745*Deflactores!$S$5</f>
        <v>2187.2539257360645</v>
      </c>
    </row>
    <row r="94" spans="2:22" x14ac:dyDescent="0.2">
      <c r="B94" s="34" t="s">
        <v>41</v>
      </c>
      <c r="C94" s="76" t="s">
        <v>42</v>
      </c>
      <c r="D94" s="41">
        <f t="shared" ref="D94:V94" si="30">+D95+D98</f>
        <v>131.22018758907376</v>
      </c>
      <c r="E94" s="41">
        <f t="shared" si="30"/>
        <v>11.563006042480819</v>
      </c>
      <c r="F94" s="41">
        <f t="shared" si="30"/>
        <v>11.473233068552137</v>
      </c>
      <c r="G94" s="41">
        <f t="shared" si="30"/>
        <v>13.509533392333335</v>
      </c>
      <c r="H94" s="41">
        <f t="shared" si="30"/>
        <v>10.646111969924625</v>
      </c>
      <c r="I94" s="41">
        <f t="shared" si="30"/>
        <v>7.2155014359376004</v>
      </c>
      <c r="J94" s="41">
        <f t="shared" si="30"/>
        <v>3.3135786543621744</v>
      </c>
      <c r="K94" s="41">
        <f t="shared" si="30"/>
        <v>2.4092499084567831</v>
      </c>
      <c r="L94" s="41">
        <f t="shared" si="30"/>
        <v>2.6372409698398434</v>
      </c>
      <c r="M94" s="41">
        <f t="shared" si="30"/>
        <v>6.1331109518242135</v>
      </c>
      <c r="N94" s="41">
        <f t="shared" si="30"/>
        <v>2.382693495125153</v>
      </c>
      <c r="O94" s="41">
        <f t="shared" si="30"/>
        <v>2.4331746116231536</v>
      </c>
      <c r="P94" s="41">
        <f t="shared" si="30"/>
        <v>2.1493979568965571</v>
      </c>
      <c r="Q94" s="41">
        <f t="shared" si="30"/>
        <v>1.9699156819047647</v>
      </c>
      <c r="R94" s="41">
        <f t="shared" si="30"/>
        <v>1.9912539646935896</v>
      </c>
      <c r="S94" s="41">
        <f t="shared" si="30"/>
        <v>2.8024388028299843</v>
      </c>
      <c r="T94" s="41">
        <f t="shared" si="30"/>
        <v>2.1704442444670931</v>
      </c>
      <c r="U94" s="41">
        <f t="shared" si="30"/>
        <v>2.3943565293803752</v>
      </c>
      <c r="V94" s="41">
        <f t="shared" si="30"/>
        <v>1.940153846601423</v>
      </c>
    </row>
    <row r="95" spans="2:22" x14ac:dyDescent="0.2">
      <c r="B95" s="34"/>
      <c r="C95" s="76" t="s">
        <v>43</v>
      </c>
      <c r="D95" s="41">
        <f t="shared" ref="D95:V95" si="31">+D96+D97</f>
        <v>16.68453095966456</v>
      </c>
      <c r="E95" s="41">
        <f t="shared" si="31"/>
        <v>10.43244816434639</v>
      </c>
      <c r="F95" s="41">
        <f t="shared" si="31"/>
        <v>9.1154361349554893</v>
      </c>
      <c r="G95" s="41">
        <f t="shared" si="31"/>
        <v>9.9475729543110685</v>
      </c>
      <c r="H95" s="41">
        <f t="shared" si="31"/>
        <v>7.4430712715186562</v>
      </c>
      <c r="I95" s="41">
        <f t="shared" si="31"/>
        <v>4.2233506645311873</v>
      </c>
      <c r="J95" s="41">
        <f t="shared" si="31"/>
        <v>2.1746117659238071</v>
      </c>
      <c r="K95" s="41">
        <f t="shared" si="31"/>
        <v>2.4092499084567831</v>
      </c>
      <c r="L95" s="41">
        <f t="shared" si="31"/>
        <v>1.1689290723670061</v>
      </c>
      <c r="M95" s="41">
        <f t="shared" si="31"/>
        <v>1.8536742455534696</v>
      </c>
      <c r="N95" s="41">
        <f t="shared" si="31"/>
        <v>0.83593232656458916</v>
      </c>
      <c r="O95" s="41">
        <f t="shared" si="31"/>
        <v>1.1579176744931308</v>
      </c>
      <c r="P95" s="41">
        <f t="shared" si="31"/>
        <v>0.29618768328870781</v>
      </c>
      <c r="Q95" s="41">
        <f t="shared" si="31"/>
        <v>0.29409917314064021</v>
      </c>
      <c r="R95" s="41">
        <f t="shared" si="31"/>
        <v>0.30626957457746129</v>
      </c>
      <c r="S95" s="41">
        <f t="shared" si="31"/>
        <v>0.33996365835050146</v>
      </c>
      <c r="T95" s="41">
        <f t="shared" si="31"/>
        <v>0.38875738139628213</v>
      </c>
      <c r="U95" s="41">
        <f t="shared" si="31"/>
        <v>0.39595511750279438</v>
      </c>
      <c r="V95" s="41">
        <f t="shared" si="31"/>
        <v>0.18653366071165434</v>
      </c>
    </row>
    <row r="96" spans="2:22" x14ac:dyDescent="0.2">
      <c r="B96" s="32"/>
      <c r="C96" s="77" t="s">
        <v>60</v>
      </c>
      <c r="D96" s="42">
        <f>3.65824905879999*Deflactores!$A$5</f>
        <v>13.281489514901706</v>
      </c>
      <c r="E96" s="42">
        <f>2.52775517492*Deflactores!$B$5</f>
        <v>8.5251362847200305</v>
      </c>
      <c r="F96" s="42">
        <f>2.43272454448*Deflactores!$C$5</f>
        <v>7.6684678497208054</v>
      </c>
      <c r="G96" s="42">
        <f>3.0052704935*Deflactores!$D$5</f>
        <v>8.8957967335119275</v>
      </c>
      <c r="H96" s="42">
        <f>2.37902479527999*Deflactores!$E$5</f>
        <v>6.675137449460756</v>
      </c>
      <c r="I96" s="42">
        <f>1.42834084003*Deflactores!$F$5</f>
        <v>3.8221107634249067</v>
      </c>
      <c r="J96" s="42">
        <f>0.76218477646*Deflactores!$G$5</f>
        <v>1.9521224185202088</v>
      </c>
      <c r="K96" s="42">
        <f>0.91212033294*Deflactores!$H$5</f>
        <v>2.2102769094973249</v>
      </c>
      <c r="L96" s="42">
        <f>0.454552066269999*Deflactores!$I$5</f>
        <v>1.0229769328633189</v>
      </c>
      <c r="M96" s="42">
        <f>0.793371209369999*Deflactores!$J$5</f>
        <v>1.7504542768504996</v>
      </c>
      <c r="N96" s="42">
        <f>0.3550073976*Deflactores!$K$5</f>
        <v>0.75919469078100343</v>
      </c>
      <c r="O96" s="42">
        <f>0.531089071*Deflactores!$L$5</f>
        <v>1.0949458061890602</v>
      </c>
      <c r="P96" s="42">
        <f>0.121940248*Deflactores!$M$5</f>
        <v>0.24541593837262843</v>
      </c>
      <c r="Q96" s="42">
        <f>0.127142019*Deflactores!$N$5</f>
        <v>0.25101528332955525</v>
      </c>
      <c r="R96" s="42">
        <f>0.14275677018*Deflactores!$O$5</f>
        <v>0.271892088192906</v>
      </c>
      <c r="S96" s="42">
        <f>0.170141165*Deflactores!$P$5</f>
        <v>0.30350092290676084</v>
      </c>
      <c r="T96" s="42">
        <f>0.213840013*Deflactores!$Q$5</f>
        <v>0.36071085338221665</v>
      </c>
      <c r="U96" s="42">
        <f>0.23542695539*Deflactores!$R$5</f>
        <v>0.38152009317820224</v>
      </c>
      <c r="V96" s="42">
        <f>0.11701085069*Deflactores!$S$5</f>
        <v>0.18377728974398505</v>
      </c>
    </row>
    <row r="97" spans="2:22" x14ac:dyDescent="0.2">
      <c r="B97" s="32"/>
      <c r="C97" s="77" t="s">
        <v>61</v>
      </c>
      <c r="D97" s="42">
        <f>0.93733260478*Deflactores!$A$5</f>
        <v>3.4030414447628554</v>
      </c>
      <c r="E97" s="42">
        <f>0.56552966579*Deflactores!$B$5</f>
        <v>1.9073118796263591</v>
      </c>
      <c r="F97" s="42">
        <f>0.45903240798*Deflactores!$C$5</f>
        <v>1.4469682852346841</v>
      </c>
      <c r="G97" s="42">
        <f>0.35532197248*Deflactores!$D$5</f>
        <v>1.051776220799141</v>
      </c>
      <c r="H97" s="42">
        <f>0.27369228239*Deflactores!$E$5</f>
        <v>0.76793382205790062</v>
      </c>
      <c r="I97" s="42">
        <f>0.14994524567*Deflactores!$F$5</f>
        <v>0.40123990110628061</v>
      </c>
      <c r="J97" s="42">
        <f>0.08686852418*Deflactores!$G$5</f>
        <v>0.22248934740359827</v>
      </c>
      <c r="K97" s="42">
        <f>0.08211067006*Deflactores!$H$5</f>
        <v>0.19897299895945827</v>
      </c>
      <c r="L97" s="42">
        <f>0.0648527297699999*Deflactores!$I$5</f>
        <v>0.14595213950368716</v>
      </c>
      <c r="M97" s="42">
        <f>0.04678314223*Deflactores!$J$5</f>
        <v>0.10321996870296994</v>
      </c>
      <c r="N97" s="42">
        <f>0.03588332309*Deflactores!$K$5</f>
        <v>7.6737635783585695E-2</v>
      </c>
      <c r="O97" s="42">
        <f>0.0305436769999999*Deflactores!$L$5</f>
        <v>6.2971868304070505E-2</v>
      </c>
      <c r="P97" s="42">
        <f>0.025227046*Deflactores!$M$5</f>
        <v>5.0771744916079407E-2</v>
      </c>
      <c r="Q97" s="42">
        <f>0.021822467*Deflactores!$N$5</f>
        <v>4.3083889811084956E-2</v>
      </c>
      <c r="R97" s="42">
        <f>0.01804987764*Deflactores!$O$5</f>
        <v>3.4377486384555317E-2</v>
      </c>
      <c r="S97" s="42">
        <f>0.020440835*Deflactores!$P$5</f>
        <v>3.6462735443740603E-2</v>
      </c>
      <c r="T97" s="42">
        <f>0.01662680748*Deflactores!$Q$5</f>
        <v>2.8046528014065462E-2</v>
      </c>
      <c r="U97" s="42">
        <f>0.00890750943*Deflactores!$R$5</f>
        <v>1.4435024324592125E-2</v>
      </c>
      <c r="V97" s="42">
        <f>0.00175497914999999*Deflactores!$S$5</f>
        <v>2.7563709676692782E-3</v>
      </c>
    </row>
    <row r="98" spans="2:22" x14ac:dyDescent="0.2">
      <c r="B98" s="34"/>
      <c r="C98" s="76" t="s">
        <v>44</v>
      </c>
      <c r="D98" s="41">
        <f t="shared" ref="D98:V98" si="32">+D99+D100</f>
        <v>114.53565662940919</v>
      </c>
      <c r="E98" s="41">
        <f t="shared" si="32"/>
        <v>1.1305578781344285</v>
      </c>
      <c r="F98" s="41">
        <f t="shared" si="32"/>
        <v>2.3577969335966475</v>
      </c>
      <c r="G98" s="41">
        <f t="shared" si="32"/>
        <v>3.5619604380222674</v>
      </c>
      <c r="H98" s="41">
        <f t="shared" si="32"/>
        <v>3.2030406984059683</v>
      </c>
      <c r="I98" s="41">
        <f t="shared" si="32"/>
        <v>2.9921507714064126</v>
      </c>
      <c r="J98" s="41">
        <f t="shared" si="32"/>
        <v>1.1389668884383672</v>
      </c>
      <c r="K98" s="41">
        <f t="shared" si="32"/>
        <v>0</v>
      </c>
      <c r="L98" s="41">
        <f t="shared" si="32"/>
        <v>1.4683118974728375</v>
      </c>
      <c r="M98" s="41">
        <f t="shared" si="32"/>
        <v>4.2794367062707437</v>
      </c>
      <c r="N98" s="41">
        <f t="shared" si="32"/>
        <v>1.5467611685605638</v>
      </c>
      <c r="O98" s="41">
        <f t="shared" si="32"/>
        <v>1.2752569371300229</v>
      </c>
      <c r="P98" s="41">
        <f t="shared" si="32"/>
        <v>1.8532102736078495</v>
      </c>
      <c r="Q98" s="41">
        <f t="shared" si="32"/>
        <v>1.6758165087641246</v>
      </c>
      <c r="R98" s="41">
        <f t="shared" si="32"/>
        <v>1.6849843901161283</v>
      </c>
      <c r="S98" s="41">
        <f t="shared" si="32"/>
        <v>2.462475144479483</v>
      </c>
      <c r="T98" s="41">
        <f t="shared" si="32"/>
        <v>1.7816868630708109</v>
      </c>
      <c r="U98" s="41">
        <f t="shared" si="32"/>
        <v>1.9984014118775808</v>
      </c>
      <c r="V98" s="41">
        <f t="shared" si="32"/>
        <v>1.7536201858897686</v>
      </c>
    </row>
    <row r="99" spans="2:22" x14ac:dyDescent="0.2">
      <c r="B99" s="32"/>
      <c r="C99" s="77" t="s">
        <v>60</v>
      </c>
      <c r="D99" s="42">
        <f>22.3430964979999*Deflactores!$A$5</f>
        <v>81.117932950679148</v>
      </c>
      <c r="E99" s="42">
        <f>0.0676685036899999*Deflactores!$B$5</f>
        <v>0.22821957674701901</v>
      </c>
      <c r="F99" s="42">
        <f>0.507554082789999*Deflactores!$C$5</f>
        <v>1.5999189775518121</v>
      </c>
      <c r="G99" s="42">
        <f>0.87329680818*Deflactores!$D$5</f>
        <v>2.5850155286842358</v>
      </c>
      <c r="H99" s="42">
        <f>0.839745004*Deflactores!$E$5</f>
        <v>2.3561811273758768</v>
      </c>
      <c r="I99" s="42">
        <f>0.835305961*Deflactores!$F$5</f>
        <v>2.2352031215630781</v>
      </c>
      <c r="J99" s="42">
        <f>0.352199363*Deflactores!$G$5</f>
        <v>0.90205983317343164</v>
      </c>
      <c r="K99" s="42">
        <f>0*Deflactores!$H$5</f>
        <v>0</v>
      </c>
      <c r="L99" s="42">
        <f>0.652433291*Deflactores!$I$5</f>
        <v>1.4683118974728375</v>
      </c>
      <c r="M99" s="42">
        <f>0.660154885*Deflactores!$J$5</f>
        <v>1.4565324884294912</v>
      </c>
      <c r="N99" s="42">
        <f>0.62658618556*Deflactores!$K$5</f>
        <v>1.3399746275987818</v>
      </c>
      <c r="O99" s="42">
        <f>0.549967381*Deflactores!$L$5</f>
        <v>1.1338671990234404</v>
      </c>
      <c r="P99" s="42">
        <f>0.795709454*Deflactores!$M$5</f>
        <v>1.6014382907059679</v>
      </c>
      <c r="Q99" s="42">
        <f>0.708641824*Deflactores!$N$5</f>
        <v>1.3990648381203763</v>
      </c>
      <c r="R99" s="42">
        <f>0.740299999*Deflactores!$O$5</f>
        <v>1.4099626403954288</v>
      </c>
      <c r="S99" s="42">
        <f>1.250644745*Deflactores!$P$5</f>
        <v>2.2309229770231709</v>
      </c>
      <c r="T99" s="42">
        <f>0.9343812038*Deflactores!$Q$5</f>
        <v>1.5761383320108613</v>
      </c>
      <c r="U99" s="42">
        <f>1.1078660112*Deflactores!$R$5</f>
        <v>1.7953472792518674</v>
      </c>
      <c r="V99" s="42">
        <f>1.022488845*Deflactores!$S$5</f>
        <v>1.6059213963446284</v>
      </c>
    </row>
    <row r="100" spans="2:22" x14ac:dyDescent="0.2">
      <c r="B100" s="32"/>
      <c r="C100" s="77" t="s">
        <v>61</v>
      </c>
      <c r="D100" s="42">
        <f>9.204566706*Deflactores!$A$5</f>
        <v>33.417723678730042</v>
      </c>
      <c r="E100" s="42">
        <f>0.26754883848*Deflactores!$B$5</f>
        <v>0.90233830138740945</v>
      </c>
      <c r="F100" s="42">
        <f>0.24042720678*Deflactores!$C$5</f>
        <v>0.75787795604483554</v>
      </c>
      <c r="G100" s="42">
        <f>0.33004168123*Deflactores!$D$5</f>
        <v>0.97694490933803158</v>
      </c>
      <c r="H100" s="42">
        <f>0.301821487999999*Deflactores!$E$5</f>
        <v>0.84685957103009146</v>
      </c>
      <c r="I100" s="42">
        <f>0.282874911*Deflactores!$F$5</f>
        <v>0.7569476498433344</v>
      </c>
      <c r="J100" s="42">
        <f>0.09249776*Deflactores!$G$5</f>
        <v>0.23690705526493561</v>
      </c>
      <c r="K100" s="42">
        <f>0*Deflactores!$H$5</f>
        <v>0</v>
      </c>
      <c r="L100" s="42">
        <f>0*Deflactores!$I$5</f>
        <v>0</v>
      </c>
      <c r="M100" s="42">
        <f>1.279445549*Deflactores!$J$5</f>
        <v>2.822904217841252</v>
      </c>
      <c r="N100" s="42">
        <f>0.09669555472*Deflactores!$K$5</f>
        <v>0.2067865409617819</v>
      </c>
      <c r="O100" s="42">
        <f>0.068579234*Deflactores!$L$5</f>
        <v>0.14138973810658254</v>
      </c>
      <c r="P100" s="42">
        <f>0.125098387*Deflactores!$M$5</f>
        <v>0.25177198290188174</v>
      </c>
      <c r="Q100" s="42">
        <f>0.140177784*Deflactores!$N$5</f>
        <v>0.27675167064374834</v>
      </c>
      <c r="R100" s="42">
        <f>0.144399997*Deflactores!$O$5</f>
        <v>0.27502174972069943</v>
      </c>
      <c r="S100" s="42">
        <f>0.129807037*Deflactores!$P$5</f>
        <v>0.23155216745631221</v>
      </c>
      <c r="T100" s="42">
        <f>0.12185522044*Deflactores!$Q$5</f>
        <v>0.20554853105994961</v>
      </c>
      <c r="U100" s="42">
        <f>0.12529986514*Deflactores!$R$5</f>
        <v>0.20305413262571342</v>
      </c>
      <c r="V100" s="42">
        <f>0.094039699*Deflactores!$S$5</f>
        <v>0.14769878954514026</v>
      </c>
    </row>
    <row r="101" spans="2:22" x14ac:dyDescent="0.2">
      <c r="B101" s="34" t="s">
        <v>45</v>
      </c>
      <c r="C101" s="76" t="s">
        <v>46</v>
      </c>
      <c r="D101" s="41">
        <f>1799.17165705529*Deflactores!$A$5</f>
        <v>6531.9990833337706</v>
      </c>
      <c r="E101" s="41">
        <f>2106.00965140009*Deflactores!$B$5</f>
        <v>7102.7524632363629</v>
      </c>
      <c r="F101" s="41">
        <f>1947.80374768092*Deflactores!$C$5</f>
        <v>6139.8938283206144</v>
      </c>
      <c r="G101" s="41">
        <f>1933.04205586116*Deflactores!$D$5</f>
        <v>5721.9306027405646</v>
      </c>
      <c r="H101" s="41">
        <f>2276.97922791288*Deflactores!$E$5</f>
        <v>6388.8150077463561</v>
      </c>
      <c r="I101" s="41">
        <f>2352.79998572872*Deflactores!$F$5</f>
        <v>6295.8797351553931</v>
      </c>
      <c r="J101" s="41">
        <f>3095.81674347482*Deflactores!$G$5</f>
        <v>7929.0658318266542</v>
      </c>
      <c r="K101" s="41">
        <f>4209.5154416651*Deflactores!$H$5</f>
        <v>10200.62205048645</v>
      </c>
      <c r="L101" s="41">
        <f>5333.24370032962*Deflactores!$I$5</f>
        <v>12002.553035442885</v>
      </c>
      <c r="M101" s="41">
        <f>6504.14157747222*Deflactores!$J$5</f>
        <v>14350.410384274184</v>
      </c>
      <c r="N101" s="41">
        <f>6145.4796839798*Deflactores!$K$5</f>
        <v>13142.305146094181</v>
      </c>
      <c r="O101" s="41">
        <f>6081.76289655553*Deflactores!$L$5</f>
        <v>12538.764477455625</v>
      </c>
      <c r="P101" s="41">
        <f>7067.57973757295*Deflactores!$M$5</f>
        <v>14224.152745038213</v>
      </c>
      <c r="Q101" s="41">
        <f>8120.08488201475*Deflactores!$N$5</f>
        <v>16031.406637635437</v>
      </c>
      <c r="R101" s="41">
        <f>5285.51722080771*Deflactores!$O$5</f>
        <v>10066.70515544003</v>
      </c>
      <c r="S101" s="41">
        <f>5641.18982898195*Deflactores!$P$5</f>
        <v>10062.857624069131</v>
      </c>
      <c r="T101" s="41">
        <f>7107.29372001726*Deflactores!$Q$5</f>
        <v>11988.766494255193</v>
      </c>
      <c r="U101" s="41">
        <f>7610.44103442665*Deflactores!$R$5</f>
        <v>12333.065972720811</v>
      </c>
      <c r="V101" s="41">
        <f>6643.60601127661*Deflactores!$S$5</f>
        <v>10434.450306783445</v>
      </c>
    </row>
    <row r="102" spans="2:22" x14ac:dyDescent="0.2">
      <c r="B102" s="36" t="s">
        <v>47</v>
      </c>
      <c r="C102" s="78" t="s">
        <v>48</v>
      </c>
      <c r="D102" s="43">
        <f t="shared" ref="D102:V102" si="33">+D89+D101</f>
        <v>11731.115827490552</v>
      </c>
      <c r="E102" s="43">
        <f t="shared" si="33"/>
        <v>12214.451825510998</v>
      </c>
      <c r="F102" s="43">
        <f t="shared" si="33"/>
        <v>11375.565129249657</v>
      </c>
      <c r="G102" s="43">
        <f t="shared" si="33"/>
        <v>10909.021358208718</v>
      </c>
      <c r="H102" s="43">
        <f t="shared" si="33"/>
        <v>17217.312435600368</v>
      </c>
      <c r="I102" s="43">
        <f t="shared" si="33"/>
        <v>16649.660220578109</v>
      </c>
      <c r="J102" s="43">
        <f t="shared" si="33"/>
        <v>13004.858972591384</v>
      </c>
      <c r="K102" s="43">
        <f t="shared" si="33"/>
        <v>15663.210981745879</v>
      </c>
      <c r="L102" s="43">
        <f t="shared" si="33"/>
        <v>17505.029036492593</v>
      </c>
      <c r="M102" s="43">
        <f t="shared" si="33"/>
        <v>20937.374148663752</v>
      </c>
      <c r="N102" s="43">
        <f t="shared" si="33"/>
        <v>22596.366455935844</v>
      </c>
      <c r="O102" s="43">
        <f t="shared" si="33"/>
        <v>21330.802668869506</v>
      </c>
      <c r="P102" s="43">
        <f t="shared" si="33"/>
        <v>22744.96242147552</v>
      </c>
      <c r="Q102" s="43">
        <f t="shared" si="33"/>
        <v>24850.382098227848</v>
      </c>
      <c r="R102" s="43">
        <f t="shared" si="33"/>
        <v>19109.007043087044</v>
      </c>
      <c r="S102" s="43">
        <f t="shared" si="33"/>
        <v>19293.778940055119</v>
      </c>
      <c r="T102" s="43">
        <f t="shared" si="33"/>
        <v>20635.602630298916</v>
      </c>
      <c r="U102" s="43">
        <f t="shared" si="33"/>
        <v>21250.281510843073</v>
      </c>
      <c r="V102" s="43">
        <f t="shared" si="33"/>
        <v>18914.992722009247</v>
      </c>
    </row>
    <row r="103" spans="2:22" x14ac:dyDescent="0.2">
      <c r="B103" s="38" t="s">
        <v>49</v>
      </c>
      <c r="C103" s="79" t="s">
        <v>63</v>
      </c>
      <c r="D103" s="44">
        <f t="shared" ref="D103:V103" si="34">+D89+D94+D101</f>
        <v>11862.336015079625</v>
      </c>
      <c r="E103" s="44">
        <f t="shared" si="34"/>
        <v>12226.014831553479</v>
      </c>
      <c r="F103" s="44">
        <f t="shared" si="34"/>
        <v>11387.03836231821</v>
      </c>
      <c r="G103" s="44">
        <f t="shared" si="34"/>
        <v>10922.530891601051</v>
      </c>
      <c r="H103" s="44">
        <f t="shared" si="34"/>
        <v>17227.958547570292</v>
      </c>
      <c r="I103" s="44">
        <f t="shared" si="34"/>
        <v>16656.875722014047</v>
      </c>
      <c r="J103" s="44">
        <f t="shared" si="34"/>
        <v>13008.172551245747</v>
      </c>
      <c r="K103" s="44">
        <f t="shared" si="34"/>
        <v>15665.620231654335</v>
      </c>
      <c r="L103" s="44">
        <f t="shared" si="34"/>
        <v>17507.666277462431</v>
      </c>
      <c r="M103" s="44">
        <f t="shared" si="34"/>
        <v>20943.507259615577</v>
      </c>
      <c r="N103" s="44">
        <f t="shared" si="34"/>
        <v>22598.749149430965</v>
      </c>
      <c r="O103" s="44">
        <f t="shared" si="34"/>
        <v>21333.235843481132</v>
      </c>
      <c r="P103" s="44">
        <f t="shared" si="34"/>
        <v>22747.111819432415</v>
      </c>
      <c r="Q103" s="44">
        <f t="shared" si="34"/>
        <v>24852.352013909753</v>
      </c>
      <c r="R103" s="44">
        <f t="shared" si="34"/>
        <v>19110.998297051738</v>
      </c>
      <c r="S103" s="44">
        <f t="shared" si="34"/>
        <v>19296.581378857951</v>
      </c>
      <c r="T103" s="44">
        <f t="shared" si="34"/>
        <v>20637.773074543384</v>
      </c>
      <c r="U103" s="44">
        <f t="shared" si="34"/>
        <v>21252.675867372454</v>
      </c>
      <c r="V103" s="44">
        <f t="shared" si="34"/>
        <v>18916.932875855848</v>
      </c>
    </row>
    <row r="104" spans="2:22" x14ac:dyDescent="0.2">
      <c r="B104" s="36" t="s">
        <v>64</v>
      </c>
      <c r="C104" s="78" t="s">
        <v>65</v>
      </c>
      <c r="D104" s="43">
        <f t="shared" ref="D104:V104" si="35">+D27</f>
        <v>15033.511833455341</v>
      </c>
      <c r="E104" s="43">
        <f t="shared" si="35"/>
        <v>16063.222132372155</v>
      </c>
      <c r="F104" s="43">
        <f t="shared" si="35"/>
        <v>15920.670057249039</v>
      </c>
      <c r="G104" s="43">
        <f t="shared" si="35"/>
        <v>14479.003210899238</v>
      </c>
      <c r="H104" s="43">
        <f t="shared" si="35"/>
        <v>21653.077304645492</v>
      </c>
      <c r="I104" s="43">
        <f t="shared" si="35"/>
        <v>20768.525278131921</v>
      </c>
      <c r="J104" s="43">
        <f t="shared" si="35"/>
        <v>17851.352558518363</v>
      </c>
      <c r="K104" s="43">
        <f t="shared" si="35"/>
        <v>18512.220880823188</v>
      </c>
      <c r="L104" s="43">
        <f t="shared" si="35"/>
        <v>19822.987366308465</v>
      </c>
      <c r="M104" s="43">
        <f t="shared" si="35"/>
        <v>24738.862399692178</v>
      </c>
      <c r="N104" s="43">
        <f t="shared" si="35"/>
        <v>26958.059777150196</v>
      </c>
      <c r="O104" s="43">
        <f t="shared" si="35"/>
        <v>26578.607563158403</v>
      </c>
      <c r="P104" s="43">
        <f t="shared" si="35"/>
        <v>26658.777787785562</v>
      </c>
      <c r="Q104" s="43">
        <f t="shared" si="35"/>
        <v>28437.954061940545</v>
      </c>
      <c r="R104" s="43">
        <f t="shared" si="35"/>
        <v>21737.69237439819</v>
      </c>
      <c r="S104" s="43">
        <f t="shared" si="35"/>
        <v>21864.82780530092</v>
      </c>
      <c r="T104" s="43">
        <f t="shared" si="35"/>
        <v>22529.887542971104</v>
      </c>
      <c r="U104" s="43">
        <f t="shared" si="35"/>
        <v>23684.803012427681</v>
      </c>
      <c r="V104" s="43">
        <f t="shared" si="35"/>
        <v>21585.083460589885</v>
      </c>
    </row>
    <row r="105" spans="2:22" x14ac:dyDescent="0.2">
      <c r="B105" s="38" t="s">
        <v>66</v>
      </c>
      <c r="C105" s="79" t="s">
        <v>70</v>
      </c>
      <c r="D105" s="45">
        <f t="shared" ref="D105:V105" si="36">+D102/D$27*100</f>
        <v>78.033103359018966</v>
      </c>
      <c r="E105" s="45">
        <f t="shared" si="36"/>
        <v>76.039861273506617</v>
      </c>
      <c r="F105" s="45">
        <f t="shared" si="36"/>
        <v>71.451547506130908</v>
      </c>
      <c r="G105" s="45">
        <f t="shared" si="36"/>
        <v>75.343731880636824</v>
      </c>
      <c r="H105" s="45">
        <f t="shared" si="36"/>
        <v>79.514390464520872</v>
      </c>
      <c r="I105" s="45">
        <f t="shared" si="36"/>
        <v>80.167753837145369</v>
      </c>
      <c r="J105" s="45">
        <f t="shared" si="36"/>
        <v>72.850832618762468</v>
      </c>
      <c r="K105" s="45">
        <f t="shared" si="36"/>
        <v>84.610112868582945</v>
      </c>
      <c r="L105" s="45">
        <f t="shared" si="36"/>
        <v>88.306715395705098</v>
      </c>
      <c r="M105" s="45">
        <f t="shared" si="36"/>
        <v>84.633536540161487</v>
      </c>
      <c r="N105" s="45">
        <f t="shared" si="36"/>
        <v>83.820447920694392</v>
      </c>
      <c r="O105" s="45">
        <f t="shared" si="36"/>
        <v>80.255531137894991</v>
      </c>
      <c r="P105" s="45">
        <f t="shared" si="36"/>
        <v>85.318849208071114</v>
      </c>
      <c r="Q105" s="45">
        <f t="shared" si="36"/>
        <v>87.38456375624412</v>
      </c>
      <c r="R105" s="45">
        <f t="shared" si="36"/>
        <v>87.90724753098857</v>
      </c>
      <c r="S105" s="45">
        <f t="shared" si="36"/>
        <v>88.241165729087186</v>
      </c>
      <c r="T105" s="45">
        <f t="shared" si="36"/>
        <v>91.592124421130677</v>
      </c>
      <c r="U105" s="45">
        <f t="shared" si="36"/>
        <v>89.721166351659392</v>
      </c>
      <c r="V105" s="45">
        <f t="shared" si="36"/>
        <v>87.629926270817066</v>
      </c>
    </row>
    <row r="106" spans="2:22" x14ac:dyDescent="0.2">
      <c r="B106" s="1" t="s">
        <v>52</v>
      </c>
    </row>
    <row r="107" spans="2:22" x14ac:dyDescent="0.2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</row>
    <row r="108" spans="2:22" x14ac:dyDescent="0.2"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</row>
    <row r="109" spans="2:22" x14ac:dyDescent="0.2"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</row>
    <row r="110" spans="2:22" x14ac:dyDescent="0.2"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</row>
    <row r="111" spans="2:22" ht="15" customHeight="1" x14ac:dyDescent="0.2">
      <c r="C111" s="131"/>
      <c r="D111" s="160" t="s">
        <v>87</v>
      </c>
      <c r="E111" s="158"/>
      <c r="F111" s="158"/>
      <c r="G111" s="158"/>
      <c r="H111" s="158"/>
      <c r="I111" s="158"/>
      <c r="J111" s="158"/>
      <c r="K111" s="158"/>
      <c r="L111" s="158"/>
      <c r="M111" s="158"/>
      <c r="N111" s="158"/>
      <c r="O111" s="158"/>
      <c r="P111" s="158"/>
      <c r="Q111" s="158"/>
      <c r="R111" s="158"/>
      <c r="S111" s="158"/>
      <c r="T111" s="158"/>
      <c r="U111" s="158"/>
      <c r="V111" s="158"/>
    </row>
    <row r="112" spans="2:22" x14ac:dyDescent="0.2">
      <c r="U112" s="29"/>
      <c r="V112" s="29"/>
    </row>
    <row r="113" spans="2:22" ht="13.5" customHeight="1" x14ac:dyDescent="0.2">
      <c r="B113" s="163"/>
      <c r="C113" s="155" t="s">
        <v>38</v>
      </c>
      <c r="D113" s="153">
        <v>2000</v>
      </c>
      <c r="E113" s="153">
        <v>2001</v>
      </c>
      <c r="F113" s="153">
        <v>2002</v>
      </c>
      <c r="G113" s="153">
        <v>2003</v>
      </c>
      <c r="H113" s="153">
        <v>2004</v>
      </c>
      <c r="I113" s="153">
        <v>2005</v>
      </c>
      <c r="J113" s="153">
        <v>2006</v>
      </c>
      <c r="K113" s="153">
        <v>2007</v>
      </c>
      <c r="L113" s="153">
        <v>2008</v>
      </c>
      <c r="M113" s="153">
        <v>2009</v>
      </c>
      <c r="N113" s="153">
        <v>2010</v>
      </c>
      <c r="O113" s="153">
        <v>2011</v>
      </c>
      <c r="P113" s="153">
        <v>2012</v>
      </c>
      <c r="Q113" s="153">
        <v>2013</v>
      </c>
      <c r="R113" s="153">
        <v>2014</v>
      </c>
      <c r="S113" s="153">
        <v>2015</v>
      </c>
      <c r="T113" s="153">
        <v>2016</v>
      </c>
      <c r="U113" s="153">
        <v>2017</v>
      </c>
      <c r="V113" s="153">
        <v>2018</v>
      </c>
    </row>
    <row r="114" spans="2:22" ht="12" customHeight="1" thickBot="1" x14ac:dyDescent="0.25">
      <c r="B114" s="154"/>
      <c r="C114" s="156"/>
      <c r="D114" s="154"/>
      <c r="E114" s="154"/>
      <c r="F114" s="154"/>
      <c r="G114" s="154"/>
      <c r="H114" s="154"/>
      <c r="I114" s="154"/>
      <c r="J114" s="154"/>
      <c r="K114" s="154"/>
      <c r="L114" s="154"/>
      <c r="M114" s="154"/>
      <c r="N114" s="154"/>
      <c r="O114" s="154"/>
      <c r="P114" s="154"/>
      <c r="Q114" s="154"/>
      <c r="R114" s="154"/>
      <c r="S114" s="154"/>
      <c r="T114" s="154"/>
      <c r="U114" s="154"/>
      <c r="V114" s="154"/>
    </row>
    <row r="115" spans="2:22" x14ac:dyDescent="0.2">
      <c r="B115" s="34" t="s">
        <v>39</v>
      </c>
      <c r="C115" s="76" t="s">
        <v>40</v>
      </c>
      <c r="D115" s="46">
        <f t="shared" ref="D115:V115" si="37">+IFERROR(IF(D89&gt;0,+((D89/D14)*100)," "),"")</f>
        <v>79.449599783721922</v>
      </c>
      <c r="E115" s="46">
        <f t="shared" si="37"/>
        <v>76.580916454809284</v>
      </c>
      <c r="F115" s="46">
        <f t="shared" si="37"/>
        <v>78.743843556625066</v>
      </c>
      <c r="G115" s="46">
        <f t="shared" si="37"/>
        <v>79.671929942762745</v>
      </c>
      <c r="H115" s="46">
        <f t="shared" si="37"/>
        <v>85.655760097843071</v>
      </c>
      <c r="I115" s="46">
        <f t="shared" si="37"/>
        <v>89.429824094994004</v>
      </c>
      <c r="J115" s="46">
        <f t="shared" si="37"/>
        <v>72.401851766921354</v>
      </c>
      <c r="K115" s="46">
        <f t="shared" si="37"/>
        <v>81.290268174868004</v>
      </c>
      <c r="L115" s="46">
        <f t="shared" si="37"/>
        <v>83.245902238485016</v>
      </c>
      <c r="M115" s="46">
        <f t="shared" si="37"/>
        <v>80.224357357469273</v>
      </c>
      <c r="N115" s="46">
        <f t="shared" si="37"/>
        <v>86.272473292677134</v>
      </c>
      <c r="O115" s="46">
        <f t="shared" si="37"/>
        <v>84.137071424133907</v>
      </c>
      <c r="P115" s="46">
        <f t="shared" si="37"/>
        <v>84.440042237712944</v>
      </c>
      <c r="Q115" s="46">
        <f t="shared" si="37"/>
        <v>81.47733274061045</v>
      </c>
      <c r="R115" s="46">
        <f t="shared" si="37"/>
        <v>86.203243971770078</v>
      </c>
      <c r="S115" s="46">
        <f t="shared" si="37"/>
        <v>87.747360332174111</v>
      </c>
      <c r="T115" s="46">
        <f t="shared" si="37"/>
        <v>91.157152643956181</v>
      </c>
      <c r="U115" s="46">
        <f t="shared" si="37"/>
        <v>93.280911719467639</v>
      </c>
      <c r="V115" s="46">
        <f t="shared" si="37"/>
        <v>88.916562374495314</v>
      </c>
    </row>
    <row r="116" spans="2:22" x14ac:dyDescent="0.2">
      <c r="B116" s="40"/>
      <c r="C116" s="77" t="s">
        <v>56</v>
      </c>
      <c r="D116" s="47">
        <f t="shared" ref="D116:V116" si="38">+IFERROR(IF(D90&gt;0,+((D90/D15)*100)," "),"")</f>
        <v>94.87869459007544</v>
      </c>
      <c r="E116" s="47">
        <f t="shared" si="38"/>
        <v>94.218853909255259</v>
      </c>
      <c r="F116" s="47">
        <f t="shared" si="38"/>
        <v>96.202663718141807</v>
      </c>
      <c r="G116" s="47">
        <f t="shared" si="38"/>
        <v>93.86050389820825</v>
      </c>
      <c r="H116" s="47">
        <f t="shared" si="38"/>
        <v>92.614016723367655</v>
      </c>
      <c r="I116" s="47">
        <f t="shared" si="38"/>
        <v>94.478319673952882</v>
      </c>
      <c r="J116" s="47">
        <f t="shared" si="38"/>
        <v>93.114137176267448</v>
      </c>
      <c r="K116" s="47">
        <f t="shared" si="38"/>
        <v>93.520027856211271</v>
      </c>
      <c r="L116" s="47">
        <f t="shared" si="38"/>
        <v>95.129170431048834</v>
      </c>
      <c r="M116" s="47">
        <f t="shared" si="38"/>
        <v>92.716160929565746</v>
      </c>
      <c r="N116" s="47">
        <f t="shared" si="38"/>
        <v>94.077077152247043</v>
      </c>
      <c r="O116" s="47">
        <f t="shared" si="38"/>
        <v>92.791938307790403</v>
      </c>
      <c r="P116" s="47">
        <f t="shared" si="38"/>
        <v>92.815668363639716</v>
      </c>
      <c r="Q116" s="47">
        <f t="shared" si="38"/>
        <v>83.690797646981707</v>
      </c>
      <c r="R116" s="47">
        <f t="shared" si="38"/>
        <v>87.042900713714445</v>
      </c>
      <c r="S116" s="47">
        <f t="shared" si="38"/>
        <v>90.451093631971503</v>
      </c>
      <c r="T116" s="47">
        <f t="shared" si="38"/>
        <v>92.891283077620216</v>
      </c>
      <c r="U116" s="47">
        <f t="shared" si="38"/>
        <v>92.977231705968336</v>
      </c>
      <c r="V116" s="47">
        <f t="shared" si="38"/>
        <v>93.352842406980812</v>
      </c>
    </row>
    <row r="117" spans="2:22" x14ac:dyDescent="0.2">
      <c r="B117" s="40"/>
      <c r="C117" s="77" t="s">
        <v>57</v>
      </c>
      <c r="D117" s="47">
        <f t="shared" ref="D117:V117" si="39">+IFERROR(IF(D91&gt;0,+((D91/D16)*100)," "),"")</f>
        <v>83.535634460824781</v>
      </c>
      <c r="E117" s="47">
        <f t="shared" si="39"/>
        <v>87.711723750849501</v>
      </c>
      <c r="F117" s="47">
        <f t="shared" si="39"/>
        <v>87.326398698864622</v>
      </c>
      <c r="G117" s="47">
        <f t="shared" si="39"/>
        <v>82.440837853176234</v>
      </c>
      <c r="H117" s="47">
        <f t="shared" si="39"/>
        <v>78.971138839963288</v>
      </c>
      <c r="I117" s="47">
        <f t="shared" si="39"/>
        <v>82.034435839650087</v>
      </c>
      <c r="J117" s="47">
        <f t="shared" si="39"/>
        <v>77.040572193548684</v>
      </c>
      <c r="K117" s="47">
        <f t="shared" si="39"/>
        <v>82.160911493210065</v>
      </c>
      <c r="L117" s="47">
        <f t="shared" si="39"/>
        <v>85.317639595942921</v>
      </c>
      <c r="M117" s="47">
        <f t="shared" si="39"/>
        <v>87.714608818149898</v>
      </c>
      <c r="N117" s="47">
        <f t="shared" si="39"/>
        <v>83.298679708556776</v>
      </c>
      <c r="O117" s="47">
        <f t="shared" si="39"/>
        <v>84.153865564447599</v>
      </c>
      <c r="P117" s="47">
        <f t="shared" si="39"/>
        <v>85.789310733768502</v>
      </c>
      <c r="Q117" s="47">
        <f t="shared" si="39"/>
        <v>89.841255125276788</v>
      </c>
      <c r="R117" s="47">
        <f t="shared" si="39"/>
        <v>87.071520714399398</v>
      </c>
      <c r="S117" s="47">
        <f t="shared" si="39"/>
        <v>92.865469123999304</v>
      </c>
      <c r="T117" s="47">
        <f t="shared" si="39"/>
        <v>92.780882430848919</v>
      </c>
      <c r="U117" s="47">
        <f t="shared" si="39"/>
        <v>91.202222295772287</v>
      </c>
      <c r="V117" s="47">
        <f t="shared" si="39"/>
        <v>84.709058493249444</v>
      </c>
    </row>
    <row r="118" spans="2:22" x14ac:dyDescent="0.2">
      <c r="B118" s="40"/>
      <c r="C118" s="77" t="s">
        <v>58</v>
      </c>
      <c r="D118" s="47">
        <f t="shared" ref="D118:V118" si="40">+IFERROR(IF(D92&gt;0,+((D92/D17)*100)," "),"")</f>
        <v>63.302146807798962</v>
      </c>
      <c r="E118" s="47">
        <f t="shared" si="40"/>
        <v>64.07433230310636</v>
      </c>
      <c r="F118" s="47">
        <f t="shared" si="40"/>
        <v>63.641428837749324</v>
      </c>
      <c r="G118" s="47">
        <f t="shared" si="40"/>
        <v>68.446012030926781</v>
      </c>
      <c r="H118" s="47">
        <f t="shared" si="40"/>
        <v>85.794207226111581</v>
      </c>
      <c r="I118" s="47">
        <f t="shared" si="40"/>
        <v>92.27987301742202</v>
      </c>
      <c r="J118" s="47">
        <f t="shared" si="40"/>
        <v>63.977722530730553</v>
      </c>
      <c r="K118" s="47">
        <f t="shared" si="40"/>
        <v>67.705695776679406</v>
      </c>
      <c r="L118" s="47">
        <f t="shared" si="40"/>
        <v>67.94353758762486</v>
      </c>
      <c r="M118" s="47">
        <f t="shared" si="40"/>
        <v>66.184788046655868</v>
      </c>
      <c r="N118" s="47">
        <f t="shared" si="40"/>
        <v>83.492723118485245</v>
      </c>
      <c r="O118" s="47">
        <f t="shared" si="40"/>
        <v>82.214667354898793</v>
      </c>
      <c r="P118" s="47">
        <f t="shared" si="40"/>
        <v>85.447426406577179</v>
      </c>
      <c r="Q118" s="47">
        <f t="shared" si="40"/>
        <v>78.134656712191045</v>
      </c>
      <c r="R118" s="47">
        <f t="shared" si="40"/>
        <v>83.223744469365641</v>
      </c>
      <c r="S118" s="47">
        <f t="shared" si="40"/>
        <v>88.029343636565912</v>
      </c>
      <c r="T118" s="47">
        <f t="shared" si="40"/>
        <v>91.33485314978887</v>
      </c>
      <c r="U118" s="47">
        <f t="shared" si="40"/>
        <v>94.311144647114602</v>
      </c>
      <c r="V118" s="47">
        <f t="shared" si="40"/>
        <v>84.685528713146624</v>
      </c>
    </row>
    <row r="119" spans="2:22" x14ac:dyDescent="0.2">
      <c r="B119" s="40"/>
      <c r="C119" s="77" t="s">
        <v>59</v>
      </c>
      <c r="D119" s="47">
        <f t="shared" ref="D119:V119" si="41">+IFERROR(IF(D93&gt;0,+((D93/D18)*100)," "),"")</f>
        <v>86.401582645799181</v>
      </c>
      <c r="E119" s="47">
        <f t="shared" si="41"/>
        <v>73.33390393890032</v>
      </c>
      <c r="F119" s="47">
        <f t="shared" si="41"/>
        <v>80.353603564870895</v>
      </c>
      <c r="G119" s="47">
        <f t="shared" si="41"/>
        <v>81.437704666551298</v>
      </c>
      <c r="H119" s="47">
        <f t="shared" si="41"/>
        <v>81.404578999021226</v>
      </c>
      <c r="I119" s="47">
        <f t="shared" si="41"/>
        <v>78.553798323819066</v>
      </c>
      <c r="J119" s="47">
        <f t="shared" si="41"/>
        <v>65.689580662135413</v>
      </c>
      <c r="K119" s="47">
        <f t="shared" si="41"/>
        <v>87.769379257912888</v>
      </c>
      <c r="L119" s="47">
        <f t="shared" si="41"/>
        <v>88.997674642408853</v>
      </c>
      <c r="M119" s="47">
        <f t="shared" si="41"/>
        <v>85.574595969286065</v>
      </c>
      <c r="N119" s="47">
        <f t="shared" si="41"/>
        <v>87.360293888875987</v>
      </c>
      <c r="O119" s="47">
        <f t="shared" si="41"/>
        <v>81.93372456737697</v>
      </c>
      <c r="P119" s="47">
        <f t="shared" si="41"/>
        <v>77.537990839466076</v>
      </c>
      <c r="Q119" s="47">
        <f t="shared" si="41"/>
        <v>80.603903137832219</v>
      </c>
      <c r="R119" s="47">
        <f t="shared" si="41"/>
        <v>88.57262388630943</v>
      </c>
      <c r="S119" s="47">
        <f t="shared" si="41"/>
        <v>83.282613577361246</v>
      </c>
      <c r="T119" s="47">
        <f t="shared" si="41"/>
        <v>88.758846265319832</v>
      </c>
      <c r="U119" s="47">
        <f t="shared" si="41"/>
        <v>93.221721476832997</v>
      </c>
      <c r="V119" s="47">
        <f t="shared" si="41"/>
        <v>90.461133388614599</v>
      </c>
    </row>
    <row r="120" spans="2:22" x14ac:dyDescent="0.2">
      <c r="B120" s="34" t="s">
        <v>41</v>
      </c>
      <c r="C120" s="76" t="s">
        <v>42</v>
      </c>
      <c r="D120" s="46">
        <f t="shared" ref="D120:V120" si="42">+IFERROR(IF(D94&gt;0,+((D94/D19)*100)," "),"")</f>
        <v>92.191376453904667</v>
      </c>
      <c r="E120" s="46">
        <f t="shared" si="42"/>
        <v>87.055269387492018</v>
      </c>
      <c r="F120" s="46">
        <f t="shared" si="42"/>
        <v>78.069056425025792</v>
      </c>
      <c r="G120" s="46">
        <f t="shared" si="42"/>
        <v>96.615952224729583</v>
      </c>
      <c r="H120" s="46">
        <f t="shared" si="42"/>
        <v>94.512120003736115</v>
      </c>
      <c r="I120" s="46">
        <f t="shared" si="42"/>
        <v>64.274124366593867</v>
      </c>
      <c r="J120" s="46">
        <f t="shared" si="42"/>
        <v>43.142271029745224</v>
      </c>
      <c r="K120" s="46">
        <f t="shared" si="42"/>
        <v>34.822593246126615</v>
      </c>
      <c r="L120" s="46">
        <f t="shared" si="42"/>
        <v>50.127821664028701</v>
      </c>
      <c r="M120" s="46">
        <f t="shared" si="42"/>
        <v>69.586071184319195</v>
      </c>
      <c r="N120" s="46">
        <f t="shared" si="42"/>
        <v>49.093300769773109</v>
      </c>
      <c r="O120" s="46">
        <f t="shared" si="42"/>
        <v>62.423535544271694</v>
      </c>
      <c r="P120" s="46">
        <f t="shared" si="42"/>
        <v>87.524597197180782</v>
      </c>
      <c r="Q120" s="46">
        <f t="shared" si="42"/>
        <v>72.408134542815674</v>
      </c>
      <c r="R120" s="46">
        <f t="shared" si="42"/>
        <v>99.250678167837464</v>
      </c>
      <c r="S120" s="46">
        <f t="shared" si="42"/>
        <v>99.999996308163531</v>
      </c>
      <c r="T120" s="46">
        <f t="shared" si="42"/>
        <v>99.914747684352278</v>
      </c>
      <c r="U120" s="46">
        <f t="shared" si="42"/>
        <v>95.624900728755421</v>
      </c>
      <c r="V120" s="46">
        <f t="shared" si="42"/>
        <v>95.997882121494726</v>
      </c>
    </row>
    <row r="121" spans="2:22" x14ac:dyDescent="0.2">
      <c r="B121" s="34"/>
      <c r="C121" s="76" t="s">
        <v>43</v>
      </c>
      <c r="D121" s="46">
        <f t="shared" ref="D121:V121" si="43">+IFERROR(IF(D95&gt;0,+((D95/D20)*100)," "),"")</f>
        <v>71.104986802251403</v>
      </c>
      <c r="E121" s="46">
        <f t="shared" si="43"/>
        <v>87.544145602252783</v>
      </c>
      <c r="F121" s="46">
        <f t="shared" si="43"/>
        <v>81.69728083568765</v>
      </c>
      <c r="G121" s="46">
        <f t="shared" si="43"/>
        <v>96.519434525238836</v>
      </c>
      <c r="H121" s="46">
        <f t="shared" si="43"/>
        <v>94.121383681166265</v>
      </c>
      <c r="I121" s="46">
        <f t="shared" si="43"/>
        <v>70.419283963590573</v>
      </c>
      <c r="J121" s="46">
        <f t="shared" si="43"/>
        <v>62.809091628939193</v>
      </c>
      <c r="K121" s="46">
        <f t="shared" si="43"/>
        <v>78.253125698526276</v>
      </c>
      <c r="L121" s="46">
        <f t="shared" si="43"/>
        <v>44.783996899465336</v>
      </c>
      <c r="M121" s="46">
        <f t="shared" si="43"/>
        <v>83.764142731804498</v>
      </c>
      <c r="N121" s="46">
        <f t="shared" si="43"/>
        <v>33.900457600089247</v>
      </c>
      <c r="O121" s="46">
        <f t="shared" si="43"/>
        <v>60.151306415336826</v>
      </c>
      <c r="P121" s="46">
        <f t="shared" si="43"/>
        <v>86.467270270270276</v>
      </c>
      <c r="Q121" s="46">
        <f t="shared" si="43"/>
        <v>28.696683875939126</v>
      </c>
      <c r="R121" s="46">
        <f t="shared" si="43"/>
        <v>95.32107161825725</v>
      </c>
      <c r="S121" s="46">
        <f t="shared" si="43"/>
        <v>100</v>
      </c>
      <c r="T121" s="46">
        <f t="shared" si="43"/>
        <v>99.527891537933129</v>
      </c>
      <c r="U121" s="46">
        <f t="shared" si="43"/>
        <v>82.26749657239057</v>
      </c>
      <c r="V121" s="46">
        <f t="shared" si="43"/>
        <v>84.231084992907796</v>
      </c>
    </row>
    <row r="122" spans="2:22" x14ac:dyDescent="0.2">
      <c r="B122" s="32"/>
      <c r="C122" s="77" t="s">
        <v>60</v>
      </c>
      <c r="D122" s="47">
        <f t="shared" ref="D122:V122" si="44">+IFERROR(IF(D96&gt;0,+((D96/D21)*100)," "),"")</f>
        <v>66.695597144841997</v>
      </c>
      <c r="E122" s="47">
        <f t="shared" si="44"/>
        <v>86.230305482704509</v>
      </c>
      <c r="F122" s="47">
        <f t="shared" si="44"/>
        <v>81.720062631596633</v>
      </c>
      <c r="G122" s="47">
        <f t="shared" si="44"/>
        <v>96.894011305999456</v>
      </c>
      <c r="H122" s="47">
        <f t="shared" si="44"/>
        <v>95.947763471667287</v>
      </c>
      <c r="I122" s="47">
        <f t="shared" si="44"/>
        <v>71.793804760845177</v>
      </c>
      <c r="J122" s="47">
        <f t="shared" si="44"/>
        <v>64.982929189189193</v>
      </c>
      <c r="K122" s="47">
        <f t="shared" si="44"/>
        <v>80.956498047032028</v>
      </c>
      <c r="L122" s="47">
        <f t="shared" si="44"/>
        <v>43.635602022655178</v>
      </c>
      <c r="M122" s="47">
        <f t="shared" si="44"/>
        <v>86.574771864906054</v>
      </c>
      <c r="N122" s="47">
        <f t="shared" si="44"/>
        <v>33.464252337722478</v>
      </c>
      <c r="O122" s="47">
        <f t="shared" si="44"/>
        <v>60.371612026827329</v>
      </c>
      <c r="P122" s="47">
        <f t="shared" si="44"/>
        <v>86.975925820256791</v>
      </c>
      <c r="Q122" s="47">
        <f t="shared" si="44"/>
        <v>26.285304734339466</v>
      </c>
      <c r="R122" s="47">
        <f t="shared" si="44"/>
        <v>96.499260847337567</v>
      </c>
      <c r="S122" s="47">
        <f t="shared" si="44"/>
        <v>100</v>
      </c>
      <c r="T122" s="47">
        <f t="shared" si="44"/>
        <v>100</v>
      </c>
      <c r="U122" s="47">
        <f t="shared" si="44"/>
        <v>82.605949259649122</v>
      </c>
      <c r="V122" s="47">
        <f t="shared" si="44"/>
        <v>84.790471514492765</v>
      </c>
    </row>
    <row r="123" spans="2:22" x14ac:dyDescent="0.2">
      <c r="B123" s="32"/>
      <c r="C123" s="77" t="s">
        <v>61</v>
      </c>
      <c r="D123" s="47">
        <f t="shared" ref="D123:V123" si="45">+IFERROR(IF(D97&gt;0,+((D97/D22)*100)," "),"")</f>
        <v>95.831980858807896</v>
      </c>
      <c r="E123" s="47">
        <f t="shared" si="45"/>
        <v>93.941804948504981</v>
      </c>
      <c r="F123" s="47">
        <f t="shared" si="45"/>
        <v>81.576756349742325</v>
      </c>
      <c r="G123" s="47">
        <f t="shared" si="45"/>
        <v>93.463476726708166</v>
      </c>
      <c r="H123" s="47">
        <f t="shared" si="45"/>
        <v>80.759009262319253</v>
      </c>
      <c r="I123" s="47">
        <f t="shared" si="45"/>
        <v>59.557525417133746</v>
      </c>
      <c r="J123" s="47">
        <f t="shared" si="45"/>
        <v>48.557028608160977</v>
      </c>
      <c r="K123" s="47">
        <f t="shared" si="45"/>
        <v>57.07979789047004</v>
      </c>
      <c r="L123" s="47">
        <f t="shared" si="45"/>
        <v>54.913403700253937</v>
      </c>
      <c r="M123" s="47">
        <f t="shared" si="45"/>
        <v>54.022104191685912</v>
      </c>
      <c r="N123" s="47">
        <f t="shared" si="45"/>
        <v>38.919512065232958</v>
      </c>
      <c r="O123" s="47">
        <f t="shared" si="45"/>
        <v>56.562364814814636</v>
      </c>
      <c r="P123" s="47">
        <f t="shared" si="45"/>
        <v>84.090153333333333</v>
      </c>
      <c r="Q123" s="47">
        <f t="shared" si="45"/>
        <v>61.645387005649724</v>
      </c>
      <c r="R123" s="47">
        <f t="shared" si="45"/>
        <v>86.927078715050143</v>
      </c>
      <c r="S123" s="47">
        <f t="shared" si="45"/>
        <v>100</v>
      </c>
      <c r="T123" s="47">
        <f t="shared" si="45"/>
        <v>93.830625492451418</v>
      </c>
      <c r="U123" s="47">
        <f t="shared" si="45"/>
        <v>74.229245249999991</v>
      </c>
      <c r="V123" s="47">
        <f t="shared" si="45"/>
        <v>58.499304999999666</v>
      </c>
    </row>
    <row r="124" spans="2:22" x14ac:dyDescent="0.2">
      <c r="B124" s="34"/>
      <c r="C124" s="76" t="s">
        <v>44</v>
      </c>
      <c r="D124" s="46">
        <f t="shared" ref="D124:V124" si="46">+IFERROR(IF(D98&gt;0,+((D98/D23)*100)," "),"")</f>
        <v>96.353780336045389</v>
      </c>
      <c r="E124" s="46">
        <f t="shared" si="46"/>
        <v>82.789097190085556</v>
      </c>
      <c r="F124" s="46">
        <f t="shared" si="46"/>
        <v>66.629163625855497</v>
      </c>
      <c r="G124" s="46">
        <f t="shared" si="46"/>
        <v>96.886524698645189</v>
      </c>
      <c r="H124" s="46">
        <f t="shared" si="46"/>
        <v>95.432744691523155</v>
      </c>
      <c r="I124" s="46">
        <f t="shared" si="46"/>
        <v>57.225493356137072</v>
      </c>
      <c r="J124" s="46">
        <f t="shared" si="46"/>
        <v>27.000432483302973</v>
      </c>
      <c r="K124" s="46" t="str">
        <f t="shared" si="46"/>
        <v xml:space="preserve"> </v>
      </c>
      <c r="L124" s="46">
        <f t="shared" si="46"/>
        <v>55.389531454283059</v>
      </c>
      <c r="M124" s="46">
        <f t="shared" si="46"/>
        <v>64.832718320687235</v>
      </c>
      <c r="N124" s="46">
        <f t="shared" si="46"/>
        <v>64.784324956159679</v>
      </c>
      <c r="O124" s="46">
        <f t="shared" si="46"/>
        <v>64.640674574145734</v>
      </c>
      <c r="P124" s="46">
        <f t="shared" si="46"/>
        <v>87.695984857142861</v>
      </c>
      <c r="Q124" s="46">
        <f t="shared" si="46"/>
        <v>98.826360228198851</v>
      </c>
      <c r="R124" s="46">
        <f t="shared" si="46"/>
        <v>99.999999547869322</v>
      </c>
      <c r="S124" s="46">
        <f t="shared" si="46"/>
        <v>99.999995798477116</v>
      </c>
      <c r="T124" s="46">
        <f t="shared" si="46"/>
        <v>99.999558267516363</v>
      </c>
      <c r="U124" s="46">
        <f t="shared" si="46"/>
        <v>98.80345135325696</v>
      </c>
      <c r="V124" s="46">
        <f t="shared" si="46"/>
        <v>97.445890507302408</v>
      </c>
    </row>
    <row r="125" spans="2:22" x14ac:dyDescent="0.2">
      <c r="B125" s="32"/>
      <c r="C125" s="77" t="s">
        <v>60</v>
      </c>
      <c r="D125" s="47">
        <f t="shared" ref="D125:V125" si="47">+IFERROR(IF(D99&gt;0,+((D99/D24)*100)," "),"")</f>
        <v>95.291504688721872</v>
      </c>
      <c r="E125" s="47">
        <f t="shared" si="47"/>
        <v>98.983050909686924</v>
      </c>
      <c r="F125" s="47">
        <f t="shared" si="47"/>
        <v>80.295261882024974</v>
      </c>
      <c r="G125" s="47">
        <f t="shared" si="47"/>
        <v>99.554180906877647</v>
      </c>
      <c r="H125" s="47">
        <f t="shared" si="47"/>
        <v>96.489142134896127</v>
      </c>
      <c r="I125" s="47">
        <f t="shared" si="47"/>
        <v>57.924581641411741</v>
      </c>
      <c r="J125" s="47">
        <f t="shared" si="47"/>
        <v>28.53202875891121</v>
      </c>
      <c r="K125" s="47" t="str">
        <f t="shared" si="47"/>
        <v xml:space="preserve"> </v>
      </c>
      <c r="L125" s="47">
        <f t="shared" si="47"/>
        <v>71.727494613016717</v>
      </c>
      <c r="M125" s="47">
        <f t="shared" si="47"/>
        <v>81.259833210241254</v>
      </c>
      <c r="N125" s="47">
        <f t="shared" si="47"/>
        <v>70.217977630322878</v>
      </c>
      <c r="O125" s="47">
        <f t="shared" si="47"/>
        <v>70.981850929272156</v>
      </c>
      <c r="P125" s="47">
        <f t="shared" si="47"/>
        <v>86.031944426424474</v>
      </c>
      <c r="Q125" s="47">
        <f t="shared" si="47"/>
        <v>98.600504243773486</v>
      </c>
      <c r="R125" s="47">
        <f t="shared" si="47"/>
        <v>99.999999864919616</v>
      </c>
      <c r="S125" s="47">
        <f t="shared" si="47"/>
        <v>99.999995362392269</v>
      </c>
      <c r="T125" s="47">
        <f t="shared" si="47"/>
        <v>99.999999978595454</v>
      </c>
      <c r="U125" s="47">
        <f t="shared" si="47"/>
        <v>98.784307730717785</v>
      </c>
      <c r="V125" s="47">
        <f t="shared" si="47"/>
        <v>99.993914827152764</v>
      </c>
    </row>
    <row r="126" spans="2:22" x14ac:dyDescent="0.2">
      <c r="B126" s="32"/>
      <c r="C126" s="77" t="s">
        <v>61</v>
      </c>
      <c r="D126" s="47">
        <f t="shared" ref="D126:V126" si="48">+IFERROR(IF(D100&gt;0,+((D100/D25)*100)," "),"")</f>
        <v>99.033600313558097</v>
      </c>
      <c r="E126" s="47">
        <f t="shared" si="48"/>
        <v>79.49952009923436</v>
      </c>
      <c r="F126" s="47">
        <f t="shared" si="48"/>
        <v>49.017377381023884</v>
      </c>
      <c r="G126" s="47">
        <f t="shared" si="48"/>
        <v>90.471818665464781</v>
      </c>
      <c r="H126" s="47">
        <f t="shared" si="48"/>
        <v>92.611687020558151</v>
      </c>
      <c r="I126" s="47">
        <f t="shared" si="48"/>
        <v>55.256239981464297</v>
      </c>
      <c r="J126" s="47">
        <f t="shared" si="48"/>
        <v>22.418264663111973</v>
      </c>
      <c r="K126" s="47" t="str">
        <f t="shared" si="48"/>
        <v xml:space="preserve"> </v>
      </c>
      <c r="L126" s="47" t="str">
        <f t="shared" si="48"/>
        <v xml:space="preserve"> </v>
      </c>
      <c r="M126" s="47">
        <f t="shared" si="48"/>
        <v>58.709014316523643</v>
      </c>
      <c r="N126" s="47">
        <f t="shared" si="48"/>
        <v>43.148164632764122</v>
      </c>
      <c r="O126" s="47">
        <f t="shared" si="48"/>
        <v>37.660205381658429</v>
      </c>
      <c r="P126" s="47">
        <f t="shared" si="48"/>
        <v>99.998710631494802</v>
      </c>
      <c r="Q126" s="47">
        <f t="shared" si="48"/>
        <v>99.984154065620544</v>
      </c>
      <c r="R126" s="47">
        <f t="shared" si="48"/>
        <v>99.999997922437672</v>
      </c>
      <c r="S126" s="47">
        <f t="shared" si="48"/>
        <v>100</v>
      </c>
      <c r="T126" s="47">
        <f t="shared" si="48"/>
        <v>99.996171373408302</v>
      </c>
      <c r="U126" s="47">
        <f t="shared" si="48"/>
        <v>98.973037235387068</v>
      </c>
      <c r="V126" s="47">
        <f t="shared" si="48"/>
        <v>76.304730684495865</v>
      </c>
    </row>
    <row r="127" spans="2:22" x14ac:dyDescent="0.2">
      <c r="B127" s="34" t="s">
        <v>45</v>
      </c>
      <c r="C127" s="76" t="s">
        <v>46</v>
      </c>
      <c r="D127" s="46">
        <f t="shared" ref="D127:V127" si="49">+IFERROR(IF(D101&gt;0,+((D101/D26)*100)," "),"")</f>
        <v>76.941244679513204</v>
      </c>
      <c r="E127" s="46">
        <f t="shared" si="49"/>
        <v>75.655182424557566</v>
      </c>
      <c r="F127" s="46">
        <f t="shared" si="49"/>
        <v>66.222029296551341</v>
      </c>
      <c r="G127" s="46">
        <f t="shared" si="49"/>
        <v>71.807405936949991</v>
      </c>
      <c r="H127" s="46">
        <f t="shared" si="49"/>
        <v>70.898616279741688</v>
      </c>
      <c r="I127" s="46">
        <f t="shared" si="49"/>
        <v>68.500653361625268</v>
      </c>
      <c r="J127" s="46">
        <f t="shared" si="49"/>
        <v>73.141182742464892</v>
      </c>
      <c r="K127" s="46">
        <f t="shared" si="49"/>
        <v>86.501919838919619</v>
      </c>
      <c r="L127" s="46">
        <f t="shared" si="49"/>
        <v>90.838411021220907</v>
      </c>
      <c r="M127" s="46">
        <f t="shared" si="49"/>
        <v>86.823877021311631</v>
      </c>
      <c r="N127" s="46">
        <f t="shared" si="49"/>
        <v>82.141026438429762</v>
      </c>
      <c r="O127" s="46">
        <f t="shared" si="49"/>
        <v>77.740749665578932</v>
      </c>
      <c r="P127" s="46">
        <f t="shared" si="49"/>
        <v>85.854104005854367</v>
      </c>
      <c r="Q127" s="46">
        <f t="shared" si="49"/>
        <v>91.014545671374478</v>
      </c>
      <c r="R127" s="46">
        <f t="shared" si="49"/>
        <v>89.496320060690181</v>
      </c>
      <c r="S127" s="46">
        <f t="shared" si="49"/>
        <v>88.699059258271788</v>
      </c>
      <c r="T127" s="46">
        <f t="shared" si="49"/>
        <v>91.90843113327945</v>
      </c>
      <c r="U127" s="46">
        <f t="shared" si="49"/>
        <v>87.312045840163023</v>
      </c>
      <c r="V127" s="46">
        <f t="shared" si="49"/>
        <v>86.611330576999634</v>
      </c>
    </row>
    <row r="128" spans="2:22" x14ac:dyDescent="0.2">
      <c r="B128" s="36" t="s">
        <v>47</v>
      </c>
      <c r="C128" s="78" t="s">
        <v>48</v>
      </c>
      <c r="D128" s="48">
        <f t="shared" ref="D128:V128" si="50">+IFERROR(IF(D102&gt;0,+((D102/D27)*100)," "),"")</f>
        <v>78.033103359018966</v>
      </c>
      <c r="E128" s="48">
        <f t="shared" si="50"/>
        <v>76.039861273506617</v>
      </c>
      <c r="F128" s="48">
        <f t="shared" si="50"/>
        <v>71.451547506130908</v>
      </c>
      <c r="G128" s="48">
        <f t="shared" si="50"/>
        <v>75.343731880636824</v>
      </c>
      <c r="H128" s="48">
        <f t="shared" si="50"/>
        <v>79.514390464520872</v>
      </c>
      <c r="I128" s="48">
        <f t="shared" si="50"/>
        <v>80.167753837145369</v>
      </c>
      <c r="J128" s="48">
        <f t="shared" si="50"/>
        <v>72.850832618762468</v>
      </c>
      <c r="K128" s="48">
        <f t="shared" si="50"/>
        <v>84.610112868582945</v>
      </c>
      <c r="L128" s="48">
        <f t="shared" si="50"/>
        <v>88.306715395705098</v>
      </c>
      <c r="M128" s="48">
        <f t="shared" si="50"/>
        <v>84.633536540161487</v>
      </c>
      <c r="N128" s="48">
        <f t="shared" si="50"/>
        <v>83.820447920694392</v>
      </c>
      <c r="O128" s="48">
        <f t="shared" si="50"/>
        <v>80.255531137894991</v>
      </c>
      <c r="P128" s="48">
        <f t="shared" si="50"/>
        <v>85.318849208071114</v>
      </c>
      <c r="Q128" s="48">
        <f t="shared" si="50"/>
        <v>87.38456375624412</v>
      </c>
      <c r="R128" s="48">
        <f t="shared" si="50"/>
        <v>87.90724753098857</v>
      </c>
      <c r="S128" s="48">
        <f t="shared" si="50"/>
        <v>88.241165729087186</v>
      </c>
      <c r="T128" s="48">
        <f t="shared" si="50"/>
        <v>91.592124421130677</v>
      </c>
      <c r="U128" s="48">
        <f t="shared" si="50"/>
        <v>89.721166351659392</v>
      </c>
      <c r="V128" s="48">
        <f t="shared" si="50"/>
        <v>87.629926270817066</v>
      </c>
    </row>
    <row r="129" spans="2:22" x14ac:dyDescent="0.2">
      <c r="B129" s="38" t="s">
        <v>49</v>
      </c>
      <c r="C129" s="79" t="s">
        <v>63</v>
      </c>
      <c r="D129" s="45">
        <f t="shared" ref="D129:V129" si="51">+IFERROR(IF(D103&gt;0,+((D103/D28)*100)," "),"")</f>
        <v>78.165894076708327</v>
      </c>
      <c r="E129" s="45">
        <f t="shared" si="51"/>
        <v>76.048962180044512</v>
      </c>
      <c r="F129" s="45">
        <f t="shared" si="51"/>
        <v>71.457650449914709</v>
      </c>
      <c r="G129" s="45">
        <f t="shared" si="51"/>
        <v>75.364255146116378</v>
      </c>
      <c r="H129" s="45">
        <f t="shared" si="51"/>
        <v>79.522188470204796</v>
      </c>
      <c r="I129" s="45">
        <f t="shared" si="51"/>
        <v>80.159167398225918</v>
      </c>
      <c r="J129" s="45">
        <f t="shared" si="51"/>
        <v>72.838055940381565</v>
      </c>
      <c r="K129" s="45">
        <f t="shared" si="51"/>
        <v>84.591512548058745</v>
      </c>
      <c r="L129" s="45">
        <f t="shared" si="51"/>
        <v>88.29658538345106</v>
      </c>
      <c r="M129" s="45">
        <f t="shared" si="51"/>
        <v>84.628177494799857</v>
      </c>
      <c r="N129" s="45">
        <f t="shared" si="51"/>
        <v>83.814196938806376</v>
      </c>
      <c r="O129" s="45">
        <f t="shared" si="51"/>
        <v>80.252916395245009</v>
      </c>
      <c r="P129" s="45">
        <f t="shared" si="51"/>
        <v>85.319052379373062</v>
      </c>
      <c r="Q129" s="45">
        <f t="shared" si="51"/>
        <v>87.383131143986219</v>
      </c>
      <c r="R129" s="45">
        <f t="shared" si="51"/>
        <v>87.908294380055736</v>
      </c>
      <c r="S129" s="45">
        <f t="shared" si="51"/>
        <v>88.242672678122773</v>
      </c>
      <c r="T129" s="45">
        <f t="shared" si="51"/>
        <v>91.592926797958569</v>
      </c>
      <c r="U129" s="45">
        <f t="shared" si="51"/>
        <v>89.721790415391283</v>
      </c>
      <c r="V129" s="45">
        <f t="shared" si="51"/>
        <v>87.63070969956442</v>
      </c>
    </row>
    <row r="130" spans="2:22" x14ac:dyDescent="0.2">
      <c r="B130" s="1" t="s">
        <v>52</v>
      </c>
    </row>
    <row r="131" spans="2:22" x14ac:dyDescent="0.2">
      <c r="B131" s="1"/>
    </row>
    <row r="132" spans="2:22" x14ac:dyDescent="0.2">
      <c r="B132" s="1"/>
    </row>
    <row r="133" spans="2:22" x14ac:dyDescent="0.2">
      <c r="B133" s="1"/>
    </row>
    <row r="134" spans="2:22" x14ac:dyDescent="0.2">
      <c r="B134" s="1"/>
    </row>
    <row r="135" spans="2:22" ht="18" customHeight="1" x14ac:dyDescent="0.2">
      <c r="C135" s="131"/>
      <c r="D135" s="160" t="s">
        <v>88</v>
      </c>
      <c r="E135" s="158"/>
      <c r="F135" s="158"/>
      <c r="G135" s="158"/>
      <c r="H135" s="158"/>
      <c r="I135" s="158"/>
      <c r="J135" s="158"/>
      <c r="K135" s="158"/>
      <c r="L135" s="158"/>
      <c r="M135" s="158"/>
      <c r="N135" s="158"/>
      <c r="O135" s="158"/>
      <c r="P135" s="158"/>
      <c r="Q135" s="158"/>
      <c r="R135" s="158"/>
      <c r="S135" s="158"/>
      <c r="T135" s="158"/>
      <c r="U135" s="158"/>
      <c r="V135" s="158"/>
    </row>
    <row r="136" spans="2:22" ht="15" customHeight="1" x14ac:dyDescent="0.2"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</row>
    <row r="137" spans="2:22" x14ac:dyDescent="0.2">
      <c r="B137" s="163"/>
      <c r="C137" s="155" t="s">
        <v>38</v>
      </c>
      <c r="D137" s="153" t="s">
        <v>27</v>
      </c>
      <c r="E137" s="153" t="s">
        <v>28</v>
      </c>
      <c r="F137" s="153" t="s">
        <v>29</v>
      </c>
      <c r="G137" s="153" t="s">
        <v>30</v>
      </c>
      <c r="H137" s="153">
        <v>2004</v>
      </c>
      <c r="I137" s="153" t="s">
        <v>31</v>
      </c>
      <c r="J137" s="153" t="s">
        <v>32</v>
      </c>
      <c r="K137" s="153" t="s">
        <v>33</v>
      </c>
      <c r="L137" s="153" t="s">
        <v>34</v>
      </c>
      <c r="M137" s="153" t="s">
        <v>35</v>
      </c>
      <c r="N137" s="153">
        <v>2010</v>
      </c>
      <c r="O137" s="153">
        <v>2011</v>
      </c>
      <c r="P137" s="153">
        <v>2012</v>
      </c>
      <c r="Q137" s="153">
        <v>2013</v>
      </c>
      <c r="R137" s="153">
        <v>2014</v>
      </c>
      <c r="S137" s="153">
        <v>2015</v>
      </c>
      <c r="T137" s="153">
        <v>2016</v>
      </c>
      <c r="U137" s="153">
        <v>2017</v>
      </c>
      <c r="V137" s="153">
        <v>2018</v>
      </c>
    </row>
    <row r="138" spans="2:22" ht="12" customHeight="1" thickBot="1" x14ac:dyDescent="0.25">
      <c r="B138" s="154"/>
      <c r="C138" s="156"/>
      <c r="D138" s="154"/>
      <c r="E138" s="154"/>
      <c r="F138" s="154"/>
      <c r="G138" s="154"/>
      <c r="H138" s="154"/>
      <c r="I138" s="154"/>
      <c r="J138" s="154"/>
      <c r="K138" s="154"/>
      <c r="L138" s="154"/>
      <c r="M138" s="154"/>
      <c r="N138" s="154"/>
      <c r="O138" s="154"/>
      <c r="P138" s="154"/>
      <c r="Q138" s="154"/>
      <c r="R138" s="154"/>
      <c r="S138" s="154"/>
      <c r="T138" s="154"/>
      <c r="U138" s="154"/>
      <c r="V138" s="154"/>
    </row>
    <row r="139" spans="2:22" x14ac:dyDescent="0.2">
      <c r="B139" s="34" t="s">
        <v>39</v>
      </c>
      <c r="C139" s="76" t="s">
        <v>40</v>
      </c>
      <c r="D139" s="41">
        <f t="shared" ref="D139:V139" si="52">+D140+D141+D142+D143</f>
        <v>4808.1375132164803</v>
      </c>
      <c r="E139" s="41">
        <f t="shared" si="52"/>
        <v>4926.3441338162183</v>
      </c>
      <c r="F139" s="41">
        <f t="shared" si="52"/>
        <v>5036.4574562241451</v>
      </c>
      <c r="G139" s="41">
        <f t="shared" si="52"/>
        <v>5035.3280981347762</v>
      </c>
      <c r="H139" s="41">
        <f t="shared" si="52"/>
        <v>10179.715980853673</v>
      </c>
      <c r="I139" s="41">
        <f t="shared" si="52"/>
        <v>10169.017724455893</v>
      </c>
      <c r="J139" s="41">
        <f t="shared" si="52"/>
        <v>4804.3144599099296</v>
      </c>
      <c r="K139" s="41">
        <f t="shared" si="52"/>
        <v>5119.2317370855362</v>
      </c>
      <c r="L139" s="41">
        <f t="shared" si="52"/>
        <v>5346.3720454069153</v>
      </c>
      <c r="M139" s="41">
        <f t="shared" si="52"/>
        <v>6293.2185835777327</v>
      </c>
      <c r="N139" s="41">
        <f t="shared" si="52"/>
        <v>8914.4799898903948</v>
      </c>
      <c r="O139" s="41">
        <f t="shared" si="52"/>
        <v>8032.8404318192406</v>
      </c>
      <c r="P139" s="41">
        <f t="shared" si="52"/>
        <v>7848.4436220053512</v>
      </c>
      <c r="Q139" s="41">
        <f t="shared" si="52"/>
        <v>8221.9599769875967</v>
      </c>
      <c r="R139" s="41">
        <f t="shared" si="52"/>
        <v>8497.8747279421441</v>
      </c>
      <c r="S139" s="41">
        <f t="shared" si="52"/>
        <v>8791.5909653103045</v>
      </c>
      <c r="T139" s="41">
        <f t="shared" si="52"/>
        <v>8333.6211099183674</v>
      </c>
      <c r="U139" s="41">
        <f t="shared" si="52"/>
        <v>8544.3982008192834</v>
      </c>
      <c r="V139" s="41">
        <f t="shared" si="52"/>
        <v>8134.1709989969459</v>
      </c>
    </row>
    <row r="140" spans="2:22" x14ac:dyDescent="0.2">
      <c r="B140" s="40"/>
      <c r="C140" s="77" t="s">
        <v>56</v>
      </c>
      <c r="D140" s="42">
        <f>431.07926343119*Deflactores!$A$5</f>
        <v>1565.0587549747054</v>
      </c>
      <c r="E140" s="42">
        <f>456.188688336339*Deflactores!$B$5</f>
        <v>1538.5472367742439</v>
      </c>
      <c r="F140" s="42">
        <f>486.650426071499*Deflactores!$C$5</f>
        <v>1534.026182639562</v>
      </c>
      <c r="G140" s="42">
        <f>498.09710794059*Deflactores!$D$5</f>
        <v>1474.3999368353823</v>
      </c>
      <c r="H140" s="42">
        <f>506.02367904996*Deflactores!$E$5</f>
        <v>1419.8160595223067</v>
      </c>
      <c r="I140" s="42">
        <f>522.865377426119*Deflactores!$F$5</f>
        <v>1399.1404088401068</v>
      </c>
      <c r="J140" s="42">
        <f>558.617452348229*Deflactores!$G$5</f>
        <v>1430.7418434286346</v>
      </c>
      <c r="K140" s="42">
        <f>595.26217639267*Deflactores!$H$5</f>
        <v>1442.4568733568508</v>
      </c>
      <c r="L140" s="42">
        <f>709.65951390729*Deflactores!$I$5</f>
        <v>1597.1004573168914</v>
      </c>
      <c r="M140" s="42">
        <f>775.84791169177*Deflactores!$J$5</f>
        <v>1711.7917554442365</v>
      </c>
      <c r="N140" s="42">
        <f>788.04901345529*Deflactores!$K$5</f>
        <v>1685.2680567647521</v>
      </c>
      <c r="O140" s="42">
        <f>715.79482502463*Deflactores!$L$5</f>
        <v>1475.7534744158777</v>
      </c>
      <c r="P140" s="42">
        <f>926.770445446085*Deflactores!$M$5</f>
        <v>1865.2105621859139</v>
      </c>
      <c r="Q140" s="42">
        <f>1081.75415004711*Deflactores!$N$5</f>
        <v>2135.6969678686442</v>
      </c>
      <c r="R140" s="42">
        <f>1248.40237050888*Deflactores!$O$5</f>
        <v>2377.6856746944463</v>
      </c>
      <c r="S140" s="42">
        <f>1308.67499301577*Deflactores!$P$5</f>
        <v>2334.4383951131695</v>
      </c>
      <c r="T140" s="42">
        <f>1417.65920970795*Deflactores!$Q$5</f>
        <v>2391.3441463310864</v>
      </c>
      <c r="U140" s="42">
        <f>1537.4694599008*Deflactores!$R$5</f>
        <v>2491.5392149055033</v>
      </c>
      <c r="V140" s="42">
        <f>1803.80371865583*Deflactores!$S$5</f>
        <v>2833.0548550829458</v>
      </c>
    </row>
    <row r="141" spans="2:22" x14ac:dyDescent="0.2">
      <c r="B141" s="40"/>
      <c r="C141" s="77" t="s">
        <v>57</v>
      </c>
      <c r="D141" s="42">
        <f>220.02663081923*Deflactores!$A$5</f>
        <v>798.81969304280869</v>
      </c>
      <c r="E141" s="42">
        <f>220.97819644919*Deflactores!$B$5</f>
        <v>745.27361643739994</v>
      </c>
      <c r="F141" s="42">
        <f>232.974463253269*Deflactores!$C$5</f>
        <v>734.38531514694557</v>
      </c>
      <c r="G141" s="42">
        <f>192.38670588465*Deflactores!$D$5</f>
        <v>569.47720129731795</v>
      </c>
      <c r="H141" s="42">
        <f>208.220233013719*Deflactores!$E$5</f>
        <v>584.23042831789473</v>
      </c>
      <c r="I141" s="42">
        <f>214.57498274266*Deflactores!$F$5</f>
        <v>574.18322582249277</v>
      </c>
      <c r="J141" s="42">
        <f>228.55302195001*Deflactores!$G$5</f>
        <v>585.37442854917845</v>
      </c>
      <c r="K141" s="42">
        <f>240.332818958089*Deflactores!$H$5</f>
        <v>582.38157965984965</v>
      </c>
      <c r="L141" s="42">
        <f>266.240027371449*Deflactores!$I$5</f>
        <v>599.1775790193276</v>
      </c>
      <c r="M141" s="42">
        <f>306.33660706446*Deflactores!$J$5</f>
        <v>675.88566065771852</v>
      </c>
      <c r="N141" s="42">
        <f>314.88432041609*Deflactores!$K$5</f>
        <v>673.3902050667574</v>
      </c>
      <c r="O141" s="42">
        <f>318.454323624239*Deflactores!$L$5</f>
        <v>656.55696032037963</v>
      </c>
      <c r="P141" s="42">
        <f>445.410580040352*Deflactores!$M$5</f>
        <v>896.42966333560105</v>
      </c>
      <c r="Q141" s="42">
        <f>514.216888615877*Deflactores!$N$5</f>
        <v>1015.2135305382928</v>
      </c>
      <c r="R141" s="42">
        <f>537.588312932213*Deflactores!$O$5</f>
        <v>1023.8814509948785</v>
      </c>
      <c r="S141" s="42">
        <f>538.572681015205*Deflactores!$P$5</f>
        <v>960.71580173136363</v>
      </c>
      <c r="T141" s="42">
        <f>623.16100046011*Deflactores!$Q$5</f>
        <v>1051.1640600699093</v>
      </c>
      <c r="U141" s="42">
        <f>594.48238064085*Deflactores!$R$5</f>
        <v>963.38574688347035</v>
      </c>
      <c r="V141" s="42">
        <f>597.054044680659*Deflactores!$S$5</f>
        <v>937.73332571346725</v>
      </c>
    </row>
    <row r="142" spans="2:22" x14ac:dyDescent="0.2">
      <c r="B142" s="40"/>
      <c r="C142" s="77" t="s">
        <v>58</v>
      </c>
      <c r="D142" s="42">
        <f>411.3293877536*Deflactores!$A$5</f>
        <v>1493.3556635458872</v>
      </c>
      <c r="E142" s="42">
        <f>497.81092112024*Deflactores!$B$5</f>
        <v>1678.9228595709919</v>
      </c>
      <c r="F142" s="42">
        <f>491.982749280809*Deflactores!$C$5</f>
        <v>1550.8348053780867</v>
      </c>
      <c r="G142" s="42">
        <f>556.897465387039*Deflactores!$D$5</f>
        <v>1648.4528311864228</v>
      </c>
      <c r="H142" s="42">
        <f>2487.39605612149*Deflactores!$E$5</f>
        <v>6979.2087071977894</v>
      </c>
      <c r="I142" s="42">
        <f>2497.43434934301*Deflactores!$F$5</f>
        <v>6682.9081967372094</v>
      </c>
      <c r="J142" s="42">
        <f>566.743007994369*Deflactores!$G$5</f>
        <v>1451.5531740005144</v>
      </c>
      <c r="K142" s="42">
        <f>640.48588128758*Deflactores!$H$5</f>
        <v>1552.0442897111755</v>
      </c>
      <c r="L142" s="42">
        <f>640.59767565517*Deflactores!$I$5</f>
        <v>1441.6756496534017</v>
      </c>
      <c r="M142" s="42">
        <f>847.8155744283*Deflactores!$J$5</f>
        <v>1870.5775817311878</v>
      </c>
      <c r="N142" s="42">
        <f>1894.06052485644*Deflactores!$K$5</f>
        <v>4050.5090998387973</v>
      </c>
      <c r="O142" s="42">
        <f>1740.37128809315*Deflactores!$L$5</f>
        <v>3588.1217429711473</v>
      </c>
      <c r="P142" s="42">
        <f>1419.58669718601*Deflactores!$M$5</f>
        <v>2857.0484897751312</v>
      </c>
      <c r="Q142" s="42">
        <f>1451.92085134349*Deflactores!$N$5</f>
        <v>2866.5135785839238</v>
      </c>
      <c r="R142" s="42">
        <f>1485.47135559955*Deflactores!$O$5</f>
        <v>2829.2031846577356</v>
      </c>
      <c r="S142" s="42">
        <f>1799.06829037149*Deflactores!$P$5</f>
        <v>3209.2109308175691</v>
      </c>
      <c r="T142" s="42">
        <f>1516.57599303476*Deflactores!$Q$5</f>
        <v>2558.1995296013702</v>
      </c>
      <c r="U142" s="42">
        <f>1845.8593527088*Deflactores!$R$5</f>
        <v>2991.2990679963173</v>
      </c>
      <c r="V142" s="42">
        <f>1546.61020291733*Deflactores!$S$5</f>
        <v>2429.1066145272689</v>
      </c>
    </row>
    <row r="143" spans="2:22" x14ac:dyDescent="0.2">
      <c r="B143" s="40"/>
      <c r="C143" s="77" t="s">
        <v>59</v>
      </c>
      <c r="D143" s="42">
        <f>261.91651698434*Deflactores!$A$5</f>
        <v>950.90340165307919</v>
      </c>
      <c r="E143" s="42">
        <f>285.713432545169*Deflactores!$B$5</f>
        <v>963.60042103358262</v>
      </c>
      <c r="F143" s="42">
        <f>386.14486047178*Deflactores!$C$5</f>
        <v>1217.2111530595507</v>
      </c>
      <c r="G143" s="42">
        <f>453.70558368885*Deflactores!$D$5</f>
        <v>1342.9981288156532</v>
      </c>
      <c r="H143" s="42">
        <f>426.41966515096*Deflactores!$E$5</f>
        <v>1196.4607858156819</v>
      </c>
      <c r="I143" s="42">
        <f>565.33523150361*Deflactores!$F$5</f>
        <v>1512.7858930560828</v>
      </c>
      <c r="J143" s="42">
        <f>521.87837785404*Deflactores!$G$5</f>
        <v>1336.6450139316021</v>
      </c>
      <c r="K143" s="42">
        <f>636.484900239549*Deflactores!$H$5</f>
        <v>1542.3489943576608</v>
      </c>
      <c r="L143" s="42">
        <f>759.12278212679*Deflactores!$I$5</f>
        <v>1708.4183594172946</v>
      </c>
      <c r="M143" s="42">
        <f>922.32144672236*Deflactores!$J$5</f>
        <v>2034.9635857445901</v>
      </c>
      <c r="N143" s="42">
        <f>1171.51045327237*Deflactores!$K$5</f>
        <v>2505.3126282200888</v>
      </c>
      <c r="O143" s="42">
        <f>1121.60322867791*Deflactores!$L$5</f>
        <v>2312.4082541118364</v>
      </c>
      <c r="P143" s="42">
        <f>1107.90223367824*Deflactores!$M$5</f>
        <v>2229.7549067087048</v>
      </c>
      <c r="Q143" s="42">
        <f>1116.62183101249*Deflactores!$N$5</f>
        <v>2204.5358999967348</v>
      </c>
      <c r="R143" s="42">
        <f>1190.34175090472*Deflactores!$O$5</f>
        <v>2267.1044175950847</v>
      </c>
      <c r="S143" s="42">
        <f>1282.20785923316*Deflactores!$P$5</f>
        <v>2287.2258376482027</v>
      </c>
      <c r="T143" s="42">
        <f>1383.01972765277*Deflactores!$Q$5</f>
        <v>2332.9133739160011</v>
      </c>
      <c r="U143" s="42">
        <f>1294.73326778033*Deflactores!$R$5</f>
        <v>2098.1741710339916</v>
      </c>
      <c r="V143" s="42">
        <f>1231.55208337509*Deflactores!$S$5</f>
        <v>1934.276203673264</v>
      </c>
    </row>
    <row r="144" spans="2:22" x14ac:dyDescent="0.2">
      <c r="B144" s="34" t="s">
        <v>41</v>
      </c>
      <c r="C144" s="76" t="s">
        <v>42</v>
      </c>
      <c r="D144" s="41">
        <f t="shared" ref="D144:V144" si="53">+D145+D148</f>
        <v>131.07687824904019</v>
      </c>
      <c r="E144" s="41">
        <f t="shared" si="53"/>
        <v>11.519638471489017</v>
      </c>
      <c r="F144" s="41">
        <f t="shared" si="53"/>
        <v>11.46572019767717</v>
      </c>
      <c r="G144" s="41">
        <f t="shared" si="53"/>
        <v>13.509533392333335</v>
      </c>
      <c r="H144" s="41">
        <f t="shared" si="53"/>
        <v>10.646111969924625</v>
      </c>
      <c r="I144" s="41">
        <f t="shared" si="53"/>
        <v>7.0572255685774188</v>
      </c>
      <c r="J144" s="41">
        <f t="shared" si="53"/>
        <v>3.3135786543621744</v>
      </c>
      <c r="K144" s="41">
        <f t="shared" si="53"/>
        <v>2.4092499084567831</v>
      </c>
      <c r="L144" s="41">
        <f t="shared" si="53"/>
        <v>2.6372409698398434</v>
      </c>
      <c r="M144" s="41">
        <f t="shared" si="53"/>
        <v>6.1331109518242135</v>
      </c>
      <c r="N144" s="41">
        <f t="shared" si="53"/>
        <v>2.382693495125153</v>
      </c>
      <c r="O144" s="41">
        <f t="shared" si="53"/>
        <v>1.9746419240868911</v>
      </c>
      <c r="P144" s="41">
        <f t="shared" si="53"/>
        <v>2.1493979568965571</v>
      </c>
      <c r="Q144" s="41">
        <f t="shared" si="53"/>
        <v>1.9699156819047647</v>
      </c>
      <c r="R144" s="41">
        <f t="shared" si="53"/>
        <v>1.8608631507242175</v>
      </c>
      <c r="S144" s="41">
        <f t="shared" si="53"/>
        <v>2.8024388028299843</v>
      </c>
      <c r="T144" s="41">
        <f t="shared" si="53"/>
        <v>2.1704442444670931</v>
      </c>
      <c r="U144" s="41">
        <f t="shared" si="53"/>
        <v>2.3943565293803752</v>
      </c>
      <c r="V144" s="41">
        <f t="shared" si="53"/>
        <v>1.940153846601423</v>
      </c>
    </row>
    <row r="145" spans="2:22" x14ac:dyDescent="0.2">
      <c r="B145" s="34"/>
      <c r="C145" s="76" t="s">
        <v>43</v>
      </c>
      <c r="D145" s="41">
        <f t="shared" ref="D145:V145" si="54">+D146+D147</f>
        <v>16.68453095966456</v>
      </c>
      <c r="E145" s="41">
        <f t="shared" si="54"/>
        <v>10.43244816434639</v>
      </c>
      <c r="F145" s="41">
        <f t="shared" si="54"/>
        <v>9.1154361349554893</v>
      </c>
      <c r="G145" s="41">
        <f t="shared" si="54"/>
        <v>9.9475729543110685</v>
      </c>
      <c r="H145" s="41">
        <f t="shared" si="54"/>
        <v>7.4430712715186562</v>
      </c>
      <c r="I145" s="41">
        <f t="shared" si="54"/>
        <v>4.0650747971710057</v>
      </c>
      <c r="J145" s="41">
        <f t="shared" si="54"/>
        <v>2.1746117659238071</v>
      </c>
      <c r="K145" s="41">
        <f t="shared" si="54"/>
        <v>2.4092499084567831</v>
      </c>
      <c r="L145" s="41">
        <f t="shared" si="54"/>
        <v>1.1689290723670061</v>
      </c>
      <c r="M145" s="41">
        <f t="shared" si="54"/>
        <v>1.8536742455534696</v>
      </c>
      <c r="N145" s="41">
        <f t="shared" si="54"/>
        <v>0.83593232656458916</v>
      </c>
      <c r="O145" s="41">
        <f t="shared" si="54"/>
        <v>0.83375020525648458</v>
      </c>
      <c r="P145" s="41">
        <f t="shared" si="54"/>
        <v>0.29618768328870781</v>
      </c>
      <c r="Q145" s="41">
        <f t="shared" si="54"/>
        <v>0.29409917314064021</v>
      </c>
      <c r="R145" s="41">
        <f t="shared" si="54"/>
        <v>0.30626957457746129</v>
      </c>
      <c r="S145" s="41">
        <f t="shared" si="54"/>
        <v>0.33996365835050146</v>
      </c>
      <c r="T145" s="41">
        <f t="shared" si="54"/>
        <v>0.38875738139628213</v>
      </c>
      <c r="U145" s="41">
        <f t="shared" si="54"/>
        <v>0.39595511750279438</v>
      </c>
      <c r="V145" s="41">
        <f t="shared" si="54"/>
        <v>0.18653366071165434</v>
      </c>
    </row>
    <row r="146" spans="2:22" x14ac:dyDescent="0.2">
      <c r="B146" s="32"/>
      <c r="C146" s="77" t="s">
        <v>60</v>
      </c>
      <c r="D146" s="42">
        <f>3.65824905879999*Deflactores!$A$5</f>
        <v>13.281489514901706</v>
      </c>
      <c r="E146" s="42">
        <f>2.52775517492*Deflactores!$B$5</f>
        <v>8.5251362847200305</v>
      </c>
      <c r="F146" s="42">
        <f>2.43272454448*Deflactores!$C$5</f>
        <v>7.6684678497208054</v>
      </c>
      <c r="G146" s="42">
        <f>3.0052704935*Deflactores!$D$5</f>
        <v>8.8957967335119275</v>
      </c>
      <c r="H146" s="42">
        <f>2.37902479527999*Deflactores!$E$5</f>
        <v>6.675137449460756</v>
      </c>
      <c r="I146" s="42">
        <f>1.36919240102999*Deflactores!$F$5</f>
        <v>3.6638348960647247</v>
      </c>
      <c r="J146" s="42">
        <f>0.76218477646*Deflactores!$G$5</f>
        <v>1.9521224185202088</v>
      </c>
      <c r="K146" s="42">
        <f>0.91212033294*Deflactores!$H$5</f>
        <v>2.2102769094973249</v>
      </c>
      <c r="L146" s="42">
        <f>0.454552066269999*Deflactores!$I$5</f>
        <v>1.0229769328633189</v>
      </c>
      <c r="M146" s="42">
        <f>0.793371209369999*Deflactores!$J$5</f>
        <v>1.7504542768504996</v>
      </c>
      <c r="N146" s="42">
        <f>0.3550073976*Deflactores!$K$5</f>
        <v>0.75919469078100343</v>
      </c>
      <c r="O146" s="42">
        <f>0.404399578*Deflactores!$L$5</f>
        <v>0.83375020525648458</v>
      </c>
      <c r="P146" s="42">
        <f>0.121940248*Deflactores!$M$5</f>
        <v>0.24541593837262843</v>
      </c>
      <c r="Q146" s="42">
        <f>0.127142019*Deflactores!$N$5</f>
        <v>0.25101528332955525</v>
      </c>
      <c r="R146" s="42">
        <f>0.14275677018*Deflactores!$O$5</f>
        <v>0.271892088192906</v>
      </c>
      <c r="S146" s="42">
        <f>0.170141165*Deflactores!$P$5</f>
        <v>0.30350092290676084</v>
      </c>
      <c r="T146" s="42">
        <f>0.213840013*Deflactores!$Q$5</f>
        <v>0.36071085338221665</v>
      </c>
      <c r="U146" s="42">
        <f>0.23542695539*Deflactores!$R$5</f>
        <v>0.38152009317820224</v>
      </c>
      <c r="V146" s="42">
        <f>0.11701085069*Deflactores!$S$5</f>
        <v>0.18377728974398505</v>
      </c>
    </row>
    <row r="147" spans="2:22" x14ac:dyDescent="0.2">
      <c r="B147" s="32"/>
      <c r="C147" s="77" t="s">
        <v>61</v>
      </c>
      <c r="D147" s="42">
        <f>0.93733260478*Deflactores!$A$5</f>
        <v>3.4030414447628554</v>
      </c>
      <c r="E147" s="42">
        <f>0.56552966579*Deflactores!$B$5</f>
        <v>1.9073118796263591</v>
      </c>
      <c r="F147" s="42">
        <f>0.45903240798*Deflactores!$C$5</f>
        <v>1.4469682852346841</v>
      </c>
      <c r="G147" s="42">
        <f>0.35532197248*Deflactores!$D$5</f>
        <v>1.051776220799141</v>
      </c>
      <c r="H147" s="42">
        <f>0.27369228239*Deflactores!$E$5</f>
        <v>0.76793382205790062</v>
      </c>
      <c r="I147" s="42">
        <f>0.14994524567*Deflactores!$F$5</f>
        <v>0.40123990110628061</v>
      </c>
      <c r="J147" s="42">
        <f>0.08686852418*Deflactores!$G$5</f>
        <v>0.22248934740359827</v>
      </c>
      <c r="K147" s="42">
        <f>0.08211067006*Deflactores!$H$5</f>
        <v>0.19897299895945827</v>
      </c>
      <c r="L147" s="42">
        <f>0.0648527297699999*Deflactores!$I$5</f>
        <v>0.14595213950368716</v>
      </c>
      <c r="M147" s="42">
        <f>0.04678314223*Deflactores!$J$5</f>
        <v>0.10321996870296994</v>
      </c>
      <c r="N147" s="42">
        <f>0.03588332309*Deflactores!$K$5</f>
        <v>7.6737635783585695E-2</v>
      </c>
      <c r="O147" s="42">
        <f>0*Deflactores!$L$5</f>
        <v>0</v>
      </c>
      <c r="P147" s="42">
        <f>0.025227046*Deflactores!$M$5</f>
        <v>5.0771744916079407E-2</v>
      </c>
      <c r="Q147" s="42">
        <f>0.021822467*Deflactores!$N$5</f>
        <v>4.3083889811084956E-2</v>
      </c>
      <c r="R147" s="42">
        <f>0.01804987764*Deflactores!$O$5</f>
        <v>3.4377486384555317E-2</v>
      </c>
      <c r="S147" s="42">
        <f>0.020440835*Deflactores!$P$5</f>
        <v>3.6462735443740603E-2</v>
      </c>
      <c r="T147" s="42">
        <f>0.01662680748*Deflactores!$Q$5</f>
        <v>2.8046528014065462E-2</v>
      </c>
      <c r="U147" s="42">
        <f>0.00890750943*Deflactores!$R$5</f>
        <v>1.4435024324592125E-2</v>
      </c>
      <c r="V147" s="42">
        <f>0.00175497914999999*Deflactores!$S$5</f>
        <v>2.7563709676692782E-3</v>
      </c>
    </row>
    <row r="148" spans="2:22" x14ac:dyDescent="0.2">
      <c r="B148" s="34"/>
      <c r="C148" s="76" t="s">
        <v>44</v>
      </c>
      <c r="D148" s="41">
        <f t="shared" ref="D148:V148" si="55">+D149+D150</f>
        <v>114.39234728937562</v>
      </c>
      <c r="E148" s="41">
        <f t="shared" si="55"/>
        <v>1.0871903071426272</v>
      </c>
      <c r="F148" s="41">
        <f t="shared" si="55"/>
        <v>2.350284062721681</v>
      </c>
      <c r="G148" s="41">
        <f t="shared" si="55"/>
        <v>3.5619604380222674</v>
      </c>
      <c r="H148" s="41">
        <f t="shared" si="55"/>
        <v>3.2030406984059683</v>
      </c>
      <c r="I148" s="41">
        <f t="shared" si="55"/>
        <v>2.9921507714064126</v>
      </c>
      <c r="J148" s="41">
        <f t="shared" si="55"/>
        <v>1.1389668884383672</v>
      </c>
      <c r="K148" s="41">
        <f t="shared" si="55"/>
        <v>0</v>
      </c>
      <c r="L148" s="41">
        <f t="shared" si="55"/>
        <v>1.4683118974728375</v>
      </c>
      <c r="M148" s="41">
        <f t="shared" si="55"/>
        <v>4.2794367062707437</v>
      </c>
      <c r="N148" s="41">
        <f t="shared" si="55"/>
        <v>1.5467611685605638</v>
      </c>
      <c r="O148" s="41">
        <f t="shared" si="55"/>
        <v>1.1408917188304066</v>
      </c>
      <c r="P148" s="41">
        <f t="shared" si="55"/>
        <v>1.8532102736078495</v>
      </c>
      <c r="Q148" s="41">
        <f t="shared" si="55"/>
        <v>1.6758165087641246</v>
      </c>
      <c r="R148" s="41">
        <f t="shared" si="55"/>
        <v>1.5545935761467562</v>
      </c>
      <c r="S148" s="41">
        <f t="shared" si="55"/>
        <v>2.462475144479483</v>
      </c>
      <c r="T148" s="41">
        <f t="shared" si="55"/>
        <v>1.7816868630708109</v>
      </c>
      <c r="U148" s="41">
        <f t="shared" si="55"/>
        <v>1.9984014118775808</v>
      </c>
      <c r="V148" s="41">
        <f t="shared" si="55"/>
        <v>1.7536201858897686</v>
      </c>
    </row>
    <row r="149" spans="2:22" x14ac:dyDescent="0.2">
      <c r="B149" s="32"/>
      <c r="C149" s="77" t="s">
        <v>60</v>
      </c>
      <c r="D149" s="42">
        <f>22.312488238*Deflactores!$A$5</f>
        <v>81.006807852927764</v>
      </c>
      <c r="E149" s="42">
        <f>0.0576564851899999*Deflactores!$B$5</f>
        <v>0.19445292756971508</v>
      </c>
      <c r="F149" s="42">
        <f>0.50530243657*Deflactores!$C$5</f>
        <v>1.5928213072930943</v>
      </c>
      <c r="G149" s="42">
        <f>0.87329680818*Deflactores!$D$5</f>
        <v>2.5850155286842358</v>
      </c>
      <c r="H149" s="42">
        <f>0.839745004*Deflactores!$E$5</f>
        <v>2.3561811273758768</v>
      </c>
      <c r="I149" s="42">
        <f>0.835305961*Deflactores!$F$5</f>
        <v>2.2352031215630781</v>
      </c>
      <c r="J149" s="42">
        <f>0.352199363*Deflactores!$G$5</f>
        <v>0.90205983317343164</v>
      </c>
      <c r="K149" s="42">
        <f>0*Deflactores!$H$5</f>
        <v>0</v>
      </c>
      <c r="L149" s="42">
        <f>0.652433291*Deflactores!$I$5</f>
        <v>1.4683118974728375</v>
      </c>
      <c r="M149" s="42">
        <f>0.660154885*Deflactores!$J$5</f>
        <v>1.4565324884294912</v>
      </c>
      <c r="N149" s="42">
        <f>0.62658618556*Deflactores!$K$5</f>
        <v>1.3399746275987818</v>
      </c>
      <c r="O149" s="42">
        <f>0.549967381*Deflactores!$L$5</f>
        <v>1.1338671990234404</v>
      </c>
      <c r="P149" s="42">
        <f>0.795709454*Deflactores!$M$5</f>
        <v>1.6014382907059679</v>
      </c>
      <c r="Q149" s="42">
        <f>0.708641824*Deflactores!$N$5</f>
        <v>1.3990648381203763</v>
      </c>
      <c r="R149" s="42">
        <f>0.740299999*Deflactores!$O$5</f>
        <v>1.4099626403954288</v>
      </c>
      <c r="S149" s="42">
        <f>1.250644745*Deflactores!$P$5</f>
        <v>2.2309229770231709</v>
      </c>
      <c r="T149" s="42">
        <f>0.9343812038*Deflactores!$Q$5</f>
        <v>1.5761383320108613</v>
      </c>
      <c r="U149" s="42">
        <f>1.1078660112*Deflactores!$R$5</f>
        <v>1.7953472792518674</v>
      </c>
      <c r="V149" s="42">
        <f>1.022488845*Deflactores!$S$5</f>
        <v>1.6059213963446284</v>
      </c>
    </row>
    <row r="150" spans="2:22" x14ac:dyDescent="0.2">
      <c r="B150" s="32"/>
      <c r="C150" s="77" t="s">
        <v>61</v>
      </c>
      <c r="D150" s="42">
        <f>9.195701889*Deflactores!$A$5</f>
        <v>33.385539436447857</v>
      </c>
      <c r="E150" s="42">
        <f>0.2647021063*Deflactores!$B$5</f>
        <v>0.8927373795729121</v>
      </c>
      <c r="F150" s="42">
        <f>0.24029548963*Deflactores!$C$5</f>
        <v>0.75746275542858665</v>
      </c>
      <c r="G150" s="42">
        <f>0.33004168123*Deflactores!$D$5</f>
        <v>0.97694490933803158</v>
      </c>
      <c r="H150" s="42">
        <f>0.301821487999999*Deflactores!$E$5</f>
        <v>0.84685957103009146</v>
      </c>
      <c r="I150" s="42">
        <f>0.282874911*Deflactores!$F$5</f>
        <v>0.7569476498433344</v>
      </c>
      <c r="J150" s="42">
        <f>0.09249776*Deflactores!$G$5</f>
        <v>0.23690705526493561</v>
      </c>
      <c r="K150" s="42">
        <f>0*Deflactores!$H$5</f>
        <v>0</v>
      </c>
      <c r="L150" s="42">
        <f>0*Deflactores!$I$5</f>
        <v>0</v>
      </c>
      <c r="M150" s="42">
        <f>1.279445549*Deflactores!$J$5</f>
        <v>2.822904217841252</v>
      </c>
      <c r="N150" s="42">
        <f>0.09669555472*Deflactores!$K$5</f>
        <v>0.2067865409617819</v>
      </c>
      <c r="O150" s="42">
        <f>0.00340715099999999*Deflactores!$L$5</f>
        <v>7.0245198069663383E-3</v>
      </c>
      <c r="P150" s="42">
        <f>0.125098387*Deflactores!$M$5</f>
        <v>0.25177198290188174</v>
      </c>
      <c r="Q150" s="42">
        <f>0.140177784*Deflactores!$N$5</f>
        <v>0.27675167064374834</v>
      </c>
      <c r="R150" s="42">
        <f>0.075938382*Deflactores!$O$5</f>
        <v>0.14463093575132738</v>
      </c>
      <c r="S150" s="42">
        <f>0.129807037*Deflactores!$P$5</f>
        <v>0.23155216745631221</v>
      </c>
      <c r="T150" s="42">
        <f>0.12185522044*Deflactores!$Q$5</f>
        <v>0.20554853105994961</v>
      </c>
      <c r="U150" s="42">
        <f>0.12529986514*Deflactores!$R$5</f>
        <v>0.20305413262571342</v>
      </c>
      <c r="V150" s="42">
        <f>0.094039699*Deflactores!$S$5</f>
        <v>0.14769878954514026</v>
      </c>
    </row>
    <row r="151" spans="2:22" x14ac:dyDescent="0.2">
      <c r="B151" s="34" t="s">
        <v>45</v>
      </c>
      <c r="C151" s="76" t="s">
        <v>46</v>
      </c>
      <c r="D151" s="41">
        <f>1559.83920877294*Deflactores!$A$5</f>
        <v>5663.0884784662912</v>
      </c>
      <c r="E151" s="41">
        <f>2009.47674606653*Deflactores!$B$5</f>
        <v>6777.1844722798724</v>
      </c>
      <c r="F151" s="41">
        <f>1885.36260964452*Deflactores!$C$5</f>
        <v>5943.0660121099372</v>
      </c>
      <c r="G151" s="41">
        <f>1876.58378682371*Deflactores!$D$5</f>
        <v>5554.8104428849483</v>
      </c>
      <c r="H151" s="41">
        <f>2199.76156238223*Deflactores!$E$5</f>
        <v>6172.1554201850104</v>
      </c>
      <c r="I151" s="41">
        <f>2298.71767228206*Deflactores!$F$5</f>
        <v>6151.1603610800448</v>
      </c>
      <c r="J151" s="41">
        <f>2997.77594955988*Deflactores!$G$5</f>
        <v>7677.961850689976</v>
      </c>
      <c r="K151" s="41">
        <f>3566.93180839943*Deflactores!$H$5</f>
        <v>8643.4944262725985</v>
      </c>
      <c r="L151" s="41">
        <f>4671.33033076167*Deflactores!$I$5</f>
        <v>10512.906064572791</v>
      </c>
      <c r="M151" s="41">
        <f>5961.54169767847*Deflactores!$J$5</f>
        <v>13153.245338472041</v>
      </c>
      <c r="N151" s="41">
        <f>5593.89490890109*Deflactores!$K$5</f>
        <v>11962.723437131534</v>
      </c>
      <c r="O151" s="41">
        <f>4908.05616360648*Deflactores!$L$5</f>
        <v>10118.934480730981</v>
      </c>
      <c r="P151" s="41">
        <f>6142.34912009605*Deflactores!$M$5</f>
        <v>12362.041227935346</v>
      </c>
      <c r="Q151" s="41">
        <f>7254.60594567083*Deflactores!$N$5</f>
        <v>14322.699774783658</v>
      </c>
      <c r="R151" s="41">
        <f>4547.89931433233*Deflactores!$O$5</f>
        <v>8661.85078231855</v>
      </c>
      <c r="S151" s="41">
        <f>4774.37494891819*Deflactores!$P$5</f>
        <v>8516.6173823929657</v>
      </c>
      <c r="T151" s="41">
        <f>6053.14353942388*Deflactores!$Q$5</f>
        <v>10210.598760815821</v>
      </c>
      <c r="U151" s="41">
        <f>6628.87816453948*Deflactores!$R$5</f>
        <v>10742.398680781975</v>
      </c>
      <c r="V151" s="41">
        <f>6476.29291952019*Deflactores!$S$5</f>
        <v>10171.668296735983</v>
      </c>
    </row>
    <row r="152" spans="2:22" x14ac:dyDescent="0.2">
      <c r="B152" s="36" t="s">
        <v>47</v>
      </c>
      <c r="C152" s="78" t="s">
        <v>48</v>
      </c>
      <c r="D152" s="43">
        <f t="shared" ref="D152:V152" si="56">+D139+D151</f>
        <v>10471.225991682772</v>
      </c>
      <c r="E152" s="43">
        <f t="shared" si="56"/>
        <v>11703.52860609609</v>
      </c>
      <c r="F152" s="43">
        <f t="shared" si="56"/>
        <v>10979.523468334082</v>
      </c>
      <c r="G152" s="43">
        <f t="shared" si="56"/>
        <v>10590.138541019725</v>
      </c>
      <c r="H152" s="43">
        <f t="shared" si="56"/>
        <v>16351.871401038683</v>
      </c>
      <c r="I152" s="43">
        <f t="shared" si="56"/>
        <v>16320.178085535937</v>
      </c>
      <c r="J152" s="43">
        <f t="shared" si="56"/>
        <v>12482.276310599906</v>
      </c>
      <c r="K152" s="43">
        <f t="shared" si="56"/>
        <v>13762.726163358135</v>
      </c>
      <c r="L152" s="43">
        <f t="shared" si="56"/>
        <v>15859.278109979707</v>
      </c>
      <c r="M152" s="43">
        <f t="shared" si="56"/>
        <v>19446.463922049774</v>
      </c>
      <c r="N152" s="43">
        <f t="shared" si="56"/>
        <v>20877.20342702193</v>
      </c>
      <c r="O152" s="43">
        <f t="shared" si="56"/>
        <v>18151.774912550223</v>
      </c>
      <c r="P152" s="43">
        <f t="shared" si="56"/>
        <v>20210.484849940698</v>
      </c>
      <c r="Q152" s="43">
        <f t="shared" si="56"/>
        <v>22544.659751771254</v>
      </c>
      <c r="R152" s="43">
        <f t="shared" si="56"/>
        <v>17159.725510260694</v>
      </c>
      <c r="S152" s="43">
        <f t="shared" si="56"/>
        <v>17308.208347703272</v>
      </c>
      <c r="T152" s="43">
        <f t="shared" si="56"/>
        <v>18544.219870734189</v>
      </c>
      <c r="U152" s="43">
        <f t="shared" si="56"/>
        <v>19286.796881601258</v>
      </c>
      <c r="V152" s="43">
        <f t="shared" si="56"/>
        <v>18305.839295732927</v>
      </c>
    </row>
    <row r="153" spans="2:22" x14ac:dyDescent="0.2">
      <c r="B153" s="38" t="s">
        <v>49</v>
      </c>
      <c r="C153" s="79" t="s">
        <v>63</v>
      </c>
      <c r="D153" s="44">
        <f t="shared" ref="D153:V153" si="57">+D139+D144+D151</f>
        <v>10602.302869931813</v>
      </c>
      <c r="E153" s="44">
        <f t="shared" si="57"/>
        <v>11715.048244567581</v>
      </c>
      <c r="F153" s="44">
        <f t="shared" si="57"/>
        <v>10990.989188531759</v>
      </c>
      <c r="G153" s="44">
        <f t="shared" si="57"/>
        <v>10603.648074412058</v>
      </c>
      <c r="H153" s="44">
        <f t="shared" si="57"/>
        <v>16362.517513008608</v>
      </c>
      <c r="I153" s="44">
        <f t="shared" si="57"/>
        <v>16327.235311104514</v>
      </c>
      <c r="J153" s="44">
        <f t="shared" si="57"/>
        <v>12485.589889254268</v>
      </c>
      <c r="K153" s="44">
        <f t="shared" si="57"/>
        <v>13765.135413266591</v>
      </c>
      <c r="L153" s="44">
        <f t="shared" si="57"/>
        <v>15861.915350949546</v>
      </c>
      <c r="M153" s="44">
        <f t="shared" si="57"/>
        <v>19452.597033001599</v>
      </c>
      <c r="N153" s="44">
        <f t="shared" si="57"/>
        <v>20879.586120517051</v>
      </c>
      <c r="O153" s="44">
        <f t="shared" si="57"/>
        <v>18153.749554474307</v>
      </c>
      <c r="P153" s="44">
        <f t="shared" si="57"/>
        <v>20212.634247897593</v>
      </c>
      <c r="Q153" s="44">
        <f t="shared" si="57"/>
        <v>22546.629667453159</v>
      </c>
      <c r="R153" s="44">
        <f t="shared" si="57"/>
        <v>17161.586373411417</v>
      </c>
      <c r="S153" s="44">
        <f t="shared" si="57"/>
        <v>17311.0107865061</v>
      </c>
      <c r="T153" s="44">
        <f t="shared" si="57"/>
        <v>18546.390314978657</v>
      </c>
      <c r="U153" s="44">
        <f t="shared" si="57"/>
        <v>19289.191238130639</v>
      </c>
      <c r="V153" s="44">
        <f t="shared" si="57"/>
        <v>18307.779449579532</v>
      </c>
    </row>
    <row r="154" spans="2:22" x14ac:dyDescent="0.2">
      <c r="B154" s="36" t="s">
        <v>64</v>
      </c>
      <c r="C154" s="78" t="s">
        <v>65</v>
      </c>
      <c r="D154" s="43">
        <f t="shared" ref="D154:V154" si="58">+D27</f>
        <v>15033.511833455341</v>
      </c>
      <c r="E154" s="43">
        <f t="shared" si="58"/>
        <v>16063.222132372155</v>
      </c>
      <c r="F154" s="43">
        <f t="shared" si="58"/>
        <v>15920.670057249039</v>
      </c>
      <c r="G154" s="43">
        <f t="shared" si="58"/>
        <v>14479.003210899238</v>
      </c>
      <c r="H154" s="43">
        <f t="shared" si="58"/>
        <v>21653.077304645492</v>
      </c>
      <c r="I154" s="43">
        <f t="shared" si="58"/>
        <v>20768.525278131921</v>
      </c>
      <c r="J154" s="43">
        <f t="shared" si="58"/>
        <v>17851.352558518363</v>
      </c>
      <c r="K154" s="43">
        <f t="shared" si="58"/>
        <v>18512.220880823188</v>
      </c>
      <c r="L154" s="43">
        <f t="shared" si="58"/>
        <v>19822.987366308465</v>
      </c>
      <c r="M154" s="43">
        <f t="shared" si="58"/>
        <v>24738.862399692178</v>
      </c>
      <c r="N154" s="43">
        <f t="shared" si="58"/>
        <v>26958.059777150196</v>
      </c>
      <c r="O154" s="43">
        <f t="shared" si="58"/>
        <v>26578.607563158403</v>
      </c>
      <c r="P154" s="43">
        <f t="shared" si="58"/>
        <v>26658.777787785562</v>
      </c>
      <c r="Q154" s="43">
        <f t="shared" si="58"/>
        <v>28437.954061940545</v>
      </c>
      <c r="R154" s="43">
        <f t="shared" si="58"/>
        <v>21737.69237439819</v>
      </c>
      <c r="S154" s="43">
        <f t="shared" si="58"/>
        <v>21864.82780530092</v>
      </c>
      <c r="T154" s="43">
        <f t="shared" si="58"/>
        <v>22529.887542971104</v>
      </c>
      <c r="U154" s="43">
        <f t="shared" si="58"/>
        <v>23684.803012427681</v>
      </c>
      <c r="V154" s="43">
        <f t="shared" si="58"/>
        <v>21585.083460589885</v>
      </c>
    </row>
    <row r="155" spans="2:22" x14ac:dyDescent="0.2">
      <c r="B155" s="38" t="s">
        <v>66</v>
      </c>
      <c r="C155" s="79" t="s">
        <v>73</v>
      </c>
      <c r="D155" s="45">
        <f t="shared" ref="D155:V155" si="59">+D152/D$27*100</f>
        <v>69.652560943080971</v>
      </c>
      <c r="E155" s="45">
        <f t="shared" si="59"/>
        <v>72.859159324641411</v>
      </c>
      <c r="F155" s="45">
        <f t="shared" si="59"/>
        <v>68.963953331441957</v>
      </c>
      <c r="G155" s="45">
        <f t="shared" si="59"/>
        <v>73.141350870396067</v>
      </c>
      <c r="H155" s="45">
        <f t="shared" si="59"/>
        <v>75.517540398428835</v>
      </c>
      <c r="I155" s="45">
        <f t="shared" si="59"/>
        <v>78.581304483473176</v>
      </c>
      <c r="J155" s="45">
        <f t="shared" si="59"/>
        <v>69.923420478542809</v>
      </c>
      <c r="K155" s="45">
        <f t="shared" si="59"/>
        <v>74.344003628516248</v>
      </c>
      <c r="L155" s="45">
        <f t="shared" si="59"/>
        <v>80.004480742062327</v>
      </c>
      <c r="M155" s="45">
        <f t="shared" si="59"/>
        <v>78.606944845983477</v>
      </c>
      <c r="N155" s="45">
        <f t="shared" si="59"/>
        <v>77.443271509908769</v>
      </c>
      <c r="O155" s="45">
        <f t="shared" si="59"/>
        <v>68.294679732248554</v>
      </c>
      <c r="P155" s="45">
        <f t="shared" si="59"/>
        <v>75.811745800292002</v>
      </c>
      <c r="Q155" s="45">
        <f t="shared" si="59"/>
        <v>79.276658590371369</v>
      </c>
      <c r="R155" s="45">
        <f t="shared" si="59"/>
        <v>78.939959286896311</v>
      </c>
      <c r="S155" s="45">
        <f t="shared" si="59"/>
        <v>79.160048740503058</v>
      </c>
      <c r="T155" s="45">
        <f t="shared" si="59"/>
        <v>82.309420476977181</v>
      </c>
      <c r="U155" s="45">
        <f t="shared" si="59"/>
        <v>81.431105301915579</v>
      </c>
      <c r="V155" s="45">
        <f t="shared" si="59"/>
        <v>84.807822629714579</v>
      </c>
    </row>
    <row r="156" spans="2:22" x14ac:dyDescent="0.2">
      <c r="B156" s="1" t="s">
        <v>52</v>
      </c>
      <c r="C156" s="15"/>
      <c r="D156" s="12"/>
      <c r="E156" s="12"/>
      <c r="F156" s="12"/>
      <c r="G156" s="12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</row>
    <row r="157" spans="2:22" x14ac:dyDescent="0.2">
      <c r="V157" s="23"/>
    </row>
    <row r="158" spans="2:22" x14ac:dyDescent="0.2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</row>
    <row r="163" spans="2:22" ht="15" customHeight="1" x14ac:dyDescent="0.2">
      <c r="C163" s="131"/>
      <c r="D163" s="160" t="s">
        <v>89</v>
      </c>
      <c r="E163" s="158"/>
      <c r="F163" s="158"/>
      <c r="G163" s="158"/>
      <c r="H163" s="158"/>
      <c r="I163" s="158"/>
      <c r="J163" s="158"/>
      <c r="K163" s="158"/>
      <c r="L163" s="158"/>
      <c r="M163" s="158"/>
      <c r="N163" s="158"/>
      <c r="O163" s="158"/>
      <c r="P163" s="158"/>
      <c r="Q163" s="158"/>
      <c r="R163" s="158"/>
      <c r="S163" s="158"/>
      <c r="T163" s="158"/>
      <c r="U163" s="158"/>
      <c r="V163" s="158"/>
    </row>
    <row r="164" spans="2:22" x14ac:dyDescent="0.2">
      <c r="U164" s="29"/>
      <c r="V164" s="29"/>
    </row>
    <row r="165" spans="2:22" x14ac:dyDescent="0.2">
      <c r="B165" s="163"/>
      <c r="C165" s="155" t="s">
        <v>38</v>
      </c>
      <c r="D165" s="153" t="s">
        <v>27</v>
      </c>
      <c r="E165" s="153" t="s">
        <v>28</v>
      </c>
      <c r="F165" s="153" t="s">
        <v>29</v>
      </c>
      <c r="G165" s="153" t="s">
        <v>30</v>
      </c>
      <c r="H165" s="153">
        <v>2004</v>
      </c>
      <c r="I165" s="153" t="s">
        <v>31</v>
      </c>
      <c r="J165" s="153" t="s">
        <v>32</v>
      </c>
      <c r="K165" s="153" t="s">
        <v>33</v>
      </c>
      <c r="L165" s="153" t="s">
        <v>34</v>
      </c>
      <c r="M165" s="153" t="s">
        <v>35</v>
      </c>
      <c r="N165" s="153">
        <v>2010</v>
      </c>
      <c r="O165" s="153">
        <v>2011</v>
      </c>
      <c r="P165" s="153">
        <v>2012</v>
      </c>
      <c r="Q165" s="153">
        <v>2013</v>
      </c>
      <c r="R165" s="153">
        <v>2014</v>
      </c>
      <c r="S165" s="153">
        <v>2015</v>
      </c>
      <c r="T165" s="153">
        <v>2016</v>
      </c>
      <c r="U165" s="153">
        <v>2017</v>
      </c>
      <c r="V165" s="153">
        <v>2018</v>
      </c>
    </row>
    <row r="166" spans="2:22" ht="12" customHeight="1" thickBot="1" x14ac:dyDescent="0.25">
      <c r="B166" s="154"/>
      <c r="C166" s="156"/>
      <c r="D166" s="154"/>
      <c r="E166" s="154"/>
      <c r="F166" s="154"/>
      <c r="G166" s="154"/>
      <c r="H166" s="154"/>
      <c r="I166" s="154"/>
      <c r="J166" s="154"/>
      <c r="K166" s="154"/>
      <c r="L166" s="154"/>
      <c r="M166" s="154"/>
      <c r="N166" s="154"/>
      <c r="O166" s="154"/>
      <c r="P166" s="154"/>
      <c r="Q166" s="154"/>
      <c r="R166" s="154"/>
      <c r="S166" s="154"/>
      <c r="T166" s="154"/>
      <c r="U166" s="154"/>
      <c r="V166" s="154"/>
    </row>
    <row r="167" spans="2:22" x14ac:dyDescent="0.2">
      <c r="B167" s="34" t="s">
        <v>39</v>
      </c>
      <c r="C167" s="76" t="s">
        <v>40</v>
      </c>
      <c r="D167" s="46">
        <f t="shared" ref="D167:V167" si="60">+IFERROR(IF(D139&gt;0,+((D139/D14)*100)," "),"")</f>
        <v>73.474903513078317</v>
      </c>
      <c r="E167" s="46">
        <f t="shared" si="60"/>
        <v>73.804017373107513</v>
      </c>
      <c r="F167" s="46">
        <f t="shared" si="60"/>
        <v>75.747692171229147</v>
      </c>
      <c r="G167" s="46">
        <f t="shared" si="60"/>
        <v>77.34090772375761</v>
      </c>
      <c r="H167" s="46">
        <f t="shared" si="60"/>
        <v>80.523758326549682</v>
      </c>
      <c r="I167" s="46">
        <f t="shared" si="60"/>
        <v>87.833952786361195</v>
      </c>
      <c r="J167" s="46">
        <f t="shared" si="60"/>
        <v>68.529440369524011</v>
      </c>
      <c r="K167" s="46">
        <f t="shared" si="60"/>
        <v>76.180676597430605</v>
      </c>
      <c r="L167" s="46">
        <f t="shared" si="60"/>
        <v>80.884235485553859</v>
      </c>
      <c r="M167" s="46">
        <f t="shared" si="60"/>
        <v>76.646757844187746</v>
      </c>
      <c r="N167" s="46">
        <f t="shared" si="60"/>
        <v>81.348556100997456</v>
      </c>
      <c r="O167" s="46">
        <f t="shared" si="60"/>
        <v>76.871784953195075</v>
      </c>
      <c r="P167" s="46">
        <f t="shared" si="60"/>
        <v>77.776987881219299</v>
      </c>
      <c r="Q167" s="46">
        <f t="shared" si="60"/>
        <v>75.961586673924131</v>
      </c>
      <c r="R167" s="46">
        <f t="shared" si="60"/>
        <v>81.013040431119521</v>
      </c>
      <c r="S167" s="46">
        <f t="shared" si="60"/>
        <v>83.571170625211806</v>
      </c>
      <c r="T167" s="46">
        <f t="shared" si="60"/>
        <v>87.855159926888987</v>
      </c>
      <c r="U167" s="46">
        <f t="shared" si="60"/>
        <v>89.380956517109809</v>
      </c>
      <c r="V167" s="46">
        <f t="shared" si="60"/>
        <v>85.284936692090739</v>
      </c>
    </row>
    <row r="168" spans="2:22" x14ac:dyDescent="0.2">
      <c r="B168" s="40"/>
      <c r="C168" s="77" t="s">
        <v>56</v>
      </c>
      <c r="D168" s="47">
        <f t="shared" ref="D168:V168" si="61">+IFERROR(IF(D140&gt;0,+((D140/D15)*100)," "),"")</f>
        <v>94.247200184823171</v>
      </c>
      <c r="E168" s="47">
        <f t="shared" si="61"/>
        <v>93.583953257777864</v>
      </c>
      <c r="F168" s="47">
        <f t="shared" si="61"/>
        <v>95.780615481290496</v>
      </c>
      <c r="G168" s="47">
        <f t="shared" si="61"/>
        <v>93.428820301267081</v>
      </c>
      <c r="H168" s="47">
        <f t="shared" si="61"/>
        <v>92.020932988424477</v>
      </c>
      <c r="I168" s="47">
        <f t="shared" si="61"/>
        <v>93.970173562179085</v>
      </c>
      <c r="J168" s="47">
        <f t="shared" si="61"/>
        <v>92.925851496574438</v>
      </c>
      <c r="K168" s="47">
        <f t="shared" si="61"/>
        <v>93.187759321594854</v>
      </c>
      <c r="L168" s="47">
        <f t="shared" si="61"/>
        <v>94.983478141214462</v>
      </c>
      <c r="M168" s="47">
        <f t="shared" si="61"/>
        <v>92.116749835982802</v>
      </c>
      <c r="N168" s="47">
        <f t="shared" si="61"/>
        <v>93.84772261624903</v>
      </c>
      <c r="O168" s="47">
        <f t="shared" si="61"/>
        <v>81.002704009116371</v>
      </c>
      <c r="P168" s="47">
        <f t="shared" si="61"/>
        <v>92.124160586917213</v>
      </c>
      <c r="Q168" s="47">
        <f t="shared" si="61"/>
        <v>83.087532688175941</v>
      </c>
      <c r="R168" s="47">
        <f t="shared" si="61"/>
        <v>85.670431849576985</v>
      </c>
      <c r="S168" s="47">
        <f t="shared" si="61"/>
        <v>89.367602103430968</v>
      </c>
      <c r="T168" s="47">
        <f t="shared" si="61"/>
        <v>92.611201110417568</v>
      </c>
      <c r="U168" s="47">
        <f t="shared" si="61"/>
        <v>92.538818479242977</v>
      </c>
      <c r="V168" s="47">
        <f t="shared" si="61"/>
        <v>93.146903261592257</v>
      </c>
    </row>
    <row r="169" spans="2:22" x14ac:dyDescent="0.2">
      <c r="B169" s="40"/>
      <c r="C169" s="77" t="s">
        <v>57</v>
      </c>
      <c r="D169" s="47">
        <f t="shared" ref="D169:V169" si="62">+IFERROR(IF(D141&gt;0,+((D141/D16)*100)," "),"")</f>
        <v>77.764430722791502</v>
      </c>
      <c r="E169" s="47">
        <f t="shared" si="62"/>
        <v>83.920611146968042</v>
      </c>
      <c r="F169" s="47">
        <f t="shared" si="62"/>
        <v>84.760809236473662</v>
      </c>
      <c r="G169" s="47">
        <f t="shared" si="62"/>
        <v>80.519921676741518</v>
      </c>
      <c r="H169" s="47">
        <f t="shared" si="62"/>
        <v>77.133292310857769</v>
      </c>
      <c r="I169" s="47">
        <f t="shared" si="62"/>
        <v>80.891616519107785</v>
      </c>
      <c r="J169" s="47">
        <f t="shared" si="62"/>
        <v>75.449265574977758</v>
      </c>
      <c r="K169" s="47">
        <f t="shared" si="62"/>
        <v>77.835027556606363</v>
      </c>
      <c r="L169" s="47">
        <f t="shared" si="62"/>
        <v>81.058316210147339</v>
      </c>
      <c r="M169" s="47">
        <f t="shared" si="62"/>
        <v>83.871007550774877</v>
      </c>
      <c r="N169" s="47">
        <f t="shared" si="62"/>
        <v>80.942750317544551</v>
      </c>
      <c r="O169" s="47">
        <f t="shared" si="62"/>
        <v>75.007700903031122</v>
      </c>
      <c r="P169" s="47">
        <f t="shared" si="62"/>
        <v>79.329268843283799</v>
      </c>
      <c r="Q169" s="47">
        <f t="shared" si="62"/>
        <v>83.84083744966189</v>
      </c>
      <c r="R169" s="47">
        <f t="shared" si="62"/>
        <v>81.577089995479184</v>
      </c>
      <c r="S169" s="47">
        <f t="shared" si="62"/>
        <v>87.514071801779068</v>
      </c>
      <c r="T169" s="47">
        <f t="shared" si="62"/>
        <v>87.937451373503706</v>
      </c>
      <c r="U169" s="47">
        <f t="shared" si="62"/>
        <v>85.43096213265126</v>
      </c>
      <c r="V169" s="47">
        <f t="shared" si="62"/>
        <v>79.586704639894961</v>
      </c>
    </row>
    <row r="170" spans="2:22" x14ac:dyDescent="0.2">
      <c r="B170" s="40"/>
      <c r="C170" s="77" t="s">
        <v>58</v>
      </c>
      <c r="D170" s="47">
        <f t="shared" ref="D170:V170" si="63">+IFERROR(IF(D142&gt;0,+((D142/D17)*100)," "),"")</f>
        <v>60.918201098054567</v>
      </c>
      <c r="E170" s="47">
        <f t="shared" si="63"/>
        <v>61.131770532514743</v>
      </c>
      <c r="F170" s="47">
        <f t="shared" si="63"/>
        <v>61.520768422063668</v>
      </c>
      <c r="G170" s="47">
        <f t="shared" si="63"/>
        <v>67.325201009252595</v>
      </c>
      <c r="H170" s="47">
        <f t="shared" si="63"/>
        <v>80.009266496679885</v>
      </c>
      <c r="I170" s="47">
        <f t="shared" si="63"/>
        <v>91.97221009190595</v>
      </c>
      <c r="J170" s="47">
        <f t="shared" si="63"/>
        <v>62.524226595673362</v>
      </c>
      <c r="K170" s="47">
        <f t="shared" si="63"/>
        <v>64.546658478899786</v>
      </c>
      <c r="L170" s="47">
        <f t="shared" si="63"/>
        <v>66.552108091976663</v>
      </c>
      <c r="M170" s="47">
        <f t="shared" si="63"/>
        <v>61.553363938494911</v>
      </c>
      <c r="N170" s="47">
        <f t="shared" si="63"/>
        <v>76.03420930706514</v>
      </c>
      <c r="O170" s="47">
        <f t="shared" si="63"/>
        <v>77.615648173063661</v>
      </c>
      <c r="P170" s="47">
        <f t="shared" si="63"/>
        <v>76.883724239292903</v>
      </c>
      <c r="Q170" s="47">
        <f t="shared" si="63"/>
        <v>73.226384021677276</v>
      </c>
      <c r="R170" s="47">
        <f t="shared" si="63"/>
        <v>80.821658626769022</v>
      </c>
      <c r="S170" s="47">
        <f t="shared" si="63"/>
        <v>85.950040233083939</v>
      </c>
      <c r="T170" s="47">
        <f t="shared" si="63"/>
        <v>90.630650920963348</v>
      </c>
      <c r="U170" s="47">
        <f t="shared" si="63"/>
        <v>93.069869187872911</v>
      </c>
      <c r="V170" s="47">
        <f t="shared" si="63"/>
        <v>83.762227847045054</v>
      </c>
    </row>
    <row r="171" spans="2:22" x14ac:dyDescent="0.2">
      <c r="B171" s="40"/>
      <c r="C171" s="77" t="s">
        <v>59</v>
      </c>
      <c r="D171" s="47">
        <f t="shared" ref="D171:V171" si="64">+IFERROR(IF(D143&gt;0,+((D143/D18)*100)," "),"")</f>
        <v>67.695013373787091</v>
      </c>
      <c r="E171" s="47">
        <f t="shared" si="64"/>
        <v>69.005989979836045</v>
      </c>
      <c r="F171" s="47">
        <f t="shared" si="64"/>
        <v>73.320005589507858</v>
      </c>
      <c r="G171" s="47">
        <f t="shared" si="64"/>
        <v>75.588633458581143</v>
      </c>
      <c r="H171" s="47">
        <f t="shared" si="64"/>
        <v>73.923072154626851</v>
      </c>
      <c r="I171" s="47">
        <f t="shared" si="64"/>
        <v>71.608303058779867</v>
      </c>
      <c r="J171" s="47">
        <f t="shared" si="64"/>
        <v>56.315638912357521</v>
      </c>
      <c r="K171" s="47">
        <f t="shared" si="64"/>
        <v>76.384321652638675</v>
      </c>
      <c r="L171" s="47">
        <f t="shared" si="64"/>
        <v>84.448651225772849</v>
      </c>
      <c r="M171" s="47">
        <f t="shared" si="64"/>
        <v>81.152580249160479</v>
      </c>
      <c r="N171" s="47">
        <f t="shared" si="64"/>
        <v>83.413813714204636</v>
      </c>
      <c r="O171" s="47">
        <f t="shared" si="64"/>
        <v>73.889530821895974</v>
      </c>
      <c r="P171" s="47">
        <f t="shared" si="64"/>
        <v>69.242469695393822</v>
      </c>
      <c r="Q171" s="47">
        <f t="shared" si="64"/>
        <v>70.478662229188387</v>
      </c>
      <c r="R171" s="47">
        <f t="shared" si="64"/>
        <v>76.631021523030498</v>
      </c>
      <c r="S171" s="47">
        <f t="shared" si="64"/>
        <v>74.354352914801254</v>
      </c>
      <c r="T171" s="47">
        <f t="shared" si="64"/>
        <v>80.849966545502213</v>
      </c>
      <c r="U171" s="47">
        <f t="shared" si="64"/>
        <v>83.083199464320813</v>
      </c>
      <c r="V171" s="47">
        <f t="shared" si="64"/>
        <v>79.998401471391219</v>
      </c>
    </row>
    <row r="172" spans="2:22" x14ac:dyDescent="0.2">
      <c r="B172" s="34" t="s">
        <v>41</v>
      </c>
      <c r="C172" s="76" t="s">
        <v>42</v>
      </c>
      <c r="D172" s="46">
        <f t="shared" ref="D172:V172" si="65">+IFERROR(IF(D144&gt;0,+((D144/D19)*100)," "),"")</f>
        <v>92.090691600764771</v>
      </c>
      <c r="E172" s="46">
        <f t="shared" si="65"/>
        <v>86.728764708561442</v>
      </c>
      <c r="F172" s="46">
        <f t="shared" si="65"/>
        <v>78.01793546053851</v>
      </c>
      <c r="G172" s="46">
        <f t="shared" si="65"/>
        <v>96.615952224729583</v>
      </c>
      <c r="H172" s="46">
        <f t="shared" si="65"/>
        <v>94.512120003736115</v>
      </c>
      <c r="I172" s="46">
        <f t="shared" si="65"/>
        <v>62.864237212768224</v>
      </c>
      <c r="J172" s="46">
        <f t="shared" si="65"/>
        <v>43.142271029745224</v>
      </c>
      <c r="K172" s="46">
        <f t="shared" si="65"/>
        <v>34.822593246126615</v>
      </c>
      <c r="L172" s="46">
        <f t="shared" si="65"/>
        <v>50.127821664028701</v>
      </c>
      <c r="M172" s="46">
        <f t="shared" si="65"/>
        <v>69.586071184319195</v>
      </c>
      <c r="N172" s="46">
        <f t="shared" si="65"/>
        <v>49.093300769773109</v>
      </c>
      <c r="O172" s="46">
        <f t="shared" si="65"/>
        <v>50.659796360943631</v>
      </c>
      <c r="P172" s="46">
        <f t="shared" si="65"/>
        <v>87.524597197180782</v>
      </c>
      <c r="Q172" s="46">
        <f t="shared" si="65"/>
        <v>72.408134542815674</v>
      </c>
      <c r="R172" s="46">
        <f t="shared" si="65"/>
        <v>92.751569092462489</v>
      </c>
      <c r="S172" s="46">
        <f t="shared" si="65"/>
        <v>99.999996308163531</v>
      </c>
      <c r="T172" s="46">
        <f t="shared" si="65"/>
        <v>99.914747684352278</v>
      </c>
      <c r="U172" s="46">
        <f t="shared" si="65"/>
        <v>95.624900728755421</v>
      </c>
      <c r="V172" s="46">
        <f t="shared" si="65"/>
        <v>95.997882121494726</v>
      </c>
    </row>
    <row r="173" spans="2:22" x14ac:dyDescent="0.2">
      <c r="B173" s="34"/>
      <c r="C173" s="76" t="s">
        <v>43</v>
      </c>
      <c r="D173" s="46">
        <f t="shared" ref="D173:V173" si="66">+IFERROR(IF(D145&gt;0,+((D145/D20)*100)," "),"")</f>
        <v>71.104986802251403</v>
      </c>
      <c r="E173" s="46">
        <f t="shared" si="66"/>
        <v>87.544145602252783</v>
      </c>
      <c r="F173" s="46">
        <f t="shared" si="66"/>
        <v>81.69728083568765</v>
      </c>
      <c r="G173" s="46">
        <f t="shared" si="66"/>
        <v>96.519434525238836</v>
      </c>
      <c r="H173" s="46">
        <f t="shared" si="66"/>
        <v>94.121383681166265</v>
      </c>
      <c r="I173" s="46">
        <f t="shared" si="66"/>
        <v>67.780224568919763</v>
      </c>
      <c r="J173" s="46">
        <f t="shared" si="66"/>
        <v>62.809091628939193</v>
      </c>
      <c r="K173" s="46">
        <f t="shared" si="66"/>
        <v>78.253125698526276</v>
      </c>
      <c r="L173" s="46">
        <f t="shared" si="66"/>
        <v>44.783996899465336</v>
      </c>
      <c r="M173" s="46">
        <f t="shared" si="66"/>
        <v>83.764142731804498</v>
      </c>
      <c r="N173" s="46">
        <f t="shared" si="66"/>
        <v>33.900457600089247</v>
      </c>
      <c r="O173" s="46">
        <f t="shared" si="66"/>
        <v>43.311510977830139</v>
      </c>
      <c r="P173" s="46">
        <f t="shared" si="66"/>
        <v>86.467270270270276</v>
      </c>
      <c r="Q173" s="46">
        <f t="shared" si="66"/>
        <v>28.696683875939126</v>
      </c>
      <c r="R173" s="46">
        <f t="shared" si="66"/>
        <v>95.32107161825725</v>
      </c>
      <c r="S173" s="46">
        <f t="shared" si="66"/>
        <v>100</v>
      </c>
      <c r="T173" s="46">
        <f t="shared" si="66"/>
        <v>99.527891537933129</v>
      </c>
      <c r="U173" s="46">
        <f t="shared" si="66"/>
        <v>82.26749657239057</v>
      </c>
      <c r="V173" s="46">
        <f t="shared" si="66"/>
        <v>84.231084992907796</v>
      </c>
    </row>
    <row r="174" spans="2:22" x14ac:dyDescent="0.2">
      <c r="B174" s="32"/>
      <c r="C174" s="77" t="s">
        <v>60</v>
      </c>
      <c r="D174" s="47">
        <f t="shared" ref="D174:V174" si="67">+IFERROR(IF(D146&gt;0,+((D146/D21)*100)," "),"")</f>
        <v>66.695597144841997</v>
      </c>
      <c r="E174" s="47">
        <f t="shared" si="67"/>
        <v>86.230305482704509</v>
      </c>
      <c r="F174" s="47">
        <f t="shared" si="67"/>
        <v>81.720062631596633</v>
      </c>
      <c r="G174" s="47">
        <f t="shared" si="67"/>
        <v>96.894011305999456</v>
      </c>
      <c r="H174" s="47">
        <f t="shared" si="67"/>
        <v>95.947763471667287</v>
      </c>
      <c r="I174" s="47">
        <f t="shared" si="67"/>
        <v>68.820780842138021</v>
      </c>
      <c r="J174" s="47">
        <f t="shared" si="67"/>
        <v>64.982929189189193</v>
      </c>
      <c r="K174" s="47">
        <f t="shared" si="67"/>
        <v>80.956498047032028</v>
      </c>
      <c r="L174" s="47">
        <f t="shared" si="67"/>
        <v>43.635602022655178</v>
      </c>
      <c r="M174" s="47">
        <f t="shared" si="67"/>
        <v>86.574771864906054</v>
      </c>
      <c r="N174" s="47">
        <f t="shared" si="67"/>
        <v>33.464252337722478</v>
      </c>
      <c r="O174" s="47">
        <f t="shared" si="67"/>
        <v>45.970169148573376</v>
      </c>
      <c r="P174" s="47">
        <f t="shared" si="67"/>
        <v>86.975925820256791</v>
      </c>
      <c r="Q174" s="47">
        <f t="shared" si="67"/>
        <v>26.285304734339466</v>
      </c>
      <c r="R174" s="47">
        <f t="shared" si="67"/>
        <v>96.499260847337567</v>
      </c>
      <c r="S174" s="47">
        <f t="shared" si="67"/>
        <v>100</v>
      </c>
      <c r="T174" s="47">
        <f t="shared" si="67"/>
        <v>100</v>
      </c>
      <c r="U174" s="47">
        <f t="shared" si="67"/>
        <v>82.605949259649122</v>
      </c>
      <c r="V174" s="47">
        <f t="shared" si="67"/>
        <v>84.790471514492765</v>
      </c>
    </row>
    <row r="175" spans="2:22" x14ac:dyDescent="0.2">
      <c r="B175" s="32"/>
      <c r="C175" s="77" t="s">
        <v>61</v>
      </c>
      <c r="D175" s="47">
        <f t="shared" ref="D175:V175" si="68">+IFERROR(IF(D147&gt;0,+((D147/D22)*100)," "),"")</f>
        <v>95.831980858807896</v>
      </c>
      <c r="E175" s="47">
        <f t="shared" si="68"/>
        <v>93.941804948504981</v>
      </c>
      <c r="F175" s="47">
        <f t="shared" si="68"/>
        <v>81.576756349742325</v>
      </c>
      <c r="G175" s="47">
        <f t="shared" si="68"/>
        <v>93.463476726708166</v>
      </c>
      <c r="H175" s="47">
        <f t="shared" si="68"/>
        <v>80.759009262319253</v>
      </c>
      <c r="I175" s="47">
        <f t="shared" si="68"/>
        <v>59.557525417133746</v>
      </c>
      <c r="J175" s="47">
        <f t="shared" si="68"/>
        <v>48.557028608160977</v>
      </c>
      <c r="K175" s="47">
        <f t="shared" si="68"/>
        <v>57.07979789047004</v>
      </c>
      <c r="L175" s="47">
        <f t="shared" si="68"/>
        <v>54.913403700253937</v>
      </c>
      <c r="M175" s="47">
        <f t="shared" si="68"/>
        <v>54.022104191685912</v>
      </c>
      <c r="N175" s="47">
        <f t="shared" si="68"/>
        <v>38.919512065232958</v>
      </c>
      <c r="O175" s="47" t="str">
        <f t="shared" si="68"/>
        <v xml:space="preserve"> </v>
      </c>
      <c r="P175" s="47">
        <f t="shared" si="68"/>
        <v>84.090153333333333</v>
      </c>
      <c r="Q175" s="47">
        <f t="shared" si="68"/>
        <v>61.645387005649724</v>
      </c>
      <c r="R175" s="47">
        <f t="shared" si="68"/>
        <v>86.927078715050143</v>
      </c>
      <c r="S175" s="47">
        <f t="shared" si="68"/>
        <v>100</v>
      </c>
      <c r="T175" s="47">
        <f t="shared" si="68"/>
        <v>93.830625492451418</v>
      </c>
      <c r="U175" s="47">
        <f t="shared" si="68"/>
        <v>74.229245249999991</v>
      </c>
      <c r="V175" s="47">
        <f t="shared" si="68"/>
        <v>58.499304999999666</v>
      </c>
    </row>
    <row r="176" spans="2:22" x14ac:dyDescent="0.2">
      <c r="B176" s="34"/>
      <c r="C176" s="76" t="s">
        <v>44</v>
      </c>
      <c r="D176" s="46">
        <f t="shared" ref="D176:V176" si="69">+IFERROR(IF(D148&gt;0,+((D148/D23)*100)," "),"")</f>
        <v>96.233220528942027</v>
      </c>
      <c r="E176" s="46">
        <f t="shared" si="69"/>
        <v>79.613353498251968</v>
      </c>
      <c r="F176" s="46">
        <f t="shared" si="69"/>
        <v>66.416856833996007</v>
      </c>
      <c r="G176" s="46">
        <f t="shared" si="69"/>
        <v>96.886524698645189</v>
      </c>
      <c r="H176" s="46">
        <f t="shared" si="69"/>
        <v>95.432744691523155</v>
      </c>
      <c r="I176" s="46">
        <f t="shared" si="69"/>
        <v>57.225493356137072</v>
      </c>
      <c r="J176" s="46">
        <f t="shared" si="69"/>
        <v>27.000432483302973</v>
      </c>
      <c r="K176" s="46" t="str">
        <f t="shared" si="69"/>
        <v xml:space="preserve"> </v>
      </c>
      <c r="L176" s="46">
        <f t="shared" si="69"/>
        <v>55.389531454283059</v>
      </c>
      <c r="M176" s="46">
        <f t="shared" si="69"/>
        <v>64.832718320687235</v>
      </c>
      <c r="N176" s="46">
        <f t="shared" si="69"/>
        <v>64.784324956159679</v>
      </c>
      <c r="O176" s="46">
        <f t="shared" si="69"/>
        <v>57.829922875953656</v>
      </c>
      <c r="P176" s="46">
        <f t="shared" si="69"/>
        <v>87.695984857142861</v>
      </c>
      <c r="Q176" s="46">
        <f t="shared" si="69"/>
        <v>98.826360228198851</v>
      </c>
      <c r="R176" s="46">
        <f t="shared" si="69"/>
        <v>92.261600655589447</v>
      </c>
      <c r="S176" s="46">
        <f t="shared" si="69"/>
        <v>99.999995798477116</v>
      </c>
      <c r="T176" s="46">
        <f t="shared" si="69"/>
        <v>99.999558267516363</v>
      </c>
      <c r="U176" s="46">
        <f t="shared" si="69"/>
        <v>98.80345135325696</v>
      </c>
      <c r="V176" s="46">
        <f t="shared" si="69"/>
        <v>97.445890507302408</v>
      </c>
    </row>
    <row r="177" spans="2:22" x14ac:dyDescent="0.2">
      <c r="B177" s="32"/>
      <c r="C177" s="77" t="s">
        <v>60</v>
      </c>
      <c r="D177" s="47">
        <f t="shared" ref="D177:V177" si="70">+IFERROR(IF(D149&gt;0,+((D149/D24)*100)," "),"")</f>
        <v>95.160962928247656</v>
      </c>
      <c r="E177" s="47">
        <f t="shared" si="70"/>
        <v>84.337830713386339</v>
      </c>
      <c r="F177" s="47">
        <f t="shared" si="70"/>
        <v>79.939050536217906</v>
      </c>
      <c r="G177" s="47">
        <f t="shared" si="70"/>
        <v>99.554180906877647</v>
      </c>
      <c r="H177" s="47">
        <f t="shared" si="70"/>
        <v>96.489142134896127</v>
      </c>
      <c r="I177" s="47">
        <f t="shared" si="70"/>
        <v>57.924581641411741</v>
      </c>
      <c r="J177" s="47">
        <f t="shared" si="70"/>
        <v>28.53202875891121</v>
      </c>
      <c r="K177" s="47" t="str">
        <f t="shared" si="70"/>
        <v xml:space="preserve"> </v>
      </c>
      <c r="L177" s="47">
        <f t="shared" si="70"/>
        <v>71.727494613016717</v>
      </c>
      <c r="M177" s="47">
        <f t="shared" si="70"/>
        <v>81.259833210241254</v>
      </c>
      <c r="N177" s="47">
        <f t="shared" si="70"/>
        <v>70.217977630322878</v>
      </c>
      <c r="O177" s="47">
        <f t="shared" si="70"/>
        <v>70.981850929272156</v>
      </c>
      <c r="P177" s="47">
        <f t="shared" si="70"/>
        <v>86.031944426424474</v>
      </c>
      <c r="Q177" s="47">
        <f t="shared" si="70"/>
        <v>98.600504243773486</v>
      </c>
      <c r="R177" s="47">
        <f t="shared" si="70"/>
        <v>99.999999864919616</v>
      </c>
      <c r="S177" s="47">
        <f t="shared" si="70"/>
        <v>99.999995362392269</v>
      </c>
      <c r="T177" s="47">
        <f t="shared" si="70"/>
        <v>99.999999978595454</v>
      </c>
      <c r="U177" s="47">
        <f t="shared" si="70"/>
        <v>98.784307730717785</v>
      </c>
      <c r="V177" s="47">
        <f t="shared" si="70"/>
        <v>99.993914827152764</v>
      </c>
    </row>
    <row r="178" spans="2:22" x14ac:dyDescent="0.2">
      <c r="B178" s="32"/>
      <c r="C178" s="77" t="s">
        <v>61</v>
      </c>
      <c r="D178" s="47">
        <f t="shared" ref="D178:V178" si="71">+IFERROR(IF(D150&gt;0,+((D150/D25)*100)," "),"")</f>
        <v>98.938222141866618</v>
      </c>
      <c r="E178" s="47">
        <f t="shared" si="71"/>
        <v>78.653641479664273</v>
      </c>
      <c r="F178" s="47">
        <f t="shared" si="71"/>
        <v>48.990523393342649</v>
      </c>
      <c r="G178" s="47">
        <f t="shared" si="71"/>
        <v>90.471818665464781</v>
      </c>
      <c r="H178" s="47">
        <f t="shared" si="71"/>
        <v>92.611687020558151</v>
      </c>
      <c r="I178" s="47">
        <f t="shared" si="71"/>
        <v>55.256239981464297</v>
      </c>
      <c r="J178" s="47">
        <f t="shared" si="71"/>
        <v>22.418264663111973</v>
      </c>
      <c r="K178" s="47" t="str">
        <f t="shared" si="71"/>
        <v xml:space="preserve"> </v>
      </c>
      <c r="L178" s="47" t="str">
        <f t="shared" si="71"/>
        <v xml:space="preserve"> </v>
      </c>
      <c r="M178" s="47">
        <f t="shared" si="71"/>
        <v>58.709014316523643</v>
      </c>
      <c r="N178" s="47">
        <f t="shared" si="71"/>
        <v>43.148164632764122</v>
      </c>
      <c r="O178" s="47">
        <f t="shared" si="71"/>
        <v>1.8710329489291542</v>
      </c>
      <c r="P178" s="47">
        <f t="shared" si="71"/>
        <v>99.998710631494802</v>
      </c>
      <c r="Q178" s="47">
        <f t="shared" si="71"/>
        <v>99.984154065620544</v>
      </c>
      <c r="R178" s="47">
        <f t="shared" si="71"/>
        <v>52.58890720221607</v>
      </c>
      <c r="S178" s="47">
        <f t="shared" si="71"/>
        <v>100</v>
      </c>
      <c r="T178" s="47">
        <f t="shared" si="71"/>
        <v>99.996171373408302</v>
      </c>
      <c r="U178" s="47">
        <f t="shared" si="71"/>
        <v>98.973037235387068</v>
      </c>
      <c r="V178" s="47">
        <f t="shared" si="71"/>
        <v>76.304730684495865</v>
      </c>
    </row>
    <row r="179" spans="2:22" x14ac:dyDescent="0.2">
      <c r="B179" s="34" t="s">
        <v>45</v>
      </c>
      <c r="C179" s="76" t="s">
        <v>46</v>
      </c>
      <c r="D179" s="46">
        <f t="shared" ref="D179:V179" si="72">+IFERROR(IF(D151&gt;0,+((D151/D26)*100)," "),"")</f>
        <v>66.706236590747309</v>
      </c>
      <c r="E179" s="46">
        <f t="shared" si="72"/>
        <v>72.187385134014377</v>
      </c>
      <c r="F179" s="46">
        <f t="shared" si="72"/>
        <v>64.099136331959997</v>
      </c>
      <c r="G179" s="46">
        <f t="shared" si="72"/>
        <v>69.710130385713413</v>
      </c>
      <c r="H179" s="46">
        <f t="shared" si="72"/>
        <v>68.494279177600831</v>
      </c>
      <c r="I179" s="46">
        <f t="shared" si="72"/>
        <v>66.92607250950195</v>
      </c>
      <c r="J179" s="46">
        <f t="shared" si="72"/>
        <v>70.824889428571808</v>
      </c>
      <c r="K179" s="46">
        <f t="shared" si="72"/>
        <v>73.297379148943691</v>
      </c>
      <c r="L179" s="46">
        <f t="shared" si="72"/>
        <v>79.564379286736582</v>
      </c>
      <c r="M179" s="46">
        <f t="shared" si="72"/>
        <v>79.58070362573801</v>
      </c>
      <c r="N179" s="46">
        <f t="shared" si="72"/>
        <v>74.768495420080612</v>
      </c>
      <c r="O179" s="46">
        <f t="shared" si="72"/>
        <v>62.737724579107059</v>
      </c>
      <c r="P179" s="46">
        <f t="shared" si="72"/>
        <v>74.614776172032009</v>
      </c>
      <c r="Q179" s="46">
        <f t="shared" si="72"/>
        <v>81.313763804677819</v>
      </c>
      <c r="R179" s="46">
        <f t="shared" si="72"/>
        <v>77.006702586635498</v>
      </c>
      <c r="S179" s="46">
        <f t="shared" si="72"/>
        <v>75.069724535706257</v>
      </c>
      <c r="T179" s="46">
        <f t="shared" si="72"/>
        <v>78.276619491060529</v>
      </c>
      <c r="U179" s="46">
        <f t="shared" si="72"/>
        <v>76.050903167496998</v>
      </c>
      <c r="V179" s="46">
        <f t="shared" si="72"/>
        <v>84.430104075100161</v>
      </c>
    </row>
    <row r="180" spans="2:22" x14ac:dyDescent="0.2">
      <c r="B180" s="36" t="s">
        <v>47</v>
      </c>
      <c r="C180" s="78" t="s">
        <v>48</v>
      </c>
      <c r="D180" s="48">
        <f t="shared" ref="D180:V180" si="73">+IFERROR(IF(D152&gt;0,+((D152/D27)*100)," "),"")</f>
        <v>69.652560943080971</v>
      </c>
      <c r="E180" s="48">
        <f t="shared" si="73"/>
        <v>72.859159324641411</v>
      </c>
      <c r="F180" s="48">
        <f t="shared" si="73"/>
        <v>68.963953331441957</v>
      </c>
      <c r="G180" s="48">
        <f t="shared" si="73"/>
        <v>73.141350870396067</v>
      </c>
      <c r="H180" s="48">
        <f t="shared" si="73"/>
        <v>75.517540398428835</v>
      </c>
      <c r="I180" s="48">
        <f t="shared" si="73"/>
        <v>78.581304483473176</v>
      </c>
      <c r="J180" s="48">
        <f t="shared" si="73"/>
        <v>69.923420478542809</v>
      </c>
      <c r="K180" s="48">
        <f t="shared" si="73"/>
        <v>74.344003628516248</v>
      </c>
      <c r="L180" s="48">
        <f t="shared" si="73"/>
        <v>80.004480742062327</v>
      </c>
      <c r="M180" s="48">
        <f t="shared" si="73"/>
        <v>78.606944845983477</v>
      </c>
      <c r="N180" s="48">
        <f t="shared" si="73"/>
        <v>77.443271509908769</v>
      </c>
      <c r="O180" s="48">
        <f t="shared" si="73"/>
        <v>68.294679732248554</v>
      </c>
      <c r="P180" s="48">
        <f t="shared" si="73"/>
        <v>75.811745800292002</v>
      </c>
      <c r="Q180" s="48">
        <f t="shared" si="73"/>
        <v>79.276658590371369</v>
      </c>
      <c r="R180" s="48">
        <f t="shared" si="73"/>
        <v>78.939959286896311</v>
      </c>
      <c r="S180" s="48">
        <f t="shared" si="73"/>
        <v>79.160048740503058</v>
      </c>
      <c r="T180" s="48">
        <f t="shared" si="73"/>
        <v>82.309420476977181</v>
      </c>
      <c r="U180" s="48">
        <f t="shared" si="73"/>
        <v>81.431105301915579</v>
      </c>
      <c r="V180" s="48">
        <f t="shared" si="73"/>
        <v>84.807822629714579</v>
      </c>
    </row>
    <row r="181" spans="2:22" x14ac:dyDescent="0.2">
      <c r="B181" s="38" t="s">
        <v>49</v>
      </c>
      <c r="C181" s="79" t="s">
        <v>63</v>
      </c>
      <c r="D181" s="45">
        <f t="shared" ref="D181:V181" si="74">+IFERROR(IF(D153&gt;0,+((D153/D28)*100)," "),"")</f>
        <v>69.863008605283383</v>
      </c>
      <c r="E181" s="45">
        <f t="shared" si="74"/>
        <v>72.870618362836865</v>
      </c>
      <c r="F181" s="45">
        <f t="shared" si="74"/>
        <v>68.972303292829324</v>
      </c>
      <c r="G181" s="45">
        <f t="shared" si="74"/>
        <v>73.163998975193252</v>
      </c>
      <c r="H181" s="45">
        <f t="shared" si="74"/>
        <v>75.527416549304775</v>
      </c>
      <c r="I181" s="45">
        <f t="shared" si="74"/>
        <v>78.57281343123347</v>
      </c>
      <c r="J181" s="45">
        <f t="shared" si="74"/>
        <v>69.91190278415182</v>
      </c>
      <c r="K181" s="45">
        <f t="shared" si="74"/>
        <v>74.32923866520305</v>
      </c>
      <c r="L181" s="45">
        <f t="shared" si="74"/>
        <v>79.996553563116379</v>
      </c>
      <c r="M181" s="45">
        <f t="shared" si="74"/>
        <v>78.603732127428472</v>
      </c>
      <c r="N181" s="45">
        <f t="shared" si="74"/>
        <v>77.438168437293768</v>
      </c>
      <c r="O181" s="45">
        <f t="shared" si="74"/>
        <v>68.292093892574201</v>
      </c>
      <c r="P181" s="45">
        <f t="shared" si="74"/>
        <v>75.812824670262458</v>
      </c>
      <c r="Q181" s="45">
        <f t="shared" si="74"/>
        <v>79.276001562477489</v>
      </c>
      <c r="R181" s="45">
        <f t="shared" si="74"/>
        <v>78.941233916354008</v>
      </c>
      <c r="S181" s="45">
        <f t="shared" si="74"/>
        <v>79.162719477076521</v>
      </c>
      <c r="T181" s="45">
        <f t="shared" si="74"/>
        <v>82.311117791171498</v>
      </c>
      <c r="U181" s="45">
        <f t="shared" si="74"/>
        <v>81.432605679876076</v>
      </c>
      <c r="V181" s="45">
        <f t="shared" si="74"/>
        <v>84.808870270792852</v>
      </c>
    </row>
    <row r="182" spans="2:22" x14ac:dyDescent="0.2">
      <c r="B182" s="1" t="s">
        <v>52</v>
      </c>
      <c r="C182" s="15"/>
      <c r="D182" s="12"/>
      <c r="E182" s="12"/>
      <c r="F182" s="12"/>
      <c r="G182" s="12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</row>
  </sheetData>
  <mergeCells count="179">
    <mergeCell ref="B12:B13"/>
    <mergeCell ref="C137:C138"/>
    <mergeCell ref="B11:V11"/>
    <mergeCell ref="B165:B166"/>
    <mergeCell ref="T165:T166"/>
    <mergeCell ref="L12:L13"/>
    <mergeCell ref="Q64:Q65"/>
    <mergeCell ref="V165:V166"/>
    <mergeCell ref="N12:N13"/>
    <mergeCell ref="T87:T88"/>
    <mergeCell ref="M165:M166"/>
    <mergeCell ref="E12:E13"/>
    <mergeCell ref="O165:O166"/>
    <mergeCell ref="G12:G13"/>
    <mergeCell ref="D163:V163"/>
    <mergeCell ref="G165:G166"/>
    <mergeCell ref="E64:E65"/>
    <mergeCell ref="E38:E39"/>
    <mergeCell ref="P165:P166"/>
    <mergeCell ref="R165:R166"/>
    <mergeCell ref="U137:U138"/>
    <mergeCell ref="F137:F138"/>
    <mergeCell ref="H137:H138"/>
    <mergeCell ref="D12:D13"/>
    <mergeCell ref="S87:S88"/>
    <mergeCell ref="H12:H13"/>
    <mergeCell ref="J12:J13"/>
    <mergeCell ref="I38:I39"/>
    <mergeCell ref="P87:P88"/>
    <mergeCell ref="L6:L7"/>
    <mergeCell ref="D111:V111"/>
    <mergeCell ref="P6:P7"/>
    <mergeCell ref="R6:R7"/>
    <mergeCell ref="E87:E88"/>
    <mergeCell ref="R12:R13"/>
    <mergeCell ref="Q38:Q39"/>
    <mergeCell ref="G87:G88"/>
    <mergeCell ref="T12:T13"/>
    <mergeCell ref="S38:S39"/>
    <mergeCell ref="T64:T65"/>
    <mergeCell ref="B37:V37"/>
    <mergeCell ref="D87:D88"/>
    <mergeCell ref="L38:L39"/>
    <mergeCell ref="N38:N39"/>
    <mergeCell ref="B64:B65"/>
    <mergeCell ref="D64:D65"/>
    <mergeCell ref="F64:F65"/>
    <mergeCell ref="N6:N7"/>
    <mergeCell ref="V12:V13"/>
    <mergeCell ref="C87:C88"/>
    <mergeCell ref="S113:S114"/>
    <mergeCell ref="U113:U114"/>
    <mergeCell ref="P64:P65"/>
    <mergeCell ref="R64:R65"/>
    <mergeCell ref="J64:J65"/>
    <mergeCell ref="A7:C7"/>
    <mergeCell ref="P38:P39"/>
    <mergeCell ref="V87:V88"/>
    <mergeCell ref="C12:C13"/>
    <mergeCell ref="V113:V114"/>
    <mergeCell ref="D6:D7"/>
    <mergeCell ref="F6:F7"/>
    <mergeCell ref="F12:F13"/>
    <mergeCell ref="I6:I7"/>
    <mergeCell ref="K6:K7"/>
    <mergeCell ref="Q12:Q13"/>
    <mergeCell ref="V64:V65"/>
    <mergeCell ref="S12:S13"/>
    <mergeCell ref="U6:U7"/>
    <mergeCell ref="T38:T39"/>
    <mergeCell ref="V38:V39"/>
    <mergeCell ref="C38:C39"/>
    <mergeCell ref="C64:C65"/>
    <mergeCell ref="O87:O88"/>
    <mergeCell ref="Q87:Q88"/>
    <mergeCell ref="L165:L166"/>
    <mergeCell ref="I113:I114"/>
    <mergeCell ref="N165:N166"/>
    <mergeCell ref="K113:K114"/>
    <mergeCell ref="Q165:Q166"/>
    <mergeCell ref="I165:I166"/>
    <mergeCell ref="L137:L138"/>
    <mergeCell ref="I87:I88"/>
    <mergeCell ref="M137:M138"/>
    <mergeCell ref="O137:O138"/>
    <mergeCell ref="D85:V85"/>
    <mergeCell ref="J113:J114"/>
    <mergeCell ref="L113:L114"/>
    <mergeCell ref="G64:G65"/>
    <mergeCell ref="E137:E138"/>
    <mergeCell ref="G137:G138"/>
    <mergeCell ref="S137:S138"/>
    <mergeCell ref="J137:J138"/>
    <mergeCell ref="V137:V138"/>
    <mergeCell ref="E113:E114"/>
    <mergeCell ref="T137:T138"/>
    <mergeCell ref="R87:R88"/>
    <mergeCell ref="E165:E166"/>
    <mergeCell ref="G38:G39"/>
    <mergeCell ref="J87:J88"/>
    <mergeCell ref="L87:L88"/>
    <mergeCell ref="F113:F114"/>
    <mergeCell ref="D165:D166"/>
    <mergeCell ref="F165:F166"/>
    <mergeCell ref="G113:G114"/>
    <mergeCell ref="D38:D39"/>
    <mergeCell ref="J165:J166"/>
    <mergeCell ref="B38:B39"/>
    <mergeCell ref="V6:V7"/>
    <mergeCell ref="O113:O114"/>
    <mergeCell ref="Q113:Q114"/>
    <mergeCell ref="L64:L65"/>
    <mergeCell ref="I12:I13"/>
    <mergeCell ref="N64:N65"/>
    <mergeCell ref="K12:K13"/>
    <mergeCell ref="U165:U166"/>
    <mergeCell ref="M12:M13"/>
    <mergeCell ref="R113:R114"/>
    <mergeCell ref="G6:G7"/>
    <mergeCell ref="O12:O13"/>
    <mergeCell ref="U87:U88"/>
    <mergeCell ref="Q6:Q7"/>
    <mergeCell ref="O64:O65"/>
    <mergeCell ref="T113:T114"/>
    <mergeCell ref="S6:S7"/>
    <mergeCell ref="S64:S65"/>
    <mergeCell ref="D36:V36"/>
    <mergeCell ref="P12:P13"/>
    <mergeCell ref="U64:U65"/>
    <mergeCell ref="T6:T7"/>
    <mergeCell ref="I137:I138"/>
    <mergeCell ref="C165:C166"/>
    <mergeCell ref="K38:K39"/>
    <mergeCell ref="K87:K88"/>
    <mergeCell ref="M87:M88"/>
    <mergeCell ref="H87:H88"/>
    <mergeCell ref="D4:V4"/>
    <mergeCell ref="H6:H7"/>
    <mergeCell ref="M113:M114"/>
    <mergeCell ref="J6:J7"/>
    <mergeCell ref="H64:H65"/>
    <mergeCell ref="D62:V62"/>
    <mergeCell ref="K137:K138"/>
    <mergeCell ref="U38:U39"/>
    <mergeCell ref="M38:M39"/>
    <mergeCell ref="H113:H114"/>
    <mergeCell ref="O38:O39"/>
    <mergeCell ref="D135:V135"/>
    <mergeCell ref="H165:H166"/>
    <mergeCell ref="F87:F88"/>
    <mergeCell ref="R137:R138"/>
    <mergeCell ref="R38:R39"/>
    <mergeCell ref="H38:H39"/>
    <mergeCell ref="C113:C114"/>
    <mergeCell ref="J38:J39"/>
    <mergeCell ref="D2:V2"/>
    <mergeCell ref="B113:B114"/>
    <mergeCell ref="D113:D114"/>
    <mergeCell ref="A5:C6"/>
    <mergeCell ref="N113:N114"/>
    <mergeCell ref="S165:S166"/>
    <mergeCell ref="P113:P114"/>
    <mergeCell ref="K64:K65"/>
    <mergeCell ref="O6:O7"/>
    <mergeCell ref="M64:M65"/>
    <mergeCell ref="K165:K166"/>
    <mergeCell ref="M6:M7"/>
    <mergeCell ref="E6:E7"/>
    <mergeCell ref="U12:U13"/>
    <mergeCell ref="Q137:Q138"/>
    <mergeCell ref="B137:B138"/>
    <mergeCell ref="D137:D138"/>
    <mergeCell ref="D10:V10"/>
    <mergeCell ref="B87:B88"/>
    <mergeCell ref="N137:N138"/>
    <mergeCell ref="P137:P138"/>
    <mergeCell ref="F38:F39"/>
    <mergeCell ref="N87:N88"/>
    <mergeCell ref="I64:I65"/>
  </mergeCells>
  <pageMargins left="0.7" right="0.7" top="0.75" bottom="0.75" header="0.3" footer="0.3"/>
  <pageSetup paperSize="9" orientation="portrait" horizontalDpi="1200" verticalDpi="120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/>
  <dimension ref="A1:V134"/>
  <sheetViews>
    <sheetView showGridLines="0" zoomScaleNormal="100" workbookViewId="0">
      <pane xSplit="3" ySplit="7" topLeftCell="D107" activePane="bottomRight" state="frozen"/>
      <selection activeCell="C204" sqref="C204:V204"/>
      <selection pane="topRight" activeCell="C204" sqref="C204:V204"/>
      <selection pane="bottomLeft" activeCell="C204" sqref="C204:V204"/>
      <selection pane="bottomRight" activeCell="T15" sqref="T15"/>
    </sheetView>
  </sheetViews>
  <sheetFormatPr baseColWidth="10" defaultColWidth="11.42578125" defaultRowHeight="11.25" x14ac:dyDescent="0.2"/>
  <cols>
    <col min="1" max="2" width="2.7109375" style="3" customWidth="1"/>
    <col min="3" max="3" width="45.7109375" style="3" customWidth="1"/>
    <col min="4" max="10" width="10.7109375" style="3" customWidth="1"/>
    <col min="11" max="12" width="10.7109375" style="5" customWidth="1"/>
    <col min="13" max="19" width="10.7109375" style="109" customWidth="1"/>
    <col min="20" max="33" width="10.7109375" style="3" customWidth="1"/>
    <col min="34" max="34" width="11.42578125" style="3" customWidth="1"/>
    <col min="35" max="16384" width="11.42578125" style="3"/>
  </cols>
  <sheetData>
    <row r="1" spans="1:22" ht="16.5" customHeight="1" x14ac:dyDescent="0.2"/>
    <row r="2" spans="1:22" ht="16.5" customHeight="1" x14ac:dyDescent="0.2">
      <c r="D2" s="159"/>
      <c r="E2" s="158"/>
      <c r="F2" s="158"/>
      <c r="G2" s="158"/>
      <c r="H2" s="158"/>
      <c r="I2" s="158"/>
      <c r="J2" s="158"/>
      <c r="K2" s="169"/>
      <c r="L2" s="169"/>
      <c r="M2" s="170"/>
      <c r="N2" s="170"/>
      <c r="O2" s="170"/>
      <c r="P2" s="170"/>
      <c r="Q2" s="170"/>
      <c r="R2" s="170"/>
      <c r="S2" s="170"/>
      <c r="T2" s="158"/>
    </row>
    <row r="3" spans="1:22" s="101" customFormat="1" ht="16.5" customHeight="1" x14ac:dyDescent="0.25">
      <c r="A3" s="122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  <c r="R3" s="98"/>
      <c r="S3" s="98"/>
      <c r="T3" s="98"/>
      <c r="U3" s="98"/>
      <c r="V3" s="98"/>
    </row>
    <row r="4" spans="1:22" s="101" customFormat="1" ht="16.5" customHeight="1" x14ac:dyDescent="0.25">
      <c r="A4" s="122"/>
      <c r="D4" s="161"/>
      <c r="E4" s="167"/>
      <c r="F4" s="167"/>
      <c r="G4" s="167"/>
      <c r="H4" s="167"/>
      <c r="I4" s="167"/>
      <c r="J4" s="167"/>
      <c r="K4" s="167"/>
      <c r="L4" s="133"/>
      <c r="M4" s="161"/>
      <c r="N4" s="167"/>
      <c r="O4" s="167"/>
      <c r="P4" s="167"/>
      <c r="Q4" s="167"/>
      <c r="R4" s="167"/>
      <c r="S4" s="167"/>
      <c r="T4" s="167"/>
      <c r="U4" s="133"/>
      <c r="V4" s="133"/>
    </row>
    <row r="5" spans="1:22" s="101" customFormat="1" ht="16.5" customHeight="1" x14ac:dyDescent="0.25">
      <c r="A5" s="165" t="s">
        <v>5</v>
      </c>
      <c r="B5" s="167"/>
      <c r="C5" s="167"/>
      <c r="D5" s="147"/>
      <c r="E5" s="147"/>
      <c r="F5" s="147"/>
      <c r="G5" s="147"/>
      <c r="H5" s="147"/>
      <c r="I5" s="147"/>
      <c r="J5" s="147"/>
      <c r="K5" s="147"/>
      <c r="L5" s="133"/>
      <c r="M5" s="147"/>
      <c r="N5" s="147"/>
      <c r="O5" s="147"/>
      <c r="P5" s="147"/>
      <c r="Q5" s="147"/>
      <c r="R5" s="147"/>
      <c r="S5" s="147"/>
      <c r="T5" s="147"/>
      <c r="U5" s="133"/>
      <c r="V5" s="133"/>
    </row>
    <row r="6" spans="1:22" s="101" customFormat="1" ht="16.5" customHeight="1" x14ac:dyDescent="0.25">
      <c r="A6" s="167"/>
      <c r="B6" s="167"/>
      <c r="C6" s="167"/>
      <c r="D6" s="151">
        <v>2019</v>
      </c>
      <c r="E6" s="151">
        <v>2020</v>
      </c>
      <c r="F6" s="151">
        <v>2021</v>
      </c>
      <c r="G6" s="151">
        <v>2022</v>
      </c>
      <c r="H6" s="151">
        <v>2023</v>
      </c>
      <c r="I6" s="151">
        <v>2024</v>
      </c>
      <c r="J6" s="151">
        <v>2025</v>
      </c>
      <c r="K6" s="151" t="s">
        <v>36</v>
      </c>
      <c r="L6" s="151"/>
      <c r="M6" s="151">
        <v>2019</v>
      </c>
      <c r="N6" s="151">
        <v>2020</v>
      </c>
      <c r="O6" s="151">
        <v>2021</v>
      </c>
      <c r="P6" s="151">
        <v>2022</v>
      </c>
      <c r="Q6" s="151">
        <v>2023</v>
      </c>
      <c r="R6" s="151">
        <v>2024</v>
      </c>
      <c r="S6" s="151">
        <v>2025</v>
      </c>
      <c r="T6" s="151" t="s">
        <v>36</v>
      </c>
      <c r="U6" s="151"/>
      <c r="V6" s="151"/>
    </row>
    <row r="7" spans="1:22" s="101" customFormat="1" ht="16.5" customHeight="1" x14ac:dyDescent="0.25">
      <c r="A7" s="162" t="s">
        <v>227</v>
      </c>
      <c r="B7" s="167"/>
      <c r="C7" s="167"/>
      <c r="D7" s="167"/>
      <c r="E7" s="167"/>
      <c r="F7" s="167"/>
      <c r="G7" s="167"/>
      <c r="H7" s="167"/>
      <c r="I7" s="167"/>
      <c r="J7" s="167"/>
      <c r="K7" s="167"/>
      <c r="L7" s="167"/>
      <c r="M7" s="167"/>
      <c r="N7" s="167"/>
      <c r="O7" s="167"/>
      <c r="P7" s="167"/>
      <c r="Q7" s="167"/>
      <c r="R7" s="167"/>
      <c r="S7" s="167"/>
      <c r="T7" s="167"/>
      <c r="U7" s="167"/>
      <c r="V7" s="167"/>
    </row>
    <row r="8" spans="1:22" s="101" customFormat="1" ht="16.5" customHeight="1" x14ac:dyDescent="0.25">
      <c r="A8" s="97"/>
      <c r="K8" s="118"/>
      <c r="L8" s="118"/>
      <c r="M8" s="110"/>
      <c r="N8" s="110"/>
      <c r="O8" s="110"/>
      <c r="P8" s="110"/>
      <c r="Q8" s="110"/>
      <c r="R8" s="110"/>
      <c r="S8" s="110"/>
    </row>
    <row r="9" spans="1:22" ht="16.5" customHeight="1" x14ac:dyDescent="0.2">
      <c r="C9" s="131"/>
      <c r="D9" s="160" t="s">
        <v>90</v>
      </c>
      <c r="E9" s="158"/>
      <c r="F9" s="158"/>
      <c r="G9" s="158"/>
      <c r="H9" s="158"/>
      <c r="I9" s="158"/>
      <c r="J9" s="158"/>
      <c r="K9" s="169"/>
      <c r="L9" s="169"/>
      <c r="M9" s="170"/>
      <c r="N9" s="170"/>
      <c r="O9" s="170"/>
      <c r="P9" s="170"/>
      <c r="Q9" s="170"/>
      <c r="R9" s="170"/>
      <c r="S9" s="170"/>
      <c r="T9" s="158"/>
    </row>
    <row r="10" spans="1:22" ht="15.75" customHeight="1" x14ac:dyDescent="0.2">
      <c r="C10" s="2"/>
      <c r="D10" s="157"/>
      <c r="E10" s="158"/>
      <c r="F10" s="158"/>
      <c r="G10" s="158"/>
      <c r="H10" s="158"/>
      <c r="I10" s="158"/>
      <c r="J10" s="158"/>
      <c r="K10" s="169"/>
      <c r="M10" s="111"/>
    </row>
    <row r="11" spans="1:22" ht="15.75" customHeight="1" thickBot="1" x14ac:dyDescent="0.3">
      <c r="C11" s="2"/>
      <c r="D11" s="168"/>
      <c r="E11" s="154"/>
      <c r="F11" s="154"/>
      <c r="G11" s="154"/>
      <c r="H11" s="154"/>
      <c r="I11" s="154"/>
      <c r="J11" s="154"/>
      <c r="K11" s="154"/>
      <c r="M11" s="168" t="s">
        <v>91</v>
      </c>
      <c r="N11" s="154"/>
      <c r="O11" s="154"/>
      <c r="P11" s="154"/>
      <c r="Q11" s="154"/>
      <c r="R11" s="154"/>
      <c r="S11" s="154"/>
      <c r="T11" s="154"/>
    </row>
    <row r="12" spans="1:22" ht="13.5" customHeight="1" x14ac:dyDescent="0.2">
      <c r="B12" s="163"/>
      <c r="C12" s="155" t="s">
        <v>38</v>
      </c>
      <c r="D12" s="153">
        <v>2019</v>
      </c>
      <c r="E12" s="153">
        <v>2020</v>
      </c>
      <c r="F12" s="153">
        <v>2021</v>
      </c>
      <c r="G12" s="153">
        <v>2022</v>
      </c>
      <c r="H12" s="153">
        <v>2023</v>
      </c>
      <c r="I12" s="153">
        <v>2024</v>
      </c>
      <c r="J12" s="153">
        <v>2025</v>
      </c>
      <c r="K12" s="153" t="s">
        <v>36</v>
      </c>
      <c r="L12" s="114"/>
      <c r="M12" s="153">
        <v>2019</v>
      </c>
      <c r="N12" s="153">
        <v>2020</v>
      </c>
      <c r="O12" s="153">
        <v>2021</v>
      </c>
      <c r="P12" s="153">
        <v>2022</v>
      </c>
      <c r="Q12" s="153">
        <v>2023</v>
      </c>
      <c r="R12" s="153">
        <v>2024</v>
      </c>
      <c r="S12" s="153">
        <v>2025</v>
      </c>
      <c r="T12" s="153" t="s">
        <v>36</v>
      </c>
    </row>
    <row r="13" spans="1:22" ht="12" customHeight="1" thickBot="1" x14ac:dyDescent="0.25">
      <c r="B13" s="154"/>
      <c r="C13" s="156"/>
      <c r="D13" s="154"/>
      <c r="E13" s="154"/>
      <c r="F13" s="154"/>
      <c r="G13" s="154"/>
      <c r="H13" s="154"/>
      <c r="I13" s="154"/>
      <c r="J13" s="154"/>
      <c r="K13" s="154"/>
      <c r="L13" s="114"/>
      <c r="M13" s="154"/>
      <c r="N13" s="154"/>
      <c r="O13" s="154"/>
      <c r="P13" s="154"/>
      <c r="Q13" s="154"/>
      <c r="R13" s="154"/>
      <c r="S13" s="154"/>
      <c r="T13" s="154"/>
    </row>
    <row r="14" spans="1:22" x14ac:dyDescent="0.2">
      <c r="B14" s="34" t="s">
        <v>39</v>
      </c>
      <c r="C14" s="76" t="s">
        <v>40</v>
      </c>
      <c r="D14" s="103">
        <f t="shared" ref="D14:K14" si="0">+SUM(D15:D21)</f>
        <v>237070.75097867055</v>
      </c>
      <c r="E14" s="103">
        <f t="shared" si="0"/>
        <v>315460.7867800137</v>
      </c>
      <c r="F14" s="103">
        <f t="shared" si="0"/>
        <v>301554.15323845536</v>
      </c>
      <c r="G14" s="103">
        <f t="shared" si="0"/>
        <v>263372.32518972666</v>
      </c>
      <c r="H14" s="103">
        <f t="shared" si="0"/>
        <v>298060.61887747108</v>
      </c>
      <c r="I14" s="103">
        <f t="shared" si="0"/>
        <v>314578.2945334168</v>
      </c>
      <c r="J14" s="103">
        <f t="shared" si="0"/>
        <v>329840.07114520919</v>
      </c>
      <c r="K14" s="103">
        <f t="shared" si="0"/>
        <v>358166.14840307797</v>
      </c>
      <c r="L14" s="117"/>
      <c r="M14" s="119">
        <f t="shared" ref="M14:M34" si="1">+(D14/D$34)*100</f>
        <v>62.568512922472394</v>
      </c>
      <c r="N14" s="119">
        <f t="shared" ref="N14:N34" si="2">+(E14/E$34)*100</f>
        <v>68.508633036336519</v>
      </c>
      <c r="O14" s="119">
        <f t="shared" ref="O14:O34" si="3">+(F14/F$34)*100</f>
        <v>62.180079218568572</v>
      </c>
      <c r="P14" s="119">
        <f t="shared" ref="P14:P34" si="4">+(G14/G$34)*100</f>
        <v>59.919644343062771</v>
      </c>
      <c r="Q14" s="119">
        <f t="shared" ref="Q14:Q34" si="5">+(H14/H$34)*100</f>
        <v>61.756308972262644</v>
      </c>
      <c r="R14" s="119">
        <f t="shared" ref="R14:R34" si="6">+(I14/I$34)*100</f>
        <v>61.06128805120288</v>
      </c>
      <c r="S14" s="119">
        <f t="shared" ref="S14:S34" si="7">+(J14/J$34)*100</f>
        <v>62.638074809414569</v>
      </c>
      <c r="T14" s="119">
        <f t="shared" ref="T14:T34" si="8">+(K14/K$34)*100</f>
        <v>65.476285096674673</v>
      </c>
    </row>
    <row r="15" spans="1:22" x14ac:dyDescent="0.2">
      <c r="B15" s="40"/>
      <c r="C15" s="77" t="s">
        <v>92</v>
      </c>
      <c r="D15" s="104">
        <f>+'C6 Ejec. Nac 19-26'!D15+'C7 Ejec. Prop 19-26'!D15</f>
        <v>47356.489308008779</v>
      </c>
      <c r="E15" s="104">
        <f>+'C6 Ejec. Nac 19-26'!E15+'C7 Ejec. Prop 19-26'!E15</f>
        <v>49196.354284068642</v>
      </c>
      <c r="F15" s="104">
        <f>+'C6 Ejec. Nac 19-26'!F15+'C7 Ejec. Prop 19-26'!F15</f>
        <v>49560.515549820717</v>
      </c>
      <c r="G15" s="104">
        <f>+'C6 Ejec. Nac 19-26'!G15+'C7 Ejec. Prop 19-26'!G15</f>
        <v>48182.700934925495</v>
      </c>
      <c r="H15" s="104">
        <f>+'C6 Ejec. Nac 19-26'!H15+'C7 Ejec. Prop 19-26'!H15</f>
        <v>51786.545489301301</v>
      </c>
      <c r="I15" s="104">
        <f>+'C6 Ejec. Nac 19-26'!I15+'C7 Ejec. Prop 19-26'!I15</f>
        <v>55394.260599170506</v>
      </c>
      <c r="J15" s="104">
        <f>+'C6 Ejec. Nac 19-26'!J15+'C7 Ejec. Prop 19-26'!J15</f>
        <v>59231.238391636682</v>
      </c>
      <c r="K15" s="104">
        <f>+'C6 Ejec. Nac 19-26'!K15+'C7 Ejec. Prop 19-26'!K15</f>
        <v>66573.598482407993</v>
      </c>
      <c r="M15" s="109">
        <f t="shared" si="1"/>
        <v>12.498484528349342</v>
      </c>
      <c r="N15" s="109">
        <f t="shared" si="2"/>
        <v>10.683974438709519</v>
      </c>
      <c r="O15" s="109">
        <f t="shared" si="3"/>
        <v>10.219314673355209</v>
      </c>
      <c r="P15" s="109">
        <f t="shared" si="4"/>
        <v>10.96201091526647</v>
      </c>
      <c r="Q15" s="109">
        <f t="shared" si="5"/>
        <v>10.729850578342059</v>
      </c>
      <c r="R15" s="109">
        <f t="shared" si="6"/>
        <v>10.752314961355479</v>
      </c>
      <c r="S15" s="109">
        <f t="shared" si="7"/>
        <v>11.248271711038573</v>
      </c>
      <c r="T15" s="109">
        <f t="shared" si="8"/>
        <v>12.170306807554887</v>
      </c>
    </row>
    <row r="16" spans="1:22" x14ac:dyDescent="0.2">
      <c r="B16" s="40"/>
      <c r="C16" s="77" t="s">
        <v>93</v>
      </c>
      <c r="D16" s="104">
        <f>+'C6 Ejec. Nac 19-26'!D16+'C7 Ejec. Prop 19-26'!D16</f>
        <v>14696.474181809874</v>
      </c>
      <c r="E16" s="104">
        <f>+'C6 Ejec. Nac 19-26'!E16+'C7 Ejec. Prop 19-26'!E16</f>
        <v>14593.994713013089</v>
      </c>
      <c r="F16" s="104">
        <f>+'C6 Ejec. Nac 19-26'!F16+'C7 Ejec. Prop 19-26'!F16</f>
        <v>15409.314918780907</v>
      </c>
      <c r="G16" s="104">
        <f>+'C6 Ejec. Nac 19-26'!G16+'C7 Ejec. Prop 19-26'!G16</f>
        <v>16818.225408025508</v>
      </c>
      <c r="H16" s="104">
        <f>+'C6 Ejec. Nac 19-26'!H16+'C7 Ejec. Prop 19-26'!H16</f>
        <v>18178.647179305772</v>
      </c>
      <c r="I16" s="104">
        <f>+'C6 Ejec. Nac 19-26'!I16+'C7 Ejec. Prop 19-26'!I16</f>
        <v>18440.847685920882</v>
      </c>
      <c r="J16" s="104">
        <f>+'C6 Ejec. Nac 19-26'!J16+'C7 Ejec. Prop 19-26'!J16</f>
        <v>20879.58936883738</v>
      </c>
      <c r="K16" s="104">
        <f>+'C6 Ejec. Nac 19-26'!K16+'C7 Ejec. Prop 19-26'!K16</f>
        <v>18169.152599114001</v>
      </c>
      <c r="L16" s="6"/>
      <c r="M16" s="109">
        <f t="shared" si="1"/>
        <v>3.8787430797065494</v>
      </c>
      <c r="N16" s="109">
        <f t="shared" si="2"/>
        <v>3.1693784781728476</v>
      </c>
      <c r="O16" s="109">
        <f t="shared" si="3"/>
        <v>3.1773809515268181</v>
      </c>
      <c r="P16" s="109">
        <f t="shared" si="4"/>
        <v>3.8263021150927639</v>
      </c>
      <c r="Q16" s="109">
        <f t="shared" si="5"/>
        <v>3.7665027876911958</v>
      </c>
      <c r="R16" s="109">
        <f t="shared" si="6"/>
        <v>3.5794647374781245</v>
      </c>
      <c r="S16" s="109">
        <f t="shared" si="7"/>
        <v>3.9651255116887247</v>
      </c>
      <c r="T16" s="109">
        <f t="shared" si="8"/>
        <v>3.3214993121174388</v>
      </c>
    </row>
    <row r="17" spans="2:20" x14ac:dyDescent="0.2">
      <c r="B17" s="40"/>
      <c r="C17" s="77" t="s">
        <v>58</v>
      </c>
      <c r="D17" s="104">
        <f>+'C6 Ejec. Nac 19-26'!D17+'C7 Ejec. Prop 19-26'!D17</f>
        <v>171069.60541255429</v>
      </c>
      <c r="E17" s="104">
        <f>+'C6 Ejec. Nac 19-26'!E17+'C7 Ejec. Prop 19-26'!E17</f>
        <v>247531.9175278114</v>
      </c>
      <c r="F17" s="104">
        <f>+'C6 Ejec. Nac 19-26'!F17+'C7 Ejec. Prop 19-26'!F17</f>
        <v>230423.72476993065</v>
      </c>
      <c r="G17" s="104">
        <f>+'C6 Ejec. Nac 19-26'!G17+'C7 Ejec. Prop 19-26'!G17</f>
        <v>193371.1245057139</v>
      </c>
      <c r="H17" s="104">
        <f>+'C6 Ejec. Nac 19-26'!H17+'C7 Ejec. Prop 19-26'!H17</f>
        <v>223239.85808760204</v>
      </c>
      <c r="I17" s="104">
        <f>+'C6 Ejec. Nac 19-26'!I17+'C7 Ejec. Prop 19-26'!I17</f>
        <v>236016.86036363148</v>
      </c>
      <c r="J17" s="104">
        <f>+'C6 Ejec. Nac 19-26'!J17+'C7 Ejec. Prop 19-26'!J17</f>
        <v>245192.75937676305</v>
      </c>
      <c r="K17" s="104">
        <f>+'C6 Ejec. Nac 19-26'!K17+'C7 Ejec. Prop 19-26'!K17</f>
        <v>268855.84570428799</v>
      </c>
      <c r="L17" s="6"/>
      <c r="M17" s="109">
        <f t="shared" si="1"/>
        <v>45.149267772221577</v>
      </c>
      <c r="N17" s="109">
        <f t="shared" si="2"/>
        <v>53.756517492360288</v>
      </c>
      <c r="O17" s="109">
        <f t="shared" si="3"/>
        <v>47.513076195976581</v>
      </c>
      <c r="P17" s="109">
        <f t="shared" si="4"/>
        <v>43.993722568435025</v>
      </c>
      <c r="Q17" s="109">
        <f t="shared" si="5"/>
        <v>46.253912049513183</v>
      </c>
      <c r="R17" s="109">
        <f t="shared" si="6"/>
        <v>45.812103842000248</v>
      </c>
      <c r="S17" s="109">
        <f t="shared" si="7"/>
        <v>46.563179395529133</v>
      </c>
      <c r="T17" s="109">
        <f t="shared" si="8"/>
        <v>49.149485739312418</v>
      </c>
    </row>
    <row r="18" spans="2:20" x14ac:dyDescent="0.2">
      <c r="B18" s="40"/>
      <c r="C18" s="77" t="s">
        <v>94</v>
      </c>
      <c r="D18" s="104">
        <f>+'C6 Ejec. Nac 19-26'!D18+'C7 Ejec. Prop 19-26'!D18</f>
        <v>2192.7045052382568</v>
      </c>
      <c r="E18" s="104">
        <f>+'C6 Ejec. Nac 19-26'!E18+'C7 Ejec. Prop 19-26'!E18</f>
        <v>2007.6544163547928</v>
      </c>
      <c r="F18" s="104">
        <f>+'C6 Ejec. Nac 19-26'!F18+'C7 Ejec. Prop 19-26'!F18</f>
        <v>2546.7452233146832</v>
      </c>
      <c r="G18" s="104">
        <f>+'C6 Ejec. Nac 19-26'!G18+'C7 Ejec. Prop 19-26'!G18</f>
        <v>2358.8909361337223</v>
      </c>
      <c r="H18" s="104">
        <f>+'C6 Ejec. Nac 19-26'!H18+'C7 Ejec. Prop 19-26'!H18</f>
        <v>2137.517912197181</v>
      </c>
      <c r="I18" s="104">
        <f>+'C6 Ejec. Nac 19-26'!I18+'C7 Ejec. Prop 19-26'!I18</f>
        <v>2261.1586797553518</v>
      </c>
      <c r="J18" s="104">
        <f>+'C6 Ejec. Nac 19-26'!J18+'C7 Ejec. Prop 19-26'!J18</f>
        <v>2090.1588038018272</v>
      </c>
      <c r="K18" s="104">
        <f>+'C6 Ejec. Nac 19-26'!K18+'C7 Ejec. Prop 19-26'!K18</f>
        <v>2106.1669504430001</v>
      </c>
      <c r="L18" s="6"/>
      <c r="M18" s="109">
        <f t="shared" si="1"/>
        <v>0.57870597534618184</v>
      </c>
      <c r="N18" s="109">
        <f t="shared" si="2"/>
        <v>0.43600239851600137</v>
      </c>
      <c r="O18" s="109">
        <f t="shared" si="3"/>
        <v>0.52513559516454977</v>
      </c>
      <c r="P18" s="109">
        <f t="shared" si="4"/>
        <v>0.5366695450457315</v>
      </c>
      <c r="Q18" s="109">
        <f t="shared" si="5"/>
        <v>0.44288043525018822</v>
      </c>
      <c r="R18" s="109">
        <f t="shared" si="6"/>
        <v>0.43890269568281487</v>
      </c>
      <c r="S18" s="109">
        <f t="shared" si="7"/>
        <v>0.39693031553603259</v>
      </c>
      <c r="T18" s="109">
        <f t="shared" si="8"/>
        <v>0.3850279774435954</v>
      </c>
    </row>
    <row r="19" spans="2:20" x14ac:dyDescent="0.2">
      <c r="B19" s="40"/>
      <c r="C19" s="77" t="s">
        <v>95</v>
      </c>
      <c r="D19" s="104">
        <f>+'C6 Ejec. Nac 19-26'!D19+'C7 Ejec. Prop 19-26'!D19</f>
        <v>562.32206909623937</v>
      </c>
      <c r="E19" s="104">
        <f>+'C6 Ejec. Nac 19-26'!E19+'C7 Ejec. Prop 19-26'!E19</f>
        <v>630.08356326853925</v>
      </c>
      <c r="F19" s="104">
        <f>+'C6 Ejec. Nac 19-26'!F19+'C7 Ejec. Prop 19-26'!F19</f>
        <v>816.76448196498075</v>
      </c>
      <c r="G19" s="104">
        <f>+'C6 Ejec. Nac 19-26'!G19+'C7 Ejec. Prop 19-26'!G19</f>
        <v>799.83868372838128</v>
      </c>
      <c r="H19" s="104">
        <f>+'C6 Ejec. Nac 19-26'!H19+'C7 Ejec. Prop 19-26'!H19</f>
        <v>869.6562871696342</v>
      </c>
      <c r="I19" s="104">
        <f>+'C6 Ejec. Nac 19-26'!I19+'C7 Ejec. Prop 19-26'!I19</f>
        <v>700.2253148619784</v>
      </c>
      <c r="J19" s="104">
        <f>+'C6 Ejec. Nac 19-26'!J19+'C7 Ejec. Prop 19-26'!J19</f>
        <v>732.71564238734311</v>
      </c>
      <c r="K19" s="104">
        <f>+'C6 Ejec. Nac 19-26'!K19+'C7 Ejec. Prop 19-26'!K19</f>
        <v>759.54320500000006</v>
      </c>
      <c r="L19" s="6"/>
      <c r="M19" s="109">
        <f t="shared" si="1"/>
        <v>0.148409938811916</v>
      </c>
      <c r="N19" s="109">
        <f t="shared" si="2"/>
        <v>0.13683527534055626</v>
      </c>
      <c r="O19" s="109">
        <f t="shared" si="3"/>
        <v>0.16841578749981923</v>
      </c>
      <c r="P19" s="109">
        <f t="shared" si="4"/>
        <v>0.18197071171507248</v>
      </c>
      <c r="Q19" s="109">
        <f t="shared" si="5"/>
        <v>0.18018738125279427</v>
      </c>
      <c r="R19" s="109">
        <f t="shared" si="6"/>
        <v>0.13591738652836255</v>
      </c>
      <c r="S19" s="109">
        <f t="shared" si="7"/>
        <v>0.13914591111545505</v>
      </c>
      <c r="T19" s="109">
        <f t="shared" si="8"/>
        <v>0.13885194805694998</v>
      </c>
    </row>
    <row r="20" spans="2:20" x14ac:dyDescent="0.2">
      <c r="B20" s="40"/>
      <c r="C20" s="77" t="s">
        <v>96</v>
      </c>
      <c r="D20" s="104">
        <f>+'C6 Ejec. Nac 19-26'!D20+'C7 Ejec. Prop 19-26'!D20</f>
        <v>412.82683925057808</v>
      </c>
      <c r="E20" s="104">
        <f>+'C6 Ejec. Nac 19-26'!E20+'C7 Ejec. Prop 19-26'!E20</f>
        <v>424.18171431269866</v>
      </c>
      <c r="F20" s="104">
        <f>+'C6 Ejec. Nac 19-26'!F20+'C7 Ejec. Prop 19-26'!F20</f>
        <v>662.41451640987327</v>
      </c>
      <c r="G20" s="104">
        <f>+'C6 Ejec. Nac 19-26'!G20+'C7 Ejec. Prop 19-26'!G20</f>
        <v>519.28637569933437</v>
      </c>
      <c r="H20" s="104">
        <f>+'C6 Ejec. Nac 19-26'!H20+'C7 Ejec. Prop 19-26'!H20</f>
        <v>560.00666968696646</v>
      </c>
      <c r="I20" s="104">
        <f>+'C6 Ejec. Nac 19-26'!I20+'C7 Ejec. Prop 19-26'!I20</f>
        <v>384.32467007501589</v>
      </c>
      <c r="J20" s="104">
        <f>+'C6 Ejec. Nac 19-26'!J20+'C7 Ejec. Prop 19-26'!J20</f>
        <v>355.94388612501905</v>
      </c>
      <c r="K20" s="104">
        <f>+'C6 Ejec. Nac 19-26'!K20+'C7 Ejec. Prop 19-26'!K20</f>
        <v>372.31615039500002</v>
      </c>
      <c r="L20" s="6"/>
      <c r="M20" s="109">
        <f t="shared" si="1"/>
        <v>0.10895465307197334</v>
      </c>
      <c r="N20" s="109">
        <f t="shared" si="2"/>
        <v>9.2119561683708884E-2</v>
      </c>
      <c r="O20" s="109">
        <f t="shared" si="3"/>
        <v>0.13658902277935242</v>
      </c>
      <c r="P20" s="109">
        <f t="shared" si="4"/>
        <v>0.11814246208931564</v>
      </c>
      <c r="Q20" s="109">
        <f t="shared" si="5"/>
        <v>0.11602990374898585</v>
      </c>
      <c r="R20" s="109">
        <f t="shared" si="6"/>
        <v>7.4599423394550765E-2</v>
      </c>
      <c r="S20" s="109">
        <f t="shared" si="7"/>
        <v>6.7595303656229275E-2</v>
      </c>
      <c r="T20" s="109">
        <f t="shared" si="8"/>
        <v>6.8063044254882271E-2</v>
      </c>
    </row>
    <row r="21" spans="2:20" x14ac:dyDescent="0.2">
      <c r="B21" s="40"/>
      <c r="C21" s="77" t="s">
        <v>97</v>
      </c>
      <c r="D21" s="104">
        <f>+'C6 Ejec. Nac 19-26'!D21+'C7 Ejec. Prop 19-26'!D21</f>
        <v>780.32866271257285</v>
      </c>
      <c r="E21" s="104">
        <f>+'C6 Ejec. Nac 19-26'!E21+'C7 Ejec. Prop 19-26'!E21</f>
        <v>1076.6005611845935</v>
      </c>
      <c r="F21" s="104">
        <f>+'C6 Ejec. Nac 19-26'!F21+'C7 Ejec. Prop 19-26'!F21</f>
        <v>2134.6737782335636</v>
      </c>
      <c r="G21" s="104">
        <f>+'C6 Ejec. Nac 19-26'!G21+'C7 Ejec. Prop 19-26'!G21</f>
        <v>1322.2583455003428</v>
      </c>
      <c r="H21" s="104">
        <f>+'C6 Ejec. Nac 19-26'!H21+'C7 Ejec. Prop 19-26'!H21</f>
        <v>1288.3872522081692</v>
      </c>
      <c r="I21" s="104">
        <f>+'C6 Ejec. Nac 19-26'!I21+'C7 Ejec. Prop 19-26'!I21</f>
        <v>1380.6172200016128</v>
      </c>
      <c r="J21" s="104">
        <f>+'C6 Ejec. Nac 19-26'!J21+'C7 Ejec. Prop 19-26'!J21</f>
        <v>1357.6656756579919</v>
      </c>
      <c r="K21" s="104">
        <f>+'C6 Ejec. Nac 19-26'!K21+'C7 Ejec. Prop 19-26'!K21</f>
        <v>1329.5253114300001</v>
      </c>
      <c r="L21" s="6"/>
      <c r="M21" s="109">
        <f t="shared" si="1"/>
        <v>0.20594697496487011</v>
      </c>
      <c r="N21" s="109">
        <f t="shared" si="2"/>
        <v>0.23380539155360464</v>
      </c>
      <c r="O21" s="109">
        <f t="shared" si="3"/>
        <v>0.44016699226624106</v>
      </c>
      <c r="P21" s="109">
        <f t="shared" si="4"/>
        <v>0.30082602541839748</v>
      </c>
      <c r="Q21" s="109">
        <f t="shared" si="5"/>
        <v>0.26694583646422859</v>
      </c>
      <c r="R21" s="109">
        <f t="shared" si="6"/>
        <v>0.26798500476330289</v>
      </c>
      <c r="S21" s="109">
        <f t="shared" si="7"/>
        <v>0.25782666085043643</v>
      </c>
      <c r="T21" s="109">
        <f t="shared" si="8"/>
        <v>0.24305026793449966</v>
      </c>
    </row>
    <row r="22" spans="2:20" x14ac:dyDescent="0.2">
      <c r="B22" s="34" t="s">
        <v>41</v>
      </c>
      <c r="C22" s="76" t="s">
        <v>42</v>
      </c>
      <c r="D22" s="103">
        <f t="shared" ref="D22:K22" si="9">+D23+D27</f>
        <v>78582.697000050626</v>
      </c>
      <c r="E22" s="103">
        <f t="shared" si="9"/>
        <v>79837.63955720322</v>
      </c>
      <c r="F22" s="103">
        <f t="shared" si="9"/>
        <v>99425.157744641503</v>
      </c>
      <c r="G22" s="103">
        <f t="shared" si="9"/>
        <v>89320.449254617823</v>
      </c>
      <c r="H22" s="103">
        <f t="shared" si="9"/>
        <v>89529.104546659175</v>
      </c>
      <c r="I22" s="103">
        <f t="shared" si="9"/>
        <v>102379.49892175748</v>
      </c>
      <c r="J22" s="103">
        <f t="shared" si="9"/>
        <v>116157.05507914323</v>
      </c>
      <c r="K22" s="103">
        <f t="shared" si="9"/>
        <v>100449.70846832701</v>
      </c>
      <c r="L22" s="117"/>
      <c r="M22" s="119">
        <f t="shared" si="1"/>
        <v>20.739810678596829</v>
      </c>
      <c r="N22" s="119">
        <f t="shared" si="2"/>
        <v>17.338343718536205</v>
      </c>
      <c r="O22" s="119">
        <f t="shared" si="3"/>
        <v>20.501339870427287</v>
      </c>
      <c r="P22" s="119">
        <f t="shared" si="4"/>
        <v>20.321229833255288</v>
      </c>
      <c r="Q22" s="119">
        <f t="shared" si="5"/>
        <v>18.549874395404057</v>
      </c>
      <c r="R22" s="119">
        <f t="shared" si="6"/>
        <v>19.87239483090012</v>
      </c>
      <c r="S22" s="119">
        <f t="shared" si="7"/>
        <v>22.058733738526058</v>
      </c>
      <c r="T22" s="119">
        <f t="shared" si="8"/>
        <v>18.363191995878509</v>
      </c>
    </row>
    <row r="23" spans="2:20" x14ac:dyDescent="0.2">
      <c r="B23" s="34"/>
      <c r="C23" s="76" t="s">
        <v>43</v>
      </c>
      <c r="D23" s="103">
        <f t="shared" ref="D23:K23" si="10">+SUM(D24:D26)</f>
        <v>21785.09119912859</v>
      </c>
      <c r="E23" s="103">
        <f t="shared" si="10"/>
        <v>22327.198196694211</v>
      </c>
      <c r="F23" s="103">
        <f t="shared" si="10"/>
        <v>35539.334820121454</v>
      </c>
      <c r="G23" s="103">
        <f t="shared" si="10"/>
        <v>20921.970426761705</v>
      </c>
      <c r="H23" s="103">
        <f t="shared" si="10"/>
        <v>30274.711384718314</v>
      </c>
      <c r="I23" s="103">
        <f t="shared" si="10"/>
        <v>40395.303021221087</v>
      </c>
      <c r="J23" s="103">
        <f t="shared" si="10"/>
        <v>55515.988624900769</v>
      </c>
      <c r="K23" s="103">
        <f t="shared" si="10"/>
        <v>38406.044999037003</v>
      </c>
      <c r="L23" s="117"/>
      <c r="M23" s="119">
        <f t="shared" si="1"/>
        <v>5.7495948132907913</v>
      </c>
      <c r="N23" s="119">
        <f t="shared" si="2"/>
        <v>4.8487986212167389</v>
      </c>
      <c r="O23" s="119">
        <f t="shared" si="3"/>
        <v>7.3281652093279055</v>
      </c>
      <c r="P23" s="119">
        <f t="shared" si="4"/>
        <v>4.7599421314466159</v>
      </c>
      <c r="Q23" s="119">
        <f t="shared" si="5"/>
        <v>6.2727321622093672</v>
      </c>
      <c r="R23" s="119">
        <f t="shared" si="6"/>
        <v>7.8409390493799229</v>
      </c>
      <c r="S23" s="119">
        <f t="shared" si="7"/>
        <v>10.542729500789614</v>
      </c>
      <c r="T23" s="119">
        <f t="shared" si="8"/>
        <v>7.0210017418023893</v>
      </c>
    </row>
    <row r="24" spans="2:20" x14ac:dyDescent="0.2">
      <c r="B24" s="32"/>
      <c r="C24" s="83" t="s">
        <v>98</v>
      </c>
      <c r="D24" s="104">
        <f>+'C6 Ejec. Nac 19-26'!D24+'C7 Ejec. Prop 19-26'!D24</f>
        <v>12043.016502453078</v>
      </c>
      <c r="E24" s="104">
        <f>+'C6 Ejec. Nac 19-26'!E24+'C7 Ejec. Prop 19-26'!E24</f>
        <v>9665.3520790923267</v>
      </c>
      <c r="F24" s="104">
        <f>+'C6 Ejec. Nac 19-26'!F24+'C7 Ejec. Prop 19-26'!F24</f>
        <v>20145.291877656142</v>
      </c>
      <c r="G24" s="104">
        <f>+'C6 Ejec. Nac 19-26'!G24+'C7 Ejec. Prop 19-26'!G24</f>
        <v>5406.0406554924148</v>
      </c>
      <c r="H24" s="104">
        <f>+'C6 Ejec. Nac 19-26'!H24+'C7 Ejec. Prop 19-26'!H24</f>
        <v>15045.860557647062</v>
      </c>
      <c r="I24" s="104">
        <f>+'C6 Ejec. Nac 19-26'!I24+'C7 Ejec. Prop 19-26'!I24</f>
        <v>21151.336710455907</v>
      </c>
      <c r="J24" s="104">
        <f>+'C6 Ejec. Nac 19-26'!J24+'C7 Ejec. Prop 19-26'!J24</f>
        <v>35548.979275044745</v>
      </c>
      <c r="K24" s="104">
        <f>+'C6 Ejec. Nac 19-26'!K24+'C7 Ejec. Prop 19-26'!K24</f>
        <v>17273.044999703001</v>
      </c>
      <c r="L24" s="6"/>
      <c r="M24" s="109">
        <f t="shared" si="1"/>
        <v>3.1784335711961278</v>
      </c>
      <c r="N24" s="109">
        <f t="shared" si="2"/>
        <v>2.0990249390815259</v>
      </c>
      <c r="O24" s="109">
        <f t="shared" si="3"/>
        <v>4.1539333197089716</v>
      </c>
      <c r="P24" s="109">
        <f t="shared" si="4"/>
        <v>1.2299243405619555</v>
      </c>
      <c r="Q24" s="109">
        <f t="shared" si="5"/>
        <v>3.1174088574700454</v>
      </c>
      <c r="R24" s="109">
        <f t="shared" si="6"/>
        <v>4.105584797135247</v>
      </c>
      <c r="S24" s="109">
        <f t="shared" si="7"/>
        <v>6.7509069334643916</v>
      </c>
      <c r="T24" s="109">
        <f t="shared" si="8"/>
        <v>3.15768205323372</v>
      </c>
    </row>
    <row r="25" spans="2:20" x14ac:dyDescent="0.2">
      <c r="B25" s="32"/>
      <c r="C25" s="83" t="s">
        <v>61</v>
      </c>
      <c r="D25" s="104">
        <f>+'C6 Ejec. Nac 19-26'!D25+'C7 Ejec. Prop 19-26'!D25</f>
        <v>9549.5469922587563</v>
      </c>
      <c r="E25" s="104">
        <f>+'C6 Ejec. Nac 19-26'!E25+'C7 Ejec. Prop 19-26'!E25</f>
        <v>12264.679132259691</v>
      </c>
      <c r="F25" s="104">
        <f>+'C6 Ejec. Nac 19-26'!F25+'C7 Ejec. Prop 19-26'!F25</f>
        <v>15165.196200252094</v>
      </c>
      <c r="G25" s="104">
        <f>+'C6 Ejec. Nac 19-26'!G25+'C7 Ejec. Prop 19-26'!G25</f>
        <v>15334.056359781256</v>
      </c>
      <c r="H25" s="104">
        <f>+'C6 Ejec. Nac 19-26'!H25+'C7 Ejec. Prop 19-26'!H25</f>
        <v>15057.472860630569</v>
      </c>
      <c r="I25" s="104">
        <f>+'C6 Ejec. Nac 19-26'!I25+'C7 Ejec. Prop 19-26'!I25</f>
        <v>18995.361410871941</v>
      </c>
      <c r="J25" s="104">
        <f>+'C6 Ejec. Nac 19-26'!J25+'C7 Ejec. Prop 19-26'!J25</f>
        <v>19371.812481888948</v>
      </c>
      <c r="K25" s="104">
        <f>+'C6 Ejec. Nac 19-26'!K25+'C7 Ejec. Prop 19-26'!K25</f>
        <v>19987.062393946999</v>
      </c>
      <c r="L25" s="6"/>
      <c r="M25" s="109">
        <f t="shared" si="1"/>
        <v>2.5203486803931248</v>
      </c>
      <c r="N25" s="109">
        <f t="shared" si="2"/>
        <v>2.663520910338474</v>
      </c>
      <c r="O25" s="109">
        <f t="shared" si="3"/>
        <v>3.1270439852013907</v>
      </c>
      <c r="P25" s="109">
        <f t="shared" si="4"/>
        <v>3.4886399045635668</v>
      </c>
      <c r="Q25" s="109">
        <f t="shared" si="5"/>
        <v>3.1198148545240336</v>
      </c>
      <c r="R25" s="109">
        <f t="shared" si="6"/>
        <v>3.6870987442610859</v>
      </c>
      <c r="S25" s="109">
        <f t="shared" si="7"/>
        <v>3.6787920740543267</v>
      </c>
      <c r="T25" s="109">
        <f t="shared" si="8"/>
        <v>3.653831054068013</v>
      </c>
    </row>
    <row r="26" spans="2:20" x14ac:dyDescent="0.2">
      <c r="B26" s="32"/>
      <c r="C26" s="83" t="s">
        <v>99</v>
      </c>
      <c r="D26" s="104">
        <f>+'C6 Ejec. Nac 19-26'!D26+'C7 Ejec. Prop 19-26'!D26</f>
        <v>192.5277044167552</v>
      </c>
      <c r="E26" s="104">
        <f>+'C6 Ejec. Nac 19-26'!E26+'C7 Ejec. Prop 19-26'!E26</f>
        <v>397.1669853421929</v>
      </c>
      <c r="F26" s="104">
        <f>+'C6 Ejec. Nac 19-26'!F26+'C7 Ejec. Prop 19-26'!F26</f>
        <v>228.84674221321916</v>
      </c>
      <c r="G26" s="104">
        <f>+'C6 Ejec. Nac 19-26'!G26+'C7 Ejec. Prop 19-26'!G26</f>
        <v>181.87341148803682</v>
      </c>
      <c r="H26" s="104">
        <f>+'C6 Ejec. Nac 19-26'!H26+'C7 Ejec. Prop 19-26'!H26</f>
        <v>171.37796644068132</v>
      </c>
      <c r="I26" s="104">
        <f>+'C6 Ejec. Nac 19-26'!I26+'C7 Ejec. Prop 19-26'!I26</f>
        <v>248.60489989324103</v>
      </c>
      <c r="J26" s="104">
        <f>+'C6 Ejec. Nac 19-26'!J26+'C7 Ejec. Prop 19-26'!J26</f>
        <v>595.19686796707651</v>
      </c>
      <c r="K26" s="104">
        <f>+'C6 Ejec. Nac 19-26'!K26+'C7 Ejec. Prop 19-26'!K26</f>
        <v>1145.9376053870001</v>
      </c>
      <c r="L26" s="6"/>
      <c r="M26" s="109">
        <f t="shared" si="1"/>
        <v>5.0812561701538195E-2</v>
      </c>
      <c r="N26" s="109">
        <f t="shared" si="2"/>
        <v>8.625277179673925E-2</v>
      </c>
      <c r="O26" s="109">
        <f t="shared" si="3"/>
        <v>4.7187904417542871E-2</v>
      </c>
      <c r="P26" s="109">
        <f t="shared" si="4"/>
        <v>4.1377886321093856E-2</v>
      </c>
      <c r="Q26" s="109">
        <f t="shared" si="5"/>
        <v>3.5508450215288541E-2</v>
      </c>
      <c r="R26" s="109">
        <f t="shared" si="6"/>
        <v>4.8255507983590712E-2</v>
      </c>
      <c r="S26" s="109">
        <f t="shared" si="7"/>
        <v>0.11303049327089769</v>
      </c>
      <c r="T26" s="109">
        <f t="shared" si="8"/>
        <v>0.20948863450065539</v>
      </c>
    </row>
    <row r="27" spans="2:20" x14ac:dyDescent="0.2">
      <c r="B27" s="34"/>
      <c r="C27" s="76" t="s">
        <v>44</v>
      </c>
      <c r="D27" s="103">
        <f t="shared" ref="D27:K27" si="11">+SUM(D28:D31)</f>
        <v>56797.605800922029</v>
      </c>
      <c r="E27" s="103">
        <f t="shared" si="11"/>
        <v>57510.441360509001</v>
      </c>
      <c r="F27" s="103">
        <f t="shared" si="11"/>
        <v>63885.822924520049</v>
      </c>
      <c r="G27" s="103">
        <f t="shared" si="11"/>
        <v>68398.478827856117</v>
      </c>
      <c r="H27" s="103">
        <f t="shared" si="11"/>
        <v>59254.393161940861</v>
      </c>
      <c r="I27" s="103">
        <f t="shared" si="11"/>
        <v>61984.19590053639</v>
      </c>
      <c r="J27" s="103">
        <f t="shared" si="11"/>
        <v>60641.066454242457</v>
      </c>
      <c r="K27" s="103">
        <f t="shared" si="11"/>
        <v>62043.663469289997</v>
      </c>
      <c r="L27" s="117"/>
      <c r="M27" s="119">
        <f t="shared" si="1"/>
        <v>14.990215865306034</v>
      </c>
      <c r="N27" s="119">
        <f t="shared" si="2"/>
        <v>12.489545097319466</v>
      </c>
      <c r="O27" s="119">
        <f t="shared" si="3"/>
        <v>13.173174661099383</v>
      </c>
      <c r="P27" s="119">
        <f t="shared" si="4"/>
        <v>15.561287701808672</v>
      </c>
      <c r="Q27" s="119">
        <f t="shared" si="5"/>
        <v>12.27714223319469</v>
      </c>
      <c r="R27" s="119">
        <f t="shared" si="6"/>
        <v>12.031455781520197</v>
      </c>
      <c r="S27" s="119">
        <f t="shared" si="7"/>
        <v>11.516004237736443</v>
      </c>
      <c r="T27" s="119">
        <f t="shared" si="8"/>
        <v>11.342190254076117</v>
      </c>
    </row>
    <row r="28" spans="2:20" x14ac:dyDescent="0.2">
      <c r="B28" s="32"/>
      <c r="C28" s="83" t="s">
        <v>98</v>
      </c>
      <c r="D28" s="104">
        <f>+'C6 Ejec. Nac 19-26'!D28+'C7 Ejec. Prop 19-26'!D28</f>
        <v>27144.40840163227</v>
      </c>
      <c r="E28" s="104">
        <f>+'C6 Ejec. Nac 19-26'!E28+'C7 Ejec. Prop 19-26'!E28</f>
        <v>24288.315277909373</v>
      </c>
      <c r="F28" s="104">
        <f>+'C6 Ejec. Nac 19-26'!F28+'C7 Ejec. Prop 19-26'!F28</f>
        <v>28272.718007242769</v>
      </c>
      <c r="G28" s="104">
        <f>+'C6 Ejec. Nac 19-26'!G28+'C7 Ejec. Prop 19-26'!G28</f>
        <v>33067.73263381471</v>
      </c>
      <c r="H28" s="104">
        <f>+'C6 Ejec. Nac 19-26'!H28+'C7 Ejec. Prop 19-26'!H28</f>
        <v>19952.144267514694</v>
      </c>
      <c r="I28" s="104">
        <f>+'C6 Ejec. Nac 19-26'!I28+'C7 Ejec. Prop 19-26'!I28</f>
        <v>15093.615541097155</v>
      </c>
      <c r="J28" s="104">
        <f>+'C6 Ejec. Nac 19-26'!J28+'C7 Ejec. Prop 19-26'!J28</f>
        <v>10712.237250045408</v>
      </c>
      <c r="K28" s="104">
        <f>+'C6 Ejec. Nac 19-26'!K28+'C7 Ejec. Prop 19-26'!K28</f>
        <v>10342.874420982</v>
      </c>
      <c r="L28" s="6"/>
      <c r="M28" s="109">
        <f t="shared" si="1"/>
        <v>7.1640439018274442</v>
      </c>
      <c r="N28" s="109">
        <f t="shared" si="2"/>
        <v>5.2746945045993927</v>
      </c>
      <c r="O28" s="109">
        <f t="shared" si="3"/>
        <v>5.8297981524547566</v>
      </c>
      <c r="P28" s="109">
        <f t="shared" si="4"/>
        <v>7.5232155740824842</v>
      </c>
      <c r="Q28" s="109">
        <f t="shared" si="5"/>
        <v>4.133960369150028</v>
      </c>
      <c r="R28" s="109">
        <f t="shared" si="6"/>
        <v>2.9297495164312517</v>
      </c>
      <c r="S28" s="109">
        <f t="shared" si="7"/>
        <v>2.0343007928504306</v>
      </c>
      <c r="T28" s="109">
        <f t="shared" si="8"/>
        <v>1.8907788950093354</v>
      </c>
    </row>
    <row r="29" spans="2:20" x14ac:dyDescent="0.2">
      <c r="B29" s="32"/>
      <c r="C29" s="83" t="s">
        <v>61</v>
      </c>
      <c r="D29" s="104">
        <f>+'C6 Ejec. Nac 19-26'!D29+'C7 Ejec. Prop 19-26'!D29</f>
        <v>28661.934755335653</v>
      </c>
      <c r="E29" s="104">
        <f>+'C6 Ejec. Nac 19-26'!E29+'C7 Ejec. Prop 19-26'!E29</f>
        <v>31838.192977980354</v>
      </c>
      <c r="F29" s="104">
        <f>+'C6 Ejec. Nac 19-26'!F29+'C7 Ejec. Prop 19-26'!F29</f>
        <v>34033.182473387293</v>
      </c>
      <c r="G29" s="104">
        <f>+'C6 Ejec. Nac 19-26'!G29+'C7 Ejec. Prop 19-26'!G29</f>
        <v>33476.376207115711</v>
      </c>
      <c r="H29" s="104">
        <f>+'C6 Ejec. Nac 19-26'!H29+'C7 Ejec. Prop 19-26'!H29</f>
        <v>34388.492218202024</v>
      </c>
      <c r="I29" s="104">
        <f>+'C6 Ejec. Nac 19-26'!I29+'C7 Ejec. Prop 19-26'!I29</f>
        <v>45023.404547646089</v>
      </c>
      <c r="J29" s="104">
        <f>+'C6 Ejec. Nac 19-26'!J29+'C7 Ejec. Prop 19-26'!J29</f>
        <v>47657.467686841905</v>
      </c>
      <c r="K29" s="104">
        <f>+'C6 Ejec. Nac 19-26'!K29+'C7 Ejec. Prop 19-26'!K29</f>
        <v>48777.532232774</v>
      </c>
      <c r="L29" s="6"/>
      <c r="M29" s="109">
        <f t="shared" si="1"/>
        <v>7.5645545800950673</v>
      </c>
      <c r="N29" s="109">
        <f t="shared" si="2"/>
        <v>6.9143017790974257</v>
      </c>
      <c r="O29" s="109">
        <f t="shared" si="3"/>
        <v>7.0175985292493621</v>
      </c>
      <c r="P29" s="109">
        <f t="shared" si="4"/>
        <v>7.6161857734291125</v>
      </c>
      <c r="Q29" s="109">
        <f t="shared" si="5"/>
        <v>7.1250820001503197</v>
      </c>
      <c r="R29" s="109">
        <f t="shared" si="6"/>
        <v>8.7392776993951706</v>
      </c>
      <c r="S29" s="109">
        <f t="shared" si="7"/>
        <v>9.0503619400490152</v>
      </c>
      <c r="T29" s="109">
        <f t="shared" si="8"/>
        <v>8.9170113396397745</v>
      </c>
    </row>
    <row r="30" spans="2:20" x14ac:dyDescent="0.2">
      <c r="B30" s="32"/>
      <c r="C30" s="83" t="s">
        <v>99</v>
      </c>
      <c r="D30" s="104">
        <f>+'C6 Ejec. Nac 19-26'!D30+'C7 Ejec. Prop 19-26'!D30</f>
        <v>244.91575140265977</v>
      </c>
      <c r="E30" s="104">
        <f>+'C6 Ejec. Nac 19-26'!E30+'C7 Ejec. Prop 19-26'!E30</f>
        <v>232.8375022107239</v>
      </c>
      <c r="F30" s="104">
        <f>+'C6 Ejec. Nac 19-26'!F30+'C7 Ejec. Prop 19-26'!F30</f>
        <v>403.56200612560195</v>
      </c>
      <c r="G30" s="104">
        <f>+'C6 Ejec. Nac 19-26'!G30+'C7 Ejec. Prop 19-26'!G30</f>
        <v>294.53520418765902</v>
      </c>
      <c r="H30" s="104">
        <f>+'C6 Ejec. Nac 19-26'!H30+'C7 Ejec. Prop 19-26'!H30</f>
        <v>336.66323634463635</v>
      </c>
      <c r="I30" s="104">
        <f>+'C6 Ejec. Nac 19-26'!I30+'C7 Ejec. Prop 19-26'!I30</f>
        <v>320.06858301579348</v>
      </c>
      <c r="J30" s="104">
        <f>+'C6 Ejec. Nac 19-26'!J30+'C7 Ejec. Prop 19-26'!J30</f>
        <v>304.10894077693882</v>
      </c>
      <c r="K30" s="104">
        <f>+'C6 Ejec. Nac 19-26'!K30+'C7 Ejec. Prop 19-26'!K30</f>
        <v>257.92867398099997</v>
      </c>
      <c r="L30" s="6"/>
      <c r="M30" s="109">
        <f t="shared" si="1"/>
        <v>6.4638991918210389E-2</v>
      </c>
      <c r="N30" s="109">
        <f t="shared" si="2"/>
        <v>5.0565330667153116E-2</v>
      </c>
      <c r="O30" s="109">
        <f t="shared" si="3"/>
        <v>8.321396751133972E-2</v>
      </c>
      <c r="P30" s="109">
        <f t="shared" si="4"/>
        <v>6.7009488064937783E-2</v>
      </c>
      <c r="Q30" s="109">
        <f t="shared" si="5"/>
        <v>6.975453155000054E-2</v>
      </c>
      <c r="R30" s="109">
        <f t="shared" si="6"/>
        <v>6.2126981687198449E-2</v>
      </c>
      <c r="S30" s="109">
        <f t="shared" si="7"/>
        <v>5.7751620403367093E-2</v>
      </c>
      <c r="T30" s="109">
        <f t="shared" si="8"/>
        <v>4.7151891566204966E-2</v>
      </c>
    </row>
    <row r="31" spans="2:20" x14ac:dyDescent="0.2">
      <c r="B31" s="32"/>
      <c r="C31" s="83" t="s">
        <v>100</v>
      </c>
      <c r="D31" s="104">
        <f>+'C6 Ejec. Nac 19-26'!D31+'C7 Ejec. Prop 19-26'!D31</f>
        <v>746.34689255144303</v>
      </c>
      <c r="E31" s="104">
        <f>+'C6 Ejec. Nac 19-26'!E31+'C7 Ejec. Prop 19-26'!E31</f>
        <v>1151.0956024085528</v>
      </c>
      <c r="F31" s="104">
        <f>+'C6 Ejec. Nac 19-26'!F31+'C7 Ejec. Prop 19-26'!F31</f>
        <v>1176.3604377643769</v>
      </c>
      <c r="G31" s="104">
        <f>+'C6 Ejec. Nac 19-26'!G31+'C7 Ejec. Prop 19-26'!G31</f>
        <v>1559.8347827380342</v>
      </c>
      <c r="H31" s="104">
        <f>+'C6 Ejec. Nac 19-26'!H31+'C7 Ejec. Prop 19-26'!H31</f>
        <v>4577.0934398795098</v>
      </c>
      <c r="I31" s="104">
        <f>+'C6 Ejec. Nac 19-26'!I31+'C7 Ejec. Prop 19-26'!I31</f>
        <v>1547.1072287773486</v>
      </c>
      <c r="J31" s="104">
        <f>+'C6 Ejec. Nac 19-26'!J31+'C7 Ejec. Prop 19-26'!J31</f>
        <v>1967.2525765782041</v>
      </c>
      <c r="K31" s="104">
        <f>+'C6 Ejec. Nac 19-26'!K31+'C7 Ejec. Prop 19-26'!K31</f>
        <v>2665.328141553</v>
      </c>
      <c r="L31" s="6"/>
      <c r="M31" s="109">
        <f t="shared" si="1"/>
        <v>0.19697839146531207</v>
      </c>
      <c r="N31" s="109">
        <f t="shared" si="2"/>
        <v>0.24998348295549397</v>
      </c>
      <c r="O31" s="109">
        <f t="shared" si="3"/>
        <v>0.24256401188392276</v>
      </c>
      <c r="P31" s="109">
        <f t="shared" si="4"/>
        <v>0.35487686623213732</v>
      </c>
      <c r="Q31" s="109">
        <f t="shared" si="5"/>
        <v>0.9483453323443416</v>
      </c>
      <c r="R31" s="109">
        <f t="shared" si="6"/>
        <v>0.30030158400657481</v>
      </c>
      <c r="S31" s="109">
        <f t="shared" si="7"/>
        <v>0.37358988443363034</v>
      </c>
      <c r="T31" s="109">
        <f t="shared" si="8"/>
        <v>0.48724812786080307</v>
      </c>
    </row>
    <row r="32" spans="2:20" x14ac:dyDescent="0.2">
      <c r="B32" s="34" t="s">
        <v>45</v>
      </c>
      <c r="C32" s="76" t="s">
        <v>46</v>
      </c>
      <c r="D32" s="103">
        <f>+'C6 Ejec. Nac 19-26'!D32+'C7 Ejec. Prop 19-26'!D32</f>
        <v>63244.403201505789</v>
      </c>
      <c r="E32" s="103">
        <f>+'C6 Ejec. Nac 19-26'!E32+'C7 Ejec. Prop 19-26'!E32</f>
        <v>65170.236951824896</v>
      </c>
      <c r="F32" s="103">
        <f>+'C6 Ejec. Nac 19-26'!F32+'C7 Ejec. Prop 19-26'!F32</f>
        <v>83989.7611508665</v>
      </c>
      <c r="G32" s="103">
        <f>+'C6 Ejec. Nac 19-26'!G32+'C7 Ejec. Prop 19-26'!G32</f>
        <v>86849.763027706984</v>
      </c>
      <c r="H32" s="103">
        <f>+'C6 Ejec. Nac 19-26'!H32+'C7 Ejec. Prop 19-26'!H32</f>
        <v>95050.226789446591</v>
      </c>
      <c r="I32" s="103">
        <f>+'C6 Ejec. Nac 19-26'!I32+'C7 Ejec. Prop 19-26'!I32</f>
        <v>98226.711446896443</v>
      </c>
      <c r="J32" s="103">
        <f>+'C6 Ejec. Nac 19-26'!J32+'C7 Ejec. Prop 19-26'!J32</f>
        <v>80583.666925493773</v>
      </c>
      <c r="K32" s="103">
        <f>+'C6 Ejec. Nac 19-26'!K32+'C7 Ejec. Prop 19-26'!K32</f>
        <v>88400.742916215007</v>
      </c>
      <c r="L32" s="117"/>
      <c r="M32" s="113">
        <f t="shared" si="1"/>
        <v>16.691676398930774</v>
      </c>
      <c r="N32" s="113">
        <f t="shared" si="2"/>
        <v>14.153023245127267</v>
      </c>
      <c r="O32" s="113">
        <f t="shared" si="3"/>
        <v>17.318580911004144</v>
      </c>
      <c r="P32" s="113">
        <f t="shared" si="4"/>
        <v>19.759125823681938</v>
      </c>
      <c r="Q32" s="113">
        <f t="shared" si="5"/>
        <v>19.693816632333309</v>
      </c>
      <c r="R32" s="113">
        <f t="shared" si="6"/>
        <v>19.066317117897004</v>
      </c>
      <c r="S32" s="113">
        <f t="shared" si="7"/>
        <v>15.303191452059387</v>
      </c>
      <c r="T32" s="113">
        <f t="shared" si="8"/>
        <v>16.160522907446818</v>
      </c>
    </row>
    <row r="33" spans="1:20" ht="14.25" customHeight="1" x14ac:dyDescent="0.2">
      <c r="B33" s="36" t="s">
        <v>47</v>
      </c>
      <c r="C33" s="78" t="s">
        <v>48</v>
      </c>
      <c r="D33" s="105">
        <f t="shared" ref="D33:I33" si="12">+D14+D32</f>
        <v>300315.15418017632</v>
      </c>
      <c r="E33" s="105">
        <f t="shared" si="12"/>
        <v>380631.02373183862</v>
      </c>
      <c r="F33" s="105">
        <f t="shared" si="12"/>
        <v>385543.91438932187</v>
      </c>
      <c r="G33" s="105">
        <f t="shared" si="12"/>
        <v>350222.08821743366</v>
      </c>
      <c r="H33" s="105">
        <f t="shared" si="12"/>
        <v>393110.84566691768</v>
      </c>
      <c r="I33" s="105">
        <f t="shared" si="12"/>
        <v>412805.00598031323</v>
      </c>
      <c r="J33" s="105">
        <f>(+J14+J32)</f>
        <v>410423.738070703</v>
      </c>
      <c r="K33" s="105">
        <f>(+K14+K32)</f>
        <v>446566.89131929295</v>
      </c>
      <c r="L33" s="117"/>
      <c r="M33" s="112">
        <f t="shared" si="1"/>
        <v>79.260189321403175</v>
      </c>
      <c r="N33" s="112">
        <f t="shared" si="2"/>
        <v>82.661656281463792</v>
      </c>
      <c r="O33" s="112">
        <f t="shared" si="3"/>
        <v>79.498660129572713</v>
      </c>
      <c r="P33" s="112">
        <f t="shared" si="4"/>
        <v>79.678770166744712</v>
      </c>
      <c r="Q33" s="112">
        <f t="shared" si="5"/>
        <v>81.450125604595939</v>
      </c>
      <c r="R33" s="112">
        <f t="shared" si="6"/>
        <v>80.12760516909988</v>
      </c>
      <c r="S33" s="112">
        <f t="shared" si="7"/>
        <v>77.941266261473956</v>
      </c>
      <c r="T33" s="112">
        <f t="shared" si="8"/>
        <v>81.636808004121491</v>
      </c>
    </row>
    <row r="34" spans="1:20" ht="13.5" customHeight="1" x14ac:dyDescent="0.2">
      <c r="B34" s="38" t="s">
        <v>49</v>
      </c>
      <c r="C34" s="79" t="s">
        <v>50</v>
      </c>
      <c r="D34" s="106">
        <f t="shared" ref="D34:K34" si="13">+D14+D22+D32</f>
        <v>378897.85118022695</v>
      </c>
      <c r="E34" s="106">
        <f t="shared" si="13"/>
        <v>460468.66328904184</v>
      </c>
      <c r="F34" s="106">
        <f t="shared" si="13"/>
        <v>484969.07213396335</v>
      </c>
      <c r="G34" s="106">
        <f t="shared" si="13"/>
        <v>439542.53747205145</v>
      </c>
      <c r="H34" s="106">
        <f t="shared" si="13"/>
        <v>482639.95021357684</v>
      </c>
      <c r="I34" s="106">
        <f t="shared" si="13"/>
        <v>515184.50490207074</v>
      </c>
      <c r="J34" s="106">
        <f t="shared" si="13"/>
        <v>526580.79314984614</v>
      </c>
      <c r="K34" s="106">
        <f t="shared" si="13"/>
        <v>547016.59978762001</v>
      </c>
      <c r="L34" s="117"/>
      <c r="M34" s="107">
        <f t="shared" si="1"/>
        <v>100</v>
      </c>
      <c r="N34" s="107">
        <f t="shared" si="2"/>
        <v>100</v>
      </c>
      <c r="O34" s="107">
        <f t="shared" si="3"/>
        <v>100</v>
      </c>
      <c r="P34" s="107">
        <f t="shared" si="4"/>
        <v>100</v>
      </c>
      <c r="Q34" s="107">
        <f t="shared" si="5"/>
        <v>100</v>
      </c>
      <c r="R34" s="107">
        <f t="shared" si="6"/>
        <v>100</v>
      </c>
      <c r="S34" s="107">
        <f t="shared" si="7"/>
        <v>100</v>
      </c>
      <c r="T34" s="107">
        <f t="shared" si="8"/>
        <v>100</v>
      </c>
    </row>
    <row r="35" spans="1:20" s="5" customFormat="1" ht="13.5" customHeight="1" x14ac:dyDescent="0.2">
      <c r="B35" s="72" t="str">
        <f>+'C1 Aprop Resumen 2000-2026'!B20</f>
        <v>* Información con corte a 28 de febrero</v>
      </c>
      <c r="C35" s="68"/>
      <c r="D35" s="71"/>
      <c r="E35" s="71"/>
      <c r="F35" s="71"/>
      <c r="G35" s="71"/>
      <c r="H35" s="71"/>
      <c r="I35" s="71"/>
      <c r="M35" s="111"/>
      <c r="N35" s="111"/>
      <c r="O35" s="111"/>
      <c r="P35" s="111"/>
      <c r="Q35" s="111"/>
      <c r="R35" s="111"/>
      <c r="S35" s="111"/>
    </row>
    <row r="36" spans="1:20" x14ac:dyDescent="0.2">
      <c r="B36" s="1" t="s">
        <v>52</v>
      </c>
    </row>
    <row r="38" spans="1:20" ht="14.25" customHeight="1" x14ac:dyDescent="0.2"/>
    <row r="42" spans="1:20" ht="18" customHeight="1" x14ac:dyDescent="0.2">
      <c r="C42" s="137"/>
      <c r="D42" s="173" t="s">
        <v>101</v>
      </c>
      <c r="E42" s="158"/>
      <c r="F42" s="158"/>
      <c r="G42" s="158"/>
      <c r="H42" s="158"/>
      <c r="I42" s="158"/>
      <c r="J42" s="158"/>
      <c r="K42" s="169"/>
      <c r="L42" s="169"/>
      <c r="M42" s="170"/>
      <c r="N42" s="170"/>
      <c r="O42" s="170"/>
      <c r="P42" s="170"/>
      <c r="Q42" s="170"/>
      <c r="R42" s="170"/>
      <c r="S42" s="170"/>
      <c r="T42" s="158"/>
    </row>
    <row r="43" spans="1:20" ht="13.5" customHeight="1" x14ac:dyDescent="0.2">
      <c r="B43" s="93"/>
      <c r="C43" s="93"/>
      <c r="D43" s="93"/>
      <c r="E43" s="93"/>
      <c r="F43" s="93"/>
      <c r="G43" s="93"/>
      <c r="H43" s="93"/>
      <c r="I43" s="93"/>
      <c r="M43" s="3"/>
      <c r="N43" s="3"/>
      <c r="O43" s="3"/>
      <c r="P43" s="3"/>
      <c r="Q43" s="3"/>
      <c r="R43" s="3"/>
      <c r="S43" s="3"/>
    </row>
    <row r="44" spans="1:20" ht="13.5" customHeight="1" thickBot="1" x14ac:dyDescent="0.3">
      <c r="B44" s="92"/>
      <c r="C44" s="92"/>
      <c r="D44" s="168"/>
      <c r="E44" s="154"/>
      <c r="F44" s="154"/>
      <c r="G44" s="154"/>
      <c r="H44" s="154"/>
      <c r="I44" s="154"/>
      <c r="J44" s="154"/>
      <c r="K44" s="154"/>
      <c r="M44" s="168" t="s">
        <v>102</v>
      </c>
      <c r="N44" s="154"/>
      <c r="O44" s="154"/>
      <c r="P44" s="154"/>
      <c r="Q44" s="154"/>
      <c r="R44" s="154"/>
      <c r="S44" s="154"/>
      <c r="T44" s="154"/>
    </row>
    <row r="45" spans="1:20" x14ac:dyDescent="0.2">
      <c r="A45" s="17"/>
      <c r="B45" s="49"/>
      <c r="C45" s="166" t="s">
        <v>38</v>
      </c>
      <c r="D45" s="153">
        <v>2019</v>
      </c>
      <c r="E45" s="153">
        <v>2020</v>
      </c>
      <c r="F45" s="153">
        <v>2021</v>
      </c>
      <c r="G45" s="153">
        <v>2022</v>
      </c>
      <c r="H45" s="153">
        <v>2023</v>
      </c>
      <c r="I45" s="153">
        <v>2024</v>
      </c>
      <c r="J45" s="171">
        <v>2025</v>
      </c>
      <c r="K45" s="153" t="s">
        <v>36</v>
      </c>
      <c r="L45" s="114"/>
      <c r="M45" s="153">
        <v>2019</v>
      </c>
      <c r="N45" s="153">
        <v>2020</v>
      </c>
      <c r="O45" s="153">
        <v>2021</v>
      </c>
      <c r="P45" s="153">
        <v>2022</v>
      </c>
      <c r="Q45" s="153">
        <v>2023</v>
      </c>
      <c r="R45" s="153">
        <v>2024</v>
      </c>
      <c r="S45" s="171">
        <v>2025</v>
      </c>
      <c r="T45" s="153" t="s">
        <v>36</v>
      </c>
    </row>
    <row r="46" spans="1:20" ht="12" customHeight="1" thickBot="1" x14ac:dyDescent="0.25">
      <c r="A46" s="17"/>
      <c r="B46" s="84"/>
      <c r="C46" s="154"/>
      <c r="D46" s="154"/>
      <c r="E46" s="154"/>
      <c r="F46" s="154"/>
      <c r="G46" s="154"/>
      <c r="H46" s="154"/>
      <c r="I46" s="154"/>
      <c r="J46" s="154"/>
      <c r="K46" s="154"/>
      <c r="L46" s="114"/>
      <c r="M46" s="154"/>
      <c r="N46" s="154"/>
      <c r="O46" s="154"/>
      <c r="P46" s="154"/>
      <c r="Q46" s="154"/>
      <c r="R46" s="154"/>
      <c r="S46" s="154"/>
      <c r="T46" s="154"/>
    </row>
    <row r="47" spans="1:20" x14ac:dyDescent="0.2">
      <c r="A47" s="18"/>
      <c r="B47" s="34" t="s">
        <v>39</v>
      </c>
      <c r="C47" s="76" t="s">
        <v>40</v>
      </c>
      <c r="D47" s="103">
        <f t="shared" ref="D47:K47" si="14">+SUM(D48:D54)</f>
        <v>235140.06828288734</v>
      </c>
      <c r="E47" s="103">
        <f t="shared" si="14"/>
        <v>283574.81898071902</v>
      </c>
      <c r="F47" s="103">
        <f t="shared" si="14"/>
        <v>292778.40023439162</v>
      </c>
      <c r="G47" s="103">
        <f t="shared" si="14"/>
        <v>253474.76537302884</v>
      </c>
      <c r="H47" s="103">
        <f t="shared" si="14"/>
        <v>291260.3835014698</v>
      </c>
      <c r="I47" s="103">
        <f t="shared" si="14"/>
        <v>301849.69199643715</v>
      </c>
      <c r="J47" s="103">
        <f t="shared" si="14"/>
        <v>325398.32124958059</v>
      </c>
      <c r="K47" s="103">
        <f t="shared" si="14"/>
        <v>77951.412881850294</v>
      </c>
      <c r="L47" s="117"/>
      <c r="M47" s="119">
        <f>+D47/$D$14*100</f>
        <v>99.185609069101517</v>
      </c>
      <c r="N47" s="119">
        <f>+E47/$E$14*100</f>
        <v>89.892256300771123</v>
      </c>
      <c r="O47" s="119">
        <f>+F47/$F$14*100</f>
        <v>97.089825190660108</v>
      </c>
      <c r="P47" s="119">
        <f>+G47/$G$14*100</f>
        <v>96.241989430906287</v>
      </c>
      <c r="Q47" s="119">
        <f>+H47/$H$14*100</f>
        <v>97.718505919496607</v>
      </c>
      <c r="R47" s="119">
        <f>+I47/$I$14*100</f>
        <v>95.95375689989713</v>
      </c>
      <c r="S47" s="119">
        <f>+J47/$J$14*100</f>
        <v>98.653362558343261</v>
      </c>
      <c r="T47" s="119">
        <f>+K47/$K$14*100</f>
        <v>21.764036950282708</v>
      </c>
    </row>
    <row r="48" spans="1:20" x14ac:dyDescent="0.2">
      <c r="A48" s="19"/>
      <c r="B48" s="40"/>
      <c r="C48" s="77" t="s">
        <v>92</v>
      </c>
      <c r="D48" s="104">
        <f>+'C6 Ejec. Nac 19-26'!D48+'C7 Ejec. Prop 19-26'!D48</f>
        <v>46905.943629696281</v>
      </c>
      <c r="E48" s="104">
        <f>+'C6 Ejec. Nac 19-26'!E48+'C7 Ejec. Prop 19-26'!E48</f>
        <v>47965.900972896976</v>
      </c>
      <c r="F48" s="104">
        <f>+'C6 Ejec. Nac 19-26'!F48+'C7 Ejec. Prop 19-26'!F48</f>
        <v>48146.650480651188</v>
      </c>
      <c r="G48" s="104">
        <f>+'C6 Ejec. Nac 19-26'!G48+'C7 Ejec. Prop 19-26'!G48</f>
        <v>47096.130208822942</v>
      </c>
      <c r="H48" s="104">
        <f>+'C6 Ejec. Nac 19-26'!H48+'C7 Ejec. Prop 19-26'!H48</f>
        <v>50004.062221608583</v>
      </c>
      <c r="I48" s="104">
        <f>+'C6 Ejec. Nac 19-26'!I48+'C7 Ejec. Prop 19-26'!I48</f>
        <v>54215.540347508941</v>
      </c>
      <c r="J48" s="104">
        <f>+'C6 Ejec. Nac 19-26'!J48+'C7 Ejec. Prop 19-26'!J48</f>
        <v>58185.717098033288</v>
      </c>
      <c r="K48" s="104">
        <f>+'C6 Ejec. Nac 19-26'!K48+'C7 Ejec. Prop 19-26'!K48</f>
        <v>9562.8153299557998</v>
      </c>
      <c r="L48" s="6"/>
      <c r="M48" s="109">
        <f>+D48/$D$15*100</f>
        <v>99.048608364141757</v>
      </c>
      <c r="N48" s="109">
        <f>+E48/$E$15*100</f>
        <v>97.498893304030616</v>
      </c>
      <c r="O48" s="109">
        <f>+F48/$F$15*100</f>
        <v>97.147194589313258</v>
      </c>
      <c r="P48" s="109">
        <f>+G48/$G$15*100</f>
        <v>97.74489452641923</v>
      </c>
      <c r="Q48" s="109">
        <f>+H48/$H$15*100</f>
        <v>96.558018591796269</v>
      </c>
      <c r="R48" s="109">
        <f>+I48/$I$15*100</f>
        <v>97.872125669858264</v>
      </c>
      <c r="S48" s="109">
        <f>+J48/$J$15*100</f>
        <v>98.234848161217883</v>
      </c>
      <c r="T48" s="109">
        <f>+K48/$K$15*100</f>
        <v>14.36427585100836</v>
      </c>
    </row>
    <row r="49" spans="1:20" x14ac:dyDescent="0.2">
      <c r="A49" s="19"/>
      <c r="B49" s="40"/>
      <c r="C49" s="77" t="s">
        <v>93</v>
      </c>
      <c r="D49" s="104">
        <f>+'C6 Ejec. Nac 19-26'!D49+'C7 Ejec. Prop 19-26'!D49</f>
        <v>14461.43223017673</v>
      </c>
      <c r="E49" s="104">
        <f>+'C6 Ejec. Nac 19-26'!E49+'C7 Ejec. Prop 19-26'!E49</f>
        <v>14206.73905778084</v>
      </c>
      <c r="F49" s="104">
        <f>+'C6 Ejec. Nac 19-26'!F49+'C7 Ejec. Prop 19-26'!F49</f>
        <v>14992.670718572692</v>
      </c>
      <c r="G49" s="104">
        <f>+'C6 Ejec. Nac 19-26'!G49+'C7 Ejec. Prop 19-26'!G49</f>
        <v>16267.050367549573</v>
      </c>
      <c r="H49" s="104">
        <f>+'C6 Ejec. Nac 19-26'!H49+'C7 Ejec. Prop 19-26'!H49</f>
        <v>17536.035170795116</v>
      </c>
      <c r="I49" s="104">
        <f>+'C6 Ejec. Nac 19-26'!I49+'C7 Ejec. Prop 19-26'!I49</f>
        <v>17860.399684298878</v>
      </c>
      <c r="J49" s="104">
        <f>+'C6 Ejec. Nac 19-26'!J49+'C7 Ejec. Prop 19-26'!J49</f>
        <v>20469.019048242379</v>
      </c>
      <c r="K49" s="104">
        <f>+'C6 Ejec. Nac 19-26'!K49+'C7 Ejec. Prop 19-26'!K49</f>
        <v>9409.4949039060502</v>
      </c>
      <c r="L49" s="6"/>
      <c r="M49" s="109">
        <f>+D49/$D$16*100</f>
        <v>98.40069156230642</v>
      </c>
      <c r="N49" s="109">
        <f>+E49/$E$16*100</f>
        <v>97.346472553625475</v>
      </c>
      <c r="O49" s="109">
        <f>+F49/$F$16*100</f>
        <v>97.296153642103789</v>
      </c>
      <c r="P49" s="109">
        <f>+G49/$G$16*100</f>
        <v>96.722751496641735</v>
      </c>
      <c r="Q49" s="109">
        <f>+H49/$H$16*100</f>
        <v>96.465017434068514</v>
      </c>
      <c r="R49" s="109">
        <f>+I49/$I$16*100</f>
        <v>96.852378960511871</v>
      </c>
      <c r="S49" s="109">
        <f>+J49/$J$16*100</f>
        <v>98.03362837581578</v>
      </c>
      <c r="T49" s="109">
        <f>+K49/$K$16*100</f>
        <v>51.788298064957047</v>
      </c>
    </row>
    <row r="50" spans="1:20" x14ac:dyDescent="0.2">
      <c r="A50" s="19"/>
      <c r="B50" s="40"/>
      <c r="C50" s="77" t="s">
        <v>58</v>
      </c>
      <c r="D50" s="104">
        <f>+'C6 Ejec. Nac 19-26'!D50+'C7 Ejec. Prop 19-26'!D50</f>
        <v>169965.19979215669</v>
      </c>
      <c r="E50" s="104">
        <f>+'C6 Ejec. Nac 19-26'!E50+'C7 Ejec. Prop 19-26'!E50</f>
        <v>217357.86972645085</v>
      </c>
      <c r="F50" s="104">
        <f>+'C6 Ejec. Nac 19-26'!F50+'C7 Ejec. Prop 19-26'!F50</f>
        <v>224088.28577060087</v>
      </c>
      <c r="G50" s="104">
        <f>+'C6 Ejec. Nac 19-26'!G50+'C7 Ejec. Prop 19-26'!G50</f>
        <v>185442.78702806291</v>
      </c>
      <c r="H50" s="104">
        <f>+'C6 Ejec. Nac 19-26'!H50+'C7 Ejec. Prop 19-26'!H50</f>
        <v>219364.87604648442</v>
      </c>
      <c r="I50" s="104">
        <f>+'C6 Ejec. Nac 19-26'!I50+'C7 Ejec. Prop 19-26'!I50</f>
        <v>225384.60337480708</v>
      </c>
      <c r="J50" s="104">
        <f>+'C6 Ejec. Nac 19-26'!J50+'C7 Ejec. Prop 19-26'!J50</f>
        <v>242427.65033335972</v>
      </c>
      <c r="K50" s="104">
        <f>+'C6 Ejec. Nac 19-26'!K50+'C7 Ejec. Prop 19-26'!K50</f>
        <v>58133.45127390905</v>
      </c>
      <c r="L50" s="6"/>
      <c r="M50" s="109">
        <f t="shared" ref="M50:M67" si="15">+D50/D17*100</f>
        <v>99.354411546262583</v>
      </c>
      <c r="N50" s="109">
        <f t="shared" ref="N50:N67" si="16">+E50/E17*100</f>
        <v>87.810037548806065</v>
      </c>
      <c r="O50" s="109">
        <f t="shared" ref="O50:O67" si="17">+F50/F17*100</f>
        <v>97.250526608900429</v>
      </c>
      <c r="P50" s="109">
        <f t="shared" ref="P50:P67" si="18">+G50/G17*100</f>
        <v>95.899937233174285</v>
      </c>
      <c r="Q50" s="109">
        <f>+H50/$H$17*100</f>
        <v>98.264206905382906</v>
      </c>
      <c r="R50" s="109">
        <f>+I50/$I$17*100</f>
        <v>95.495128198704421</v>
      </c>
      <c r="S50" s="109">
        <f>+J50/$J$17*100</f>
        <v>98.872271330347701</v>
      </c>
      <c r="T50" s="109">
        <f>+K50/$K$17*100</f>
        <v>21.622535720443096</v>
      </c>
    </row>
    <row r="51" spans="1:20" x14ac:dyDescent="0.2">
      <c r="A51" s="19"/>
      <c r="B51" s="40"/>
      <c r="C51" s="77" t="s">
        <v>94</v>
      </c>
      <c r="D51" s="104">
        <f>+'C6 Ejec. Nac 19-26'!D51+'C7 Ejec. Prop 19-26'!D51</f>
        <v>2114.8015291501606</v>
      </c>
      <c r="E51" s="104">
        <f>+'C6 Ejec. Nac 19-26'!E51+'C7 Ejec. Prop 19-26'!E51</f>
        <v>1949.5743541936031</v>
      </c>
      <c r="F51" s="104">
        <f>+'C6 Ejec. Nac 19-26'!F51+'C7 Ejec. Prop 19-26'!F51</f>
        <v>2075.6822115751916</v>
      </c>
      <c r="G51" s="104">
        <f>+'C6 Ejec. Nac 19-26'!G51+'C7 Ejec. Prop 19-26'!G51</f>
        <v>2169.6505359448342</v>
      </c>
      <c r="H51" s="104">
        <f>+'C6 Ejec. Nac 19-26'!H51+'C7 Ejec. Prop 19-26'!H51</f>
        <v>1929.4393857735745</v>
      </c>
      <c r="I51" s="104">
        <f>+'C6 Ejec. Nac 19-26'!I51+'C7 Ejec. Prop 19-26'!I51</f>
        <v>2113.6857886183843</v>
      </c>
      <c r="J51" s="104">
        <f>+'C6 Ejec. Nac 19-26'!J51+'C7 Ejec. Prop 19-26'!J51</f>
        <v>2025.4483003613736</v>
      </c>
      <c r="K51" s="104">
        <f>+'C6 Ejec. Nac 19-26'!K51+'C7 Ejec. Prop 19-26'!K51</f>
        <v>691.18905225943001</v>
      </c>
      <c r="L51" s="6"/>
      <c r="M51" s="109">
        <f t="shared" si="15"/>
        <v>96.44717398527753</v>
      </c>
      <c r="N51" s="109">
        <f t="shared" si="16"/>
        <v>97.107068742107359</v>
      </c>
      <c r="O51" s="109">
        <f t="shared" si="17"/>
        <v>81.50333188310114</v>
      </c>
      <c r="P51" s="109">
        <f t="shared" si="18"/>
        <v>91.977568895192007</v>
      </c>
      <c r="Q51" s="109">
        <f>+H51/$H$18*100</f>
        <v>90.265413672734098</v>
      </c>
      <c r="R51" s="109">
        <f>+I51/$I$18*100</f>
        <v>93.477994602620129</v>
      </c>
      <c r="S51" s="109">
        <f>+J51/$J$18*100</f>
        <v>96.904038902558483</v>
      </c>
      <c r="T51" s="109">
        <f>+K51/$K$18*100</f>
        <v>32.817391428255434</v>
      </c>
    </row>
    <row r="52" spans="1:20" x14ac:dyDescent="0.2">
      <c r="A52" s="19"/>
      <c r="B52" s="40"/>
      <c r="C52" s="77" t="s">
        <v>95</v>
      </c>
      <c r="D52" s="104">
        <f>+'C6 Ejec. Nac 19-26'!D52+'C7 Ejec. Prop 19-26'!D52</f>
        <v>554.70341783597428</v>
      </c>
      <c r="E52" s="104">
        <f>+'C6 Ejec. Nac 19-26'!E52+'C7 Ejec. Prop 19-26'!E52</f>
        <v>619.92711309436049</v>
      </c>
      <c r="F52" s="104">
        <f>+'C6 Ejec. Nac 19-26'!F52+'C7 Ejec. Prop 19-26'!F52</f>
        <v>805.49977320848757</v>
      </c>
      <c r="G52" s="104">
        <f>+'C6 Ejec. Nac 19-26'!G52+'C7 Ejec. Prop 19-26'!G52</f>
        <v>790.23046904598095</v>
      </c>
      <c r="H52" s="104">
        <f>+'C6 Ejec. Nac 19-26'!H52+'C7 Ejec. Prop 19-26'!H52</f>
        <v>768.0904558630067</v>
      </c>
      <c r="I52" s="104">
        <f>+'C6 Ejec. Nac 19-26'!I52+'C7 Ejec. Prop 19-26'!I52</f>
        <v>695.19513797586467</v>
      </c>
      <c r="J52" s="104">
        <f>+'C6 Ejec. Nac 19-26'!J52+'C7 Ejec. Prop 19-26'!J52</f>
        <v>711.429938862884</v>
      </c>
      <c r="K52" s="104">
        <f>+'C6 Ejec. Nac 19-26'!K52+'C7 Ejec. Prop 19-26'!K52</f>
        <v>0.1852773932</v>
      </c>
      <c r="L52" s="6"/>
      <c r="M52" s="109">
        <f t="shared" si="15"/>
        <v>98.645144539230017</v>
      </c>
      <c r="N52" s="109">
        <f t="shared" si="16"/>
        <v>98.388078857113413</v>
      </c>
      <c r="O52" s="109">
        <f t="shared" si="17"/>
        <v>98.620813097872173</v>
      </c>
      <c r="P52" s="109">
        <f t="shared" si="18"/>
        <v>98.798730934391372</v>
      </c>
      <c r="Q52" s="109">
        <f>+H52/$H$19*100</f>
        <v>88.321152528295784</v>
      </c>
      <c r="R52" s="109">
        <f>+I52/$I$19*100</f>
        <v>99.281634528293907</v>
      </c>
      <c r="S52" s="109">
        <f>+J52/$J$19*100</f>
        <v>97.094957130285124</v>
      </c>
      <c r="T52" s="109">
        <f>+K52/$K$19*100</f>
        <v>2.4393265844567722E-2</v>
      </c>
    </row>
    <row r="53" spans="1:20" x14ac:dyDescent="0.2">
      <c r="A53" s="19"/>
      <c r="B53" s="40"/>
      <c r="C53" s="77" t="s">
        <v>96</v>
      </c>
      <c r="D53" s="104">
        <f>+'C6 Ejec. Nac 19-26'!D53+'C7 Ejec. Prop 19-26'!D53</f>
        <v>405.99229554555643</v>
      </c>
      <c r="E53" s="104">
        <f>+'C6 Ejec. Nac 19-26'!E53+'C7 Ejec. Prop 19-26'!E53</f>
        <v>417.76535625839597</v>
      </c>
      <c r="F53" s="104">
        <f>+'C6 Ejec. Nac 19-26'!F53+'C7 Ejec. Prop 19-26'!F53</f>
        <v>641.0761480421736</v>
      </c>
      <c r="G53" s="104">
        <f>+'C6 Ejec. Nac 19-26'!G53+'C7 Ejec. Prop 19-26'!G53</f>
        <v>488.70363465815666</v>
      </c>
      <c r="H53" s="104">
        <f>+'C6 Ejec. Nac 19-26'!H53+'C7 Ejec. Prop 19-26'!H53</f>
        <v>553.91700748893413</v>
      </c>
      <c r="I53" s="104">
        <f>+'C6 Ejec. Nac 19-26'!I53+'C7 Ejec. Prop 19-26'!I53</f>
        <v>374.22815309448566</v>
      </c>
      <c r="J53" s="104">
        <f>+'C6 Ejec. Nac 19-26'!J53+'C7 Ejec. Prop 19-26'!J53</f>
        <v>339.86362627377156</v>
      </c>
      <c r="K53" s="104">
        <f>+'C6 Ejec. Nac 19-26'!K53+'C7 Ejec. Prop 19-26'!K53</f>
        <v>29.426746102999999</v>
      </c>
      <c r="L53" s="6"/>
      <c r="M53" s="109">
        <f t="shared" si="15"/>
        <v>98.344452672353214</v>
      </c>
      <c r="N53" s="109">
        <f t="shared" si="16"/>
        <v>98.487356282036089</v>
      </c>
      <c r="O53" s="109">
        <f t="shared" si="17"/>
        <v>96.778698558215709</v>
      </c>
      <c r="P53" s="109">
        <f t="shared" si="18"/>
        <v>94.110621331054318</v>
      </c>
      <c r="Q53" s="109">
        <f>+H53/$H$20*100</f>
        <v>98.912573273201133</v>
      </c>
      <c r="R53" s="109">
        <f>+I53/$I$20*100</f>
        <v>97.372919886053765</v>
      </c>
      <c r="S53" s="109">
        <f>+J53/$J$20*100</f>
        <v>95.482360990574904</v>
      </c>
      <c r="T53" s="109">
        <f>+K53/$K$20*100</f>
        <v>7.9036985292688451</v>
      </c>
    </row>
    <row r="54" spans="1:20" x14ac:dyDescent="0.2">
      <c r="A54" s="19"/>
      <c r="B54" s="40"/>
      <c r="C54" s="77" t="s">
        <v>97</v>
      </c>
      <c r="D54" s="104">
        <f>+'C6 Ejec. Nac 19-26'!D54+'C7 Ejec. Prop 19-26'!D54</f>
        <v>731.99538832593032</v>
      </c>
      <c r="E54" s="104">
        <f>+'C6 Ejec. Nac 19-26'!E54+'C7 Ejec. Prop 19-26'!E54</f>
        <v>1057.0424000440412</v>
      </c>
      <c r="F54" s="104">
        <f>+'C6 Ejec. Nac 19-26'!F54+'C7 Ejec. Prop 19-26'!F54</f>
        <v>2028.535131741035</v>
      </c>
      <c r="G54" s="104">
        <f>+'C6 Ejec. Nac 19-26'!G54+'C7 Ejec. Prop 19-26'!G54</f>
        <v>1220.2131289444496</v>
      </c>
      <c r="H54" s="104">
        <f>+'C6 Ejec. Nac 19-26'!H54+'C7 Ejec. Prop 19-26'!H54</f>
        <v>1103.963213456218</v>
      </c>
      <c r="I54" s="104">
        <f>+'C6 Ejec. Nac 19-26'!I54+'C7 Ejec. Prop 19-26'!I54</f>
        <v>1206.0395101335166</v>
      </c>
      <c r="J54" s="104">
        <f>+'C6 Ejec. Nac 19-26'!J54+'C7 Ejec. Prop 19-26'!J54</f>
        <v>1239.1929044471976</v>
      </c>
      <c r="K54" s="104">
        <f>+'C6 Ejec. Nac 19-26'!K54+'C7 Ejec. Prop 19-26'!K54</f>
        <v>124.85029832376999</v>
      </c>
      <c r="L54" s="6"/>
      <c r="M54" s="109">
        <f t="shared" si="15"/>
        <v>93.806036264434184</v>
      </c>
      <c r="N54" s="109">
        <f t="shared" si="16"/>
        <v>98.18334098590546</v>
      </c>
      <c r="O54" s="109">
        <f t="shared" si="17"/>
        <v>95.027875098538104</v>
      </c>
      <c r="P54" s="109">
        <f t="shared" si="18"/>
        <v>92.282505389120516</v>
      </c>
      <c r="Q54" s="109">
        <f>+H54/$H$21*100</f>
        <v>85.68566722188018</v>
      </c>
      <c r="R54" s="109">
        <f>+I54/$I$21*100</f>
        <v>87.355096884283952</v>
      </c>
      <c r="S54" s="109">
        <f>+J54/$J$21*100</f>
        <v>91.273789023694917</v>
      </c>
      <c r="T54" s="109">
        <f>+K54/$K$21*100</f>
        <v>9.3905920594685419</v>
      </c>
    </row>
    <row r="55" spans="1:20" x14ac:dyDescent="0.2">
      <c r="A55" s="20"/>
      <c r="B55" s="34" t="s">
        <v>41</v>
      </c>
      <c r="C55" s="76" t="s">
        <v>42</v>
      </c>
      <c r="D55" s="103">
        <f t="shared" ref="D55:K55" si="19">+D56+D60</f>
        <v>78074.743953870187</v>
      </c>
      <c r="E55" s="103">
        <f t="shared" si="19"/>
        <v>79270.642222333467</v>
      </c>
      <c r="F55" s="103">
        <f t="shared" si="19"/>
        <v>84100.295631267305</v>
      </c>
      <c r="G55" s="103">
        <f t="shared" si="19"/>
        <v>88267.043268956273</v>
      </c>
      <c r="H55" s="103">
        <f t="shared" si="19"/>
        <v>85836.169834777887</v>
      </c>
      <c r="I55" s="103">
        <f t="shared" si="19"/>
        <v>98200.758361762419</v>
      </c>
      <c r="J55" s="103">
        <f t="shared" si="19"/>
        <v>108363.51529971368</v>
      </c>
      <c r="K55" s="103">
        <f t="shared" si="19"/>
        <v>24106.62674511733</v>
      </c>
      <c r="L55" s="117"/>
      <c r="M55" s="119">
        <f t="shared" si="15"/>
        <v>99.353607008194047</v>
      </c>
      <c r="N55" s="119">
        <f t="shared" si="16"/>
        <v>99.289812000937843</v>
      </c>
      <c r="O55" s="119">
        <f t="shared" si="17"/>
        <v>84.586534775500382</v>
      </c>
      <c r="P55" s="119">
        <f t="shared" si="18"/>
        <v>98.820644102831707</v>
      </c>
      <c r="Q55" s="119">
        <f>+H55/$H$22*100</f>
        <v>95.875157323888274</v>
      </c>
      <c r="R55" s="119">
        <f>+I55/$I$22*100</f>
        <v>95.918381508012047</v>
      </c>
      <c r="S55" s="119">
        <f>+J55/$J$22*100</f>
        <v>93.29051535085884</v>
      </c>
      <c r="T55" s="119">
        <f>+K55/$K$22*100</f>
        <v>23.998702547472735</v>
      </c>
    </row>
    <row r="56" spans="1:20" x14ac:dyDescent="0.2">
      <c r="A56" s="20"/>
      <c r="B56" s="34"/>
      <c r="C56" s="76" t="s">
        <v>43</v>
      </c>
      <c r="D56" s="103">
        <f t="shared" ref="D56:K56" si="20">+SUM(D57:D59)</f>
        <v>21332.056332154982</v>
      </c>
      <c r="E56" s="103">
        <f t="shared" si="20"/>
        <v>22112.613405226006</v>
      </c>
      <c r="F56" s="103">
        <f t="shared" si="20"/>
        <v>28632.704235373298</v>
      </c>
      <c r="G56" s="103">
        <f t="shared" si="20"/>
        <v>20566.864267822948</v>
      </c>
      <c r="H56" s="103">
        <f t="shared" si="20"/>
        <v>28445.905150670904</v>
      </c>
      <c r="I56" s="103">
        <f t="shared" si="20"/>
        <v>39018.479040148326</v>
      </c>
      <c r="J56" s="103">
        <f t="shared" si="20"/>
        <v>49402.135075676684</v>
      </c>
      <c r="K56" s="103">
        <f t="shared" si="20"/>
        <v>8631.4400322501297</v>
      </c>
      <c r="L56" s="117"/>
      <c r="M56" s="119">
        <f t="shared" si="15"/>
        <v>97.920436215609101</v>
      </c>
      <c r="N56" s="119">
        <f t="shared" si="16"/>
        <v>99.038908556381358</v>
      </c>
      <c r="O56" s="119">
        <f t="shared" si="17"/>
        <v>80.566235638046322</v>
      </c>
      <c r="P56" s="119">
        <f t="shared" si="18"/>
        <v>98.302711686827863</v>
      </c>
      <c r="Q56" s="119">
        <f>+H56/$H$23*100</f>
        <v>93.959294241296945</v>
      </c>
      <c r="R56" s="119">
        <f>+I56/$I$23*100</f>
        <v>96.59162358467897</v>
      </c>
      <c r="S56" s="119">
        <f>+J56/J23*100</f>
        <v>88.987220257333547</v>
      </c>
      <c r="T56" s="119">
        <f>+K56/K23*100</f>
        <v>22.474170491823759</v>
      </c>
    </row>
    <row r="57" spans="1:20" x14ac:dyDescent="0.2">
      <c r="A57" s="20"/>
      <c r="B57" s="32"/>
      <c r="C57" s="77" t="s">
        <v>98</v>
      </c>
      <c r="D57" s="104">
        <f>+'C6 Ejec. Nac 19-26'!D57+'C7 Ejec. Prop 19-26'!D57</f>
        <v>11969.361369434897</v>
      </c>
      <c r="E57" s="104">
        <f>+'C6 Ejec. Nac 19-26'!E57+'C7 Ejec. Prop 19-26'!E57</f>
        <v>9513.9155091409302</v>
      </c>
      <c r="F57" s="104">
        <f>+'C6 Ejec. Nac 19-26'!F57+'C7 Ejec. Prop 19-26'!F57</f>
        <v>15293.779898475093</v>
      </c>
      <c r="G57" s="104">
        <f>+'C6 Ejec. Nac 19-26'!G57+'C7 Ejec. Prop 19-26'!G57</f>
        <v>5311.1247314804259</v>
      </c>
      <c r="H57" s="104">
        <f>+'C6 Ejec. Nac 19-26'!H57+'C7 Ejec. Prop 19-26'!H57</f>
        <v>14336.45455881524</v>
      </c>
      <c r="I57" s="104">
        <f>+'C6 Ejec. Nac 19-26'!I57+'C7 Ejec. Prop 19-26'!I57</f>
        <v>20329.305661986873</v>
      </c>
      <c r="J57" s="104">
        <f>+'C6 Ejec. Nac 19-26'!J57+'C7 Ejec. Prop 19-26'!J57</f>
        <v>32959.185295434567</v>
      </c>
      <c r="K57" s="104">
        <f>+'C6 Ejec. Nac 19-26'!K57+'C7 Ejec. Prop 19-26'!K57</f>
        <v>4233.4376562315501</v>
      </c>
      <c r="L57" s="6"/>
      <c r="M57" s="109">
        <f t="shared" si="15"/>
        <v>99.388399633902537</v>
      </c>
      <c r="N57" s="109">
        <f t="shared" si="16"/>
        <v>98.433201721859902</v>
      </c>
      <c r="O57" s="109">
        <f t="shared" si="17"/>
        <v>75.917390481882109</v>
      </c>
      <c r="P57" s="109">
        <f t="shared" si="18"/>
        <v>98.244261742361189</v>
      </c>
      <c r="Q57" s="109">
        <f t="shared" ref="Q57:Q67" si="21">+H57/H24*100</f>
        <v>95.285042047852386</v>
      </c>
      <c r="R57" s="109">
        <f>+I57/$I$24*100</f>
        <v>96.113574003752333</v>
      </c>
      <c r="S57" s="109">
        <f>+J57/$J$24*100</f>
        <v>92.714856987671084</v>
      </c>
      <c r="T57" s="109">
        <f>+K57/$K$24*100</f>
        <v>24.508925069692932</v>
      </c>
    </row>
    <row r="58" spans="1:20" x14ac:dyDescent="0.2">
      <c r="A58" s="20"/>
      <c r="B58" s="32"/>
      <c r="C58" s="77" t="s">
        <v>61</v>
      </c>
      <c r="D58" s="104">
        <f>+'C6 Ejec. Nac 19-26'!D58+'C7 Ejec. Prop 19-26'!D58</f>
        <v>9245.6489166838819</v>
      </c>
      <c r="E58" s="104">
        <f>+'C6 Ejec. Nac 19-26'!E58+'C7 Ejec. Prop 19-26'!E58</f>
        <v>12236.953520934341</v>
      </c>
      <c r="F58" s="104">
        <f>+'C6 Ejec. Nac 19-26'!F58+'C7 Ejec. Prop 19-26'!F58</f>
        <v>13157.671789020951</v>
      </c>
      <c r="G58" s="104">
        <f>+'C6 Ejec. Nac 19-26'!G58+'C7 Ejec. Prop 19-26'!G58</f>
        <v>15129.217890858099</v>
      </c>
      <c r="H58" s="104">
        <f>+'C6 Ejec. Nac 19-26'!H58+'C7 Ejec. Prop 19-26'!H58</f>
        <v>14007.28560343949</v>
      </c>
      <c r="I58" s="104">
        <f>+'C6 Ejec. Nac 19-26'!I58+'C7 Ejec. Prop 19-26'!I58</f>
        <v>18566.138811702847</v>
      </c>
      <c r="J58" s="104">
        <f>+'C6 Ejec. Nac 19-26'!J58+'C7 Ejec. Prop 19-26'!J58</f>
        <v>16207.20172917056</v>
      </c>
      <c r="K58" s="104">
        <f>+'C6 Ejec. Nac 19-26'!K58+'C7 Ejec. Prop 19-26'!K58</f>
        <v>4335.1372656588301</v>
      </c>
      <c r="L58" s="6"/>
      <c r="M58" s="109">
        <f t="shared" si="15"/>
        <v>96.817670243193447</v>
      </c>
      <c r="N58" s="109">
        <f t="shared" si="16"/>
        <v>99.773939366644953</v>
      </c>
      <c r="O58" s="109">
        <f t="shared" si="17"/>
        <v>86.762291864065887</v>
      </c>
      <c r="P58" s="109">
        <f t="shared" si="18"/>
        <v>98.664159931872859</v>
      </c>
      <c r="Q58" s="109">
        <f t="shared" si="21"/>
        <v>93.025474680170873</v>
      </c>
      <c r="R58" s="109">
        <f>+I58/$I$25*100</f>
        <v>97.740382033882085</v>
      </c>
      <c r="S58" s="109">
        <f>+J58/$J$25*100</f>
        <v>83.663837569783212</v>
      </c>
      <c r="T58" s="109">
        <f>+K58/$K$25*100</f>
        <v>21.689716978977906</v>
      </c>
    </row>
    <row r="59" spans="1:20" x14ac:dyDescent="0.2">
      <c r="A59" s="20"/>
      <c r="B59" s="32"/>
      <c r="C59" s="77" t="s">
        <v>103</v>
      </c>
      <c r="D59" s="104">
        <f>+'C6 Ejec. Nac 19-26'!D59+'C7 Ejec. Prop 19-26'!D59</f>
        <v>117.04604603620552</v>
      </c>
      <c r="E59" s="104">
        <f>+'C6 Ejec. Nac 19-26'!E59+'C7 Ejec. Prop 19-26'!E59</f>
        <v>361.74437515073322</v>
      </c>
      <c r="F59" s="104">
        <f>+'C6 Ejec. Nac 19-26'!F59+'C7 Ejec. Prop 19-26'!F59</f>
        <v>181.25254787725285</v>
      </c>
      <c r="G59" s="104">
        <f>+'C6 Ejec. Nac 19-26'!G59+'C7 Ejec. Prop 19-26'!G59</f>
        <v>126.52164548442487</v>
      </c>
      <c r="H59" s="104">
        <f>+'C6 Ejec. Nac 19-26'!H59+'C7 Ejec. Prop 19-26'!H59</f>
        <v>102.16498841617347</v>
      </c>
      <c r="I59" s="104">
        <f>+'C6 Ejec. Nac 19-26'!I59+'C7 Ejec. Prop 19-26'!I59</f>
        <v>123.03456645860567</v>
      </c>
      <c r="J59" s="104">
        <f>+'C6 Ejec. Nac 19-26'!J59+'C7 Ejec. Prop 19-26'!J59</f>
        <v>235.74805107156257</v>
      </c>
      <c r="K59" s="104">
        <f>+'C6 Ejec. Nac 19-26'!K59+'C7 Ejec. Prop 19-26'!K59</f>
        <v>62.865110359749998</v>
      </c>
      <c r="L59" s="6"/>
      <c r="M59" s="109">
        <f t="shared" si="15"/>
        <v>60.794391327100506</v>
      </c>
      <c r="N59" s="109">
        <f t="shared" si="16"/>
        <v>91.081179579682299</v>
      </c>
      <c r="O59" s="109">
        <f t="shared" si="17"/>
        <v>79.202590399289036</v>
      </c>
      <c r="P59" s="109">
        <f t="shared" si="18"/>
        <v>69.565773495565153</v>
      </c>
      <c r="Q59" s="109">
        <f t="shared" si="21"/>
        <v>59.613840996027697</v>
      </c>
      <c r="R59" s="109">
        <f>+I59/$I$26*100</f>
        <v>49.490000603946541</v>
      </c>
      <c r="S59" s="109">
        <f>+J59/$J$26*100</f>
        <v>39.608415930811489</v>
      </c>
      <c r="T59" s="109">
        <f>+K59/$K$26*100</f>
        <v>5.485910407706668</v>
      </c>
    </row>
    <row r="60" spans="1:20" x14ac:dyDescent="0.2">
      <c r="A60" s="20"/>
      <c r="B60" s="34"/>
      <c r="C60" s="76" t="s">
        <v>44</v>
      </c>
      <c r="D60" s="103">
        <f t="shared" ref="D60:K60" si="22">+SUM(D61:D64)</f>
        <v>56742.687621715202</v>
      </c>
      <c r="E60" s="103">
        <f t="shared" si="22"/>
        <v>57158.028817107457</v>
      </c>
      <c r="F60" s="103">
        <f t="shared" si="22"/>
        <v>55467.591395894</v>
      </c>
      <c r="G60" s="103">
        <f t="shared" si="22"/>
        <v>67700.179001133321</v>
      </c>
      <c r="H60" s="103">
        <f t="shared" si="22"/>
        <v>57390.26468410698</v>
      </c>
      <c r="I60" s="103">
        <f t="shared" si="22"/>
        <v>59182.2793216141</v>
      </c>
      <c r="J60" s="103">
        <f t="shared" si="22"/>
        <v>58961.380224036999</v>
      </c>
      <c r="K60" s="103">
        <f t="shared" si="22"/>
        <v>15475.1867128672</v>
      </c>
      <c r="L60" s="117"/>
      <c r="M60" s="119">
        <f t="shared" si="15"/>
        <v>99.903308989115985</v>
      </c>
      <c r="N60" s="119">
        <f t="shared" si="16"/>
        <v>99.38721989422335</v>
      </c>
      <c r="O60" s="119">
        <f t="shared" si="17"/>
        <v>86.823005256468193</v>
      </c>
      <c r="P60" s="119">
        <f t="shared" si="18"/>
        <v>98.979071115776918</v>
      </c>
      <c r="Q60" s="119">
        <f t="shared" si="21"/>
        <v>96.854024860672766</v>
      </c>
      <c r="R60" s="119">
        <f>+I60/$I$27*100</f>
        <v>95.479627446618139</v>
      </c>
      <c r="S60" s="119">
        <f>+J60/$J$27*100</f>
        <v>97.230117594529958</v>
      </c>
      <c r="T60" s="119">
        <f>+K60/$K$27*100</f>
        <v>24.942412887219362</v>
      </c>
    </row>
    <row r="61" spans="1:20" x14ac:dyDescent="0.2">
      <c r="A61" s="20"/>
      <c r="B61" s="32"/>
      <c r="C61" s="77" t="s">
        <v>98</v>
      </c>
      <c r="D61" s="104">
        <f>+'C6 Ejec. Nac 19-26'!D61+'C7 Ejec. Prop 19-26'!D61</f>
        <v>27114.886592748207</v>
      </c>
      <c r="E61" s="104">
        <f>+'C6 Ejec. Nac 19-26'!E61+'C7 Ejec. Prop 19-26'!E61</f>
        <v>23955.556042250912</v>
      </c>
      <c r="F61" s="104">
        <f>+'C6 Ejec. Nac 19-26'!F61+'C7 Ejec. Prop 19-26'!F61</f>
        <v>21661.11156139613</v>
      </c>
      <c r="G61" s="104">
        <f>+'C6 Ejec. Nac 19-26'!G61+'C7 Ejec. Prop 19-26'!G61</f>
        <v>32545.238074735855</v>
      </c>
      <c r="H61" s="104">
        <f>+'C6 Ejec. Nac 19-26'!H61+'C7 Ejec. Prop 19-26'!H61</f>
        <v>19544.7680071055</v>
      </c>
      <c r="I61" s="104">
        <f>+'C6 Ejec. Nac 19-26'!I61+'C7 Ejec. Prop 19-26'!I61</f>
        <v>13122.814339019858</v>
      </c>
      <c r="J61" s="104">
        <f>+'C6 Ejec. Nac 19-26'!J61+'C7 Ejec. Prop 19-26'!J61</f>
        <v>10572.772381459708</v>
      </c>
      <c r="K61" s="104">
        <f>+'C6 Ejec. Nac 19-26'!K61+'C7 Ejec. Prop 19-26'!K61</f>
        <v>530.42891507000002</v>
      </c>
      <c r="L61" s="6"/>
      <c r="M61" s="109">
        <f t="shared" si="15"/>
        <v>99.891241656671042</v>
      </c>
      <c r="N61" s="109">
        <f t="shared" si="16"/>
        <v>98.629961642662352</v>
      </c>
      <c r="O61" s="109">
        <f t="shared" si="17"/>
        <v>76.614889151609304</v>
      </c>
      <c r="P61" s="109">
        <f t="shared" si="18"/>
        <v>98.419926262060812</v>
      </c>
      <c r="Q61" s="109">
        <f t="shared" si="21"/>
        <v>97.958233185630732</v>
      </c>
      <c r="R61" s="109">
        <f>+I61/$I$28*100</f>
        <v>86.942815677852892</v>
      </c>
      <c r="S61" s="109">
        <f>+J61/$J$28*100</f>
        <v>98.698078978925636</v>
      </c>
      <c r="T61" s="109">
        <f>+K61/$K$28*100</f>
        <v>5.1284477939125814</v>
      </c>
    </row>
    <row r="62" spans="1:20" x14ac:dyDescent="0.2">
      <c r="A62" s="20"/>
      <c r="B62" s="32"/>
      <c r="C62" s="77" t="s">
        <v>61</v>
      </c>
      <c r="D62" s="104">
        <f>+'C6 Ejec. Nac 19-26'!D62+'C7 Ejec. Prop 19-26'!D62</f>
        <v>28646.861064225661</v>
      </c>
      <c r="E62" s="104">
        <f>+'C6 Ejec. Nac 19-26'!E62+'C7 Ejec. Prop 19-26'!E62</f>
        <v>31823.545737883462</v>
      </c>
      <c r="F62" s="104">
        <f>+'C6 Ejec. Nac 19-26'!F62+'C7 Ejec. Prop 19-26'!F62</f>
        <v>32403.412626632118</v>
      </c>
      <c r="G62" s="104">
        <f>+'C6 Ejec. Nac 19-26'!G62+'C7 Ejec. Prop 19-26'!G62</f>
        <v>33369.025659903848</v>
      </c>
      <c r="H62" s="104">
        <f>+'C6 Ejec. Nac 19-26'!H62+'C7 Ejec. Prop 19-26'!H62</f>
        <v>33036.427138694198</v>
      </c>
      <c r="I62" s="104">
        <f>+'C6 Ejec. Nac 19-26'!I62+'C7 Ejec. Prop 19-26'!I62</f>
        <v>44352.042601453693</v>
      </c>
      <c r="J62" s="104">
        <f>+'C6 Ejec. Nac 19-26'!J62+'C7 Ejec. Prop 19-26'!J62</f>
        <v>46260.563872972118</v>
      </c>
      <c r="K62" s="104">
        <f>+'C6 Ejec. Nac 19-26'!K62+'C7 Ejec. Prop 19-26'!K62</f>
        <v>14935.4512007702</v>
      </c>
      <c r="L62" s="6"/>
      <c r="M62" s="109">
        <f t="shared" si="15"/>
        <v>99.94740867551802</v>
      </c>
      <c r="N62" s="109">
        <f t="shared" si="16"/>
        <v>99.953994750559431</v>
      </c>
      <c r="O62" s="109">
        <f t="shared" si="17"/>
        <v>95.211232895925633</v>
      </c>
      <c r="P62" s="109">
        <f t="shared" si="18"/>
        <v>99.679324468850226</v>
      </c>
      <c r="Q62" s="109">
        <f t="shared" si="21"/>
        <v>96.06826297899687</v>
      </c>
      <c r="R62" s="109">
        <f>+I62/$I$29*100</f>
        <v>98.508860107453827</v>
      </c>
      <c r="S62" s="109">
        <f>+J62/$J$29*100</f>
        <v>97.06886689186075</v>
      </c>
      <c r="T62" s="109">
        <f>+K62/$K$29*100</f>
        <v>30.619530175278026</v>
      </c>
    </row>
    <row r="63" spans="1:20" x14ac:dyDescent="0.2">
      <c r="A63" s="20"/>
      <c r="B63" s="32"/>
      <c r="C63" s="77" t="s">
        <v>103</v>
      </c>
      <c r="D63" s="104">
        <f>+'C6 Ejec. Nac 19-26'!D63+'C7 Ejec. Prop 19-26'!D63</f>
        <v>239.7678827801891</v>
      </c>
      <c r="E63" s="104">
        <f>+'C6 Ejec. Nac 19-26'!E63+'C7 Ejec. Prop 19-26'!E63</f>
        <v>227.8314345645324</v>
      </c>
      <c r="F63" s="104">
        <f>+'C6 Ejec. Nac 19-26'!F63+'C7 Ejec. Prop 19-26'!F63</f>
        <v>226.7067701013699</v>
      </c>
      <c r="G63" s="104">
        <f>+'C6 Ejec. Nac 19-26'!G63+'C7 Ejec. Prop 19-26'!G63</f>
        <v>226.0805369126403</v>
      </c>
      <c r="H63" s="104">
        <f>+'C6 Ejec. Nac 19-26'!H63+'C7 Ejec. Prop 19-26'!H63</f>
        <v>231.9771415690131</v>
      </c>
      <c r="I63" s="104">
        <f>+'C6 Ejec. Nac 19-26'!I63+'C7 Ejec. Prop 19-26'!I63</f>
        <v>160.31515236319879</v>
      </c>
      <c r="J63" s="104">
        <f>+'C6 Ejec. Nac 19-26'!J63+'C7 Ejec. Prop 19-26'!J63</f>
        <v>160.79139302696834</v>
      </c>
      <c r="K63" s="104">
        <f>+'C6 Ejec. Nac 19-26'!K63+'C7 Ejec. Prop 19-26'!K63</f>
        <v>9.3065970270000005</v>
      </c>
      <c r="L63" s="6"/>
      <c r="M63" s="109">
        <f t="shared" si="15"/>
        <v>97.898106351678791</v>
      </c>
      <c r="N63" s="109">
        <f t="shared" si="16"/>
        <v>97.849973651726913</v>
      </c>
      <c r="O63" s="109">
        <f t="shared" si="17"/>
        <v>56.176440462735535</v>
      </c>
      <c r="P63" s="109">
        <f t="shared" si="18"/>
        <v>76.758409079206785</v>
      </c>
      <c r="Q63" s="109">
        <f t="shared" si="21"/>
        <v>68.904803532376818</v>
      </c>
      <c r="R63" s="109">
        <f>+I63/$I$30*100</f>
        <v>50.087750210487911</v>
      </c>
      <c r="S63" s="109">
        <f>+J63/$J$30*100</f>
        <v>52.872958163011518</v>
      </c>
      <c r="T63" s="109">
        <f>+K63/$K$30*100</f>
        <v>3.6082056652939487</v>
      </c>
    </row>
    <row r="64" spans="1:20" x14ac:dyDescent="0.2">
      <c r="A64" s="20"/>
      <c r="B64" s="32"/>
      <c r="C64" s="77" t="s">
        <v>104</v>
      </c>
      <c r="D64" s="104">
        <f>+'C6 Ejec. Nac 19-26'!D64+'C7 Ejec. Prop 19-26'!D64</f>
        <v>741.17208196114939</v>
      </c>
      <c r="E64" s="104">
        <f>+'C6 Ejec. Nac 19-26'!E64+'C7 Ejec. Prop 19-26'!E64</f>
        <v>1151.0956024085528</v>
      </c>
      <c r="F64" s="104">
        <f>+'C6 Ejec. Nac 19-26'!F64+'C7 Ejec. Prop 19-26'!F64</f>
        <v>1176.3604377643769</v>
      </c>
      <c r="G64" s="104">
        <f>+'C6 Ejec. Nac 19-26'!G64+'C7 Ejec. Prop 19-26'!G64</f>
        <v>1559.8347295809685</v>
      </c>
      <c r="H64" s="104">
        <f>+'C6 Ejec. Nac 19-26'!H64+'C7 Ejec. Prop 19-26'!H64</f>
        <v>4577.0923967382714</v>
      </c>
      <c r="I64" s="104">
        <f>+'C6 Ejec. Nac 19-26'!I64+'C7 Ejec. Prop 19-26'!I64</f>
        <v>1547.1072287773486</v>
      </c>
      <c r="J64" s="104">
        <f>+'C6 Ejec. Nac 19-26'!J64+'C7 Ejec. Prop 19-26'!J64</f>
        <v>1967.2525765782041</v>
      </c>
      <c r="K64" s="104">
        <f>+'C6 Ejec. Nac 19-26'!K64+'C7 Ejec. Prop 19-26'!K64</f>
        <v>0</v>
      </c>
      <c r="L64" s="6"/>
      <c r="M64" s="109">
        <f t="shared" si="15"/>
        <v>99.306648069156793</v>
      </c>
      <c r="N64" s="109">
        <f t="shared" si="16"/>
        <v>100</v>
      </c>
      <c r="O64" s="109">
        <f t="shared" si="17"/>
        <v>100</v>
      </c>
      <c r="P64" s="109">
        <f t="shared" si="18"/>
        <v>99.999996592134877</v>
      </c>
      <c r="Q64" s="109">
        <f t="shared" si="21"/>
        <v>99.999977209527131</v>
      </c>
      <c r="R64" s="109">
        <f>+I64/$I$31*100</f>
        <v>100</v>
      </c>
      <c r="S64" s="109">
        <f>+J64/$J$31*100</f>
        <v>100</v>
      </c>
      <c r="T64" s="109">
        <f>+K64/$K$31*100</f>
        <v>0</v>
      </c>
    </row>
    <row r="65" spans="1:20" x14ac:dyDescent="0.2">
      <c r="A65" s="20"/>
      <c r="B65" s="34" t="s">
        <v>45</v>
      </c>
      <c r="C65" s="76" t="s">
        <v>46</v>
      </c>
      <c r="D65" s="103">
        <f>+'C6 Ejec. Nac 19-26'!D65+'C7 Ejec. Prop 19-26'!D65</f>
        <v>61132.041921195749</v>
      </c>
      <c r="E65" s="103">
        <f>+'C6 Ejec. Nac 19-26'!E65+'C7 Ejec. Prop 19-26'!E65</f>
        <v>62564.573752742886</v>
      </c>
      <c r="F65" s="103">
        <f>+'C6 Ejec. Nac 19-26'!F65+'C7 Ejec. Prop 19-26'!F65</f>
        <v>79627.064190408259</v>
      </c>
      <c r="G65" s="103">
        <f>+'C6 Ejec. Nac 19-26'!G65+'C7 Ejec. Prop 19-26'!G65</f>
        <v>82213.022943563235</v>
      </c>
      <c r="H65" s="103">
        <f>+'C6 Ejec. Nac 19-26'!H65+'C7 Ejec. Prop 19-26'!H65</f>
        <v>85546.890252844038</v>
      </c>
      <c r="I65" s="103">
        <f>+'C6 Ejec. Nac 19-26'!I65+'C7 Ejec. Prop 19-26'!I65</f>
        <v>94826.036605586531</v>
      </c>
      <c r="J65" s="103">
        <f>+'C6 Ejec. Nac 19-26'!J65+'C7 Ejec. Prop 19-26'!J65</f>
        <v>78469.925232519614</v>
      </c>
      <c r="K65" s="103">
        <f>+'C6 Ejec. Nac 19-26'!K65+'C7 Ejec. Prop 19-26'!K65</f>
        <v>38513.914360669471</v>
      </c>
      <c r="L65" s="117"/>
      <c r="M65" s="113">
        <f t="shared" si="15"/>
        <v>96.660002824946019</v>
      </c>
      <c r="N65" s="113">
        <f t="shared" si="16"/>
        <v>96.001758899529293</v>
      </c>
      <c r="O65" s="113">
        <f t="shared" si="17"/>
        <v>94.805680001135201</v>
      </c>
      <c r="P65" s="113">
        <f t="shared" si="18"/>
        <v>94.661194317059312</v>
      </c>
      <c r="Q65" s="113">
        <f t="shared" si="21"/>
        <v>90.001773948783764</v>
      </c>
      <c r="R65" s="113">
        <f>+I65/$I$32*100</f>
        <v>96.537932715839332</v>
      </c>
      <c r="S65" s="113">
        <f>+J65/$J$32*100</f>
        <v>97.376960153813201</v>
      </c>
      <c r="T65" s="113">
        <f>+K65/$K$32*100</f>
        <v>43.567410284291867</v>
      </c>
    </row>
    <row r="66" spans="1:20" x14ac:dyDescent="0.2">
      <c r="A66" s="21"/>
      <c r="B66" s="36" t="s">
        <v>47</v>
      </c>
      <c r="C66" s="78" t="s">
        <v>48</v>
      </c>
      <c r="D66" s="105">
        <f t="shared" ref="D66:K66" si="23">+D47+D65</f>
        <v>296272.11020408309</v>
      </c>
      <c r="E66" s="105">
        <f t="shared" si="23"/>
        <v>346139.39273346192</v>
      </c>
      <c r="F66" s="105">
        <f t="shared" si="23"/>
        <v>372405.46442479989</v>
      </c>
      <c r="G66" s="105">
        <f t="shared" si="23"/>
        <v>335687.78831659211</v>
      </c>
      <c r="H66" s="105">
        <f t="shared" si="23"/>
        <v>376807.27375431382</v>
      </c>
      <c r="I66" s="105">
        <f t="shared" si="23"/>
        <v>396675.72860202368</v>
      </c>
      <c r="J66" s="105">
        <f t="shared" si="23"/>
        <v>403868.24648210022</v>
      </c>
      <c r="K66" s="105">
        <f t="shared" si="23"/>
        <v>116465.32724251976</v>
      </c>
      <c r="L66" s="117"/>
      <c r="M66" s="112">
        <f t="shared" si="15"/>
        <v>98.653732946933616</v>
      </c>
      <c r="N66" s="112">
        <f t="shared" si="16"/>
        <v>90.938302753094376</v>
      </c>
      <c r="O66" s="112">
        <f t="shared" si="17"/>
        <v>96.592229970655225</v>
      </c>
      <c r="P66" s="112">
        <f t="shared" si="18"/>
        <v>95.849976232276362</v>
      </c>
      <c r="Q66" s="112">
        <f t="shared" si="21"/>
        <v>95.852678171485024</v>
      </c>
      <c r="R66" s="112">
        <f>+I66/$I$33*100</f>
        <v>96.092761196055179</v>
      </c>
      <c r="S66" s="112">
        <f>+J66/$J$33*100</f>
        <v>98.402750381978763</v>
      </c>
      <c r="T66" s="112">
        <f>+K66/$K$33*100</f>
        <v>26.080152717646882</v>
      </c>
    </row>
    <row r="67" spans="1:20" x14ac:dyDescent="0.2">
      <c r="A67" s="20"/>
      <c r="B67" s="38" t="s">
        <v>49</v>
      </c>
      <c r="C67" s="79" t="s">
        <v>63</v>
      </c>
      <c r="D67" s="106">
        <f t="shared" ref="D67:K67" si="24">+D47+D55+D65</f>
        <v>374346.85415795329</v>
      </c>
      <c r="E67" s="106">
        <f t="shared" si="24"/>
        <v>425410.03495579539</v>
      </c>
      <c r="F67" s="106">
        <f t="shared" si="24"/>
        <v>456505.7600560672</v>
      </c>
      <c r="G67" s="106">
        <f t="shared" si="24"/>
        <v>423954.83158554835</v>
      </c>
      <c r="H67" s="106">
        <f t="shared" si="24"/>
        <v>462643.44358909171</v>
      </c>
      <c r="I67" s="106">
        <f t="shared" si="24"/>
        <v>494876.48696378607</v>
      </c>
      <c r="J67" s="106">
        <f t="shared" si="24"/>
        <v>512231.76178181393</v>
      </c>
      <c r="K67" s="106">
        <f t="shared" si="24"/>
        <v>140571.9539876371</v>
      </c>
      <c r="L67" s="117"/>
      <c r="M67" s="107">
        <f t="shared" si="15"/>
        <v>98.798885502227634</v>
      </c>
      <c r="N67" s="107">
        <f t="shared" si="16"/>
        <v>92.386316132170819</v>
      </c>
      <c r="O67" s="107">
        <f t="shared" si="17"/>
        <v>94.130901594888982</v>
      </c>
      <c r="P67" s="107">
        <f t="shared" si="18"/>
        <v>96.453652477834581</v>
      </c>
      <c r="Q67" s="107">
        <f t="shared" si="21"/>
        <v>95.856848026020998</v>
      </c>
      <c r="R67" s="107">
        <f>+I67/$I$34*100</f>
        <v>96.058107775942347</v>
      </c>
      <c r="S67" s="107">
        <f>+J67/$J$34*100</f>
        <v>97.275056068376387</v>
      </c>
      <c r="T67" s="107">
        <f>+K67/$K$34*100</f>
        <v>25.697932026599258</v>
      </c>
    </row>
    <row r="68" spans="1:20" s="5" customFormat="1" x14ac:dyDescent="0.2">
      <c r="A68" s="32"/>
      <c r="B68" s="72" t="str">
        <f>+'C1 Aprop Resumen 2000-2026'!B20</f>
        <v>* Información con corte a 28 de febrero</v>
      </c>
      <c r="C68" s="68"/>
      <c r="D68" s="108"/>
      <c r="E68" s="108"/>
      <c r="F68" s="108"/>
      <c r="G68" s="108"/>
      <c r="H68" s="108"/>
      <c r="I68" s="108"/>
      <c r="M68" s="111"/>
      <c r="N68" s="111"/>
      <c r="O68" s="111"/>
      <c r="P68" s="111"/>
      <c r="Q68" s="111"/>
      <c r="R68" s="111"/>
      <c r="S68" s="111"/>
    </row>
    <row r="69" spans="1:20" x14ac:dyDescent="0.2">
      <c r="B69" s="1" t="s">
        <v>52</v>
      </c>
    </row>
    <row r="74" spans="1:20" ht="18" customHeight="1" x14ac:dyDescent="0.2">
      <c r="C74" s="131"/>
      <c r="D74" s="160" t="s">
        <v>105</v>
      </c>
      <c r="E74" s="158"/>
      <c r="F74" s="158"/>
      <c r="G74" s="158"/>
      <c r="H74" s="158"/>
      <c r="I74" s="158"/>
      <c r="J74" s="158"/>
      <c r="K74" s="169"/>
      <c r="L74" s="169"/>
      <c r="M74" s="170"/>
      <c r="N74" s="170"/>
      <c r="O74" s="170"/>
      <c r="P74" s="170"/>
      <c r="Q74" s="170"/>
      <c r="R74" s="170"/>
      <c r="S74" s="170"/>
      <c r="T74" s="158"/>
    </row>
    <row r="75" spans="1:20" x14ac:dyDescent="0.2">
      <c r="B75" s="2"/>
      <c r="C75" s="2"/>
      <c r="D75" s="2"/>
      <c r="E75" s="2"/>
      <c r="F75" s="2"/>
      <c r="G75" s="2"/>
      <c r="H75" s="2"/>
      <c r="I75" s="2"/>
      <c r="M75" s="172"/>
      <c r="N75" s="170"/>
      <c r="O75" s="170"/>
      <c r="P75" s="170"/>
      <c r="Q75" s="170"/>
      <c r="R75" s="170"/>
      <c r="S75" s="170"/>
    </row>
    <row r="76" spans="1:20" ht="12" customHeight="1" thickBot="1" x14ac:dyDescent="0.3">
      <c r="B76" s="92"/>
      <c r="C76" s="92"/>
      <c r="D76" s="168"/>
      <c r="E76" s="154"/>
      <c r="F76" s="154"/>
      <c r="G76" s="154"/>
      <c r="H76" s="154"/>
      <c r="I76" s="154"/>
      <c r="J76" s="154"/>
      <c r="K76" s="154"/>
      <c r="M76" s="168" t="s">
        <v>106</v>
      </c>
      <c r="N76" s="154"/>
      <c r="O76" s="154"/>
      <c r="P76" s="154"/>
      <c r="Q76" s="154"/>
      <c r="R76" s="154"/>
      <c r="S76" s="154"/>
      <c r="T76" s="154"/>
    </row>
    <row r="77" spans="1:20" x14ac:dyDescent="0.2">
      <c r="B77" s="49"/>
      <c r="C77" s="166" t="s">
        <v>38</v>
      </c>
      <c r="D77" s="153">
        <v>2019</v>
      </c>
      <c r="E77" s="153">
        <v>2020</v>
      </c>
      <c r="F77" s="153">
        <v>2021</v>
      </c>
      <c r="G77" s="153">
        <v>2022</v>
      </c>
      <c r="H77" s="153">
        <v>2023</v>
      </c>
      <c r="I77" s="153">
        <v>2024</v>
      </c>
      <c r="J77" s="153">
        <v>2025</v>
      </c>
      <c r="K77" s="153" t="s">
        <v>36</v>
      </c>
      <c r="L77" s="114"/>
      <c r="M77" s="153">
        <v>2019</v>
      </c>
      <c r="N77" s="153">
        <v>2020</v>
      </c>
      <c r="O77" s="153">
        <v>2021</v>
      </c>
      <c r="P77" s="153">
        <v>2022</v>
      </c>
      <c r="Q77" s="153">
        <v>2023</v>
      </c>
      <c r="R77" s="153">
        <v>2024</v>
      </c>
      <c r="S77" s="153">
        <v>2025</v>
      </c>
      <c r="T77" s="153" t="s">
        <v>36</v>
      </c>
    </row>
    <row r="78" spans="1:20" ht="12" customHeight="1" thickBot="1" x14ac:dyDescent="0.25">
      <c r="B78" s="84"/>
      <c r="C78" s="154"/>
      <c r="D78" s="154"/>
      <c r="E78" s="154"/>
      <c r="F78" s="154"/>
      <c r="G78" s="154"/>
      <c r="H78" s="154"/>
      <c r="I78" s="154"/>
      <c r="J78" s="154"/>
      <c r="K78" s="154"/>
      <c r="L78" s="114"/>
      <c r="M78" s="154"/>
      <c r="N78" s="154"/>
      <c r="O78" s="154"/>
      <c r="P78" s="154"/>
      <c r="Q78" s="154"/>
      <c r="R78" s="154"/>
      <c r="S78" s="154"/>
      <c r="T78" s="154"/>
    </row>
    <row r="79" spans="1:20" x14ac:dyDescent="0.2">
      <c r="B79" s="34" t="s">
        <v>39</v>
      </c>
      <c r="C79" s="76" t="s">
        <v>40</v>
      </c>
      <c r="D79" s="41">
        <f t="shared" ref="D79:K79" si="25">+SUM(D80:D86)</f>
        <v>223553.94723749073</v>
      </c>
      <c r="E79" s="41">
        <f t="shared" si="25"/>
        <v>266149.01070430165</v>
      </c>
      <c r="F79" s="41">
        <f t="shared" si="25"/>
        <v>281743.28879732161</v>
      </c>
      <c r="G79" s="41">
        <f t="shared" si="25"/>
        <v>234450.14693884534</v>
      </c>
      <c r="H79" s="41">
        <f t="shared" si="25"/>
        <v>269355.4812945599</v>
      </c>
      <c r="I79" s="41">
        <f t="shared" si="25"/>
        <v>282247.99526273005</v>
      </c>
      <c r="J79" s="41">
        <f t="shared" si="25"/>
        <v>303068.75370977307</v>
      </c>
      <c r="K79" s="41">
        <f t="shared" si="25"/>
        <v>41237.302768854002</v>
      </c>
      <c r="L79" s="71"/>
      <c r="M79" s="46">
        <f>+D79/$D$14*100</f>
        <v>94.298409362867403</v>
      </c>
      <c r="N79" s="46">
        <f>+E79/$E$14*100</f>
        <v>84.368334150482056</v>
      </c>
      <c r="O79" s="46">
        <f>+F79/$F$14*100</f>
        <v>93.430412339415469</v>
      </c>
      <c r="P79" s="46">
        <f>+G79/$G$14*100</f>
        <v>89.018520366539462</v>
      </c>
      <c r="Q79" s="46">
        <f>+H79/$H$14*100</f>
        <v>90.369362550806656</v>
      </c>
      <c r="R79" s="46">
        <f>+I79/$I$14*100</f>
        <v>89.722654158755887</v>
      </c>
      <c r="S79" s="46">
        <f>+J79/$J$14*100</f>
        <v>91.883546064465193</v>
      </c>
      <c r="T79" s="46">
        <f>+K79/$K$14*100</f>
        <v>11.513456241667427</v>
      </c>
    </row>
    <row r="80" spans="1:20" x14ac:dyDescent="0.2">
      <c r="B80" s="40"/>
      <c r="C80" s="77" t="s">
        <v>92</v>
      </c>
      <c r="D80" s="42">
        <f>+'C6 Ejec. Nac 19-26'!D80+'C7 Ejec. Prop 19-26'!D80</f>
        <v>46467.194002367367</v>
      </c>
      <c r="E80" s="42">
        <f>+'C6 Ejec. Nac 19-26'!E80+'C7 Ejec. Prop 19-26'!E80</f>
        <v>47463.867801159897</v>
      </c>
      <c r="F80" s="42">
        <f>+'C6 Ejec. Nac 19-26'!F80+'C7 Ejec. Prop 19-26'!F80</f>
        <v>47700.116523901568</v>
      </c>
      <c r="G80" s="42">
        <f>+'C6 Ejec. Nac 19-26'!G80+'C7 Ejec. Prop 19-26'!G80</f>
        <v>46657.177874422261</v>
      </c>
      <c r="H80" s="42">
        <f>+'C6 Ejec. Nac 19-26'!H80+'C7 Ejec. Prop 19-26'!H80</f>
        <v>49430.574328004943</v>
      </c>
      <c r="I80" s="42">
        <f>+'C6 Ejec. Nac 19-26'!I80+'C7 Ejec. Prop 19-26'!I80</f>
        <v>53701.890988139196</v>
      </c>
      <c r="J80" s="42">
        <f>+'C6 Ejec. Nac 19-26'!J80+'C7 Ejec. Prop 19-26'!J80</f>
        <v>57382.236817202574</v>
      </c>
      <c r="K80" s="42">
        <f>+'C6 Ejec. Nac 19-26'!K80+'C7 Ejec. Prop 19-26'!K80</f>
        <v>8193.1644626333491</v>
      </c>
      <c r="M80" s="47">
        <f t="shared" ref="M80:M99" si="26">+D80/D15*100</f>
        <v>98.122125776981918</v>
      </c>
      <c r="N80" s="47">
        <f t="shared" ref="N80:N99" si="27">+E80/E15*100</f>
        <v>96.478425061936392</v>
      </c>
      <c r="O80" s="47">
        <f t="shared" ref="O80:O99" si="28">+F80/F15*100</f>
        <v>96.246207277547427</v>
      </c>
      <c r="P80" s="47">
        <f t="shared" ref="P80:P99" si="29">+G80/G15*100</f>
        <v>96.833878070547414</v>
      </c>
      <c r="Q80" s="47">
        <f t="shared" ref="Q80:Q99" si="30">+H80/H15*100</f>
        <v>95.45061146860418</v>
      </c>
      <c r="R80" s="47">
        <f t="shared" ref="R80:R99" si="31">+I80/I15*100</f>
        <v>96.944864697667526</v>
      </c>
      <c r="S80" s="47">
        <f t="shared" ref="S80:S99" si="32">+J80/J15*100</f>
        <v>96.878333756575344</v>
      </c>
      <c r="T80" s="47">
        <f t="shared" ref="T80:T99" si="33">+K80/K15*100</f>
        <v>12.306927444816408</v>
      </c>
    </row>
    <row r="81" spans="2:20" x14ac:dyDescent="0.2">
      <c r="B81" s="40"/>
      <c r="C81" s="77" t="s">
        <v>93</v>
      </c>
      <c r="D81" s="42">
        <f>+'C6 Ejec. Nac 19-26'!D81+'C7 Ejec. Prop 19-26'!D81</f>
        <v>13056.29384152823</v>
      </c>
      <c r="E81" s="42">
        <f>+'C6 Ejec. Nac 19-26'!E81+'C7 Ejec. Prop 19-26'!E81</f>
        <v>12626.10110047709</v>
      </c>
      <c r="F81" s="42">
        <f>+'C6 Ejec. Nac 19-26'!F81+'C7 Ejec. Prop 19-26'!F81</f>
        <v>13557.723564551556</v>
      </c>
      <c r="G81" s="42">
        <f>+'C6 Ejec. Nac 19-26'!G81+'C7 Ejec. Prop 19-26'!G81</f>
        <v>14649.551533603908</v>
      </c>
      <c r="H81" s="42">
        <f>+'C6 Ejec. Nac 19-26'!H81+'C7 Ejec. Prop 19-26'!H81</f>
        <v>14316.341439682474</v>
      </c>
      <c r="I81" s="42">
        <f>+'C6 Ejec. Nac 19-26'!I81+'C7 Ejec. Prop 19-26'!I81</f>
        <v>13300.412919551854</v>
      </c>
      <c r="J81" s="42">
        <f>+'C6 Ejec. Nac 19-26'!J81+'C7 Ejec. Prop 19-26'!J81</f>
        <v>15770.696583964314</v>
      </c>
      <c r="K81" s="42">
        <f>+'C6 Ejec. Nac 19-26'!K81+'C7 Ejec. Prop 19-26'!K81</f>
        <v>1247.263562985079</v>
      </c>
      <c r="L81" s="42"/>
      <c r="M81" s="47">
        <f t="shared" si="26"/>
        <v>88.839633778884675</v>
      </c>
      <c r="N81" s="47">
        <f t="shared" si="27"/>
        <v>86.515730262795827</v>
      </c>
      <c r="O81" s="47">
        <f t="shared" si="28"/>
        <v>87.983947605791172</v>
      </c>
      <c r="P81" s="47">
        <f t="shared" si="29"/>
        <v>87.105215789373773</v>
      </c>
      <c r="Q81" s="47">
        <f t="shared" si="30"/>
        <v>78.753612953003056</v>
      </c>
      <c r="R81" s="47">
        <f t="shared" si="31"/>
        <v>72.124737138338716</v>
      </c>
      <c r="S81" s="47">
        <f t="shared" si="32"/>
        <v>75.531641477116167</v>
      </c>
      <c r="T81" s="47">
        <f t="shared" si="33"/>
        <v>6.8647316168498715</v>
      </c>
    </row>
    <row r="82" spans="2:20" x14ac:dyDescent="0.2">
      <c r="B82" s="40"/>
      <c r="C82" s="77" t="s">
        <v>58</v>
      </c>
      <c r="D82" s="42">
        <f>+'C6 Ejec. Nac 19-26'!D82+'C7 Ejec. Prop 19-26'!D82</f>
        <v>160350.26224613292</v>
      </c>
      <c r="E82" s="42">
        <f>+'C6 Ejec. Nac 19-26'!E82+'C7 Ejec. Prop 19-26'!E82</f>
        <v>202266.62320210552</v>
      </c>
      <c r="F82" s="42">
        <f>+'C6 Ejec. Nac 19-26'!F82+'C7 Ejec. Prop 19-26'!F82</f>
        <v>215303.29500610946</v>
      </c>
      <c r="G82" s="42">
        <f>+'C6 Ejec. Nac 19-26'!G82+'C7 Ejec. Prop 19-26'!G82</f>
        <v>168750.64441293638</v>
      </c>
      <c r="H82" s="42">
        <f>+'C6 Ejec. Nac 19-26'!H82+'C7 Ejec. Prop 19-26'!H82</f>
        <v>201450.79275389295</v>
      </c>
      <c r="I82" s="42">
        <f>+'C6 Ejec. Nac 19-26'!I82+'C7 Ejec. Prop 19-26'!I82</f>
        <v>211025.66920148302</v>
      </c>
      <c r="J82" s="42">
        <f>+'C6 Ejec. Nac 19-26'!J82+'C7 Ejec. Prop 19-26'!J82</f>
        <v>225789.89994643469</v>
      </c>
      <c r="K82" s="42">
        <f>+'C6 Ejec. Nac 19-26'!K82+'C7 Ejec. Prop 19-26'!K82</f>
        <v>31544.55011221096</v>
      </c>
      <c r="L82" s="42"/>
      <c r="M82" s="47">
        <f t="shared" si="26"/>
        <v>93.73392886446986</v>
      </c>
      <c r="N82" s="47">
        <f t="shared" si="27"/>
        <v>81.713350432628502</v>
      </c>
      <c r="O82" s="47">
        <f t="shared" si="28"/>
        <v>93.437989174544256</v>
      </c>
      <c r="P82" s="47">
        <f t="shared" si="29"/>
        <v>87.267757709062693</v>
      </c>
      <c r="Q82" s="47">
        <f t="shared" si="30"/>
        <v>90.239616921294228</v>
      </c>
      <c r="R82" s="47">
        <f t="shared" si="31"/>
        <v>89.411268701886598</v>
      </c>
      <c r="S82" s="47">
        <f t="shared" si="32"/>
        <v>92.086691515831447</v>
      </c>
      <c r="T82" s="47">
        <f t="shared" si="33"/>
        <v>11.732886086065063</v>
      </c>
    </row>
    <row r="83" spans="2:20" x14ac:dyDescent="0.2">
      <c r="B83" s="40"/>
      <c r="C83" s="77" t="s">
        <v>94</v>
      </c>
      <c r="D83" s="42">
        <f>+'C6 Ejec. Nac 19-26'!D83+'C7 Ejec. Prop 19-26'!D83</f>
        <v>2017.3200657301254</v>
      </c>
      <c r="E83" s="42">
        <f>+'C6 Ejec. Nac 19-26'!E83+'C7 Ejec. Prop 19-26'!E83</f>
        <v>1775.1359624786346</v>
      </c>
      <c r="F83" s="42">
        <f>+'C6 Ejec. Nac 19-26'!F83+'C7 Ejec. Prop 19-26'!F83</f>
        <v>1931.3635989260692</v>
      </c>
      <c r="G83" s="42">
        <f>+'C6 Ejec. Nac 19-26'!G83+'C7 Ejec. Prop 19-26'!G83</f>
        <v>1941.2903248103594</v>
      </c>
      <c r="H83" s="42">
        <f>+'C6 Ejec. Nac 19-26'!H83+'C7 Ejec. Prop 19-26'!H83</f>
        <v>1796.3761718491014</v>
      </c>
      <c r="I83" s="42">
        <f>+'C6 Ejec. Nac 19-26'!I83+'C7 Ejec. Prop 19-26'!I83</f>
        <v>1964.5185948468115</v>
      </c>
      <c r="J83" s="42">
        <f>+'C6 Ejec. Nac 19-26'!J83+'C7 Ejec. Prop 19-26'!J83</f>
        <v>1888.7895871202784</v>
      </c>
      <c r="K83" s="42">
        <f>+'C6 Ejec. Nac 19-26'!K83+'C7 Ejec. Prop 19-26'!K83</f>
        <v>130.32621673688999</v>
      </c>
      <c r="L83" s="42"/>
      <c r="M83" s="47">
        <f t="shared" si="26"/>
        <v>92.001455778051849</v>
      </c>
      <c r="N83" s="47">
        <f t="shared" si="27"/>
        <v>88.41840249088628</v>
      </c>
      <c r="O83" s="47">
        <f t="shared" si="28"/>
        <v>75.836545455941916</v>
      </c>
      <c r="P83" s="47">
        <f t="shared" si="29"/>
        <v>82.296739330906917</v>
      </c>
      <c r="Q83" s="47">
        <f t="shared" si="30"/>
        <v>84.040286240342382</v>
      </c>
      <c r="R83" s="47">
        <f t="shared" si="31"/>
        <v>86.881058478362277</v>
      </c>
      <c r="S83" s="47">
        <f t="shared" si="32"/>
        <v>90.365841278888723</v>
      </c>
      <c r="T83" s="47">
        <f t="shared" si="33"/>
        <v>6.1878388467484902</v>
      </c>
    </row>
    <row r="84" spans="2:20" x14ac:dyDescent="0.2">
      <c r="B84" s="40"/>
      <c r="C84" s="77" t="s">
        <v>95</v>
      </c>
      <c r="D84" s="42">
        <f>+'C6 Ejec. Nac 19-26'!D84+'C7 Ejec. Prop 19-26'!D84</f>
        <v>554.32211600300525</v>
      </c>
      <c r="E84" s="42">
        <f>+'C6 Ejec. Nac 19-26'!E84+'C7 Ejec. Prop 19-26'!E84</f>
        <v>615.43981423990385</v>
      </c>
      <c r="F84" s="42">
        <f>+'C6 Ejec. Nac 19-26'!F84+'C7 Ejec. Prop 19-26'!F84</f>
        <v>690.75286868937383</v>
      </c>
      <c r="G84" s="42">
        <f>+'C6 Ejec. Nac 19-26'!G84+'C7 Ejec. Prop 19-26'!G84</f>
        <v>789.34130032301596</v>
      </c>
      <c r="H84" s="42">
        <f>+'C6 Ejec. Nac 19-26'!H84+'C7 Ejec. Prop 19-26'!H84</f>
        <v>763.11840287359951</v>
      </c>
      <c r="I84" s="42">
        <f>+'C6 Ejec. Nac 19-26'!I84+'C7 Ejec. Prop 19-26'!I84</f>
        <v>690.14429001375538</v>
      </c>
      <c r="J84" s="42">
        <f>+'C6 Ejec. Nac 19-26'!J84+'C7 Ejec. Prop 19-26'!J84</f>
        <v>698.02700469256854</v>
      </c>
      <c r="K84" s="42">
        <f>+'C6 Ejec. Nac 19-26'!K84+'C7 Ejec. Prop 19-26'!K84</f>
        <v>0.13777739319999999</v>
      </c>
      <c r="L84" s="42"/>
      <c r="M84" s="47">
        <f t="shared" si="26"/>
        <v>98.577336097426937</v>
      </c>
      <c r="N84" s="47">
        <f t="shared" si="27"/>
        <v>97.675903660671395</v>
      </c>
      <c r="O84" s="47">
        <f t="shared" si="28"/>
        <v>84.571854425838055</v>
      </c>
      <c r="P84" s="47">
        <f t="shared" si="29"/>
        <v>98.687562427409404</v>
      </c>
      <c r="Q84" s="47">
        <f t="shared" si="30"/>
        <v>87.749426311540773</v>
      </c>
      <c r="R84" s="47">
        <f t="shared" si="31"/>
        <v>98.560316995935779</v>
      </c>
      <c r="S84" s="47">
        <f t="shared" si="32"/>
        <v>95.265743531590019</v>
      </c>
      <c r="T84" s="47">
        <f t="shared" si="33"/>
        <v>1.813950704752865E-2</v>
      </c>
    </row>
    <row r="85" spans="2:20" x14ac:dyDescent="0.2">
      <c r="B85" s="40"/>
      <c r="C85" s="77" t="s">
        <v>96</v>
      </c>
      <c r="D85" s="42">
        <f>+'C6 Ejec. Nac 19-26'!D85+'C7 Ejec. Prop 19-26'!D85</f>
        <v>378.31741757517568</v>
      </c>
      <c r="E85" s="42">
        <f>+'C6 Ejec. Nac 19-26'!E85+'C7 Ejec. Prop 19-26'!E85</f>
        <v>347.1786783313101</v>
      </c>
      <c r="F85" s="42">
        <f>+'C6 Ejec. Nac 19-26'!F85+'C7 Ejec. Prop 19-26'!F85</f>
        <v>603.31107631500709</v>
      </c>
      <c r="G85" s="42">
        <f>+'C6 Ejec. Nac 19-26'!G85+'C7 Ejec. Prop 19-26'!G85</f>
        <v>443.26807426459698</v>
      </c>
      <c r="H85" s="42">
        <f>+'C6 Ejec. Nac 19-26'!H85+'C7 Ejec. Prop 19-26'!H85</f>
        <v>504.64857261254156</v>
      </c>
      <c r="I85" s="42">
        <f>+'C6 Ejec. Nac 19-26'!I85+'C7 Ejec. Prop 19-26'!I85</f>
        <v>362.75628066232343</v>
      </c>
      <c r="J85" s="42">
        <f>+'C6 Ejec. Nac 19-26'!J85+'C7 Ejec. Prop 19-26'!J85</f>
        <v>304.23955616748816</v>
      </c>
      <c r="K85" s="42">
        <f>+'C6 Ejec. Nac 19-26'!K85+'C7 Ejec. Prop 19-26'!K85</f>
        <v>28.462688058000001</v>
      </c>
      <c r="L85" s="42"/>
      <c r="M85" s="47">
        <f t="shared" si="26"/>
        <v>91.64070297899022</v>
      </c>
      <c r="N85" s="47">
        <f t="shared" si="27"/>
        <v>81.846686600775215</v>
      </c>
      <c r="O85" s="47">
        <f t="shared" si="28"/>
        <v>91.077574746520867</v>
      </c>
      <c r="P85" s="47">
        <f t="shared" si="29"/>
        <v>85.361005989736995</v>
      </c>
      <c r="Q85" s="47">
        <f t="shared" si="30"/>
        <v>90.114743257367081</v>
      </c>
      <c r="R85" s="47">
        <f t="shared" si="31"/>
        <v>94.387976861208898</v>
      </c>
      <c r="S85" s="47">
        <f t="shared" si="32"/>
        <v>85.474022177930976</v>
      </c>
      <c r="T85" s="47">
        <f t="shared" si="33"/>
        <v>7.6447632013285443</v>
      </c>
    </row>
    <row r="86" spans="2:20" x14ac:dyDescent="0.2">
      <c r="B86" s="40"/>
      <c r="C86" s="77" t="s">
        <v>97</v>
      </c>
      <c r="D86" s="42">
        <f>+'C6 Ejec. Nac 19-26'!D86+'C7 Ejec. Prop 19-26'!D86</f>
        <v>730.23754815394</v>
      </c>
      <c r="E86" s="42">
        <f>+'C6 Ejec. Nac 19-26'!E86+'C7 Ejec. Prop 19-26'!E86</f>
        <v>1054.6641455092681</v>
      </c>
      <c r="F86" s="42">
        <f>+'C6 Ejec. Nac 19-26'!F86+'C7 Ejec. Prop 19-26'!F86</f>
        <v>1956.7261588286103</v>
      </c>
      <c r="G86" s="42">
        <f>+'C6 Ejec. Nac 19-26'!G86+'C7 Ejec. Prop 19-26'!G86</f>
        <v>1218.8734184847842</v>
      </c>
      <c r="H86" s="42">
        <f>+'C6 Ejec. Nac 19-26'!H86+'C7 Ejec. Prop 19-26'!H86</f>
        <v>1093.6296256443231</v>
      </c>
      <c r="I86" s="42">
        <f>+'C6 Ejec. Nac 19-26'!I86+'C7 Ejec. Prop 19-26'!I86</f>
        <v>1202.6029880331005</v>
      </c>
      <c r="J86" s="42">
        <f>+'C6 Ejec. Nac 19-26'!J86+'C7 Ejec. Prop 19-26'!J86</f>
        <v>1234.8642141910923</v>
      </c>
      <c r="K86" s="42">
        <f>+'C6 Ejec. Nac 19-26'!K86+'C7 Ejec. Prop 19-26'!K86</f>
        <v>93.397948836519987</v>
      </c>
      <c r="L86" s="42"/>
      <c r="M86" s="47">
        <f t="shared" si="26"/>
        <v>93.580767059804458</v>
      </c>
      <c r="N86" s="47">
        <f t="shared" si="27"/>
        <v>97.962436908709336</v>
      </c>
      <c r="O86" s="47">
        <f t="shared" si="28"/>
        <v>91.66394316455208</v>
      </c>
      <c r="P86" s="47">
        <f t="shared" si="29"/>
        <v>92.181185517385586</v>
      </c>
      <c r="Q86" s="47">
        <f t="shared" si="30"/>
        <v>84.883611179010771</v>
      </c>
      <c r="R86" s="47">
        <f t="shared" si="31"/>
        <v>87.106184872277311</v>
      </c>
      <c r="S86" s="47">
        <f t="shared" si="32"/>
        <v>90.954955725209459</v>
      </c>
      <c r="T86" s="47">
        <f t="shared" si="33"/>
        <v>7.0249094194426265</v>
      </c>
    </row>
    <row r="87" spans="2:20" x14ac:dyDescent="0.2">
      <c r="B87" s="34" t="s">
        <v>41</v>
      </c>
      <c r="C87" s="76" t="s">
        <v>42</v>
      </c>
      <c r="D87" s="41">
        <f t="shared" ref="D87:K87" si="34">+D88+D92</f>
        <v>78008.99438387595</v>
      </c>
      <c r="E87" s="41">
        <f t="shared" si="34"/>
        <v>67426.953752365633</v>
      </c>
      <c r="F87" s="41">
        <f t="shared" si="34"/>
        <v>76970.788881184766</v>
      </c>
      <c r="G87" s="41">
        <f t="shared" si="34"/>
        <v>85731.559382675143</v>
      </c>
      <c r="H87" s="41">
        <f t="shared" si="34"/>
        <v>85652.49810346475</v>
      </c>
      <c r="I87" s="41">
        <f t="shared" si="34"/>
        <v>89750.894399134704</v>
      </c>
      <c r="J87" s="41">
        <f t="shared" si="34"/>
        <v>107754.12460500812</v>
      </c>
      <c r="K87" s="41">
        <f t="shared" si="34"/>
        <v>21878.51677078622</v>
      </c>
      <c r="L87" s="71"/>
      <c r="M87" s="46">
        <f t="shared" si="26"/>
        <v>99.26993773683499</v>
      </c>
      <c r="N87" s="46">
        <f t="shared" si="27"/>
        <v>84.455094271737067</v>
      </c>
      <c r="O87" s="46">
        <f t="shared" si="28"/>
        <v>77.415807655918044</v>
      </c>
      <c r="P87" s="46">
        <f t="shared" si="29"/>
        <v>95.982006470083732</v>
      </c>
      <c r="Q87" s="46">
        <f t="shared" si="30"/>
        <v>95.670004226196539</v>
      </c>
      <c r="R87" s="46">
        <f t="shared" si="31"/>
        <v>87.664908838561459</v>
      </c>
      <c r="S87" s="46">
        <f t="shared" si="32"/>
        <v>92.765888849015838</v>
      </c>
      <c r="T87" s="46">
        <f t="shared" si="33"/>
        <v>21.780567713329681</v>
      </c>
    </row>
    <row r="88" spans="2:20" x14ac:dyDescent="0.2">
      <c r="B88" s="34"/>
      <c r="C88" s="76" t="s">
        <v>43</v>
      </c>
      <c r="D88" s="41">
        <f t="shared" ref="D88:K88" si="35">+SUM(D89:D91)</f>
        <v>21330.542384120141</v>
      </c>
      <c r="E88" s="41">
        <f t="shared" si="35"/>
        <v>22111.229611105729</v>
      </c>
      <c r="F88" s="41">
        <f t="shared" si="35"/>
        <v>28631.570541499539</v>
      </c>
      <c r="G88" s="41">
        <f t="shared" si="35"/>
        <v>18910.155339054883</v>
      </c>
      <c r="H88" s="41">
        <f t="shared" si="35"/>
        <v>28435.617232994871</v>
      </c>
      <c r="I88" s="41">
        <f t="shared" si="35"/>
        <v>34628.981296035017</v>
      </c>
      <c r="J88" s="41">
        <f t="shared" si="35"/>
        <v>49389.934834957472</v>
      </c>
      <c r="K88" s="41">
        <f t="shared" si="35"/>
        <v>6740.1442399464904</v>
      </c>
      <c r="L88" s="71"/>
      <c r="M88" s="46">
        <f t="shared" si="26"/>
        <v>97.913486747181338</v>
      </c>
      <c r="N88" s="46">
        <f t="shared" si="27"/>
        <v>99.032710760723859</v>
      </c>
      <c r="O88" s="46">
        <f t="shared" si="28"/>
        <v>80.563045668736279</v>
      </c>
      <c r="P88" s="46">
        <f t="shared" si="29"/>
        <v>90.38419877922459</v>
      </c>
      <c r="Q88" s="46">
        <f t="shared" si="30"/>
        <v>93.925312356068375</v>
      </c>
      <c r="R88" s="46">
        <f t="shared" si="31"/>
        <v>85.72526681590476</v>
      </c>
      <c r="S88" s="46">
        <f t="shared" si="32"/>
        <v>88.965244172566969</v>
      </c>
      <c r="T88" s="46">
        <f t="shared" si="33"/>
        <v>17.54969625254434</v>
      </c>
    </row>
    <row r="89" spans="2:20" x14ac:dyDescent="0.2">
      <c r="B89" s="32"/>
      <c r="C89" s="77" t="s">
        <v>98</v>
      </c>
      <c r="D89" s="42">
        <f>+'C6 Ejec. Nac 19-26'!D89+'C7 Ejec. Prop 19-26'!D89</f>
        <v>11969.361369434897</v>
      </c>
      <c r="E89" s="42">
        <f>+'C6 Ejec. Nac 19-26'!E89+'C7 Ejec. Prop 19-26'!E89</f>
        <v>9513.9155091409302</v>
      </c>
      <c r="F89" s="42">
        <f>+'C6 Ejec. Nac 19-26'!F89+'C7 Ejec. Prop 19-26'!F89</f>
        <v>15293.779898475093</v>
      </c>
      <c r="G89" s="42">
        <f>+'C6 Ejec. Nac 19-26'!G89+'C7 Ejec. Prop 19-26'!G89</f>
        <v>5230.9148596689784</v>
      </c>
      <c r="H89" s="42">
        <f>+'C6 Ejec. Nac 19-26'!H89+'C7 Ejec. Prop 19-26'!H89</f>
        <v>14336.45455881524</v>
      </c>
      <c r="I89" s="42">
        <f>+'C6 Ejec. Nac 19-26'!I89+'C7 Ejec. Prop 19-26'!I89</f>
        <v>18401.720861050555</v>
      </c>
      <c r="J89" s="42">
        <f>+'C6 Ejec. Nac 19-26'!J89+'C7 Ejec. Prop 19-26'!J89</f>
        <v>32959.185295434567</v>
      </c>
      <c r="K89" s="42">
        <f>+'C6 Ejec. Nac 19-26'!K89+'C7 Ejec. Prop 19-26'!K89</f>
        <v>3993.4786264260401</v>
      </c>
      <c r="L89" s="42"/>
      <c r="M89" s="47">
        <f t="shared" si="26"/>
        <v>99.388399633902537</v>
      </c>
      <c r="N89" s="47">
        <f t="shared" si="27"/>
        <v>98.433201721859902</v>
      </c>
      <c r="O89" s="47">
        <f t="shared" si="28"/>
        <v>75.917390481882109</v>
      </c>
      <c r="P89" s="47">
        <f t="shared" si="29"/>
        <v>96.760553481122784</v>
      </c>
      <c r="Q89" s="47">
        <f t="shared" si="30"/>
        <v>95.285042047852386</v>
      </c>
      <c r="R89" s="47">
        <f t="shared" si="31"/>
        <v>87.000273850086685</v>
      </c>
      <c r="S89" s="47">
        <f t="shared" si="32"/>
        <v>92.714856987671084</v>
      </c>
      <c r="T89" s="47">
        <f t="shared" si="33"/>
        <v>23.119714135490906</v>
      </c>
    </row>
    <row r="90" spans="2:20" x14ac:dyDescent="0.2">
      <c r="B90" s="32"/>
      <c r="C90" s="77" t="s">
        <v>61</v>
      </c>
      <c r="D90" s="42">
        <f>+'C6 Ejec. Nac 19-26'!D90+'C7 Ejec. Prop 19-26'!D90</f>
        <v>9245.6489166838819</v>
      </c>
      <c r="E90" s="42">
        <f>+'C6 Ejec. Nac 19-26'!E90+'C7 Ejec. Prop 19-26'!E90</f>
        <v>12236.953520934341</v>
      </c>
      <c r="F90" s="42">
        <f>+'C6 Ejec. Nac 19-26'!F90+'C7 Ejec. Prop 19-26'!F90</f>
        <v>13157.671789020951</v>
      </c>
      <c r="G90" s="42">
        <f>+'C6 Ejec. Nac 19-26'!G90+'C7 Ejec. Prop 19-26'!G90</f>
        <v>13559.981833667767</v>
      </c>
      <c r="H90" s="42">
        <f>+'C6 Ejec. Nac 19-26'!H90+'C7 Ejec. Prop 19-26'!H90</f>
        <v>14007.28560343949</v>
      </c>
      <c r="I90" s="42">
        <f>+'C6 Ejec. Nac 19-26'!I90+'C7 Ejec. Prop 19-26'!I90</f>
        <v>16121.96772301097</v>
      </c>
      <c r="J90" s="42">
        <f>+'C6 Ejec. Nac 19-26'!J90+'C7 Ejec. Prop 19-26'!J90</f>
        <v>16207.20172917056</v>
      </c>
      <c r="K90" s="42">
        <f>+'C6 Ejec. Nac 19-26'!K90+'C7 Ejec. Prop 19-26'!K90</f>
        <v>2711.1642269201202</v>
      </c>
      <c r="L90" s="42"/>
      <c r="M90" s="47">
        <f t="shared" si="26"/>
        <v>96.817670243193447</v>
      </c>
      <c r="N90" s="47">
        <f t="shared" si="27"/>
        <v>99.773939366644953</v>
      </c>
      <c r="O90" s="47">
        <f t="shared" si="28"/>
        <v>86.762291864065887</v>
      </c>
      <c r="P90" s="47">
        <f t="shared" si="29"/>
        <v>88.430494290039277</v>
      </c>
      <c r="Q90" s="47">
        <f t="shared" si="30"/>
        <v>93.025474680170873</v>
      </c>
      <c r="R90" s="47">
        <f t="shared" si="31"/>
        <v>84.873182322204244</v>
      </c>
      <c r="S90" s="47">
        <f t="shared" si="32"/>
        <v>83.663837569783212</v>
      </c>
      <c r="T90" s="47">
        <f t="shared" si="33"/>
        <v>13.564595804439902</v>
      </c>
    </row>
    <row r="91" spans="2:20" x14ac:dyDescent="0.2">
      <c r="B91" s="32"/>
      <c r="C91" s="77" t="s">
        <v>103</v>
      </c>
      <c r="D91" s="42">
        <f>+'C6 Ejec. Nac 19-26'!D91+'C7 Ejec. Prop 19-26'!D91</f>
        <v>115.53209800136322</v>
      </c>
      <c r="E91" s="42">
        <f>+'C6 Ejec. Nac 19-26'!E91+'C7 Ejec. Prop 19-26'!E91</f>
        <v>360.36058103045872</v>
      </c>
      <c r="F91" s="42">
        <f>+'C6 Ejec. Nac 19-26'!F91+'C7 Ejec. Prop 19-26'!F91</f>
        <v>180.1188540034928</v>
      </c>
      <c r="G91" s="42">
        <f>+'C6 Ejec. Nac 19-26'!G91+'C7 Ejec. Prop 19-26'!G91</f>
        <v>119.25864571813692</v>
      </c>
      <c r="H91" s="42">
        <f>+'C6 Ejec. Nac 19-26'!H91+'C7 Ejec. Prop 19-26'!H91</f>
        <v>91.877070740140766</v>
      </c>
      <c r="I91" s="42">
        <f>+'C6 Ejec. Nac 19-26'!I91+'C7 Ejec. Prop 19-26'!I91</f>
        <v>105.29271197348909</v>
      </c>
      <c r="J91" s="42">
        <f>+'C6 Ejec. Nac 19-26'!J91+'C7 Ejec. Prop 19-26'!J91</f>
        <v>223.54781035234666</v>
      </c>
      <c r="K91" s="42">
        <f>+'C6 Ejec. Nac 19-26'!K91+'C7 Ejec. Prop 19-26'!K91</f>
        <v>35.501386600330001</v>
      </c>
      <c r="L91" s="42"/>
      <c r="M91" s="47">
        <f t="shared" si="26"/>
        <v>60.008037986718321</v>
      </c>
      <c r="N91" s="47">
        <f t="shared" si="27"/>
        <v>90.732763379105549</v>
      </c>
      <c r="O91" s="47">
        <f t="shared" si="28"/>
        <v>78.707196030640446</v>
      </c>
      <c r="P91" s="47">
        <f t="shared" si="29"/>
        <v>65.572336683188809</v>
      </c>
      <c r="Q91" s="47">
        <f t="shared" si="30"/>
        <v>53.610783607904445</v>
      </c>
      <c r="R91" s="47">
        <f t="shared" si="31"/>
        <v>42.353433910073853</v>
      </c>
      <c r="S91" s="47">
        <f t="shared" si="32"/>
        <v>37.558633518332336</v>
      </c>
      <c r="T91" s="47">
        <f t="shared" si="33"/>
        <v>3.0980209073722351</v>
      </c>
    </row>
    <row r="92" spans="2:20" x14ac:dyDescent="0.2">
      <c r="B92" s="34"/>
      <c r="C92" s="76" t="s">
        <v>44</v>
      </c>
      <c r="D92" s="41">
        <f t="shared" ref="D92:K92" si="36">+SUM(D93:D96)</f>
        <v>56678.451999755816</v>
      </c>
      <c r="E92" s="41">
        <f t="shared" si="36"/>
        <v>45315.724141259911</v>
      </c>
      <c r="F92" s="41">
        <f t="shared" si="36"/>
        <v>48339.21833968522</v>
      </c>
      <c r="G92" s="41">
        <f t="shared" si="36"/>
        <v>66821.404043620263</v>
      </c>
      <c r="H92" s="41">
        <f t="shared" si="36"/>
        <v>57216.880870469875</v>
      </c>
      <c r="I92" s="41">
        <f t="shared" si="36"/>
        <v>55121.913103099694</v>
      </c>
      <c r="J92" s="41">
        <f t="shared" si="36"/>
        <v>58364.189770050652</v>
      </c>
      <c r="K92" s="41">
        <f t="shared" si="36"/>
        <v>15138.37253083973</v>
      </c>
      <c r="L92" s="71"/>
      <c r="M92" s="46">
        <f t="shared" si="26"/>
        <v>99.790213338245536</v>
      </c>
      <c r="N92" s="46">
        <f t="shared" si="27"/>
        <v>78.795646615185078</v>
      </c>
      <c r="O92" s="46">
        <f t="shared" si="28"/>
        <v>75.665016316369815</v>
      </c>
      <c r="P92" s="46">
        <f t="shared" si="29"/>
        <v>97.694283833117098</v>
      </c>
      <c r="Q92" s="46">
        <f t="shared" si="30"/>
        <v>96.561415647439816</v>
      </c>
      <c r="R92" s="46">
        <f t="shared" si="31"/>
        <v>88.928979883116767</v>
      </c>
      <c r="S92" s="46">
        <f t="shared" si="32"/>
        <v>96.245322159843852</v>
      </c>
      <c r="T92" s="46">
        <f t="shared" si="33"/>
        <v>24.399546519900184</v>
      </c>
    </row>
    <row r="93" spans="2:20" x14ac:dyDescent="0.2">
      <c r="B93" s="32"/>
      <c r="C93" s="77" t="s">
        <v>98</v>
      </c>
      <c r="D93" s="42">
        <f>+'C6 Ejec. Nac 19-26'!D93+'C7 Ejec. Prop 19-26'!D93</f>
        <v>27105.178076219909</v>
      </c>
      <c r="E93" s="42">
        <f>+'C6 Ejec. Nac 19-26'!E93+'C7 Ejec. Prop 19-26'!E93</f>
        <v>12839.383012854911</v>
      </c>
      <c r="F93" s="42">
        <f>+'C6 Ejec. Nac 19-26'!F93+'C7 Ejec. Prop 19-26'!F93</f>
        <v>14602.0660606602</v>
      </c>
      <c r="G93" s="42">
        <f>+'C6 Ejec. Nac 19-26'!G93+'C7 Ejec. Prop 19-26'!G93</f>
        <v>31732.995573573709</v>
      </c>
      <c r="H93" s="42">
        <f>+'C6 Ejec. Nac 19-26'!H93+'C7 Ejec. Prop 19-26'!H93</f>
        <v>19447.272249106743</v>
      </c>
      <c r="I93" s="42">
        <f>+'C6 Ejec. Nac 19-26'!I93+'C7 Ejec. Prop 19-26'!I93</f>
        <v>9371.2266273207224</v>
      </c>
      <c r="J93" s="42">
        <f>+'C6 Ejec. Nac 19-26'!J93+'C7 Ejec. Prop 19-26'!J93</f>
        <v>10571.042004486169</v>
      </c>
      <c r="K93" s="42">
        <f>+'C6 Ejec. Nac 19-26'!K93+'C7 Ejec. Prop 19-26'!K93</f>
        <v>202.74406272100001</v>
      </c>
      <c r="L93" s="42"/>
      <c r="M93" s="47">
        <f t="shared" si="26"/>
        <v>99.855475481978075</v>
      </c>
      <c r="N93" s="47">
        <f t="shared" si="27"/>
        <v>52.862386155422413</v>
      </c>
      <c r="O93" s="47">
        <f t="shared" si="28"/>
        <v>51.647195918409793</v>
      </c>
      <c r="P93" s="47">
        <f t="shared" si="29"/>
        <v>95.963626913820775</v>
      </c>
      <c r="Q93" s="47">
        <f t="shared" si="30"/>
        <v>97.46958516518967</v>
      </c>
      <c r="R93" s="47">
        <f t="shared" si="31"/>
        <v>62.087354761386273</v>
      </c>
      <c r="S93" s="47">
        <f t="shared" si="32"/>
        <v>98.681925705495004</v>
      </c>
      <c r="T93" s="47">
        <f t="shared" si="33"/>
        <v>1.9602293759818323</v>
      </c>
    </row>
    <row r="94" spans="2:20" x14ac:dyDescent="0.2">
      <c r="B94" s="32"/>
      <c r="C94" s="77" t="s">
        <v>61</v>
      </c>
      <c r="D94" s="42">
        <f>+'C6 Ejec. Nac 19-26'!D94+'C7 Ejec. Prop 19-26'!D94</f>
        <v>28646.513283425156</v>
      </c>
      <c r="E94" s="42">
        <f>+'C6 Ejec. Nac 19-26'!E94+'C7 Ejec. Prop 19-26'!E94</f>
        <v>31161.47900174723</v>
      </c>
      <c r="F94" s="42">
        <f>+'C6 Ejec. Nac 19-26'!F94+'C7 Ejec. Prop 19-26'!F94</f>
        <v>32403.384428799167</v>
      </c>
      <c r="G94" s="42">
        <f>+'C6 Ejec. Nac 19-26'!G94+'C7 Ejec. Prop 19-26'!G94</f>
        <v>33368.997783617422</v>
      </c>
      <c r="H94" s="42">
        <f>+'C6 Ejec. Nac 19-26'!H94+'C7 Ejec. Prop 19-26'!H94</f>
        <v>33036.404328149787</v>
      </c>
      <c r="I94" s="42">
        <f>+'C6 Ejec. Nac 19-26'!I94+'C7 Ejec. Prop 19-26'!I94</f>
        <v>44111.948789137437</v>
      </c>
      <c r="J94" s="42">
        <f>+'C6 Ejec. Nac 19-26'!J94+'C7 Ejec. Prop 19-26'!J94</f>
        <v>46260.541115373802</v>
      </c>
      <c r="K94" s="42">
        <f>+'C6 Ejec. Nac 19-26'!K94+'C7 Ejec. Prop 19-26'!K94</f>
        <v>14935.4512007702</v>
      </c>
      <c r="L94" s="42"/>
      <c r="M94" s="47">
        <f t="shared" si="26"/>
        <v>99.946195286388942</v>
      </c>
      <c r="N94" s="47">
        <f t="shared" si="27"/>
        <v>97.874521406723218</v>
      </c>
      <c r="O94" s="47">
        <f t="shared" si="28"/>
        <v>95.211150041984567</v>
      </c>
      <c r="P94" s="47">
        <f t="shared" si="29"/>
        <v>99.679241197332871</v>
      </c>
      <c r="Q94" s="47">
        <f t="shared" si="30"/>
        <v>96.068196647084832</v>
      </c>
      <c r="R94" s="47">
        <f t="shared" si="31"/>
        <v>97.975595653713611</v>
      </c>
      <c r="S94" s="47">
        <f t="shared" si="32"/>
        <v>97.068819139431966</v>
      </c>
      <c r="T94" s="47">
        <f t="shared" si="33"/>
        <v>30.619530175278026</v>
      </c>
    </row>
    <row r="95" spans="2:20" x14ac:dyDescent="0.2">
      <c r="B95" s="32"/>
      <c r="C95" s="77" t="s">
        <v>103</v>
      </c>
      <c r="D95" s="42">
        <f>+'C6 Ejec. Nac 19-26'!D95+'C7 Ejec. Prop 19-26'!D95</f>
        <v>185.58855814960285</v>
      </c>
      <c r="E95" s="42">
        <f>+'C6 Ejec. Nac 19-26'!E95+'C7 Ejec. Prop 19-26'!E95</f>
        <v>163.76652424921369</v>
      </c>
      <c r="F95" s="42">
        <f>+'C6 Ejec. Nac 19-26'!F95+'C7 Ejec. Prop 19-26'!F95</f>
        <v>157.40741246147419</v>
      </c>
      <c r="G95" s="42">
        <f>+'C6 Ejec. Nac 19-26'!G95+'C7 Ejec. Prop 19-26'!G95</f>
        <v>159.62961116736241</v>
      </c>
      <c r="H95" s="42">
        <f>+'C6 Ejec. Nac 19-26'!H95+'C7 Ejec. Prop 19-26'!H95</f>
        <v>165.31491288912645</v>
      </c>
      <c r="I95" s="42">
        <f>+'C6 Ejec. Nac 19-26'!I95+'C7 Ejec. Prop 19-26'!I95</f>
        <v>91.630457864185004</v>
      </c>
      <c r="J95" s="42">
        <f>+'C6 Ejec. Nac 19-26'!J95+'C7 Ejec. Prop 19-26'!J95</f>
        <v>102.04752550871267</v>
      </c>
      <c r="K95" s="42">
        <f>+'C6 Ejec. Nac 19-26'!K95+'C7 Ejec. Prop 19-26'!K95</f>
        <v>0.17726734853000001</v>
      </c>
      <c r="L95" s="42"/>
      <c r="M95" s="47">
        <f t="shared" si="26"/>
        <v>75.776489297530475</v>
      </c>
      <c r="N95" s="47">
        <f t="shared" si="27"/>
        <v>70.335114702012561</v>
      </c>
      <c r="O95" s="47">
        <f t="shared" si="28"/>
        <v>39.00451729157173</v>
      </c>
      <c r="P95" s="47">
        <f t="shared" si="29"/>
        <v>54.197124451600907</v>
      </c>
      <c r="Q95" s="47">
        <f t="shared" si="30"/>
        <v>49.103939795759707</v>
      </c>
      <c r="R95" s="47">
        <f t="shared" si="31"/>
        <v>28.628382392552282</v>
      </c>
      <c r="S95" s="47">
        <f t="shared" si="32"/>
        <v>33.556239829056395</v>
      </c>
      <c r="T95" s="47">
        <f t="shared" si="33"/>
        <v>6.8727274790339216E-2</v>
      </c>
    </row>
    <row r="96" spans="2:20" x14ac:dyDescent="0.2">
      <c r="B96" s="32"/>
      <c r="C96" s="77" t="s">
        <v>104</v>
      </c>
      <c r="D96" s="42">
        <f>+'C6 Ejec. Nac 19-26'!D96+'C7 Ejec. Prop 19-26'!D96</f>
        <v>741.17208196114939</v>
      </c>
      <c r="E96" s="42">
        <f>+'C6 Ejec. Nac 19-26'!E96+'C7 Ejec. Prop 19-26'!E96</f>
        <v>1151.0956024085528</v>
      </c>
      <c r="F96" s="42">
        <f>+'C6 Ejec. Nac 19-26'!F96+'C7 Ejec. Prop 19-26'!F96</f>
        <v>1176.3604377643769</v>
      </c>
      <c r="G96" s="42">
        <f>+'C6 Ejec. Nac 19-26'!G96+'C7 Ejec. Prop 19-26'!G96</f>
        <v>1559.7810752617613</v>
      </c>
      <c r="H96" s="42">
        <f>+'C6 Ejec. Nac 19-26'!H96+'C7 Ejec. Prop 19-26'!H96</f>
        <v>4567.8893803242281</v>
      </c>
      <c r="I96" s="42">
        <f>+'C6 Ejec. Nac 19-26'!I96+'C7 Ejec. Prop 19-26'!I96</f>
        <v>1547.1072287773486</v>
      </c>
      <c r="J96" s="42">
        <f>+'C6 Ejec. Nac 19-26'!J96+'C7 Ejec. Prop 19-26'!J96</f>
        <v>1430.5591246819656</v>
      </c>
      <c r="K96" s="42">
        <f>+'C6 Ejec. Nac 19-26'!K96+'C7 Ejec. Prop 19-26'!K96</f>
        <v>0</v>
      </c>
      <c r="L96" s="42"/>
      <c r="M96" s="47">
        <f t="shared" si="26"/>
        <v>99.306648069156793</v>
      </c>
      <c r="N96" s="47">
        <f t="shared" si="27"/>
        <v>100</v>
      </c>
      <c r="O96" s="47">
        <f t="shared" si="28"/>
        <v>100</v>
      </c>
      <c r="P96" s="47">
        <f t="shared" si="29"/>
        <v>99.996556848400402</v>
      </c>
      <c r="Q96" s="47">
        <f t="shared" si="30"/>
        <v>99.798910385462349</v>
      </c>
      <c r="R96" s="47">
        <f t="shared" si="31"/>
        <v>100</v>
      </c>
      <c r="S96" s="47">
        <f t="shared" si="32"/>
        <v>72.718630119689493</v>
      </c>
      <c r="T96" s="47">
        <f t="shared" si="33"/>
        <v>0</v>
      </c>
    </row>
    <row r="97" spans="2:20" x14ac:dyDescent="0.2">
      <c r="B97" s="34" t="s">
        <v>45</v>
      </c>
      <c r="C97" s="76" t="s">
        <v>46</v>
      </c>
      <c r="D97" s="41">
        <f>+'C6 Ejec. Nac 19-26'!D97+'C7 Ejec. Prop 19-26'!D97</f>
        <v>48831.929246690866</v>
      </c>
      <c r="E97" s="41">
        <f>+'C6 Ejec. Nac 19-26'!E97+'C7 Ejec. Prop 19-26'!E97</f>
        <v>52611.062305623556</v>
      </c>
      <c r="F97" s="41">
        <f>+'C6 Ejec. Nac 19-26'!F97+'C7 Ejec. Prop 19-26'!F97</f>
        <v>64668.34500739925</v>
      </c>
      <c r="G97" s="41">
        <f>+'C6 Ejec. Nac 19-26'!G97+'C7 Ejec. Prop 19-26'!G97</f>
        <v>68411.684113736323</v>
      </c>
      <c r="H97" s="41">
        <f>+'C6 Ejec. Nac 19-26'!H97+'C7 Ejec. Prop 19-26'!H97</f>
        <v>67741.106605427762</v>
      </c>
      <c r="I97" s="41">
        <f>+'C6 Ejec. Nac 19-26'!I97+'C7 Ejec. Prop 19-26'!I97</f>
        <v>55954.980241768761</v>
      </c>
      <c r="J97" s="41">
        <f>+'C6 Ejec. Nac 19-26'!J97+'C7 Ejec. Prop 19-26'!J97</f>
        <v>51752.295871061862</v>
      </c>
      <c r="K97" s="41">
        <f>+'C6 Ejec. Nac 19-26'!K97+'C7 Ejec. Prop 19-26'!K97</f>
        <v>5107.1807020915994</v>
      </c>
      <c r="L97" s="71"/>
      <c r="M97" s="46">
        <f t="shared" si="26"/>
        <v>77.211463425633568</v>
      </c>
      <c r="N97" s="46">
        <f t="shared" si="27"/>
        <v>80.728665056895039</v>
      </c>
      <c r="O97" s="46">
        <f t="shared" si="28"/>
        <v>76.995510073232396</v>
      </c>
      <c r="P97" s="46">
        <f t="shared" si="29"/>
        <v>78.770144821133812</v>
      </c>
      <c r="Q97" s="46">
        <f t="shared" si="30"/>
        <v>71.268748001502971</v>
      </c>
      <c r="R97" s="46">
        <f t="shared" si="31"/>
        <v>56.96513648634086</v>
      </c>
      <c r="S97" s="46">
        <f t="shared" si="32"/>
        <v>64.221817950914442</v>
      </c>
      <c r="T97" s="46">
        <f t="shared" si="33"/>
        <v>5.7773051827540796</v>
      </c>
    </row>
    <row r="98" spans="2:20" x14ac:dyDescent="0.2">
      <c r="B98" s="36" t="s">
        <v>47</v>
      </c>
      <c r="C98" s="78" t="s">
        <v>48</v>
      </c>
      <c r="D98" s="43">
        <f t="shared" ref="D98:K98" si="37">+D79+D97</f>
        <v>272385.87648418162</v>
      </c>
      <c r="E98" s="43">
        <f t="shared" si="37"/>
        <v>318760.0730099252</v>
      </c>
      <c r="F98" s="43">
        <f t="shared" si="37"/>
        <v>346411.63380472088</v>
      </c>
      <c r="G98" s="43">
        <f t="shared" si="37"/>
        <v>302861.83105258166</v>
      </c>
      <c r="H98" s="43">
        <f t="shared" si="37"/>
        <v>337096.58789998764</v>
      </c>
      <c r="I98" s="43">
        <f t="shared" si="37"/>
        <v>338202.97550449881</v>
      </c>
      <c r="J98" s="43">
        <f t="shared" si="37"/>
        <v>354821.04958083492</v>
      </c>
      <c r="K98" s="43">
        <f t="shared" si="37"/>
        <v>46344.483470945604</v>
      </c>
      <c r="L98" s="71"/>
      <c r="M98" s="48">
        <f t="shared" si="26"/>
        <v>90.700010536518477</v>
      </c>
      <c r="N98" s="48">
        <f t="shared" si="27"/>
        <v>83.745163461635585</v>
      </c>
      <c r="O98" s="48">
        <f t="shared" si="28"/>
        <v>89.850110681533096</v>
      </c>
      <c r="P98" s="48">
        <f t="shared" si="29"/>
        <v>86.477078757108941</v>
      </c>
      <c r="Q98" s="48">
        <f t="shared" si="30"/>
        <v>85.751027125211692</v>
      </c>
      <c r="R98" s="48">
        <f t="shared" si="31"/>
        <v>81.928021851708792</v>
      </c>
      <c r="S98" s="48">
        <f t="shared" si="32"/>
        <v>86.452370237832227</v>
      </c>
      <c r="T98" s="48">
        <f t="shared" si="33"/>
        <v>10.377948829576249</v>
      </c>
    </row>
    <row r="99" spans="2:20" x14ac:dyDescent="0.2">
      <c r="B99" s="38" t="s">
        <v>49</v>
      </c>
      <c r="C99" s="79" t="s">
        <v>63</v>
      </c>
      <c r="D99" s="44">
        <f t="shared" ref="D99:K99" si="38">+D79+D87+D97</f>
        <v>350394.87086805754</v>
      </c>
      <c r="E99" s="44">
        <f t="shared" si="38"/>
        <v>386187.02676229086</v>
      </c>
      <c r="F99" s="44">
        <f t="shared" si="38"/>
        <v>423382.42268590565</v>
      </c>
      <c r="G99" s="44">
        <f t="shared" si="38"/>
        <v>388593.39043525682</v>
      </c>
      <c r="H99" s="44">
        <f t="shared" si="38"/>
        <v>422749.08600345236</v>
      </c>
      <c r="I99" s="44">
        <f t="shared" si="38"/>
        <v>427953.86990363349</v>
      </c>
      <c r="J99" s="44">
        <f t="shared" si="38"/>
        <v>462575.17418584303</v>
      </c>
      <c r="K99" s="44">
        <f t="shared" si="38"/>
        <v>68223.000241731817</v>
      </c>
      <c r="L99" s="71"/>
      <c r="M99" s="45">
        <f t="shared" si="26"/>
        <v>92.477397213157687</v>
      </c>
      <c r="N99" s="45">
        <f t="shared" si="27"/>
        <v>83.86825370565478</v>
      </c>
      <c r="O99" s="45">
        <f t="shared" si="28"/>
        <v>87.300911957732936</v>
      </c>
      <c r="P99" s="45">
        <f t="shared" si="29"/>
        <v>88.408596963147332</v>
      </c>
      <c r="Q99" s="45">
        <f t="shared" si="30"/>
        <v>87.590984918753264</v>
      </c>
      <c r="R99" s="45">
        <f t="shared" si="31"/>
        <v>83.06807868473868</v>
      </c>
      <c r="S99" s="45">
        <f t="shared" si="32"/>
        <v>87.845052497805526</v>
      </c>
      <c r="T99" s="45">
        <f t="shared" si="33"/>
        <v>12.471833627758187</v>
      </c>
    </row>
    <row r="100" spans="2:20" s="5" customFormat="1" x14ac:dyDescent="0.2">
      <c r="B100" s="72" t="str">
        <f>+'C1 Aprop Resumen 2000-2026'!B20</f>
        <v>* Información con corte a 28 de febrero</v>
      </c>
      <c r="C100" s="68"/>
      <c r="D100" s="69"/>
      <c r="E100" s="69"/>
      <c r="F100" s="69"/>
      <c r="G100" s="69"/>
      <c r="H100" s="69"/>
      <c r="I100" s="69"/>
      <c r="M100" s="111"/>
      <c r="N100" s="111"/>
      <c r="O100" s="111"/>
      <c r="P100" s="111"/>
      <c r="Q100" s="111"/>
      <c r="R100" s="111"/>
      <c r="S100" s="111"/>
    </row>
    <row r="101" spans="2:20" x14ac:dyDescent="0.2">
      <c r="B101" s="1" t="s">
        <v>52</v>
      </c>
    </row>
    <row r="102" spans="2:20" x14ac:dyDescent="0.2">
      <c r="H102" s="8"/>
    </row>
    <row r="103" spans="2:20" x14ac:dyDescent="0.2">
      <c r="H103" s="8"/>
    </row>
    <row r="107" spans="2:20" ht="18" customHeight="1" x14ac:dyDescent="0.2">
      <c r="C107" s="131"/>
      <c r="D107" s="160" t="s">
        <v>107</v>
      </c>
      <c r="E107" s="158"/>
      <c r="F107" s="158"/>
      <c r="G107" s="158"/>
      <c r="H107" s="158"/>
      <c r="I107" s="158"/>
      <c r="J107" s="158"/>
      <c r="K107" s="169"/>
      <c r="L107" s="169"/>
      <c r="M107" s="170"/>
      <c r="N107" s="170"/>
      <c r="O107" s="170"/>
      <c r="P107" s="170"/>
      <c r="Q107" s="170"/>
      <c r="R107" s="170"/>
      <c r="S107" s="170"/>
      <c r="T107" s="158"/>
    </row>
    <row r="108" spans="2:20" x14ac:dyDescent="0.2">
      <c r="B108" s="2"/>
      <c r="C108" s="2"/>
      <c r="D108" s="2"/>
      <c r="E108" s="2"/>
      <c r="F108" s="2"/>
      <c r="G108" s="2"/>
      <c r="H108" s="2"/>
      <c r="I108" s="2"/>
      <c r="M108" s="3"/>
      <c r="N108" s="3"/>
      <c r="O108" s="3"/>
      <c r="P108" s="3"/>
      <c r="Q108" s="3"/>
      <c r="R108" s="3"/>
      <c r="S108" s="3"/>
    </row>
    <row r="109" spans="2:20" ht="12" customHeight="1" thickBot="1" x14ac:dyDescent="0.3">
      <c r="B109" s="19"/>
      <c r="C109" s="92"/>
      <c r="D109" s="168"/>
      <c r="E109" s="154"/>
      <c r="F109" s="154"/>
      <c r="G109" s="154"/>
      <c r="H109" s="154"/>
      <c r="I109" s="154"/>
      <c r="J109" s="154"/>
      <c r="K109" s="154"/>
      <c r="M109" s="168" t="s">
        <v>108</v>
      </c>
      <c r="N109" s="154"/>
      <c r="O109" s="154"/>
      <c r="P109" s="154"/>
      <c r="Q109" s="154"/>
      <c r="R109" s="154"/>
      <c r="S109" s="154"/>
      <c r="T109" s="154"/>
    </row>
    <row r="110" spans="2:20" x14ac:dyDescent="0.2">
      <c r="B110" s="49"/>
      <c r="C110" s="166" t="s">
        <v>38</v>
      </c>
      <c r="D110" s="153">
        <v>2019</v>
      </c>
      <c r="E110" s="153">
        <v>2020</v>
      </c>
      <c r="F110" s="153">
        <v>2021</v>
      </c>
      <c r="G110" s="153">
        <v>2022</v>
      </c>
      <c r="H110" s="153">
        <v>2023</v>
      </c>
      <c r="I110" s="153">
        <v>2024</v>
      </c>
      <c r="J110" s="153">
        <v>2025</v>
      </c>
      <c r="K110" s="171" t="s">
        <v>36</v>
      </c>
      <c r="L110" s="114"/>
      <c r="M110" s="153">
        <v>2019</v>
      </c>
      <c r="N110" s="153">
        <v>2020</v>
      </c>
      <c r="O110" s="153">
        <v>2021</v>
      </c>
      <c r="P110" s="153">
        <v>2022</v>
      </c>
      <c r="Q110" s="153">
        <v>2023</v>
      </c>
      <c r="R110" s="153">
        <v>2024</v>
      </c>
      <c r="S110" s="153">
        <v>2025</v>
      </c>
      <c r="T110" s="153" t="s">
        <v>36</v>
      </c>
    </row>
    <row r="111" spans="2:20" ht="12" customHeight="1" thickBot="1" x14ac:dyDescent="0.25">
      <c r="B111" s="84"/>
      <c r="C111" s="154"/>
      <c r="D111" s="154"/>
      <c r="E111" s="154"/>
      <c r="F111" s="154"/>
      <c r="G111" s="154"/>
      <c r="H111" s="154"/>
      <c r="I111" s="154"/>
      <c r="J111" s="154"/>
      <c r="K111" s="154"/>
      <c r="L111" s="114"/>
      <c r="M111" s="154"/>
      <c r="N111" s="154"/>
      <c r="O111" s="154"/>
      <c r="P111" s="154"/>
      <c r="Q111" s="154"/>
      <c r="R111" s="154"/>
      <c r="S111" s="154"/>
      <c r="T111" s="154"/>
    </row>
    <row r="112" spans="2:20" x14ac:dyDescent="0.2">
      <c r="B112" s="34" t="s">
        <v>39</v>
      </c>
      <c r="C112" s="76" t="s">
        <v>40</v>
      </c>
      <c r="D112" s="41">
        <f t="shared" ref="D112:K112" si="39">+SUM(D113:D119)</f>
        <v>222999.02718916157</v>
      </c>
      <c r="E112" s="41">
        <f t="shared" si="39"/>
        <v>265732.18570568302</v>
      </c>
      <c r="F112" s="41">
        <f t="shared" si="39"/>
        <v>281272.32402271766</v>
      </c>
      <c r="G112" s="41">
        <f t="shared" si="39"/>
        <v>234038.82485763685</v>
      </c>
      <c r="H112" s="41">
        <f t="shared" si="39"/>
        <v>268889.45973475842</v>
      </c>
      <c r="I112" s="41">
        <f t="shared" si="39"/>
        <v>281681.55853030388</v>
      </c>
      <c r="J112" s="41">
        <f t="shared" si="39"/>
        <v>302694.50021925196</v>
      </c>
      <c r="K112" s="41">
        <f t="shared" si="39"/>
        <v>40325.066835437552</v>
      </c>
      <c r="L112" s="71"/>
      <c r="M112" s="46">
        <f t="shared" ref="M112:M132" si="40">+D112/D14*100</f>
        <v>94.064335759928881</v>
      </c>
      <c r="N112" s="46">
        <f t="shared" ref="N112:N132" si="41">+E112/E14*100</f>
        <v>84.236202038952982</v>
      </c>
      <c r="O112" s="46">
        <f t="shared" ref="O112:O132" si="42">+F112/F14*100</f>
        <v>93.274233169091929</v>
      </c>
      <c r="P112" s="46">
        <f t="shared" ref="P112:P132" si="43">+G112/G14*100</f>
        <v>88.86234523275796</v>
      </c>
      <c r="Q112" s="46">
        <f t="shared" ref="Q112:Q132" si="44">+H112/H14*100</f>
        <v>90.213011281874671</v>
      </c>
      <c r="R112" s="46">
        <f t="shared" ref="R112:R132" si="45">+I112/I14*100</f>
        <v>89.542591915979003</v>
      </c>
      <c r="S112" s="46">
        <f t="shared" ref="S112:S132" si="46">+J112/J14*100</f>
        <v>91.770080926884518</v>
      </c>
      <c r="T112" s="46">
        <f t="shared" ref="T112:T132" si="47">+K112/K14*100</f>
        <v>11.258759940109128</v>
      </c>
    </row>
    <row r="113" spans="2:20" x14ac:dyDescent="0.2">
      <c r="B113" s="40"/>
      <c r="C113" s="77" t="s">
        <v>92</v>
      </c>
      <c r="D113" s="42">
        <f>+'C6 Ejec. Nac 19-26'!D113+'C7 Ejec. Prop 19-26'!D113</f>
        <v>46455.770627328253</v>
      </c>
      <c r="E113" s="42">
        <f>+'C6 Ejec. Nac 19-26'!E113+'C7 Ejec. Prop 19-26'!E113</f>
        <v>47417.713283608377</v>
      </c>
      <c r="F113" s="42">
        <f>+'C6 Ejec. Nac 19-26'!F113+'C7 Ejec. Prop 19-26'!F113</f>
        <v>47616.073909623825</v>
      </c>
      <c r="G113" s="42">
        <f>+'C6 Ejec. Nac 19-26'!G113+'C7 Ejec. Prop 19-26'!G113</f>
        <v>46557.876217752513</v>
      </c>
      <c r="H113" s="42">
        <f>+'C6 Ejec. Nac 19-26'!H113+'C7 Ejec. Prop 19-26'!H113</f>
        <v>49392.85547074725</v>
      </c>
      <c r="I113" s="42">
        <f>+'C6 Ejec. Nac 19-26'!I113+'C7 Ejec. Prop 19-26'!I113</f>
        <v>53594.012384930611</v>
      </c>
      <c r="J113" s="42">
        <f>+'C6 Ejec. Nac 19-26'!J113+'C7 Ejec. Prop 19-26'!J113</f>
        <v>57352.967618218987</v>
      </c>
      <c r="K113" s="42">
        <f>+'C6 Ejec. Nac 19-26'!K113+'C7 Ejec. Prop 19-26'!K113</f>
        <v>8138.2187395969995</v>
      </c>
      <c r="L113" s="42"/>
      <c r="M113" s="47">
        <f t="shared" si="40"/>
        <v>98.09800368683959</v>
      </c>
      <c r="N113" s="47">
        <f t="shared" si="41"/>
        <v>96.384608115084973</v>
      </c>
      <c r="O113" s="47">
        <f t="shared" si="42"/>
        <v>96.076631530916501</v>
      </c>
      <c r="P113" s="47">
        <f t="shared" si="43"/>
        <v>96.627784068461764</v>
      </c>
      <c r="Q113" s="47">
        <f t="shared" si="44"/>
        <v>95.377776223655303</v>
      </c>
      <c r="R113" s="47">
        <f t="shared" si="45"/>
        <v>96.75011780143366</v>
      </c>
      <c r="S113" s="47">
        <f t="shared" si="46"/>
        <v>96.828918617236098</v>
      </c>
      <c r="T113" s="47">
        <f t="shared" si="47"/>
        <v>12.224393641193236</v>
      </c>
    </row>
    <row r="114" spans="2:20" x14ac:dyDescent="0.2">
      <c r="B114" s="40"/>
      <c r="C114" s="77" t="s">
        <v>93</v>
      </c>
      <c r="D114" s="42">
        <f>+'C6 Ejec. Nac 19-26'!D114+'C7 Ejec. Prop 19-26'!D114</f>
        <v>12894.470961364956</v>
      </c>
      <c r="E114" s="42">
        <f>+'C6 Ejec. Nac 19-26'!E114+'C7 Ejec. Prop 19-26'!E114</f>
        <v>12502.004829405803</v>
      </c>
      <c r="F114" s="42">
        <f>+'C6 Ejec. Nac 19-26'!F114+'C7 Ejec. Prop 19-26'!F114</f>
        <v>13439.858409141938</v>
      </c>
      <c r="G114" s="42">
        <f>+'C6 Ejec. Nac 19-26'!G114+'C7 Ejec. Prop 19-26'!G114</f>
        <v>14499.619602975083</v>
      </c>
      <c r="H114" s="42">
        <f>+'C6 Ejec. Nac 19-26'!H114+'C7 Ejec. Prop 19-26'!H114</f>
        <v>14089.372229397344</v>
      </c>
      <c r="I114" s="42">
        <f>+'C6 Ejec. Nac 19-26'!I114+'C7 Ejec. Prop 19-26'!I114</f>
        <v>13094.738875139299</v>
      </c>
      <c r="J114" s="42">
        <f>+'C6 Ejec. Nac 19-26'!J114+'C7 Ejec. Prop 19-26'!J114</f>
        <v>15663.63660480519</v>
      </c>
      <c r="K114" s="42">
        <f>+'C6 Ejec. Nac 19-26'!K114+'C7 Ejec. Prop 19-26'!K114</f>
        <v>1198.90744213159</v>
      </c>
      <c r="L114" s="42"/>
      <c r="M114" s="47">
        <f t="shared" si="40"/>
        <v>87.73853375882976</v>
      </c>
      <c r="N114" s="47">
        <f t="shared" si="41"/>
        <v>85.66540604717423</v>
      </c>
      <c r="O114" s="47">
        <f t="shared" si="42"/>
        <v>87.219052112183192</v>
      </c>
      <c r="P114" s="47">
        <f t="shared" si="43"/>
        <v>86.213730944859336</v>
      </c>
      <c r="Q114" s="47">
        <f t="shared" si="44"/>
        <v>77.5050645431769</v>
      </c>
      <c r="R114" s="47">
        <f t="shared" si="45"/>
        <v>71.009419405035274</v>
      </c>
      <c r="S114" s="47">
        <f t="shared" si="46"/>
        <v>75.018892029471814</v>
      </c>
      <c r="T114" s="47">
        <f t="shared" si="47"/>
        <v>6.5985875543257491</v>
      </c>
    </row>
    <row r="115" spans="2:20" x14ac:dyDescent="0.2">
      <c r="B115" s="40"/>
      <c r="C115" s="77" t="s">
        <v>58</v>
      </c>
      <c r="D115" s="42">
        <f>+'C6 Ejec. Nac 19-26'!D115+'C7 Ejec. Prop 19-26'!D115</f>
        <v>160243.15037234593</v>
      </c>
      <c r="E115" s="42">
        <f>+'C6 Ejec. Nac 19-26'!E115+'C7 Ejec. Prop 19-26'!E115</f>
        <v>202179.91272276282</v>
      </c>
      <c r="F115" s="42">
        <f>+'C6 Ejec. Nac 19-26'!F115+'C7 Ejec. Prop 19-26'!F115</f>
        <v>215127.50039655372</v>
      </c>
      <c r="G115" s="42">
        <f>+'C6 Ejec. Nac 19-26'!G115+'C7 Ejec. Prop 19-26'!G115</f>
        <v>168627.40726505817</v>
      </c>
      <c r="H115" s="42">
        <f>+'C6 Ejec. Nac 19-26'!H115+'C7 Ejec. Prop 19-26'!H115</f>
        <v>201379.5187461788</v>
      </c>
      <c r="I115" s="42">
        <f>+'C6 Ejec. Nac 19-26'!I115+'C7 Ejec. Prop 19-26'!I115</f>
        <v>210977.29626961512</v>
      </c>
      <c r="J115" s="42">
        <f>+'C6 Ejec. Nac 19-26'!J115+'C7 Ejec. Prop 19-26'!J115</f>
        <v>225726.79612027321</v>
      </c>
      <c r="K115" s="42">
        <f>+'C6 Ejec. Nac 19-26'!K115+'C7 Ejec. Prop 19-26'!K115</f>
        <v>30790.79830508996</v>
      </c>
      <c r="L115" s="42"/>
      <c r="M115" s="47">
        <f t="shared" si="40"/>
        <v>93.671315828373423</v>
      </c>
      <c r="N115" s="47">
        <f t="shared" si="41"/>
        <v>81.678320412981464</v>
      </c>
      <c r="O115" s="47">
        <f t="shared" si="42"/>
        <v>93.361697286748736</v>
      </c>
      <c r="P115" s="47">
        <f t="shared" si="43"/>
        <v>87.204026814290685</v>
      </c>
      <c r="Q115" s="47">
        <f t="shared" si="44"/>
        <v>90.207689823541742</v>
      </c>
      <c r="R115" s="47">
        <f t="shared" si="45"/>
        <v>89.390773161104732</v>
      </c>
      <c r="S115" s="47">
        <f t="shared" si="46"/>
        <v>92.060955100807675</v>
      </c>
      <c r="T115" s="47">
        <f t="shared" si="47"/>
        <v>11.452530713784988</v>
      </c>
    </row>
    <row r="116" spans="2:20" x14ac:dyDescent="0.2">
      <c r="B116" s="40"/>
      <c r="C116" s="77" t="s">
        <v>94</v>
      </c>
      <c r="D116" s="42">
        <f>+'C6 Ejec. Nac 19-26'!D116+'C7 Ejec. Prop 19-26'!D116</f>
        <v>1748.7851227499102</v>
      </c>
      <c r="E116" s="42">
        <f>+'C6 Ejec. Nac 19-26'!E116+'C7 Ejec. Prop 19-26'!E116</f>
        <v>1625.6789305082796</v>
      </c>
      <c r="F116" s="42">
        <f>+'C6 Ejec. Nac 19-26'!F116+'C7 Ejec. Prop 19-26'!F116</f>
        <v>1843.5877208635334</v>
      </c>
      <c r="G116" s="42">
        <f>+'C6 Ejec. Nac 19-26'!G116+'C7 Ejec. Prop 19-26'!G116</f>
        <v>1905.5459186667597</v>
      </c>
      <c r="H116" s="42">
        <f>+'C6 Ejec. Nac 19-26'!H116+'C7 Ejec. Prop 19-26'!H116</f>
        <v>1673.5837343677542</v>
      </c>
      <c r="I116" s="42">
        <f>+'C6 Ejec. Nac 19-26'!I116+'C7 Ejec. Prop 19-26'!I116</f>
        <v>1765.5640751738772</v>
      </c>
      <c r="J116" s="42">
        <f>+'C6 Ejec. Nac 19-26'!J116+'C7 Ejec. Prop 19-26'!J116</f>
        <v>1729.8891236952511</v>
      </c>
      <c r="K116" s="42">
        <f>+'C6 Ejec. Nac 19-26'!K116+'C7 Ejec. Prop 19-26'!K116</f>
        <v>77.758149146480008</v>
      </c>
      <c r="L116" s="42"/>
      <c r="M116" s="47">
        <f t="shared" si="40"/>
        <v>79.754710156893168</v>
      </c>
      <c r="N116" s="47">
        <f t="shared" si="41"/>
        <v>80.974042009677689</v>
      </c>
      <c r="O116" s="47">
        <f t="shared" si="42"/>
        <v>72.389954989845265</v>
      </c>
      <c r="P116" s="47">
        <f t="shared" si="43"/>
        <v>80.781433744028632</v>
      </c>
      <c r="Q116" s="47">
        <f t="shared" si="44"/>
        <v>78.295658942453343</v>
      </c>
      <c r="R116" s="47">
        <f t="shared" si="45"/>
        <v>78.082272198822594</v>
      </c>
      <c r="S116" s="47">
        <f t="shared" si="46"/>
        <v>82.763525936341537</v>
      </c>
      <c r="T116" s="47">
        <f t="shared" si="47"/>
        <v>3.691927134747071</v>
      </c>
    </row>
    <row r="117" spans="2:20" x14ac:dyDescent="0.2">
      <c r="B117" s="40"/>
      <c r="C117" s="77" t="s">
        <v>95</v>
      </c>
      <c r="D117" s="42">
        <f>+'C6 Ejec. Nac 19-26'!D117+'C7 Ejec. Prop 19-26'!D117</f>
        <v>549.46135091938709</v>
      </c>
      <c r="E117" s="42">
        <f>+'C6 Ejec. Nac 19-26'!E117+'C7 Ejec. Prop 19-26'!E117</f>
        <v>607.29437901065489</v>
      </c>
      <c r="F117" s="42">
        <f>+'C6 Ejec. Nac 19-26'!F117+'C7 Ejec. Prop 19-26'!F117</f>
        <v>686.70194188357937</v>
      </c>
      <c r="G117" s="42">
        <f>+'C6 Ejec. Nac 19-26'!G117+'C7 Ejec. Prop 19-26'!G117</f>
        <v>787.05879521047802</v>
      </c>
      <c r="H117" s="42">
        <f>+'C6 Ejec. Nac 19-26'!H117+'C7 Ejec. Prop 19-26'!H117</f>
        <v>758.07827451150149</v>
      </c>
      <c r="I117" s="42">
        <f>+'C6 Ejec. Nac 19-26'!I117+'C7 Ejec. Prop 19-26'!I117</f>
        <v>689.74916631842996</v>
      </c>
      <c r="J117" s="42">
        <f>+'C6 Ejec. Nac 19-26'!J117+'C7 Ejec. Prop 19-26'!J117</f>
        <v>697.20351427310482</v>
      </c>
      <c r="K117" s="42">
        <f>+'C6 Ejec. Nac 19-26'!K117+'C7 Ejec. Prop 19-26'!K117</f>
        <v>0.1368</v>
      </c>
      <c r="L117" s="42"/>
      <c r="M117" s="47">
        <f t="shared" si="40"/>
        <v>97.71292665117663</v>
      </c>
      <c r="N117" s="47">
        <f t="shared" si="41"/>
        <v>96.383148904937926</v>
      </c>
      <c r="O117" s="47">
        <f t="shared" si="42"/>
        <v>84.075881976589443</v>
      </c>
      <c r="P117" s="47">
        <f t="shared" si="43"/>
        <v>98.402191744673956</v>
      </c>
      <c r="Q117" s="47">
        <f t="shared" si="44"/>
        <v>87.169872246738734</v>
      </c>
      <c r="R117" s="47">
        <f t="shared" si="45"/>
        <v>98.503888916724833</v>
      </c>
      <c r="S117" s="47">
        <f t="shared" si="46"/>
        <v>95.153354717727566</v>
      </c>
      <c r="T117" s="47">
        <f t="shared" si="47"/>
        <v>1.8010825335472522E-2</v>
      </c>
    </row>
    <row r="118" spans="2:20" x14ac:dyDescent="0.2">
      <c r="B118" s="40"/>
      <c r="C118" s="77" t="s">
        <v>96</v>
      </c>
      <c r="D118" s="42">
        <f>+'C6 Ejec. Nac 19-26'!D118+'C7 Ejec. Prop 19-26'!D118</f>
        <v>377.6845088984436</v>
      </c>
      <c r="E118" s="42">
        <f>+'C6 Ejec. Nac 19-26'!E118+'C7 Ejec. Prop 19-26'!E118</f>
        <v>347.14290850751871</v>
      </c>
      <c r="F118" s="42">
        <f>+'C6 Ejec. Nac 19-26'!F118+'C7 Ejec. Prop 19-26'!F118</f>
        <v>602.23777761586871</v>
      </c>
      <c r="G118" s="42">
        <f>+'C6 Ejec. Nac 19-26'!G118+'C7 Ejec. Prop 19-26'!G118</f>
        <v>442.58030141726329</v>
      </c>
      <c r="H118" s="42">
        <f>+'C6 Ejec. Nac 19-26'!H118+'C7 Ejec. Prop 19-26'!H118</f>
        <v>502.81794470438228</v>
      </c>
      <c r="I118" s="42">
        <f>+'C6 Ejec. Nac 19-26'!I118+'C7 Ejec. Prop 19-26'!I118</f>
        <v>362.36934447277059</v>
      </c>
      <c r="J118" s="42">
        <f>+'C6 Ejec. Nac 19-26'!J118+'C7 Ejec. Prop 19-26'!J118</f>
        <v>303.89907820586927</v>
      </c>
      <c r="K118" s="42">
        <f>+'C6 Ejec. Nac 19-26'!K118+'C7 Ejec. Prop 19-26'!K118</f>
        <v>28.341688241</v>
      </c>
      <c r="L118" s="42"/>
      <c r="M118" s="47">
        <f t="shared" si="40"/>
        <v>91.487392046522501</v>
      </c>
      <c r="N118" s="47">
        <f t="shared" si="41"/>
        <v>81.838253935579033</v>
      </c>
      <c r="O118" s="47">
        <f t="shared" si="42"/>
        <v>90.915546488904269</v>
      </c>
      <c r="P118" s="47">
        <f t="shared" si="43"/>
        <v>85.228560218093662</v>
      </c>
      <c r="Q118" s="47">
        <f t="shared" si="44"/>
        <v>89.787849309982036</v>
      </c>
      <c r="R118" s="47">
        <f t="shared" si="45"/>
        <v>94.287297352532732</v>
      </c>
      <c r="S118" s="47">
        <f t="shared" si="46"/>
        <v>85.378367223627507</v>
      </c>
      <c r="T118" s="47">
        <f t="shared" si="47"/>
        <v>7.612263988798647</v>
      </c>
    </row>
    <row r="119" spans="2:20" x14ac:dyDescent="0.2">
      <c r="B119" s="40"/>
      <c r="C119" s="77" t="s">
        <v>97</v>
      </c>
      <c r="D119" s="42">
        <f>+'C6 Ejec. Nac 19-26'!D119+'C7 Ejec. Prop 19-26'!D119</f>
        <v>729.7042455546881</v>
      </c>
      <c r="E119" s="42">
        <f>+'C6 Ejec. Nac 19-26'!E119+'C7 Ejec. Prop 19-26'!E119</f>
        <v>1052.4386518795661</v>
      </c>
      <c r="F119" s="42">
        <f>+'C6 Ejec. Nac 19-26'!F119+'C7 Ejec. Prop 19-26'!F119</f>
        <v>1956.3638670351208</v>
      </c>
      <c r="G119" s="42">
        <f>+'C6 Ejec. Nac 19-26'!G119+'C7 Ejec. Prop 19-26'!G119</f>
        <v>1218.7367565566117</v>
      </c>
      <c r="H119" s="42">
        <f>+'C6 Ejec. Nac 19-26'!H119+'C7 Ejec. Prop 19-26'!H119</f>
        <v>1093.2333348513744</v>
      </c>
      <c r="I119" s="42">
        <f>+'C6 Ejec. Nac 19-26'!I119+'C7 Ejec. Prop 19-26'!I119</f>
        <v>1197.8284146537696</v>
      </c>
      <c r="J119" s="42">
        <f>+'C6 Ejec. Nac 19-26'!J119+'C7 Ejec. Prop 19-26'!J119</f>
        <v>1220.1081597803011</v>
      </c>
      <c r="K119" s="42">
        <f>+'C6 Ejec. Nac 19-26'!K119+'C7 Ejec. Prop 19-26'!K119</f>
        <v>90.905711231520002</v>
      </c>
      <c r="L119" s="42"/>
      <c r="M119" s="47">
        <f t="shared" si="40"/>
        <v>93.512423729008688</v>
      </c>
      <c r="N119" s="47">
        <f t="shared" si="41"/>
        <v>97.755722022061562</v>
      </c>
      <c r="O119" s="47">
        <f t="shared" si="42"/>
        <v>91.646971400660874</v>
      </c>
      <c r="P119" s="47">
        <f t="shared" si="43"/>
        <v>92.170850023672301</v>
      </c>
      <c r="Q119" s="47">
        <f t="shared" si="44"/>
        <v>84.852852508256333</v>
      </c>
      <c r="R119" s="47">
        <f t="shared" si="45"/>
        <v>86.760355969800983</v>
      </c>
      <c r="S119" s="47">
        <f t="shared" si="46"/>
        <v>89.86808620531535</v>
      </c>
      <c r="T119" s="47">
        <f t="shared" si="47"/>
        <v>6.8374562296782724</v>
      </c>
    </row>
    <row r="120" spans="2:20" x14ac:dyDescent="0.2">
      <c r="B120" s="34" t="s">
        <v>41</v>
      </c>
      <c r="C120" s="76" t="s">
        <v>42</v>
      </c>
      <c r="D120" s="41">
        <f t="shared" ref="D120:K120" si="48">+D121+D125</f>
        <v>78008.99438387595</v>
      </c>
      <c r="E120" s="41">
        <f t="shared" si="48"/>
        <v>67426.953752365633</v>
      </c>
      <c r="F120" s="41">
        <f t="shared" si="48"/>
        <v>76970.788881184766</v>
      </c>
      <c r="G120" s="41">
        <f t="shared" si="48"/>
        <v>85731.059205604412</v>
      </c>
      <c r="H120" s="41">
        <f t="shared" si="48"/>
        <v>85644.814943864214</v>
      </c>
      <c r="I120" s="41">
        <f t="shared" si="48"/>
        <v>89750.894399134704</v>
      </c>
      <c r="J120" s="41">
        <f t="shared" si="48"/>
        <v>107754.12460500812</v>
      </c>
      <c r="K120" s="41">
        <f t="shared" si="48"/>
        <v>20999.214373800551</v>
      </c>
      <c r="L120" s="71"/>
      <c r="M120" s="46">
        <f t="shared" si="40"/>
        <v>99.26993773683499</v>
      </c>
      <c r="N120" s="46">
        <f t="shared" si="41"/>
        <v>84.455094271737067</v>
      </c>
      <c r="O120" s="46">
        <f t="shared" si="42"/>
        <v>77.415807655918044</v>
      </c>
      <c r="P120" s="46">
        <f t="shared" si="43"/>
        <v>95.981446489614655</v>
      </c>
      <c r="Q120" s="46">
        <f t="shared" si="44"/>
        <v>95.661422481031721</v>
      </c>
      <c r="R120" s="46">
        <f t="shared" si="45"/>
        <v>87.664908838561459</v>
      </c>
      <c r="S120" s="46">
        <f t="shared" si="46"/>
        <v>92.765888849015838</v>
      </c>
      <c r="T120" s="46">
        <f t="shared" si="47"/>
        <v>20.905201910488223</v>
      </c>
    </row>
    <row r="121" spans="2:20" x14ac:dyDescent="0.2">
      <c r="B121" s="34"/>
      <c r="C121" s="76" t="s">
        <v>43</v>
      </c>
      <c r="D121" s="41">
        <f t="shared" ref="D121:K121" si="49">+SUM(D122:D124)</f>
        <v>21330.542384120141</v>
      </c>
      <c r="E121" s="41">
        <f t="shared" si="49"/>
        <v>22111.229611105729</v>
      </c>
      <c r="F121" s="41">
        <f t="shared" si="49"/>
        <v>28631.570541499539</v>
      </c>
      <c r="G121" s="41">
        <f t="shared" si="49"/>
        <v>18910.155339054883</v>
      </c>
      <c r="H121" s="41">
        <f t="shared" si="49"/>
        <v>28435.617232994871</v>
      </c>
      <c r="I121" s="41">
        <f t="shared" si="49"/>
        <v>34628.981296035017</v>
      </c>
      <c r="J121" s="41">
        <f t="shared" si="49"/>
        <v>49389.934834957472</v>
      </c>
      <c r="K121" s="41">
        <f t="shared" si="49"/>
        <v>5861.0202265691505</v>
      </c>
      <c r="L121" s="71"/>
      <c r="M121" s="46">
        <f t="shared" si="40"/>
        <v>97.913486747181338</v>
      </c>
      <c r="N121" s="46">
        <f t="shared" si="41"/>
        <v>99.032710760723859</v>
      </c>
      <c r="O121" s="46">
        <f t="shared" si="42"/>
        <v>80.563045668736279</v>
      </c>
      <c r="P121" s="46">
        <f t="shared" si="43"/>
        <v>90.38419877922459</v>
      </c>
      <c r="Q121" s="46">
        <f t="shared" si="44"/>
        <v>93.925312356068375</v>
      </c>
      <c r="R121" s="46">
        <f t="shared" si="45"/>
        <v>85.72526681590476</v>
      </c>
      <c r="S121" s="46">
        <f t="shared" si="46"/>
        <v>88.965244172566969</v>
      </c>
      <c r="T121" s="46">
        <f t="shared" si="47"/>
        <v>15.260671143608018</v>
      </c>
    </row>
    <row r="122" spans="2:20" x14ac:dyDescent="0.2">
      <c r="B122" s="32"/>
      <c r="C122" s="77" t="s">
        <v>98</v>
      </c>
      <c r="D122" s="42">
        <f>+'C6 Ejec. Nac 19-26'!D122+'C7 Ejec. Prop 19-26'!D122</f>
        <v>11969.361369434897</v>
      </c>
      <c r="E122" s="42">
        <f>+'C6 Ejec. Nac 19-26'!E122+'C7 Ejec. Prop 19-26'!E122</f>
        <v>9513.9155091409302</v>
      </c>
      <c r="F122" s="42">
        <f>+'C6 Ejec. Nac 19-26'!F122+'C7 Ejec. Prop 19-26'!F122</f>
        <v>15293.779898475093</v>
      </c>
      <c r="G122" s="42">
        <f>+'C6 Ejec. Nac 19-26'!G122+'C7 Ejec. Prop 19-26'!G122</f>
        <v>5230.9148596689784</v>
      </c>
      <c r="H122" s="42">
        <f>+'C6 Ejec. Nac 19-26'!H122+'C7 Ejec. Prop 19-26'!H122</f>
        <v>14336.45455881524</v>
      </c>
      <c r="I122" s="42">
        <f>+'C6 Ejec. Nac 19-26'!I122+'C7 Ejec. Prop 19-26'!I122</f>
        <v>18401.720861050555</v>
      </c>
      <c r="J122" s="42">
        <f>+'C6 Ejec. Nac 19-26'!J122+'C7 Ejec. Prop 19-26'!J122</f>
        <v>32959.185295434567</v>
      </c>
      <c r="K122" s="42">
        <f>+'C6 Ejec. Nac 19-26'!K122+'C7 Ejec. Prop 19-26'!K122</f>
        <v>3869.5634993057802</v>
      </c>
      <c r="L122" s="42"/>
      <c r="M122" s="47">
        <f t="shared" si="40"/>
        <v>99.388399633902537</v>
      </c>
      <c r="N122" s="47">
        <f t="shared" si="41"/>
        <v>98.433201721859902</v>
      </c>
      <c r="O122" s="47">
        <f t="shared" si="42"/>
        <v>75.917390481882109</v>
      </c>
      <c r="P122" s="47">
        <f t="shared" si="43"/>
        <v>96.760553481122784</v>
      </c>
      <c r="Q122" s="47">
        <f t="shared" si="44"/>
        <v>95.285042047852386</v>
      </c>
      <c r="R122" s="47">
        <f t="shared" si="45"/>
        <v>87.000273850086685</v>
      </c>
      <c r="S122" s="47">
        <f t="shared" si="46"/>
        <v>92.714856987671084</v>
      </c>
      <c r="T122" s="47">
        <f t="shared" si="47"/>
        <v>22.40232396414364</v>
      </c>
    </row>
    <row r="123" spans="2:20" x14ac:dyDescent="0.2">
      <c r="B123" s="32"/>
      <c r="C123" s="77" t="s">
        <v>61</v>
      </c>
      <c r="D123" s="42">
        <f>+'C6 Ejec. Nac 19-26'!D123+'C7 Ejec. Prop 19-26'!D123</f>
        <v>9245.6489166838819</v>
      </c>
      <c r="E123" s="42">
        <f>+'C6 Ejec. Nac 19-26'!E123+'C7 Ejec. Prop 19-26'!E123</f>
        <v>12236.953520934341</v>
      </c>
      <c r="F123" s="42">
        <f>+'C6 Ejec. Nac 19-26'!F123+'C7 Ejec. Prop 19-26'!F123</f>
        <v>13157.671789020951</v>
      </c>
      <c r="G123" s="42">
        <f>+'C6 Ejec. Nac 19-26'!G123+'C7 Ejec. Prop 19-26'!G123</f>
        <v>13559.981833667767</v>
      </c>
      <c r="H123" s="42">
        <f>+'C6 Ejec. Nac 19-26'!H123+'C7 Ejec. Prop 19-26'!H123</f>
        <v>14007.28560343949</v>
      </c>
      <c r="I123" s="42">
        <f>+'C6 Ejec. Nac 19-26'!I123+'C7 Ejec. Prop 19-26'!I123</f>
        <v>16121.96772301097</v>
      </c>
      <c r="J123" s="42">
        <f>+'C6 Ejec. Nac 19-26'!J123+'C7 Ejec. Prop 19-26'!J123</f>
        <v>16207.20172917056</v>
      </c>
      <c r="K123" s="42">
        <f>+'C6 Ejec. Nac 19-26'!K123+'C7 Ejec. Prop 19-26'!K123</f>
        <v>1957.64771808566</v>
      </c>
      <c r="L123" s="42"/>
      <c r="M123" s="47">
        <f t="shared" si="40"/>
        <v>96.817670243193447</v>
      </c>
      <c r="N123" s="47">
        <f t="shared" si="41"/>
        <v>99.773939366644953</v>
      </c>
      <c r="O123" s="47">
        <f t="shared" si="42"/>
        <v>86.762291864065887</v>
      </c>
      <c r="P123" s="47">
        <f t="shared" si="43"/>
        <v>88.430494290039277</v>
      </c>
      <c r="Q123" s="47">
        <f t="shared" si="44"/>
        <v>93.025474680170873</v>
      </c>
      <c r="R123" s="47">
        <f t="shared" si="45"/>
        <v>84.873182322204244</v>
      </c>
      <c r="S123" s="47">
        <f t="shared" si="46"/>
        <v>83.663837569783212</v>
      </c>
      <c r="T123" s="47">
        <f t="shared" si="47"/>
        <v>9.7945745077502018</v>
      </c>
    </row>
    <row r="124" spans="2:20" x14ac:dyDescent="0.2">
      <c r="B124" s="32"/>
      <c r="C124" s="77" t="s">
        <v>103</v>
      </c>
      <c r="D124" s="42">
        <f>+'C6 Ejec. Nac 19-26'!D124+'C7 Ejec. Prop 19-26'!D124</f>
        <v>115.53209800136322</v>
      </c>
      <c r="E124" s="42">
        <f>+'C6 Ejec. Nac 19-26'!E124+'C7 Ejec. Prop 19-26'!E124</f>
        <v>360.36058103045872</v>
      </c>
      <c r="F124" s="42">
        <f>+'C6 Ejec. Nac 19-26'!F124+'C7 Ejec. Prop 19-26'!F124</f>
        <v>180.1188540034928</v>
      </c>
      <c r="G124" s="42">
        <f>+'C6 Ejec. Nac 19-26'!G124+'C7 Ejec. Prop 19-26'!G124</f>
        <v>119.25864571813692</v>
      </c>
      <c r="H124" s="42">
        <f>+'C6 Ejec. Nac 19-26'!H124+'C7 Ejec. Prop 19-26'!H124</f>
        <v>91.877070740140766</v>
      </c>
      <c r="I124" s="42">
        <f>+'C6 Ejec. Nac 19-26'!I124+'C7 Ejec. Prop 19-26'!I124</f>
        <v>105.29271197348909</v>
      </c>
      <c r="J124" s="42">
        <f>+'C6 Ejec. Nac 19-26'!J124+'C7 Ejec. Prop 19-26'!J124</f>
        <v>223.54781035234666</v>
      </c>
      <c r="K124" s="42">
        <f>+'C6 Ejec. Nac 19-26'!K124+'C7 Ejec. Prop 19-26'!K124</f>
        <v>33.809009177709903</v>
      </c>
      <c r="L124" s="42"/>
      <c r="M124" s="47">
        <f t="shared" si="40"/>
        <v>60.008037986718321</v>
      </c>
      <c r="N124" s="47">
        <f t="shared" si="41"/>
        <v>90.732763379105549</v>
      </c>
      <c r="O124" s="47">
        <f t="shared" si="42"/>
        <v>78.707196030640446</v>
      </c>
      <c r="P124" s="47">
        <f t="shared" si="43"/>
        <v>65.572336683188809</v>
      </c>
      <c r="Q124" s="47">
        <f t="shared" si="44"/>
        <v>53.610783607904445</v>
      </c>
      <c r="R124" s="47">
        <f t="shared" si="45"/>
        <v>42.353433910073853</v>
      </c>
      <c r="S124" s="47">
        <f t="shared" si="46"/>
        <v>37.558633518332336</v>
      </c>
      <c r="T124" s="47">
        <f t="shared" si="47"/>
        <v>2.950335953613469</v>
      </c>
    </row>
    <row r="125" spans="2:20" x14ac:dyDescent="0.2">
      <c r="B125" s="34"/>
      <c r="C125" s="76" t="s">
        <v>44</v>
      </c>
      <c r="D125" s="41">
        <f t="shared" ref="D125:K125" si="50">+SUM(D126:D129)</f>
        <v>56678.451999755816</v>
      </c>
      <c r="E125" s="41">
        <f t="shared" si="50"/>
        <v>45315.724141259911</v>
      </c>
      <c r="F125" s="41">
        <f t="shared" si="50"/>
        <v>48339.21833968522</v>
      </c>
      <c r="G125" s="41">
        <f t="shared" si="50"/>
        <v>66820.903866549532</v>
      </c>
      <c r="H125" s="41">
        <f t="shared" si="50"/>
        <v>57209.197710869346</v>
      </c>
      <c r="I125" s="41">
        <f t="shared" si="50"/>
        <v>55121.913103099694</v>
      </c>
      <c r="J125" s="41">
        <f t="shared" si="50"/>
        <v>58364.189770050652</v>
      </c>
      <c r="K125" s="41">
        <f t="shared" si="50"/>
        <v>15138.194147231399</v>
      </c>
      <c r="L125" s="71"/>
      <c r="M125" s="46">
        <f t="shared" si="40"/>
        <v>99.790213338245536</v>
      </c>
      <c r="N125" s="46">
        <f t="shared" si="41"/>
        <v>78.795646615185078</v>
      </c>
      <c r="O125" s="46">
        <f t="shared" si="42"/>
        <v>75.665016316369815</v>
      </c>
      <c r="P125" s="46">
        <f t="shared" si="43"/>
        <v>97.693552563826756</v>
      </c>
      <c r="Q125" s="46">
        <f t="shared" si="44"/>
        <v>96.54844925087319</v>
      </c>
      <c r="R125" s="46">
        <f t="shared" si="45"/>
        <v>88.928979883116767</v>
      </c>
      <c r="S125" s="46">
        <f t="shared" si="46"/>
        <v>96.245322159843852</v>
      </c>
      <c r="T125" s="46">
        <f t="shared" si="47"/>
        <v>24.399259006883778</v>
      </c>
    </row>
    <row r="126" spans="2:20" x14ac:dyDescent="0.2">
      <c r="B126" s="32"/>
      <c r="C126" s="77" t="s">
        <v>98</v>
      </c>
      <c r="D126" s="42">
        <f>+'C6 Ejec. Nac 19-26'!D126+'C7 Ejec. Prop 19-26'!D126</f>
        <v>27105.178076219909</v>
      </c>
      <c r="E126" s="42">
        <f>+'C6 Ejec. Nac 19-26'!E126+'C7 Ejec. Prop 19-26'!E126</f>
        <v>12839.383012854911</v>
      </c>
      <c r="F126" s="42">
        <f>+'C6 Ejec. Nac 19-26'!F126+'C7 Ejec. Prop 19-26'!F126</f>
        <v>14602.0660606602</v>
      </c>
      <c r="G126" s="42">
        <f>+'C6 Ejec. Nac 19-26'!G126+'C7 Ejec. Prop 19-26'!G126</f>
        <v>31732.884905782768</v>
      </c>
      <c r="H126" s="42">
        <f>+'C6 Ejec. Nac 19-26'!H126+'C7 Ejec. Prop 19-26'!H126</f>
        <v>19447.272249106743</v>
      </c>
      <c r="I126" s="42">
        <f>+'C6 Ejec. Nac 19-26'!I126+'C7 Ejec. Prop 19-26'!I126</f>
        <v>9371.2266273207224</v>
      </c>
      <c r="J126" s="42">
        <f>+'C6 Ejec. Nac 19-26'!J126+'C7 Ejec. Prop 19-26'!J126</f>
        <v>10571.042004486169</v>
      </c>
      <c r="K126" s="42">
        <f>+'C6 Ejec. Nac 19-26'!K126+'C7 Ejec. Prop 19-26'!K126</f>
        <v>202.743008721</v>
      </c>
      <c r="L126" s="42"/>
      <c r="M126" s="47">
        <f t="shared" si="40"/>
        <v>99.855475481978075</v>
      </c>
      <c r="N126" s="47">
        <f t="shared" si="41"/>
        <v>52.862386155422413</v>
      </c>
      <c r="O126" s="47">
        <f t="shared" si="42"/>
        <v>51.647195918409793</v>
      </c>
      <c r="P126" s="47">
        <f t="shared" si="43"/>
        <v>95.963292243790121</v>
      </c>
      <c r="Q126" s="47">
        <f t="shared" si="44"/>
        <v>97.46958516518967</v>
      </c>
      <c r="R126" s="47">
        <f t="shared" si="45"/>
        <v>62.087354761386273</v>
      </c>
      <c r="S126" s="47">
        <f t="shared" si="46"/>
        <v>98.681925705495004</v>
      </c>
      <c r="T126" s="47">
        <f t="shared" si="47"/>
        <v>1.9602191853911211</v>
      </c>
    </row>
    <row r="127" spans="2:20" x14ac:dyDescent="0.2">
      <c r="B127" s="32"/>
      <c r="C127" s="77" t="s">
        <v>61</v>
      </c>
      <c r="D127" s="42">
        <f>+'C6 Ejec. Nac 19-26'!D127+'C7 Ejec. Prop 19-26'!D127</f>
        <v>28646.513283425156</v>
      </c>
      <c r="E127" s="42">
        <f>+'C6 Ejec. Nac 19-26'!E127+'C7 Ejec. Prop 19-26'!E127</f>
        <v>31161.47900174723</v>
      </c>
      <c r="F127" s="42">
        <f>+'C6 Ejec. Nac 19-26'!F127+'C7 Ejec. Prop 19-26'!F127</f>
        <v>32403.384428799167</v>
      </c>
      <c r="G127" s="42">
        <f>+'C6 Ejec. Nac 19-26'!G127+'C7 Ejec. Prop 19-26'!G127</f>
        <v>33368.997783617422</v>
      </c>
      <c r="H127" s="42">
        <f>+'C6 Ejec. Nac 19-26'!H127+'C7 Ejec. Prop 19-26'!H127</f>
        <v>33036.404328149787</v>
      </c>
      <c r="I127" s="42">
        <f>+'C6 Ejec. Nac 19-26'!I127+'C7 Ejec. Prop 19-26'!I127</f>
        <v>44111.948789137437</v>
      </c>
      <c r="J127" s="42">
        <f>+'C6 Ejec. Nac 19-26'!J127+'C7 Ejec. Prop 19-26'!J127</f>
        <v>46260.541115373802</v>
      </c>
      <c r="K127" s="42">
        <f>+'C6 Ejec. Nac 19-26'!K127+'C7 Ejec. Prop 19-26'!K127</f>
        <v>14935.4511385104</v>
      </c>
      <c r="L127" s="42"/>
      <c r="M127" s="47">
        <f t="shared" si="40"/>
        <v>99.946195286388942</v>
      </c>
      <c r="N127" s="47">
        <f t="shared" si="41"/>
        <v>97.874521406723218</v>
      </c>
      <c r="O127" s="47">
        <f t="shared" si="42"/>
        <v>95.211150041984567</v>
      </c>
      <c r="P127" s="47">
        <f t="shared" si="43"/>
        <v>99.679241197332871</v>
      </c>
      <c r="Q127" s="47">
        <f t="shared" si="44"/>
        <v>96.068196647084832</v>
      </c>
      <c r="R127" s="47">
        <f t="shared" si="45"/>
        <v>97.975595653713611</v>
      </c>
      <c r="S127" s="47">
        <f t="shared" si="46"/>
        <v>97.068819139431966</v>
      </c>
      <c r="T127" s="47">
        <f t="shared" si="47"/>
        <v>30.619530047637699</v>
      </c>
    </row>
    <row r="128" spans="2:20" x14ac:dyDescent="0.2">
      <c r="B128" s="32"/>
      <c r="C128" s="77" t="s">
        <v>103</v>
      </c>
      <c r="D128" s="42">
        <f>+'C6 Ejec. Nac 19-26'!D128+'C7 Ejec. Prop 19-26'!D128</f>
        <v>185.58855814960285</v>
      </c>
      <c r="E128" s="42">
        <f>+'C6 Ejec. Nac 19-26'!E128+'C7 Ejec. Prop 19-26'!E128</f>
        <v>163.76652424921369</v>
      </c>
      <c r="F128" s="42">
        <f>+'C6 Ejec. Nac 19-26'!F128+'C7 Ejec. Prop 19-26'!F128</f>
        <v>157.40741246147419</v>
      </c>
      <c r="G128" s="42">
        <f>+'C6 Ejec. Nac 19-26'!G128+'C7 Ejec. Prop 19-26'!G128</f>
        <v>159.62961116736241</v>
      </c>
      <c r="H128" s="42">
        <f>+'C6 Ejec. Nac 19-26'!H128+'C7 Ejec. Prop 19-26'!H128</f>
        <v>165.31491288912645</v>
      </c>
      <c r="I128" s="42">
        <f>+'C6 Ejec. Nac 19-26'!I128+'C7 Ejec. Prop 19-26'!I128</f>
        <v>91.630457864185004</v>
      </c>
      <c r="J128" s="42">
        <f>+'C6 Ejec. Nac 19-26'!J128+'C7 Ejec. Prop 19-26'!J128</f>
        <v>102.04752550871267</v>
      </c>
      <c r="K128" s="42">
        <f>+'C6 Ejec. Nac 19-26'!K128+'C7 Ejec. Prop 19-26'!K128</f>
        <v>0</v>
      </c>
      <c r="L128" s="42"/>
      <c r="M128" s="47">
        <f t="shared" si="40"/>
        <v>75.776489297530475</v>
      </c>
      <c r="N128" s="47">
        <f t="shared" si="41"/>
        <v>70.335114702012561</v>
      </c>
      <c r="O128" s="47">
        <f t="shared" si="42"/>
        <v>39.00451729157173</v>
      </c>
      <c r="P128" s="47">
        <f t="shared" si="43"/>
        <v>54.197124451600907</v>
      </c>
      <c r="Q128" s="47">
        <f t="shared" si="44"/>
        <v>49.103939795759707</v>
      </c>
      <c r="R128" s="47">
        <f t="shared" si="45"/>
        <v>28.628382392552282</v>
      </c>
      <c r="S128" s="47">
        <f t="shared" si="46"/>
        <v>33.556239829056395</v>
      </c>
      <c r="T128" s="47">
        <f t="shared" si="47"/>
        <v>0</v>
      </c>
    </row>
    <row r="129" spans="2:20" x14ac:dyDescent="0.2">
      <c r="B129" s="32"/>
      <c r="C129" s="77" t="s">
        <v>104</v>
      </c>
      <c r="D129" s="42">
        <f>+'C6 Ejec. Nac 19-26'!D129+'C7 Ejec. Prop 19-26'!D129</f>
        <v>741.17208196114939</v>
      </c>
      <c r="E129" s="42">
        <f>+'C6 Ejec. Nac 19-26'!E129+'C7 Ejec. Prop 19-26'!E129</f>
        <v>1151.0956024085528</v>
      </c>
      <c r="F129" s="42">
        <f>+'C6 Ejec. Nac 19-26'!F129+'C7 Ejec. Prop 19-26'!F129</f>
        <v>1176.3604377643769</v>
      </c>
      <c r="G129" s="42">
        <f>+'C6 Ejec. Nac 19-26'!G129+'C7 Ejec. Prop 19-26'!G129</f>
        <v>1559.3915659819754</v>
      </c>
      <c r="H129" s="42">
        <f>+'C6 Ejec. Nac 19-26'!H129+'C7 Ejec. Prop 19-26'!H129</f>
        <v>4560.2062207236941</v>
      </c>
      <c r="I129" s="42">
        <f>+'C6 Ejec. Nac 19-26'!I129+'C7 Ejec. Prop 19-26'!I129</f>
        <v>1547.1072287773486</v>
      </c>
      <c r="J129" s="42">
        <f>+'C6 Ejec. Nac 19-26'!J129+'C7 Ejec. Prop 19-26'!J129</f>
        <v>1430.5591246819656</v>
      </c>
      <c r="K129" s="42">
        <f>+'C6 Ejec. Nac 19-26'!K129+'C7 Ejec. Prop 19-26'!K129</f>
        <v>0</v>
      </c>
      <c r="L129" s="42"/>
      <c r="M129" s="47">
        <f t="shared" si="40"/>
        <v>99.306648069156793</v>
      </c>
      <c r="N129" s="47">
        <f t="shared" si="41"/>
        <v>100</v>
      </c>
      <c r="O129" s="47">
        <f t="shared" si="42"/>
        <v>100</v>
      </c>
      <c r="P129" s="47">
        <f t="shared" si="43"/>
        <v>99.971585660163271</v>
      </c>
      <c r="Q129" s="47">
        <f t="shared" si="44"/>
        <v>99.631049280998283</v>
      </c>
      <c r="R129" s="47">
        <f t="shared" si="45"/>
        <v>100</v>
      </c>
      <c r="S129" s="47">
        <f t="shared" si="46"/>
        <v>72.718630119689493</v>
      </c>
      <c r="T129" s="47">
        <f t="shared" si="47"/>
        <v>0</v>
      </c>
    </row>
    <row r="130" spans="2:20" x14ac:dyDescent="0.2">
      <c r="B130" s="34" t="s">
        <v>45</v>
      </c>
      <c r="C130" s="76" t="s">
        <v>46</v>
      </c>
      <c r="D130" s="41">
        <f>+'C6 Ejec. Nac 19-26'!D130+'C7 Ejec. Prop 19-26'!D130</f>
        <v>47572.297853902186</v>
      </c>
      <c r="E130" s="41">
        <f>+'C6 Ejec. Nac 19-26'!E130+'C7 Ejec. Prop 19-26'!E130</f>
        <v>51661.862025138136</v>
      </c>
      <c r="F130" s="41">
        <f>+'C6 Ejec. Nac 19-26'!F130+'C7 Ejec. Prop 19-26'!F130</f>
        <v>63849.669793300724</v>
      </c>
      <c r="G130" s="41">
        <f>+'C6 Ejec. Nac 19-26'!G130+'C7 Ejec. Prop 19-26'!G130</f>
        <v>67785.801828001146</v>
      </c>
      <c r="H130" s="41">
        <f>+'C6 Ejec. Nac 19-26'!H130+'C7 Ejec. Prop 19-26'!H130</f>
        <v>67028.830776604504</v>
      </c>
      <c r="I130" s="41">
        <f>+'C6 Ejec. Nac 19-26'!I130+'C7 Ejec. Prop 19-26'!I130</f>
        <v>54683.931094898144</v>
      </c>
      <c r="J130" s="41">
        <f>+'C6 Ejec. Nac 19-26'!J130+'C7 Ejec. Prop 19-26'!J130</f>
        <v>51235.222578438101</v>
      </c>
      <c r="K130" s="41">
        <f>+'C6 Ejec. Nac 19-26'!K130+'C7 Ejec. Prop 19-26'!K130</f>
        <v>4918.8250155183196</v>
      </c>
      <c r="L130" s="71"/>
      <c r="M130" s="46">
        <f t="shared" si="40"/>
        <v>75.219775103782681</v>
      </c>
      <c r="N130" s="46">
        <f t="shared" si="41"/>
        <v>79.272171533345187</v>
      </c>
      <c r="O130" s="46">
        <f t="shared" si="42"/>
        <v>76.020777911977675</v>
      </c>
      <c r="P130" s="46">
        <f t="shared" si="43"/>
        <v>78.049495433137778</v>
      </c>
      <c r="Q130" s="46">
        <f t="shared" si="44"/>
        <v>70.519380164221459</v>
      </c>
      <c r="R130" s="46">
        <f t="shared" si="45"/>
        <v>55.671141066818166</v>
      </c>
      <c r="S130" s="46">
        <f t="shared" si="46"/>
        <v>63.58015778285354</v>
      </c>
      <c r="T130" s="46">
        <f t="shared" si="47"/>
        <v>5.5642349297678564</v>
      </c>
    </row>
    <row r="131" spans="2:20" x14ac:dyDescent="0.2">
      <c r="B131" s="36" t="s">
        <v>47</v>
      </c>
      <c r="C131" s="78" t="s">
        <v>48</v>
      </c>
      <c r="D131" s="43">
        <f t="shared" ref="D131:K131" si="51">+D112+D130</f>
        <v>270571.32504306373</v>
      </c>
      <c r="E131" s="43">
        <f t="shared" si="51"/>
        <v>317394.04773082118</v>
      </c>
      <c r="F131" s="43">
        <f t="shared" si="51"/>
        <v>345121.9938160184</v>
      </c>
      <c r="G131" s="43">
        <f t="shared" si="51"/>
        <v>301824.62668563798</v>
      </c>
      <c r="H131" s="43">
        <f t="shared" si="51"/>
        <v>335918.29051136295</v>
      </c>
      <c r="I131" s="43">
        <f t="shared" si="51"/>
        <v>336365.48962520203</v>
      </c>
      <c r="J131" s="43">
        <f t="shared" si="51"/>
        <v>353929.72279769008</v>
      </c>
      <c r="K131" s="43">
        <f t="shared" si="51"/>
        <v>45243.891850955872</v>
      </c>
      <c r="L131" s="71"/>
      <c r="M131" s="48">
        <f t="shared" si="40"/>
        <v>90.095794793203282</v>
      </c>
      <c r="N131" s="48">
        <f t="shared" si="41"/>
        <v>83.386279084395127</v>
      </c>
      <c r="O131" s="48">
        <f t="shared" si="42"/>
        <v>89.515611824056577</v>
      </c>
      <c r="P131" s="48">
        <f t="shared" si="43"/>
        <v>86.180922574549783</v>
      </c>
      <c r="Q131" s="48">
        <f t="shared" si="44"/>
        <v>85.451290447474975</v>
      </c>
      <c r="R131" s="48">
        <f t="shared" si="45"/>
        <v>81.482899856413894</v>
      </c>
      <c r="S131" s="48">
        <f t="shared" si="46"/>
        <v>86.235197910682061</v>
      </c>
      <c r="T131" s="48">
        <f t="shared" si="47"/>
        <v>10.131492667826718</v>
      </c>
    </row>
    <row r="132" spans="2:20" x14ac:dyDescent="0.2">
      <c r="B132" s="38" t="s">
        <v>49</v>
      </c>
      <c r="C132" s="79" t="s">
        <v>63</v>
      </c>
      <c r="D132" s="44">
        <f t="shared" ref="D132:K132" si="52">+D112+D120+D130</f>
        <v>348580.31942693971</v>
      </c>
      <c r="E132" s="44">
        <f t="shared" si="52"/>
        <v>384821.00148318673</v>
      </c>
      <c r="F132" s="44">
        <f t="shared" si="52"/>
        <v>422092.78269720316</v>
      </c>
      <c r="G132" s="44">
        <f t="shared" si="52"/>
        <v>387555.68589124241</v>
      </c>
      <c r="H132" s="44">
        <f t="shared" si="52"/>
        <v>421563.10545522708</v>
      </c>
      <c r="I132" s="44">
        <f t="shared" si="52"/>
        <v>426116.3840243367</v>
      </c>
      <c r="J132" s="44">
        <f t="shared" si="52"/>
        <v>461683.84740269819</v>
      </c>
      <c r="K132" s="44">
        <f t="shared" si="52"/>
        <v>66243.106224756426</v>
      </c>
      <c r="L132" s="71"/>
      <c r="M132" s="45">
        <f t="shared" si="40"/>
        <v>91.998494671096367</v>
      </c>
      <c r="N132" s="45">
        <f t="shared" si="41"/>
        <v>83.57159393529237</v>
      </c>
      <c r="O132" s="45">
        <f t="shared" si="42"/>
        <v>87.034989847890373</v>
      </c>
      <c r="P132" s="45">
        <f t="shared" si="43"/>
        <v>88.172509564193277</v>
      </c>
      <c r="Q132" s="45">
        <f t="shared" si="44"/>
        <v>87.345257115304648</v>
      </c>
      <c r="R132" s="45">
        <f t="shared" si="45"/>
        <v>82.711413089827957</v>
      </c>
      <c r="S132" s="45">
        <f t="shared" si="46"/>
        <v>87.675785636055167</v>
      </c>
      <c r="T132" s="45">
        <f t="shared" si="47"/>
        <v>12.109889581134359</v>
      </c>
    </row>
    <row r="133" spans="2:20" s="5" customFormat="1" x14ac:dyDescent="0.2">
      <c r="B133" s="72" t="str">
        <f>+'C1 Aprop Resumen 2000-2026'!B20</f>
        <v>* Información con corte a 28 de febrero</v>
      </c>
      <c r="C133" s="68"/>
      <c r="D133" s="69"/>
      <c r="E133" s="69"/>
      <c r="F133" s="69"/>
      <c r="G133" s="69"/>
      <c r="H133" s="69"/>
      <c r="I133" s="69"/>
      <c r="M133" s="111"/>
      <c r="N133" s="111"/>
      <c r="O133" s="111"/>
      <c r="P133" s="111"/>
      <c r="Q133" s="111"/>
      <c r="R133" s="111"/>
      <c r="S133" s="111"/>
    </row>
    <row r="134" spans="2:20" x14ac:dyDescent="0.2">
      <c r="B134" s="1" t="s">
        <v>52</v>
      </c>
    </row>
  </sheetData>
  <mergeCells count="107">
    <mergeCell ref="B12:B13"/>
    <mergeCell ref="N12:N13"/>
    <mergeCell ref="N77:N78"/>
    <mergeCell ref="P6:P7"/>
    <mergeCell ref="P77:P78"/>
    <mergeCell ref="R6:R7"/>
    <mergeCell ref="D45:D46"/>
    <mergeCell ref="F45:F46"/>
    <mergeCell ref="R12:R13"/>
    <mergeCell ref="I6:I7"/>
    <mergeCell ref="K6:K7"/>
    <mergeCell ref="A7:C7"/>
    <mergeCell ref="C12:C13"/>
    <mergeCell ref="G6:G7"/>
    <mergeCell ref="Q6:Q7"/>
    <mergeCell ref="L6:L7"/>
    <mergeCell ref="N6:N7"/>
    <mergeCell ref="J45:J46"/>
    <mergeCell ref="K77:K78"/>
    <mergeCell ref="C45:C46"/>
    <mergeCell ref="D9:T9"/>
    <mergeCell ref="A5:C6"/>
    <mergeCell ref="O6:O7"/>
    <mergeCell ref="C77:C78"/>
    <mergeCell ref="D11:K11"/>
    <mergeCell ref="M12:M13"/>
    <mergeCell ref="O12:O13"/>
    <mergeCell ref="I110:I111"/>
    <mergeCell ref="T110:T111"/>
    <mergeCell ref="H12:H13"/>
    <mergeCell ref="J12:J13"/>
    <mergeCell ref="M75:S75"/>
    <mergeCell ref="O77:O78"/>
    <mergeCell ref="D42:T42"/>
    <mergeCell ref="G77:G78"/>
    <mergeCell ref="Q77:Q78"/>
    <mergeCell ref="I77:I78"/>
    <mergeCell ref="T12:T13"/>
    <mergeCell ref="M11:T11"/>
    <mergeCell ref="M109:T109"/>
    <mergeCell ref="H45:H46"/>
    <mergeCell ref="S110:S111"/>
    <mergeCell ref="M76:T76"/>
    <mergeCell ref="S12:S13"/>
    <mergeCell ref="T45:T46"/>
    <mergeCell ref="D44:K44"/>
    <mergeCell ref="M44:T44"/>
    <mergeCell ref="K45:K46"/>
    <mergeCell ref="K110:K111"/>
    <mergeCell ref="M110:M111"/>
    <mergeCell ref="Q12:Q13"/>
    <mergeCell ref="J77:J78"/>
    <mergeCell ref="D77:D78"/>
    <mergeCell ref="O45:O46"/>
    <mergeCell ref="F110:F111"/>
    <mergeCell ref="D12:D13"/>
    <mergeCell ref="H110:H111"/>
    <mergeCell ref="R45:R46"/>
    <mergeCell ref="R110:R111"/>
    <mergeCell ref="D2:T2"/>
    <mergeCell ref="F77:F78"/>
    <mergeCell ref="E45:E46"/>
    <mergeCell ref="H77:H78"/>
    <mergeCell ref="G45:G46"/>
    <mergeCell ref="Q45:Q46"/>
    <mergeCell ref="S45:S46"/>
    <mergeCell ref="S6:S7"/>
    <mergeCell ref="M45:M46"/>
    <mergeCell ref="P12:P13"/>
    <mergeCell ref="R77:R78"/>
    <mergeCell ref="T6:T7"/>
    <mergeCell ref="T77:T78"/>
    <mergeCell ref="D4:K4"/>
    <mergeCell ref="D6:D7"/>
    <mergeCell ref="N45:N46"/>
    <mergeCell ref="F6:F7"/>
    <mergeCell ref="P45:P46"/>
    <mergeCell ref="F12:F13"/>
    <mergeCell ref="D10:K10"/>
    <mergeCell ref="H6:H7"/>
    <mergeCell ref="S77:S78"/>
    <mergeCell ref="J6:J7"/>
    <mergeCell ref="M4:T4"/>
    <mergeCell ref="C110:C111"/>
    <mergeCell ref="E110:E111"/>
    <mergeCell ref="G110:G111"/>
    <mergeCell ref="U6:U7"/>
    <mergeCell ref="I45:I46"/>
    <mergeCell ref="D109:K109"/>
    <mergeCell ref="V6:V7"/>
    <mergeCell ref="I12:I13"/>
    <mergeCell ref="K12:K13"/>
    <mergeCell ref="M6:M7"/>
    <mergeCell ref="D76:K76"/>
    <mergeCell ref="E6:E7"/>
    <mergeCell ref="M77:M78"/>
    <mergeCell ref="E77:E78"/>
    <mergeCell ref="J110:J111"/>
    <mergeCell ref="D110:D111"/>
    <mergeCell ref="N110:N111"/>
    <mergeCell ref="P110:P111"/>
    <mergeCell ref="D107:T107"/>
    <mergeCell ref="O110:O111"/>
    <mergeCell ref="Q110:Q111"/>
    <mergeCell ref="D74:T74"/>
    <mergeCell ref="E12:E13"/>
    <mergeCell ref="G12:G13"/>
  </mergeCells>
  <pageMargins left="0.7" right="0.7" top="0.75" bottom="0.75" header="0.3" footer="0.3"/>
  <pageSetup orientation="portrait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/>
  <dimension ref="A1:T138"/>
  <sheetViews>
    <sheetView showGridLines="0" zoomScaleNormal="100" workbookViewId="0">
      <pane xSplit="3" ySplit="7" topLeftCell="D8" activePane="bottomRight" state="frozen"/>
      <selection activeCell="C204" sqref="C204:V204"/>
      <selection pane="topRight" activeCell="C204" sqref="C204:V204"/>
      <selection pane="bottomLeft" activeCell="C204" sqref="C204:V204"/>
      <selection pane="bottomRight" activeCell="P40" sqref="P40"/>
    </sheetView>
  </sheetViews>
  <sheetFormatPr baseColWidth="10" defaultColWidth="11.42578125" defaultRowHeight="11.25" x14ac:dyDescent="0.2"/>
  <cols>
    <col min="1" max="2" width="2.7109375" style="3" customWidth="1"/>
    <col min="3" max="3" width="46.140625" style="3" customWidth="1"/>
    <col min="4" max="10" width="10.7109375" style="3" customWidth="1"/>
    <col min="11" max="12" width="10.7109375" style="5" customWidth="1"/>
    <col min="13" max="33" width="10.7109375" style="3" customWidth="1"/>
    <col min="34" max="34" width="11.42578125" style="3" customWidth="1"/>
    <col min="35" max="16384" width="11.42578125" style="3"/>
  </cols>
  <sheetData>
    <row r="1" spans="1:20" ht="16.5" customHeight="1" x14ac:dyDescent="0.2">
      <c r="I1" s="4"/>
      <c r="N1" s="11"/>
    </row>
    <row r="2" spans="1:20" ht="16.5" customHeight="1" x14ac:dyDescent="0.2">
      <c r="D2" s="159"/>
      <c r="E2" s="158"/>
      <c r="F2" s="158"/>
      <c r="G2" s="158"/>
      <c r="H2" s="158"/>
      <c r="I2" s="158"/>
      <c r="J2" s="158"/>
      <c r="K2" s="169"/>
      <c r="L2" s="169"/>
      <c r="M2" s="158"/>
      <c r="N2" s="158"/>
      <c r="O2" s="158"/>
      <c r="P2" s="158"/>
      <c r="Q2" s="158"/>
      <c r="R2" s="158"/>
      <c r="S2" s="158"/>
      <c r="T2" s="158"/>
    </row>
    <row r="3" spans="1:20" s="98" customFormat="1" ht="16.5" customHeight="1" x14ac:dyDescent="0.25">
      <c r="A3" s="120"/>
    </row>
    <row r="4" spans="1:20" s="98" customFormat="1" ht="16.5" customHeight="1" x14ac:dyDescent="0.25">
      <c r="A4" s="120"/>
      <c r="D4" s="161"/>
      <c r="E4" s="152"/>
      <c r="F4" s="152"/>
      <c r="G4" s="152"/>
      <c r="H4" s="152"/>
      <c r="I4" s="152"/>
      <c r="J4" s="152"/>
      <c r="K4" s="152"/>
      <c r="L4" s="133"/>
      <c r="M4" s="161"/>
      <c r="N4" s="152"/>
      <c r="O4" s="152"/>
      <c r="P4" s="152"/>
      <c r="Q4" s="152"/>
      <c r="R4" s="152"/>
      <c r="S4" s="152"/>
      <c r="T4" s="152"/>
    </row>
    <row r="5" spans="1:20" s="98" customFormat="1" ht="16.5" customHeight="1" x14ac:dyDescent="0.25">
      <c r="A5" s="165" t="s">
        <v>6</v>
      </c>
      <c r="B5" s="152"/>
      <c r="C5" s="152"/>
      <c r="D5" s="147"/>
      <c r="E5" s="147"/>
      <c r="F5" s="147"/>
      <c r="G5" s="147"/>
      <c r="H5" s="147"/>
      <c r="I5" s="147"/>
      <c r="J5" s="147"/>
      <c r="K5" s="147"/>
      <c r="L5" s="133"/>
      <c r="M5" s="147"/>
      <c r="N5" s="147"/>
      <c r="O5" s="147"/>
      <c r="P5" s="147"/>
      <c r="Q5" s="147"/>
      <c r="R5" s="147"/>
      <c r="S5" s="147"/>
      <c r="T5" s="147"/>
    </row>
    <row r="6" spans="1:20" s="98" customFormat="1" ht="16.5" customHeight="1" x14ac:dyDescent="0.25">
      <c r="A6" s="152"/>
      <c r="B6" s="152"/>
      <c r="C6" s="152"/>
      <c r="D6" s="151">
        <v>2019</v>
      </c>
      <c r="E6" s="151">
        <v>2020</v>
      </c>
      <c r="F6" s="151">
        <v>2021</v>
      </c>
      <c r="G6" s="151">
        <v>2022</v>
      </c>
      <c r="H6" s="151">
        <v>2023</v>
      </c>
      <c r="I6" s="151">
        <v>2024</v>
      </c>
      <c r="J6" s="151">
        <v>2025</v>
      </c>
      <c r="K6" s="151" t="s">
        <v>36</v>
      </c>
      <c r="L6" s="151"/>
      <c r="M6" s="151">
        <v>2019</v>
      </c>
      <c r="N6" s="151">
        <v>2020</v>
      </c>
      <c r="O6" s="151">
        <v>2021</v>
      </c>
      <c r="P6" s="151">
        <v>2022</v>
      </c>
      <c r="Q6" s="151">
        <v>2023</v>
      </c>
      <c r="R6" s="151">
        <v>2024</v>
      </c>
      <c r="S6" s="151">
        <v>2025</v>
      </c>
      <c r="T6" s="151" t="s">
        <v>36</v>
      </c>
    </row>
    <row r="7" spans="1:20" s="98" customFormat="1" ht="16.5" customHeight="1" x14ac:dyDescent="0.25">
      <c r="A7" s="162" t="s">
        <v>227</v>
      </c>
      <c r="B7" s="152"/>
      <c r="C7" s="152"/>
      <c r="D7" s="152"/>
      <c r="E7" s="152"/>
      <c r="F7" s="152"/>
      <c r="G7" s="152"/>
      <c r="H7" s="152"/>
      <c r="I7" s="152"/>
      <c r="J7" s="152"/>
      <c r="K7" s="152"/>
      <c r="L7" s="152"/>
      <c r="M7" s="152"/>
      <c r="N7" s="152"/>
      <c r="O7" s="152"/>
      <c r="P7" s="152"/>
      <c r="Q7" s="152"/>
      <c r="R7" s="152"/>
      <c r="S7" s="152"/>
      <c r="T7" s="152"/>
    </row>
    <row r="8" spans="1:20" s="98" customFormat="1" ht="16.5" customHeight="1" x14ac:dyDescent="0.25">
      <c r="A8" s="97"/>
      <c r="D8" s="132"/>
      <c r="E8" s="132"/>
      <c r="F8" s="132"/>
      <c r="G8" s="132"/>
      <c r="H8" s="132"/>
      <c r="I8" s="132"/>
      <c r="J8" s="132"/>
      <c r="K8" s="132"/>
      <c r="L8" s="132"/>
      <c r="M8" s="132"/>
      <c r="N8" s="132"/>
      <c r="O8" s="132"/>
      <c r="P8" s="132"/>
      <c r="Q8" s="132"/>
      <c r="R8" s="132"/>
      <c r="S8" s="132"/>
      <c r="T8" s="132"/>
    </row>
    <row r="9" spans="1:20" ht="16.5" customHeight="1" x14ac:dyDescent="0.2">
      <c r="C9" s="131"/>
      <c r="D9" s="160" t="s">
        <v>109</v>
      </c>
      <c r="E9" s="158"/>
      <c r="F9" s="158"/>
      <c r="G9" s="158"/>
      <c r="H9" s="158"/>
      <c r="I9" s="158"/>
      <c r="J9" s="158"/>
      <c r="K9" s="169"/>
      <c r="L9" s="169"/>
      <c r="M9" s="158"/>
      <c r="N9" s="158"/>
      <c r="O9" s="158"/>
      <c r="P9" s="158"/>
      <c r="Q9" s="158"/>
      <c r="R9" s="158"/>
      <c r="S9" s="158"/>
      <c r="T9" s="158"/>
    </row>
    <row r="10" spans="1:20" ht="15.75" customHeight="1" x14ac:dyDescent="0.2">
      <c r="C10" s="2"/>
      <c r="D10" s="157"/>
      <c r="E10" s="158"/>
      <c r="F10" s="158"/>
      <c r="G10" s="158"/>
      <c r="H10" s="158"/>
      <c r="I10" s="158"/>
      <c r="J10" s="158"/>
      <c r="K10" s="169"/>
    </row>
    <row r="11" spans="1:20" ht="15.75" customHeight="1" thickBot="1" x14ac:dyDescent="0.3">
      <c r="B11" s="19"/>
      <c r="C11" s="92"/>
      <c r="D11" s="168"/>
      <c r="E11" s="154"/>
      <c r="F11" s="154"/>
      <c r="G11" s="154"/>
      <c r="H11" s="154"/>
      <c r="I11" s="154"/>
      <c r="J11" s="154"/>
      <c r="K11" s="154"/>
      <c r="M11" s="168" t="s">
        <v>91</v>
      </c>
      <c r="N11" s="154"/>
      <c r="O11" s="154"/>
      <c r="P11" s="154"/>
      <c r="Q11" s="154"/>
      <c r="R11" s="154"/>
      <c r="S11" s="154"/>
      <c r="T11" s="154"/>
    </row>
    <row r="12" spans="1:20" x14ac:dyDescent="0.2">
      <c r="B12" s="163"/>
      <c r="C12" s="166" t="s">
        <v>38</v>
      </c>
      <c r="D12" s="153">
        <v>2019</v>
      </c>
      <c r="E12" s="153">
        <v>2020</v>
      </c>
      <c r="F12" s="153">
        <v>2021</v>
      </c>
      <c r="G12" s="153">
        <v>2022</v>
      </c>
      <c r="H12" s="153">
        <v>2023</v>
      </c>
      <c r="I12" s="153">
        <v>2024</v>
      </c>
      <c r="J12" s="153">
        <v>2025</v>
      </c>
      <c r="K12" s="153" t="s">
        <v>36</v>
      </c>
      <c r="L12" s="114"/>
      <c r="M12" s="153">
        <v>2019</v>
      </c>
      <c r="N12" s="153">
        <v>2020</v>
      </c>
      <c r="O12" s="153">
        <v>2021</v>
      </c>
      <c r="P12" s="153">
        <v>2022</v>
      </c>
      <c r="Q12" s="153">
        <v>2023</v>
      </c>
      <c r="R12" s="153">
        <v>2024</v>
      </c>
      <c r="S12" s="153">
        <v>2025</v>
      </c>
      <c r="T12" s="153" t="s">
        <v>36</v>
      </c>
    </row>
    <row r="13" spans="1:20" ht="12" customHeight="1" thickBot="1" x14ac:dyDescent="0.25">
      <c r="B13" s="154"/>
      <c r="C13" s="154"/>
      <c r="D13" s="154"/>
      <c r="E13" s="154"/>
      <c r="F13" s="154"/>
      <c r="G13" s="154"/>
      <c r="H13" s="154"/>
      <c r="I13" s="154"/>
      <c r="J13" s="154"/>
      <c r="K13" s="154"/>
      <c r="L13" s="114"/>
      <c r="M13" s="154"/>
      <c r="N13" s="154"/>
      <c r="O13" s="154"/>
      <c r="P13" s="154"/>
      <c r="Q13" s="154"/>
      <c r="R13" s="154"/>
      <c r="S13" s="154"/>
      <c r="T13" s="154"/>
    </row>
    <row r="14" spans="1:20" x14ac:dyDescent="0.2">
      <c r="B14" s="34" t="s">
        <v>39</v>
      </c>
      <c r="C14" s="76" t="s">
        <v>40</v>
      </c>
      <c r="D14" s="41">
        <f t="shared" ref="D14:K14" si="0">+SUM(D15:D21)</f>
        <v>227197.85912714558</v>
      </c>
      <c r="E14" s="41">
        <f t="shared" si="0"/>
        <v>305518.99993388721</v>
      </c>
      <c r="F14" s="41">
        <f t="shared" si="0"/>
        <v>289512.01622458355</v>
      </c>
      <c r="G14" s="41">
        <f t="shared" si="0"/>
        <v>252792.42505243912</v>
      </c>
      <c r="H14" s="41">
        <f t="shared" si="0"/>
        <v>286265.9585391166</v>
      </c>
      <c r="I14" s="41">
        <f t="shared" si="0"/>
        <v>299976.94084225415</v>
      </c>
      <c r="J14" s="41">
        <f t="shared" si="0"/>
        <v>316900.58745983499</v>
      </c>
      <c r="K14" s="41">
        <f t="shared" si="0"/>
        <v>344510.62280686497</v>
      </c>
      <c r="L14" s="71"/>
      <c r="M14" s="119">
        <f t="shared" ref="M14:M34" si="1">+(D14/D$34)*100</f>
        <v>63.74425291965472</v>
      </c>
      <c r="N14" s="119">
        <f t="shared" ref="N14:N34" si="2">+(E14/E$34)*100</f>
        <v>69.686831821106693</v>
      </c>
      <c r="O14" s="119">
        <f t="shared" ref="O14:O34" si="3">+(F14/F$34)*100</f>
        <v>63.136097373330514</v>
      </c>
      <c r="P14" s="119">
        <f t="shared" ref="P14:P34" si="4">+(G14/G$34)*100</f>
        <v>60.768851900330148</v>
      </c>
      <c r="Q14" s="119">
        <f t="shared" ref="Q14:Q34" si="5">+(H14/H$34)*100</f>
        <v>62.530649757764081</v>
      </c>
      <c r="R14" s="119">
        <f t="shared" ref="R14:R34" si="6">+(I14/I$34)*100</f>
        <v>61.732671585358837</v>
      </c>
      <c r="S14" s="119">
        <f t="shared" ref="S14:S34" si="7">+(J14/J$34)*100</f>
        <v>63.453374213350457</v>
      </c>
      <c r="T14" s="119">
        <f t="shared" ref="T14:T34" si="8">+(K14/K$34)*100</f>
        <v>66.59022312759808</v>
      </c>
    </row>
    <row r="15" spans="1:20" x14ac:dyDescent="0.2">
      <c r="B15" s="40"/>
      <c r="C15" s="77" t="s">
        <v>92</v>
      </c>
      <c r="D15" s="42">
        <f>29434.3990317757*Deflactores!$T$5</f>
        <v>44537.263107767569</v>
      </c>
      <c r="E15" s="42">
        <f>31082.96460892*Deflactores!$U$5</f>
        <v>46286.49918647929</v>
      </c>
      <c r="F15" s="42">
        <f>32934.54654911*Deflactores!$V$5</f>
        <v>46434.142094006747</v>
      </c>
      <c r="G15" s="42">
        <f>36169.642668424*Deflactores!$W$5</f>
        <v>45080.690498151038</v>
      </c>
      <c r="H15" s="42">
        <f>42584.280461041*Deflactores!$X$5</f>
        <v>48568.531035191641</v>
      </c>
      <c r="I15" s="42">
        <f>47817.061649576*Deflactores!$Y$5</f>
        <v>51840.931958292524</v>
      </c>
      <c r="J15" s="42">
        <f>53931.398635097*Deflactores!$Z$5</f>
        <v>55632.539160594963</v>
      </c>
      <c r="K15" s="42">
        <f>62318.283906877*Deflactores!$AA$5</f>
        <v>62318.283906876997</v>
      </c>
      <c r="L15" s="42"/>
      <c r="M15" s="109">
        <f t="shared" si="1"/>
        <v>12.495692410120691</v>
      </c>
      <c r="N15" s="109">
        <f t="shared" si="2"/>
        <v>10.557639574278422</v>
      </c>
      <c r="O15" s="109">
        <f t="shared" si="3"/>
        <v>10.126248143082554</v>
      </c>
      <c r="P15" s="109">
        <f t="shared" si="4"/>
        <v>10.836961605469309</v>
      </c>
      <c r="Q15" s="109">
        <f t="shared" si="5"/>
        <v>10.609091695391619</v>
      </c>
      <c r="R15" s="109">
        <f t="shared" si="6"/>
        <v>10.668417439936173</v>
      </c>
      <c r="S15" s="109">
        <f t="shared" si="7"/>
        <v>11.139368197742829</v>
      </c>
      <c r="T15" s="109">
        <f t="shared" si="8"/>
        <v>12.045458559384812</v>
      </c>
    </row>
    <row r="16" spans="1:20" x14ac:dyDescent="0.2">
      <c r="B16" s="40"/>
      <c r="C16" s="77" t="s">
        <v>93</v>
      </c>
      <c r="D16" s="42">
        <f>8922.00873358814*Deflactores!$T$5</f>
        <v>13499.913824931364</v>
      </c>
      <c r="E16" s="42">
        <f>8983.14219531101*Deflactores!$U$5</f>
        <v>13377.044601336631</v>
      </c>
      <c r="F16" s="42">
        <f>10010.518802558*Deflactores!$V$5</f>
        <v>14113.746846934064</v>
      </c>
      <c r="G16" s="42">
        <f>12527.72767363*Deflactores!$W$5</f>
        <v>15614.160722496394</v>
      </c>
      <c r="H16" s="42">
        <f>14809.885732395*Deflactores!$X$5</f>
        <v>16891.07781167109</v>
      </c>
      <c r="I16" s="42">
        <f>15704.734638638*Deflactores!$Y$5</f>
        <v>17026.309265740747</v>
      </c>
      <c r="J16" s="42">
        <f>18641.5635166892*Deflactores!$Z$5</f>
        <v>19229.568277541945</v>
      </c>
      <c r="K16" s="42">
        <f>16700.785589582*Deflactores!$AA$5</f>
        <v>16700.785589581999</v>
      </c>
      <c r="L16" s="42"/>
      <c r="M16" s="109">
        <f t="shared" si="1"/>
        <v>3.787632174686943</v>
      </c>
      <c r="N16" s="109">
        <f t="shared" si="2"/>
        <v>3.0512140246548114</v>
      </c>
      <c r="O16" s="109">
        <f t="shared" si="3"/>
        <v>3.0778926099541288</v>
      </c>
      <c r="P16" s="109">
        <f t="shared" si="4"/>
        <v>3.7534930894250702</v>
      </c>
      <c r="Q16" s="109">
        <f t="shared" si="5"/>
        <v>3.6896111436471064</v>
      </c>
      <c r="R16" s="109">
        <f t="shared" si="6"/>
        <v>3.5038678481805254</v>
      </c>
      <c r="S16" s="109">
        <f t="shared" si="7"/>
        <v>3.8503588827543331</v>
      </c>
      <c r="T16" s="109">
        <f t="shared" si="8"/>
        <v>3.2280834470520698</v>
      </c>
    </row>
    <row r="17" spans="2:20" x14ac:dyDescent="0.2">
      <c r="B17" s="40"/>
      <c r="C17" s="77" t="s">
        <v>58</v>
      </c>
      <c r="D17" s="42">
        <f>110742.344183956*Deflactores!$T$5</f>
        <v>167564.51914534834</v>
      </c>
      <c r="E17" s="42">
        <f>163800.82264649*Deflactores!$U$5</f>
        <v>243920.31904175671</v>
      </c>
      <c r="F17" s="42">
        <f>159976.730579027*Deflactores!$V$5</f>
        <v>225549.85623878019</v>
      </c>
      <c r="G17" s="42">
        <f>152233.85387946*Deflactores!$W$5</f>
        <v>189739.42631929557</v>
      </c>
      <c r="H17" s="42">
        <f>191431.146183159*Deflactores!$X$5</f>
        <v>218332.43309124545</v>
      </c>
      <c r="I17" s="42">
        <f>211052.575297511*Deflactores!$Y$5</f>
        <v>228812.93450865347</v>
      </c>
      <c r="J17" s="42">
        <f>232463.835668997*Deflactores!$Z$5</f>
        <v>239796.36665423794</v>
      </c>
      <c r="K17" s="42">
        <f>263192.81900154*Deflactores!$AA$5</f>
        <v>263192.81900154002</v>
      </c>
      <c r="L17" s="42"/>
      <c r="M17" s="109">
        <f t="shared" si="1"/>
        <v>47.013097437612302</v>
      </c>
      <c r="N17" s="109">
        <f t="shared" si="2"/>
        <v>55.63658644631554</v>
      </c>
      <c r="O17" s="109">
        <f t="shared" si="3"/>
        <v>49.187380447054224</v>
      </c>
      <c r="P17" s="109">
        <f t="shared" si="4"/>
        <v>45.611521370780977</v>
      </c>
      <c r="Q17" s="109">
        <f t="shared" si="5"/>
        <v>47.691555691989826</v>
      </c>
      <c r="R17" s="109">
        <f t="shared" si="6"/>
        <v>47.087731813135662</v>
      </c>
      <c r="S17" s="109">
        <f t="shared" si="7"/>
        <v>48.014706158415258</v>
      </c>
      <c r="T17" s="109">
        <f t="shared" si="8"/>
        <v>50.87236033566176</v>
      </c>
    </row>
    <row r="18" spans="2:20" x14ac:dyDescent="0.2">
      <c r="B18" s="40"/>
      <c r="C18" s="77" t="s">
        <v>94</v>
      </c>
      <c r="D18" s="42">
        <f>71.30791418*Deflactores!$T$5</f>
        <v>107.89618405567897</v>
      </c>
      <c r="E18" s="42">
        <f>69.165109197*Deflactores!$U$5</f>
        <v>102.99567016400266</v>
      </c>
      <c r="F18" s="42">
        <f>88.726645505*Deflactores!$V$5</f>
        <v>125.09495640877647</v>
      </c>
      <c r="G18" s="42">
        <f>86.353914385*Deflactores!$W$5</f>
        <v>107.62876822923394</v>
      </c>
      <c r="H18" s="42">
        <f>100.767412376*Deflactores!$X$5</f>
        <v>114.92797676356629</v>
      </c>
      <c r="I18" s="42">
        <f>105.542896864*Deflactores!$Y$5</f>
        <v>114.42447415746271</v>
      </c>
      <c r="J18" s="42">
        <f>116.33820661*Deflactores!$Z$5</f>
        <v>120.00782473481596</v>
      </c>
      <c r="K18" s="42">
        <f>124.316471004*Deflactores!$AA$5</f>
        <v>124.31647100399999</v>
      </c>
      <c r="L18" s="42"/>
      <c r="M18" s="109">
        <f t="shared" si="1"/>
        <v>3.0272123478337225E-2</v>
      </c>
      <c r="N18" s="109">
        <f t="shared" si="2"/>
        <v>2.3492620578668404E-2</v>
      </c>
      <c r="O18" s="109">
        <f t="shared" si="3"/>
        <v>2.7280412922862294E-2</v>
      </c>
      <c r="P18" s="109">
        <f t="shared" si="4"/>
        <v>2.5872914013861461E-2</v>
      </c>
      <c r="Q18" s="109">
        <f t="shared" si="5"/>
        <v>2.5104350859758321E-2</v>
      </c>
      <c r="R18" s="109">
        <f t="shared" si="6"/>
        <v>2.3547571572191468E-2</v>
      </c>
      <c r="S18" s="109">
        <f t="shared" si="7"/>
        <v>2.4029306706140421E-2</v>
      </c>
      <c r="T18" s="109">
        <f t="shared" si="8"/>
        <v>2.4029045824902728E-2</v>
      </c>
    </row>
    <row r="19" spans="2:20" x14ac:dyDescent="0.2">
      <c r="B19" s="40"/>
      <c r="C19" s="77" t="s">
        <v>95</v>
      </c>
      <c r="D19" s="42">
        <f>290.862*Deflactores!$T$5</f>
        <v>440.10402278187769</v>
      </c>
      <c r="E19" s="42">
        <f>320.008*Deflactores!$U$5</f>
        <v>476.53273161132745</v>
      </c>
      <c r="F19" s="42">
        <f>473.966*Deflactores!$V$5</f>
        <v>668.24070460210226</v>
      </c>
      <c r="G19" s="42">
        <f>471.622709865*Deflactores!$W$5</f>
        <v>587.81552281920142</v>
      </c>
      <c r="H19" s="42">
        <f>572.789123943*Deflactores!$X$5</f>
        <v>653.28158751671344</v>
      </c>
      <c r="I19" s="42">
        <f>517.901845638*Deflactores!$Y$5</f>
        <v>561.48398530949362</v>
      </c>
      <c r="J19" s="42">
        <f>547.832171184*Deflactores!$Z$5</f>
        <v>565.11226276623756</v>
      </c>
      <c r="K19" s="42">
        <f>626.619*Deflactores!$AA$5</f>
        <v>626.61900000000003</v>
      </c>
      <c r="L19" s="42"/>
      <c r="M19" s="109">
        <f t="shared" si="1"/>
        <v>0.12347872575447869</v>
      </c>
      <c r="N19" s="109">
        <f t="shared" si="2"/>
        <v>0.10869391537756147</v>
      </c>
      <c r="O19" s="109">
        <f t="shared" si="3"/>
        <v>0.14572835609646381</v>
      </c>
      <c r="P19" s="109">
        <f t="shared" si="4"/>
        <v>0.1413051615114862</v>
      </c>
      <c r="Q19" s="109">
        <f t="shared" si="5"/>
        <v>0.14269989470865352</v>
      </c>
      <c r="R19" s="109">
        <f t="shared" si="6"/>
        <v>0.11554856972748691</v>
      </c>
      <c r="S19" s="109">
        <f t="shared" si="7"/>
        <v>0.11315308743756779</v>
      </c>
      <c r="T19" s="109">
        <f t="shared" si="8"/>
        <v>0.12111875879480402</v>
      </c>
    </row>
    <row r="20" spans="2:20" x14ac:dyDescent="0.2">
      <c r="B20" s="40"/>
      <c r="C20" s="77" t="s">
        <v>96</v>
      </c>
      <c r="D20" s="42">
        <f>264.477428919*Deflactores!$T$5</f>
        <v>400.1814620069311</v>
      </c>
      <c r="E20" s="42">
        <f>277.706355412*Deflactores!$U$5</f>
        <v>413.54018690253531</v>
      </c>
      <c r="F20" s="42">
        <f>449.983634082*Deflactores!$V$5</f>
        <v>634.42816720686767</v>
      </c>
      <c r="G20" s="42">
        <f>398.735639812*Deflactores!$W$5</f>
        <v>496.97140040145797</v>
      </c>
      <c r="H20" s="42">
        <f>479.886707779*Deflactores!$X$5</f>
        <v>547.32385302279545</v>
      </c>
      <c r="I20" s="42">
        <f>342.640448517*Deflactores!$Y$5</f>
        <v>371.47410495237187</v>
      </c>
      <c r="J20" s="42">
        <f>334.281513066*Deflactores!$Z$5</f>
        <v>344.82564585678733</v>
      </c>
      <c r="K20" s="42">
        <f>353.560150395*Deflactores!$AA$5</f>
        <v>353.56015039499999</v>
      </c>
      <c r="L20" s="42"/>
      <c r="M20" s="109">
        <f t="shared" si="1"/>
        <v>0.11227776716703737</v>
      </c>
      <c r="N20" s="109">
        <f t="shared" si="2"/>
        <v>9.4325739028283492E-2</v>
      </c>
      <c r="O20" s="109">
        <f t="shared" si="3"/>
        <v>0.13835459772448355</v>
      </c>
      <c r="P20" s="109">
        <f t="shared" si="4"/>
        <v>0.11946711387190942</v>
      </c>
      <c r="Q20" s="109">
        <f t="shared" si="5"/>
        <v>0.11955496326595809</v>
      </c>
      <c r="R20" s="109">
        <f t="shared" si="6"/>
        <v>7.6446172359457984E-2</v>
      </c>
      <c r="S20" s="109">
        <f t="shared" si="7"/>
        <v>6.9044841223855957E-2</v>
      </c>
      <c r="T20" s="109">
        <f t="shared" si="8"/>
        <v>6.8339400138116832E-2</v>
      </c>
    </row>
    <row r="21" spans="2:20" x14ac:dyDescent="0.2">
      <c r="B21" s="40"/>
      <c r="C21" s="77" t="s">
        <v>97</v>
      </c>
      <c r="D21" s="42">
        <f>428.246847261359*Deflactores!$T$5</f>
        <v>647.98138025379876</v>
      </c>
      <c r="E21" s="42">
        <f>632.63117421653*Deflactores!$U$5</f>
        <v>942.06851563674866</v>
      </c>
      <c r="F21" s="42">
        <f>1408.978640421*Deflactores!$V$5</f>
        <v>1986.5072166447405</v>
      </c>
      <c r="G21" s="42">
        <f>935.302963387*Deflactores!$W$5</f>
        <v>1165.7318210462163</v>
      </c>
      <c r="H21" s="42">
        <f>1015.655885094*Deflactores!$X$5</f>
        <v>1158.3831837053681</v>
      </c>
      <c r="I21" s="42">
        <f>1152.406022201*Deflactores!$Y$5</f>
        <v>1249.3825451480525</v>
      </c>
      <c r="J21" s="42">
        <f>1175.101781686*Deflactores!$Z$5</f>
        <v>1212.1676341022587</v>
      </c>
      <c r="K21" s="42">
        <f>1194.238687467*Deflactores!$AA$5</f>
        <v>1194.2386874670001</v>
      </c>
      <c r="L21" s="42"/>
      <c r="M21" s="109">
        <f t="shared" si="1"/>
        <v>0.18180228083491645</v>
      </c>
      <c r="N21" s="109">
        <f t="shared" si="2"/>
        <v>0.21487950087341212</v>
      </c>
      <c r="O21" s="109">
        <f t="shared" si="3"/>
        <v>0.43321280649578858</v>
      </c>
      <c r="P21" s="109">
        <f t="shared" si="4"/>
        <v>0.2802306452575255</v>
      </c>
      <c r="Q21" s="109">
        <f t="shared" si="5"/>
        <v>0.25303201790116553</v>
      </c>
      <c r="R21" s="109">
        <f t="shared" si="6"/>
        <v>0.25711217044733736</v>
      </c>
      <c r="S21" s="109">
        <f t="shared" si="7"/>
        <v>0.24271373907046129</v>
      </c>
      <c r="T21" s="109">
        <f t="shared" si="8"/>
        <v>0.23083358074162919</v>
      </c>
    </row>
    <row r="22" spans="2:20" x14ac:dyDescent="0.2">
      <c r="B22" s="34" t="s">
        <v>41</v>
      </c>
      <c r="C22" s="76" t="s">
        <v>42</v>
      </c>
      <c r="D22" s="41">
        <f t="shared" ref="D22:K22" si="9">+D23+D27</f>
        <v>78580.705757145115</v>
      </c>
      <c r="E22" s="41">
        <f t="shared" si="9"/>
        <v>79835.90472359804</v>
      </c>
      <c r="F22" s="41">
        <f t="shared" si="9"/>
        <v>99423.347443766106</v>
      </c>
      <c r="G22" s="41">
        <f t="shared" si="9"/>
        <v>89298.988069186002</v>
      </c>
      <c r="H22" s="41">
        <f t="shared" si="9"/>
        <v>89469.101550901934</v>
      </c>
      <c r="I22" s="41">
        <f t="shared" si="9"/>
        <v>102379.49892175748</v>
      </c>
      <c r="J22" s="41">
        <f t="shared" si="9"/>
        <v>116157.05507914323</v>
      </c>
      <c r="K22" s="41">
        <f t="shared" si="9"/>
        <v>100449.70846832701</v>
      </c>
      <c r="L22" s="71"/>
      <c r="M22" s="119">
        <f t="shared" si="1"/>
        <v>22.047163655645303</v>
      </c>
      <c r="N22" s="119">
        <f t="shared" si="2"/>
        <v>18.210033637722006</v>
      </c>
      <c r="O22" s="119">
        <f t="shared" si="3"/>
        <v>21.682009013825066</v>
      </c>
      <c r="P22" s="119">
        <f t="shared" si="4"/>
        <v>21.466612299399486</v>
      </c>
      <c r="Q22" s="119">
        <f t="shared" si="5"/>
        <v>19.543228547926738</v>
      </c>
      <c r="R22" s="119">
        <f t="shared" si="6"/>
        <v>21.068819377466657</v>
      </c>
      <c r="S22" s="119">
        <f t="shared" si="7"/>
        <v>23.258262607013325</v>
      </c>
      <c r="T22" s="119">
        <f t="shared" si="8"/>
        <v>19.415855585265817</v>
      </c>
    </row>
    <row r="23" spans="2:20" x14ac:dyDescent="0.2">
      <c r="B23" s="34"/>
      <c r="C23" s="76" t="s">
        <v>43</v>
      </c>
      <c r="D23" s="41">
        <f t="shared" ref="D23:K23" si="10">+SUM(D24:D26)</f>
        <v>21785.09119912859</v>
      </c>
      <c r="E23" s="41">
        <f t="shared" si="10"/>
        <v>22327.198196694211</v>
      </c>
      <c r="F23" s="41">
        <f t="shared" si="10"/>
        <v>35539.334820121454</v>
      </c>
      <c r="G23" s="41">
        <f t="shared" si="10"/>
        <v>20921.970426761705</v>
      </c>
      <c r="H23" s="41">
        <f t="shared" si="10"/>
        <v>30274.711384718314</v>
      </c>
      <c r="I23" s="41">
        <f t="shared" si="10"/>
        <v>40395.303021221087</v>
      </c>
      <c r="J23" s="41">
        <f t="shared" si="10"/>
        <v>55515.988624900769</v>
      </c>
      <c r="K23" s="41">
        <f t="shared" si="10"/>
        <v>38406.044999037003</v>
      </c>
      <c r="L23" s="71"/>
      <c r="M23" s="119">
        <f t="shared" si="1"/>
        <v>6.1121806719924248</v>
      </c>
      <c r="N23" s="119">
        <f t="shared" si="2"/>
        <v>5.0926839447178001</v>
      </c>
      <c r="O23" s="119">
        <f t="shared" si="3"/>
        <v>7.7503342798938837</v>
      </c>
      <c r="P23" s="119">
        <f t="shared" si="4"/>
        <v>5.029439161649047</v>
      </c>
      <c r="Q23" s="119">
        <f t="shared" si="5"/>
        <v>6.6130719271552261</v>
      </c>
      <c r="R23" s="119">
        <f t="shared" si="6"/>
        <v>8.3130055530216147</v>
      </c>
      <c r="S23" s="119">
        <f t="shared" si="7"/>
        <v>11.116031148053366</v>
      </c>
      <c r="T23" s="119">
        <f t="shared" si="8"/>
        <v>7.423478222812828</v>
      </c>
    </row>
    <row r="24" spans="2:20" x14ac:dyDescent="0.2">
      <c r="B24" s="32"/>
      <c r="C24" s="83" t="s">
        <v>98</v>
      </c>
      <c r="D24" s="42">
        <f>7959.154392171*Deflactores!$T$5</f>
        <v>12043.016502453078</v>
      </c>
      <c r="E24" s="42">
        <f>6490.613934677*Deflactores!$U$5</f>
        <v>9665.3520790923267</v>
      </c>
      <c r="F24" s="42">
        <f>14288.539061341*Deflactores!$V$5</f>
        <v>20145.291877656142</v>
      </c>
      <c r="G24" s="42">
        <f>4337.434866224*Deflactores!$W$5</f>
        <v>5406.0406554924148</v>
      </c>
      <c r="H24" s="42">
        <f>13192.02232615*Deflactores!$X$5</f>
        <v>15045.860557647062</v>
      </c>
      <c r="I24" s="42">
        <f>19509.579269688*Deflactores!$Y$5</f>
        <v>21151.336710455907</v>
      </c>
      <c r="J24" s="42">
        <f>34461.957*Deflactores!$Z$5</f>
        <v>35548.979275044745</v>
      </c>
      <c r="K24" s="42">
        <f>17273.044999703*Deflactores!$AA$5</f>
        <v>17273.044999703001</v>
      </c>
      <c r="L24" s="42"/>
      <c r="M24" s="109">
        <f t="shared" si="1"/>
        <v>3.3788746636839369</v>
      </c>
      <c r="N24" s="109">
        <f t="shared" si="2"/>
        <v>2.2046018904658737</v>
      </c>
      <c r="O24" s="109">
        <f t="shared" si="3"/>
        <v>4.3932377183792388</v>
      </c>
      <c r="P24" s="109">
        <f t="shared" si="4"/>
        <v>1.2995598420033134</v>
      </c>
      <c r="Q24" s="109">
        <f t="shared" si="5"/>
        <v>3.2865501774491523</v>
      </c>
      <c r="R24" s="109">
        <f t="shared" si="6"/>
        <v>4.3527629792869611</v>
      </c>
      <c r="S24" s="109">
        <f t="shared" si="7"/>
        <v>7.1180135793467061</v>
      </c>
      <c r="T24" s="109">
        <f t="shared" si="8"/>
        <v>3.338695077823723</v>
      </c>
    </row>
    <row r="25" spans="2:20" x14ac:dyDescent="0.2">
      <c r="B25" s="32"/>
      <c r="C25" s="83" t="s">
        <v>61</v>
      </c>
      <c r="D25" s="42">
        <f>6311.235965773*Deflactores!$T$5</f>
        <v>9549.5469922587563</v>
      </c>
      <c r="E25" s="42">
        <f>8236.150802244*Deflactores!$U$5</f>
        <v>12264.679132259691</v>
      </c>
      <c r="F25" s="42">
        <f>10756.284872722*Deflactores!$V$5</f>
        <v>15165.196200252094</v>
      </c>
      <c r="G25" s="42">
        <f>12302.991215574*Deflactores!$W$5</f>
        <v>15334.056359781256</v>
      </c>
      <c r="H25" s="42">
        <f>13202.203848146*Deflactores!$X$5</f>
        <v>15057.472860630569</v>
      </c>
      <c r="I25" s="42">
        <f>17520.949823402*Deflactores!$Y$5</f>
        <v>18995.361410871941</v>
      </c>
      <c r="J25" s="42">
        <f>18779.458155401*Deflactores!$Z$5</f>
        <v>19371.812481888948</v>
      </c>
      <c r="K25" s="42">
        <f>19987.062393947*Deflactores!$AA$5</f>
        <v>19987.062393946999</v>
      </c>
      <c r="L25" s="42"/>
      <c r="M25" s="109">
        <f t="shared" si="1"/>
        <v>2.6792890614431819</v>
      </c>
      <c r="N25" s="109">
        <f t="shared" si="2"/>
        <v>2.7974909325265132</v>
      </c>
      <c r="O25" s="109">
        <f t="shared" si="3"/>
        <v>3.3071902039535299</v>
      </c>
      <c r="P25" s="109">
        <f t="shared" si="4"/>
        <v>3.6861587120957591</v>
      </c>
      <c r="Q25" s="109">
        <f t="shared" si="5"/>
        <v>3.2890867167374713</v>
      </c>
      <c r="R25" s="109">
        <f t="shared" si="6"/>
        <v>3.9090818258567332</v>
      </c>
      <c r="S25" s="109">
        <f t="shared" si="7"/>
        <v>3.8788406056834668</v>
      </c>
      <c r="T25" s="109">
        <f t="shared" si="8"/>
        <v>3.8632856474335515</v>
      </c>
    </row>
    <row r="26" spans="2:20" x14ac:dyDescent="0.2">
      <c r="B26" s="32"/>
      <c r="C26" s="83" t="s">
        <v>99</v>
      </c>
      <c r="D26" s="42">
        <f>127.240357423*Deflactores!$T$5</f>
        <v>192.5277044167552</v>
      </c>
      <c r="E26" s="42">
        <f>266.711191518*Deflactores!$U$5</f>
        <v>397.1669853421929</v>
      </c>
      <c r="F26" s="42">
        <f>162.315127278*Deflactores!$V$5</f>
        <v>228.84674221321916</v>
      </c>
      <c r="G26" s="42">
        <f>145.922705081*Deflactores!$W$5</f>
        <v>181.87341148803682</v>
      </c>
      <c r="H26" s="42">
        <f>150.262057184*Deflactores!$X$5</f>
        <v>171.37796644068132</v>
      </c>
      <c r="I26" s="42">
        <f>229.308297045*Deflactores!$Y$5</f>
        <v>248.60489989324103</v>
      </c>
      <c r="J26" s="42">
        <f>576.996844599*Deflactores!$Z$5</f>
        <v>595.19686796707651</v>
      </c>
      <c r="K26" s="42">
        <f>1145.937605387*Deflactores!$AA$5</f>
        <v>1145.9376053870001</v>
      </c>
      <c r="L26" s="42"/>
      <c r="M26" s="109">
        <f t="shared" si="1"/>
        <v>5.4016946865305414E-2</v>
      </c>
      <c r="N26" s="109">
        <f t="shared" si="2"/>
        <v>9.0591121725413393E-2</v>
      </c>
      <c r="O26" s="109">
        <f t="shared" si="3"/>
        <v>4.9906357561114577E-2</v>
      </c>
      <c r="P26" s="109">
        <f t="shared" si="4"/>
        <v>4.3720607549975608E-2</v>
      </c>
      <c r="Q26" s="109">
        <f t="shared" si="5"/>
        <v>3.7435032968601324E-2</v>
      </c>
      <c r="R26" s="109">
        <f t="shared" si="6"/>
        <v>5.1160747877920569E-2</v>
      </c>
      <c r="S26" s="109">
        <f t="shared" si="7"/>
        <v>0.11917696302319349</v>
      </c>
      <c r="T26" s="109">
        <f t="shared" si="8"/>
        <v>0.22149749755555351</v>
      </c>
    </row>
    <row r="27" spans="2:20" x14ac:dyDescent="0.2">
      <c r="B27" s="34"/>
      <c r="C27" s="76" t="s">
        <v>44</v>
      </c>
      <c r="D27" s="41">
        <f t="shared" ref="D27:K27" si="11">+SUM(D28:D31)</f>
        <v>56795.614558016525</v>
      </c>
      <c r="E27" s="41">
        <f t="shared" si="11"/>
        <v>57508.706526903821</v>
      </c>
      <c r="F27" s="41">
        <f t="shared" si="11"/>
        <v>63884.012623644652</v>
      </c>
      <c r="G27" s="41">
        <f t="shared" si="11"/>
        <v>68377.017642424296</v>
      </c>
      <c r="H27" s="41">
        <f t="shared" si="11"/>
        <v>59194.390166183621</v>
      </c>
      <c r="I27" s="41">
        <f t="shared" si="11"/>
        <v>61984.19590053639</v>
      </c>
      <c r="J27" s="41">
        <f t="shared" si="11"/>
        <v>60641.066454242457</v>
      </c>
      <c r="K27" s="41">
        <f t="shared" si="11"/>
        <v>62043.663469289997</v>
      </c>
      <c r="L27" s="71"/>
      <c r="M27" s="119">
        <f t="shared" si="1"/>
        <v>15.93498298365288</v>
      </c>
      <c r="N27" s="119">
        <f t="shared" si="2"/>
        <v>13.117349693004204</v>
      </c>
      <c r="O27" s="119">
        <f t="shared" si="3"/>
        <v>13.931674733931182</v>
      </c>
      <c r="P27" s="119">
        <f t="shared" si="4"/>
        <v>16.437173137750438</v>
      </c>
      <c r="Q27" s="119">
        <f t="shared" si="5"/>
        <v>12.930156620771513</v>
      </c>
      <c r="R27" s="119">
        <f t="shared" si="6"/>
        <v>12.755813824445045</v>
      </c>
      <c r="S27" s="119">
        <f t="shared" si="7"/>
        <v>12.142231458959957</v>
      </c>
      <c r="T27" s="119">
        <f t="shared" si="8"/>
        <v>11.992377362452986</v>
      </c>
    </row>
    <row r="28" spans="2:20" x14ac:dyDescent="0.2">
      <c r="B28" s="32"/>
      <c r="C28" s="83" t="s">
        <v>98</v>
      </c>
      <c r="D28" s="42">
        <f>17938.362983046*Deflactores!$T$5</f>
        <v>27142.582086900551</v>
      </c>
      <c r="E28" s="42">
        <f>16309.334008813*Deflactores!$U$5</f>
        <v>24286.678726723025</v>
      </c>
      <c r="F28" s="42">
        <f>20051.830051171*Deflactores!$V$5</f>
        <v>28270.907706367372</v>
      </c>
      <c r="G28" s="42">
        <f>26529.863258776*Deflactores!$W$5</f>
        <v>33065.976501096062</v>
      </c>
      <c r="H28" s="42">
        <f>17493.790509566*Deflactores!$X$5</f>
        <v>19952.144267514694</v>
      </c>
      <c r="I28" s="42">
        <f>13922.055749775*Deflactores!$Y$5</f>
        <v>15093.615541097155</v>
      </c>
      <c r="J28" s="42">
        <f>10384.67677591*Deflactores!$Z$5</f>
        <v>10712.237250045408</v>
      </c>
      <c r="K28" s="42">
        <f>10342.874420982*Deflactores!$AA$5</f>
        <v>10342.874420982</v>
      </c>
      <c r="L28" s="42"/>
      <c r="M28" s="109">
        <f t="shared" si="1"/>
        <v>7.6153165531001958</v>
      </c>
      <c r="N28" s="109">
        <f t="shared" si="2"/>
        <v>5.5396282924748945</v>
      </c>
      <c r="O28" s="109">
        <f t="shared" si="3"/>
        <v>6.1652528453155329</v>
      </c>
      <c r="P28" s="109">
        <f t="shared" si="4"/>
        <v>7.94874066546131</v>
      </c>
      <c r="Q28" s="109">
        <f t="shared" si="5"/>
        <v>4.358256746541735</v>
      </c>
      <c r="R28" s="109">
        <f t="shared" si="6"/>
        <v>3.1061361203899969</v>
      </c>
      <c r="S28" s="109">
        <f t="shared" si="7"/>
        <v>2.1449237577556537</v>
      </c>
      <c r="T28" s="109">
        <f t="shared" si="8"/>
        <v>1.9991671370320194</v>
      </c>
    </row>
    <row r="29" spans="2:20" x14ac:dyDescent="0.2">
      <c r="B29" s="32"/>
      <c r="C29" s="83" t="s">
        <v>61</v>
      </c>
      <c r="D29" s="42">
        <f>18942.384672543*Deflactores!$T$5</f>
        <v>28661.769827161868</v>
      </c>
      <c r="E29" s="42">
        <f>21380.367667267*Deflactores!$U$5</f>
        <v>31838.094695561518</v>
      </c>
      <c r="F29" s="42">
        <f>24138.863815227*Deflactores!$V$5</f>
        <v>34033.182473387293</v>
      </c>
      <c r="G29" s="42">
        <f>26859.139730674*Deflactores!$W$5</f>
        <v>33476.376207115711</v>
      </c>
      <c r="H29" s="42">
        <f>30151.399806413*Deflactores!$X$5</f>
        <v>34388.492218202024</v>
      </c>
      <c r="I29" s="42">
        <f>41528.707714218*Deflactores!$Y$5</f>
        <v>45023.404547646089</v>
      </c>
      <c r="J29" s="42">
        <f>46200.190150207*Deflactores!$Z$5</f>
        <v>47657.467686841905</v>
      </c>
      <c r="K29" s="42">
        <f>48777.532232774*Deflactores!$AA$5</f>
        <v>48777.532232774</v>
      </c>
      <c r="L29" s="42"/>
      <c r="M29" s="109">
        <f t="shared" si="1"/>
        <v>8.0415507082973292</v>
      </c>
      <c r="N29" s="109">
        <f t="shared" si="2"/>
        <v>7.2620555547582288</v>
      </c>
      <c r="O29" s="109">
        <f t="shared" si="3"/>
        <v>7.4218761299954972</v>
      </c>
      <c r="P29" s="109">
        <f t="shared" si="4"/>
        <v>8.0473967820355057</v>
      </c>
      <c r="Q29" s="109">
        <f t="shared" si="5"/>
        <v>7.511667728736092</v>
      </c>
      <c r="R29" s="109">
        <f t="shared" si="6"/>
        <v>9.2654289986114975</v>
      </c>
      <c r="S29" s="109">
        <f t="shared" si="7"/>
        <v>9.5425103356020493</v>
      </c>
      <c r="T29" s="109">
        <f t="shared" si="8"/>
        <v>9.4281759108918362</v>
      </c>
    </row>
    <row r="30" spans="2:20" x14ac:dyDescent="0.2">
      <c r="B30" s="32"/>
      <c r="C30" s="83" t="s">
        <v>99</v>
      </c>
      <c r="D30" s="42">
        <f>161.863290488*Deflactores!$T$5</f>
        <v>244.91575140265977</v>
      </c>
      <c r="E30" s="42">
        <f>156.358332733*Deflactores!$U$5</f>
        <v>232.8375022107239</v>
      </c>
      <c r="F30" s="42">
        <f>286.236184773*Deflactores!$V$5</f>
        <v>403.56200612560195</v>
      </c>
      <c r="G30" s="42">
        <f>236.314771824*Deflactores!$W$5</f>
        <v>294.53520418765902</v>
      </c>
      <c r="H30" s="42">
        <f>295.182114259*Deflactores!$X$5</f>
        <v>336.66323634463635</v>
      </c>
      <c r="I30" s="42">
        <f>295.225000555*Deflactores!$Y$5</f>
        <v>320.06858301579348</v>
      </c>
      <c r="J30" s="42">
        <f>294.809849793*Deflactores!$Z$5</f>
        <v>304.10894077693882</v>
      </c>
      <c r="K30" s="42">
        <f>257.928673981*Deflactores!$AA$5</f>
        <v>257.92867398099997</v>
      </c>
      <c r="L30" s="42"/>
      <c r="M30" s="109">
        <f t="shared" si="1"/>
        <v>6.8715311233111476E-2</v>
      </c>
      <c r="N30" s="109">
        <f t="shared" si="2"/>
        <v>5.3108670366544909E-2</v>
      </c>
      <c r="O30" s="109">
        <f t="shared" si="3"/>
        <v>8.8007850061592938E-2</v>
      </c>
      <c r="P30" s="109">
        <f t="shared" si="4"/>
        <v>7.0803411925814158E-2</v>
      </c>
      <c r="Q30" s="109">
        <f t="shared" si="5"/>
        <v>7.3539204680898876E-2</v>
      </c>
      <c r="R30" s="109">
        <f t="shared" si="6"/>
        <v>6.5867358553054395E-2</v>
      </c>
      <c r="S30" s="109">
        <f t="shared" si="7"/>
        <v>6.0892087879737558E-2</v>
      </c>
      <c r="T30" s="109">
        <f t="shared" si="8"/>
        <v>4.9854857337821516E-2</v>
      </c>
    </row>
    <row r="31" spans="2:20" x14ac:dyDescent="0.2">
      <c r="B31" s="32"/>
      <c r="C31" s="83" t="s">
        <v>100</v>
      </c>
      <c r="D31" s="42">
        <f>493.256*Deflactores!$T$5</f>
        <v>746.34689255144303</v>
      </c>
      <c r="E31" s="42">
        <f>773*Deflactores!$U$5</f>
        <v>1151.0956024085528</v>
      </c>
      <c r="F31" s="42">
        <f>834.3623*Deflactores!$V$5</f>
        <v>1176.3604377643769</v>
      </c>
      <c r="G31" s="42">
        <f>1235.694071729*Deflactores!$W$5</f>
        <v>1540.1297300248484</v>
      </c>
      <c r="H31" s="42">
        <f>3960.528396484*Deflactores!$X$5</f>
        <v>4517.0904441222683</v>
      </c>
      <c r="I31" s="42">
        <f>1427.021447*Deflactores!$Y$5</f>
        <v>1547.1072287773486</v>
      </c>
      <c r="J31" s="42">
        <f>1907.097618124*Deflactores!$Z$5</f>
        <v>1967.2525765782041</v>
      </c>
      <c r="K31" s="42">
        <f>2665.328141553*Deflactores!$AA$5</f>
        <v>2665.328141553</v>
      </c>
      <c r="L31" s="42"/>
      <c r="M31" s="109">
        <f t="shared" si="1"/>
        <v>0.20940041102224125</v>
      </c>
      <c r="N31" s="109">
        <f t="shared" si="2"/>
        <v>0.26255717540453688</v>
      </c>
      <c r="O31" s="109">
        <f t="shared" si="3"/>
        <v>0.25653790855855607</v>
      </c>
      <c r="P31" s="109">
        <f t="shared" si="4"/>
        <v>0.37023227832780509</v>
      </c>
      <c r="Q31" s="109">
        <f t="shared" si="5"/>
        <v>0.98669294081278791</v>
      </c>
      <c r="R31" s="109">
        <f t="shared" si="6"/>
        <v>0.31838134689049324</v>
      </c>
      <c r="S31" s="109">
        <f t="shared" si="7"/>
        <v>0.39390527772251566</v>
      </c>
      <c r="T31" s="109">
        <f t="shared" si="8"/>
        <v>0.51517945719130931</v>
      </c>
    </row>
    <row r="32" spans="2:20" x14ac:dyDescent="0.2">
      <c r="B32" s="34" t="s">
        <v>45</v>
      </c>
      <c r="C32" s="76" t="s">
        <v>46</v>
      </c>
      <c r="D32" s="41">
        <f>33469.222870768*Deflactores!$T$5</f>
        <v>50642.365193143894</v>
      </c>
      <c r="E32" s="41">
        <f>35633.088244153*Deflactores!$U$5</f>
        <v>53062.213684450733</v>
      </c>
      <c r="F32" s="41">
        <f>49377.4964657*Deflactores!$V$5</f>
        <v>69616.919841775962</v>
      </c>
      <c r="G32" s="41">
        <f>59291.241905104*Deflactores!$W$5</f>
        <v>73898.715286684936</v>
      </c>
      <c r="H32" s="41">
        <f>71954.415677339*Deflactores!$X$5</f>
        <v>82065.969721881935</v>
      </c>
      <c r="I32" s="41">
        <f>77085.675691022*Deflactores!$Y$5</f>
        <v>83572.539394894222</v>
      </c>
      <c r="J32" s="41">
        <f>64335.7862965803*Deflactores!$Z$5</f>
        <v>66365.109030251551</v>
      </c>
      <c r="K32" s="41">
        <f>72398.834419034*Deflactores!$AA$5</f>
        <v>72398.834419033999</v>
      </c>
      <c r="L32" s="71"/>
      <c r="M32" s="113">
        <f t="shared" si="1"/>
        <v>14.208583424699986</v>
      </c>
      <c r="N32" s="113">
        <f t="shared" si="2"/>
        <v>12.103134541171306</v>
      </c>
      <c r="O32" s="113">
        <f t="shared" si="3"/>
        <v>15.18189361284441</v>
      </c>
      <c r="P32" s="113">
        <f t="shared" si="4"/>
        <v>17.764535800270373</v>
      </c>
      <c r="Q32" s="113">
        <f t="shared" si="5"/>
        <v>17.926121694309181</v>
      </c>
      <c r="R32" s="113">
        <f t="shared" si="6"/>
        <v>17.1985090371745</v>
      </c>
      <c r="S32" s="113">
        <f t="shared" si="7"/>
        <v>13.288363179636208</v>
      </c>
      <c r="T32" s="113">
        <f t="shared" si="8"/>
        <v>13.993921287136097</v>
      </c>
    </row>
    <row r="33" spans="1:20" x14ac:dyDescent="0.2">
      <c r="B33" s="36" t="s">
        <v>47</v>
      </c>
      <c r="C33" s="78" t="s">
        <v>48</v>
      </c>
      <c r="D33" s="43">
        <f>+D34-D22</f>
        <v>277840.22432028945</v>
      </c>
      <c r="E33" s="43">
        <f>+E34-E22</f>
        <v>358581.21361833793</v>
      </c>
      <c r="F33" s="43">
        <f t="shared" ref="F33:K33" si="12">(+F34-F22)</f>
        <v>359128.93606635951</v>
      </c>
      <c r="G33" s="43">
        <f t="shared" si="12"/>
        <v>326691.14033912407</v>
      </c>
      <c r="H33" s="43">
        <f t="shared" si="12"/>
        <v>368331.92826099851</v>
      </c>
      <c r="I33" s="43">
        <f t="shared" si="12"/>
        <v>383549.48023714835</v>
      </c>
      <c r="J33" s="43">
        <f t="shared" si="12"/>
        <v>383265.69649008662</v>
      </c>
      <c r="K33" s="43">
        <f t="shared" si="12"/>
        <v>416909.45722589898</v>
      </c>
      <c r="L33" s="71"/>
      <c r="M33" s="112">
        <f t="shared" si="1"/>
        <v>77.952836344354694</v>
      </c>
      <c r="N33" s="112">
        <f t="shared" si="2"/>
        <v>81.789966362277994</v>
      </c>
      <c r="O33" s="112">
        <f t="shared" si="3"/>
        <v>78.317990986174934</v>
      </c>
      <c r="P33" s="112">
        <f t="shared" si="4"/>
        <v>78.533387700600514</v>
      </c>
      <c r="Q33" s="112">
        <f t="shared" si="5"/>
        <v>80.456771452073255</v>
      </c>
      <c r="R33" s="112">
        <f t="shared" si="6"/>
        <v>78.931180622533333</v>
      </c>
      <c r="S33" s="112">
        <f t="shared" si="7"/>
        <v>76.741737392986693</v>
      </c>
      <c r="T33" s="112">
        <f t="shared" si="8"/>
        <v>80.584144414734183</v>
      </c>
    </row>
    <row r="34" spans="1:20" x14ac:dyDescent="0.2">
      <c r="B34" s="38" t="s">
        <v>49</v>
      </c>
      <c r="C34" s="79" t="s">
        <v>50</v>
      </c>
      <c r="D34" s="44">
        <f t="shared" ref="D34:K34" si="13">+D14+D22+D32</f>
        <v>356420.93007743458</v>
      </c>
      <c r="E34" s="44">
        <f t="shared" si="13"/>
        <v>438417.11834193597</v>
      </c>
      <c r="F34" s="44">
        <f t="shared" si="13"/>
        <v>458552.28351012565</v>
      </c>
      <c r="G34" s="44">
        <f t="shared" si="13"/>
        <v>415990.12840831006</v>
      </c>
      <c r="H34" s="44">
        <f t="shared" si="13"/>
        <v>457801.02981190046</v>
      </c>
      <c r="I34" s="44">
        <f t="shared" si="13"/>
        <v>485928.97915890586</v>
      </c>
      <c r="J34" s="44">
        <f t="shared" si="13"/>
        <v>499422.75156922982</v>
      </c>
      <c r="K34" s="44">
        <f t="shared" si="13"/>
        <v>517359.16569422599</v>
      </c>
      <c r="L34" s="71"/>
      <c r="M34" s="107">
        <f t="shared" si="1"/>
        <v>100</v>
      </c>
      <c r="N34" s="107">
        <f t="shared" si="2"/>
        <v>100</v>
      </c>
      <c r="O34" s="107">
        <f t="shared" si="3"/>
        <v>100</v>
      </c>
      <c r="P34" s="107">
        <f t="shared" si="4"/>
        <v>100</v>
      </c>
      <c r="Q34" s="107">
        <f t="shared" si="5"/>
        <v>100</v>
      </c>
      <c r="R34" s="107">
        <f t="shared" si="6"/>
        <v>100</v>
      </c>
      <c r="S34" s="107">
        <f t="shared" si="7"/>
        <v>100</v>
      </c>
      <c r="T34" s="107">
        <f t="shared" si="8"/>
        <v>100</v>
      </c>
    </row>
    <row r="35" spans="1:20" s="5" customFormat="1" x14ac:dyDescent="0.2">
      <c r="B35" s="72" t="str">
        <f>+'C1 Aprop Resumen 2000-2026'!B20</f>
        <v>* Información con corte a 28 de febrero</v>
      </c>
      <c r="C35" s="68"/>
      <c r="D35" s="71"/>
      <c r="E35" s="71"/>
      <c r="F35" s="71"/>
      <c r="G35" s="71"/>
      <c r="H35" s="71"/>
      <c r="I35" s="71"/>
    </row>
    <row r="36" spans="1:20" ht="10.5" customHeight="1" x14ac:dyDescent="0.2">
      <c r="B36" s="1" t="s">
        <v>52</v>
      </c>
    </row>
    <row r="42" spans="1:20" ht="18" customHeight="1" x14ac:dyDescent="0.2">
      <c r="A42" s="16"/>
      <c r="C42" s="131"/>
      <c r="D42" s="160" t="s">
        <v>110</v>
      </c>
      <c r="E42" s="158"/>
      <c r="F42" s="158"/>
      <c r="G42" s="158"/>
      <c r="H42" s="158"/>
      <c r="I42" s="158"/>
      <c r="J42" s="158"/>
      <c r="K42" s="169"/>
      <c r="L42" s="169"/>
      <c r="M42" s="158"/>
      <c r="N42" s="158"/>
      <c r="O42" s="158"/>
      <c r="P42" s="158"/>
      <c r="Q42" s="158"/>
      <c r="R42" s="158"/>
      <c r="S42" s="158"/>
      <c r="T42" s="158"/>
    </row>
    <row r="43" spans="1:20" ht="15.75" customHeight="1" x14ac:dyDescent="0.2">
      <c r="A43" s="16"/>
      <c r="B43" s="2"/>
      <c r="C43" s="2"/>
      <c r="D43" s="157"/>
      <c r="E43" s="158"/>
      <c r="F43" s="158"/>
      <c r="G43" s="158"/>
      <c r="H43" s="158"/>
      <c r="I43" s="158"/>
      <c r="J43" s="158"/>
      <c r="K43" s="169"/>
    </row>
    <row r="44" spans="1:20" ht="15.75" customHeight="1" thickBot="1" x14ac:dyDescent="0.3">
      <c r="A44" s="16"/>
      <c r="B44" s="19"/>
      <c r="C44" s="92"/>
      <c r="D44" s="168"/>
      <c r="E44" s="154"/>
      <c r="F44" s="154"/>
      <c r="G44" s="154"/>
      <c r="H44" s="154"/>
      <c r="I44" s="154"/>
      <c r="J44" s="154"/>
      <c r="K44" s="154"/>
      <c r="M44" s="168" t="s">
        <v>111</v>
      </c>
      <c r="N44" s="154"/>
      <c r="O44" s="154"/>
      <c r="P44" s="154"/>
      <c r="Q44" s="154"/>
      <c r="R44" s="154"/>
      <c r="S44" s="154"/>
      <c r="T44" s="154"/>
    </row>
    <row r="45" spans="1:20" x14ac:dyDescent="0.2">
      <c r="A45" s="16"/>
      <c r="B45" s="49"/>
      <c r="C45" s="166" t="s">
        <v>38</v>
      </c>
      <c r="D45" s="153">
        <v>2019</v>
      </c>
      <c r="E45" s="153">
        <v>2020</v>
      </c>
      <c r="F45" s="153">
        <v>2021</v>
      </c>
      <c r="G45" s="153">
        <v>2022</v>
      </c>
      <c r="H45" s="153">
        <v>2023</v>
      </c>
      <c r="I45" s="153">
        <v>2024</v>
      </c>
      <c r="J45" s="153">
        <v>2025</v>
      </c>
      <c r="K45" s="153" t="s">
        <v>36</v>
      </c>
      <c r="L45" s="114"/>
      <c r="M45" s="153">
        <v>2019</v>
      </c>
      <c r="N45" s="153">
        <v>2020</v>
      </c>
      <c r="O45" s="153">
        <v>2021</v>
      </c>
      <c r="P45" s="153">
        <v>2022</v>
      </c>
      <c r="Q45" s="153">
        <v>2023</v>
      </c>
      <c r="R45" s="153">
        <v>2024</v>
      </c>
      <c r="S45" s="153">
        <v>2025</v>
      </c>
      <c r="T45" s="153" t="s">
        <v>36</v>
      </c>
    </row>
    <row r="46" spans="1:20" ht="12" customHeight="1" thickBot="1" x14ac:dyDescent="0.25">
      <c r="A46" s="16"/>
      <c r="B46" s="84"/>
      <c r="C46" s="154"/>
      <c r="D46" s="154"/>
      <c r="E46" s="154"/>
      <c r="F46" s="154"/>
      <c r="G46" s="154"/>
      <c r="H46" s="154"/>
      <c r="I46" s="154"/>
      <c r="J46" s="154"/>
      <c r="K46" s="154"/>
      <c r="L46" s="114"/>
      <c r="M46" s="154"/>
      <c r="N46" s="154"/>
      <c r="O46" s="154"/>
      <c r="P46" s="154"/>
      <c r="Q46" s="154"/>
      <c r="R46" s="154"/>
      <c r="S46" s="154"/>
      <c r="T46" s="154"/>
    </row>
    <row r="47" spans="1:20" x14ac:dyDescent="0.2">
      <c r="A47" s="16"/>
      <c r="B47" s="34" t="s">
        <v>39</v>
      </c>
      <c r="C47" s="76" t="s">
        <v>40</v>
      </c>
      <c r="D47" s="41">
        <f t="shared" ref="D47:K47" si="14">+SUM(D48:D54)</f>
        <v>225911.38946620969</v>
      </c>
      <c r="E47" s="41">
        <f t="shared" si="14"/>
        <v>274216.63218488469</v>
      </c>
      <c r="F47" s="41">
        <f t="shared" si="14"/>
        <v>283165.14545383991</v>
      </c>
      <c r="G47" s="41">
        <f t="shared" si="14"/>
        <v>243974.82160333535</v>
      </c>
      <c r="H47" s="41">
        <f t="shared" si="14"/>
        <v>280705.07316864916</v>
      </c>
      <c r="I47" s="41">
        <f t="shared" si="14"/>
        <v>288606.44137327955</v>
      </c>
      <c r="J47" s="41">
        <f t="shared" si="14"/>
        <v>312911.62847101089</v>
      </c>
      <c r="K47" s="41">
        <f t="shared" si="14"/>
        <v>73618.892108451575</v>
      </c>
      <c r="L47" s="71"/>
      <c r="M47" s="46">
        <f t="shared" ref="M47:M67" si="15">+D47/D14*100</f>
        <v>99.43376682074458</v>
      </c>
      <c r="N47" s="46">
        <f t="shared" ref="N47:N67" si="16">+E47/E14*100</f>
        <v>89.754362983717471</v>
      </c>
      <c r="O47" s="46">
        <f t="shared" ref="O47:O67" si="17">+F47/F14*100</f>
        <v>97.807734941882288</v>
      </c>
      <c r="P47" s="46">
        <f t="shared" ref="P47:P67" si="18">+G47/G14*100</f>
        <v>96.511919434581699</v>
      </c>
      <c r="Q47" s="46">
        <f t="shared" ref="Q47:Q67" si="19">+H47/H14*100</f>
        <v>98.057440920029066</v>
      </c>
      <c r="R47" s="46">
        <f t="shared" ref="R47:R67" si="20">+I47/I14*100</f>
        <v>96.209542161124347</v>
      </c>
      <c r="S47" s="46">
        <f t="shared" ref="S47:S67" si="21">+J47/J14*100</f>
        <v>98.74125856919413</v>
      </c>
      <c r="T47" s="46">
        <f t="shared" ref="T47:T67" si="22">+K47/K14*100</f>
        <v>21.369121076339884</v>
      </c>
    </row>
    <row r="48" spans="1:20" x14ac:dyDescent="0.2">
      <c r="A48" s="16"/>
      <c r="B48" s="40"/>
      <c r="C48" s="77" t="s">
        <v>92</v>
      </c>
      <c r="D48" s="42">
        <f>29218.3482636029*Deflactores!$T$5</f>
        <v>44210.356147772916</v>
      </c>
      <c r="E48" s="42">
        <f>30324.6347869917*Deflactores!$U$5</f>
        <v>45157.249350519494</v>
      </c>
      <c r="F48" s="42">
        <f>32120.731944945*Deflactores!$V$5</f>
        <v>45286.751680975642</v>
      </c>
      <c r="G48" s="42">
        <f>35485.0145934827*Deflactores!$W$5</f>
        <v>44227.391873232147</v>
      </c>
      <c r="H48" s="42">
        <f>41214.7453562563*Deflactores!$X$5</f>
        <v>47006.538968626759</v>
      </c>
      <c r="I48" s="42">
        <f>46948.8272773322*Deflactores!$Y$5</f>
        <v>50899.634491183511</v>
      </c>
      <c r="J48" s="42">
        <f>53079.6116600337*Deflactores!$Z$5</f>
        <v>54753.884546659996</v>
      </c>
      <c r="K48" s="42">
        <f>9103.78197563519*Deflactores!$AA$5</f>
        <v>9103.7819756351892</v>
      </c>
      <c r="L48" s="42"/>
      <c r="M48" s="47">
        <f t="shared" si="15"/>
        <v>99.26599225640868</v>
      </c>
      <c r="N48" s="47">
        <f t="shared" si="16"/>
        <v>97.560304071797972</v>
      </c>
      <c r="O48" s="47">
        <f t="shared" si="17"/>
        <v>97.528994052031379</v>
      </c>
      <c r="P48" s="47">
        <f t="shared" si="18"/>
        <v>98.107174900185058</v>
      </c>
      <c r="Q48" s="47">
        <f t="shared" si="19"/>
        <v>96.783942126161691</v>
      </c>
      <c r="R48" s="47">
        <f t="shared" si="20"/>
        <v>98.184258207652761</v>
      </c>
      <c r="S48" s="47">
        <f t="shared" si="21"/>
        <v>98.420610262999958</v>
      </c>
      <c r="T48" s="47">
        <f t="shared" si="22"/>
        <v>14.608524825938861</v>
      </c>
    </row>
    <row r="49" spans="1:20" x14ac:dyDescent="0.2">
      <c r="A49" s="16"/>
      <c r="B49" s="40"/>
      <c r="C49" s="77" t="s">
        <v>93</v>
      </c>
      <c r="D49" s="42">
        <f>8816.44588525923*Deflactores!$T$5</f>
        <v>13340.18641397405</v>
      </c>
      <c r="E49" s="42">
        <f>8806.097989881*Deflactores!$U$5</f>
        <v>13113.403196029516</v>
      </c>
      <c r="F49" s="42">
        <f>9806.07508939667*Deflactores!$V$5</f>
        <v>13825.503363362677</v>
      </c>
      <c r="G49" s="42">
        <f>12164.9411523703*Deflactores!$W$5</f>
        <v>15161.995158359179</v>
      </c>
      <c r="H49" s="42">
        <f>14357.8818208702*Deflactores!$X$5</f>
        <v>16375.555046762463</v>
      </c>
      <c r="I49" s="42">
        <f>15246.2116269886*Deflactores!$Y$5</f>
        <v>16529.200923483611</v>
      </c>
      <c r="J49" s="42">
        <f>18320.4207063131*Deflactores!$Z$5</f>
        <v>18898.295764190785</v>
      </c>
      <c r="K49" s="42">
        <f>8592.27517163555*Deflactores!$AA$5</f>
        <v>8592.2751716355506</v>
      </c>
      <c r="L49" s="42"/>
      <c r="M49" s="47">
        <f t="shared" si="15"/>
        <v>98.816826440311544</v>
      </c>
      <c r="N49" s="47">
        <f t="shared" si="16"/>
        <v>98.029150584720554</v>
      </c>
      <c r="O49" s="47">
        <f t="shared" si="17"/>
        <v>97.957711111744914</v>
      </c>
      <c r="P49" s="47">
        <f t="shared" si="18"/>
        <v>97.104131485685627</v>
      </c>
      <c r="Q49" s="47">
        <f t="shared" si="19"/>
        <v>96.947958143011931</v>
      </c>
      <c r="R49" s="47">
        <f t="shared" si="20"/>
        <v>97.080351739778479</v>
      </c>
      <c r="S49" s="47">
        <f t="shared" si="21"/>
        <v>98.277275347163922</v>
      </c>
      <c r="T49" s="47">
        <f t="shared" si="22"/>
        <v>51.448329334851394</v>
      </c>
    </row>
    <row r="50" spans="1:20" x14ac:dyDescent="0.2">
      <c r="A50" s="16"/>
      <c r="B50" s="40"/>
      <c r="C50" s="77" t="s">
        <v>58</v>
      </c>
      <c r="D50" s="42">
        <f>110240.300687913*Deflactores!$T$5</f>
        <v>166804.87587046195</v>
      </c>
      <c r="E50" s="42">
        <f>143730.817652154*Deflactores!$U$5</f>
        <v>214033.52151355761</v>
      </c>
      <c r="F50" s="42">
        <f>156574.960627817*Deflactores!$V$5</f>
        <v>220753.72919783034</v>
      </c>
      <c r="G50" s="42">
        <f>146297.965598623*Deflactores!$W$5</f>
        <v>182341.12424390289</v>
      </c>
      <c r="H50" s="42">
        <f>188531.468705643*Deflactores!$X$5</f>
        <v>215025.27199719747</v>
      </c>
      <c r="I50" s="42">
        <f>202057.829249259*Deflactores!$Y$5</f>
        <v>219061.26843417215</v>
      </c>
      <c r="J50" s="42">
        <f>229919.767105565*Deflactores!$Z$5</f>
        <v>237172.05136547657</v>
      </c>
      <c r="K50" s="42">
        <f>55718.0300138957*Deflactores!$AA$5</f>
        <v>55718.030013895703</v>
      </c>
      <c r="L50" s="42"/>
      <c r="M50" s="47">
        <f t="shared" si="15"/>
        <v>99.546656249926357</v>
      </c>
      <c r="N50" s="47">
        <f t="shared" si="16"/>
        <v>87.747311234418817</v>
      </c>
      <c r="O50" s="47">
        <f t="shared" si="17"/>
        <v>97.873584527638798</v>
      </c>
      <c r="P50" s="47">
        <f t="shared" si="18"/>
        <v>96.100809294667769</v>
      </c>
      <c r="Q50" s="47">
        <f t="shared" si="19"/>
        <v>98.485263482285362</v>
      </c>
      <c r="R50" s="47">
        <f t="shared" si="20"/>
        <v>95.738149114943269</v>
      </c>
      <c r="S50" s="47">
        <f t="shared" si="21"/>
        <v>98.905606734006369</v>
      </c>
      <c r="T50" s="47">
        <f t="shared" si="22"/>
        <v>21.170041882324185</v>
      </c>
    </row>
    <row r="51" spans="1:20" x14ac:dyDescent="0.2">
      <c r="A51" s="16"/>
      <c r="B51" s="40"/>
      <c r="C51" s="77" t="s">
        <v>94</v>
      </c>
      <c r="D51" s="42">
        <f>69.68915286289*Deflactores!$T$5</f>
        <v>105.44683224078462</v>
      </c>
      <c r="E51" s="42">
        <f>66.97757497037*Deflactores!$U$5</f>
        <v>99.738152662848719</v>
      </c>
      <c r="F51" s="42">
        <f>78.83629589932*Deflactores!$V$5</f>
        <v>111.15063510880829</v>
      </c>
      <c r="G51" s="42">
        <f>69.6588334699*Deflactores!$W$5</f>
        <v>86.820551170671422</v>
      </c>
      <c r="H51" s="42">
        <f>86.63391302372*Deflactores!$X$5</f>
        <v>98.808336030054846</v>
      </c>
      <c r="I51" s="42">
        <f>97.4078530489*Deflactores!$Y$5</f>
        <v>105.60485541997244</v>
      </c>
      <c r="J51" s="42">
        <f>106.10175653268*Deflactores!$Z$5</f>
        <v>109.44848964979222</v>
      </c>
      <c r="K51" s="42">
        <f>65.5319265677*Deflactores!$AA$5</f>
        <v>65.531926567699998</v>
      </c>
      <c r="L51" s="42"/>
      <c r="M51" s="47">
        <f t="shared" si="15"/>
        <v>97.729899498919821</v>
      </c>
      <c r="N51" s="47">
        <f t="shared" si="16"/>
        <v>96.837228695180187</v>
      </c>
      <c r="O51" s="47">
        <f t="shared" si="17"/>
        <v>88.853010784542022</v>
      </c>
      <c r="P51" s="47">
        <f t="shared" si="18"/>
        <v>80.666677319725551</v>
      </c>
      <c r="Q51" s="47">
        <f t="shared" si="19"/>
        <v>85.97413685731776</v>
      </c>
      <c r="R51" s="47">
        <f t="shared" si="20"/>
        <v>92.292192031091744</v>
      </c>
      <c r="S51" s="47">
        <f t="shared" si="21"/>
        <v>91.201127836158236</v>
      </c>
      <c r="T51" s="47">
        <f t="shared" si="22"/>
        <v>52.71379249946007</v>
      </c>
    </row>
    <row r="52" spans="1:20" x14ac:dyDescent="0.2">
      <c r="A52" s="16"/>
      <c r="B52" s="40"/>
      <c r="C52" s="77" t="s">
        <v>95</v>
      </c>
      <c r="D52" s="42">
        <f>289.96309008*Deflactores!$T$5</f>
        <v>438.74387992406002</v>
      </c>
      <c r="E52" s="42">
        <f>319.153394823*Deflactores!$U$5</f>
        <v>475.26011549096489</v>
      </c>
      <c r="F52" s="42">
        <f>472.70552016873*Deflactores!$V$5</f>
        <v>666.46356461614425</v>
      </c>
      <c r="G52" s="42">
        <f>468.54035323696*Deflactores!$W$5</f>
        <v>583.97377170135303</v>
      </c>
      <c r="H52" s="42">
        <f>571.1550256005*Deflactores!$X$5</f>
        <v>651.41785387596599</v>
      </c>
      <c r="I52" s="42">
        <f>517.03746243204*Deflactores!$Y$5</f>
        <v>560.5468630895117</v>
      </c>
      <c r="J52" s="42">
        <f>527.529445986*Deflactores!$Z$5</f>
        <v>544.16913532601041</v>
      </c>
      <c r="K52" s="42">
        <f>0*Deflactores!$AA$5</f>
        <v>0</v>
      </c>
      <c r="L52" s="42"/>
      <c r="M52" s="47">
        <f t="shared" si="15"/>
        <v>99.690949687480639</v>
      </c>
      <c r="N52" s="47">
        <f t="shared" si="16"/>
        <v>99.732942558623535</v>
      </c>
      <c r="O52" s="47">
        <f t="shared" si="17"/>
        <v>99.734056908877449</v>
      </c>
      <c r="P52" s="47">
        <f t="shared" si="18"/>
        <v>99.346435919313066</v>
      </c>
      <c r="Q52" s="47">
        <f t="shared" si="19"/>
        <v>99.714712051225575</v>
      </c>
      <c r="R52" s="47">
        <f t="shared" si="20"/>
        <v>99.833099029624975</v>
      </c>
      <c r="S52" s="47">
        <f t="shared" si="21"/>
        <v>96.293988147114334</v>
      </c>
      <c r="T52" s="47">
        <f t="shared" si="22"/>
        <v>0</v>
      </c>
    </row>
    <row r="53" spans="1:20" x14ac:dyDescent="0.2">
      <c r="A53" s="16"/>
      <c r="B53" s="40"/>
      <c r="C53" s="77" t="s">
        <v>96</v>
      </c>
      <c r="D53" s="42">
        <f>260.72706983127*Deflactores!$T$5</f>
        <v>394.50678425120316</v>
      </c>
      <c r="E53" s="42">
        <f>273.635071239899*Deflactores!$U$5</f>
        <v>407.47752544501782</v>
      </c>
      <c r="F53" s="42">
        <f>446.545780390919*Deflactores!$V$5</f>
        <v>629.58116600246296</v>
      </c>
      <c r="G53" s="42">
        <f>380.62165083201*Deflactores!$W$5</f>
        <v>474.39470152777159</v>
      </c>
      <c r="H53" s="42">
        <f>477.80061136585*Deflactores!$X$5</f>
        <v>544.94460327881598</v>
      </c>
      <c r="I53" s="42">
        <f>335.18199477818*Deflactores!$Y$5</f>
        <v>363.38801225973009</v>
      </c>
      <c r="J53" s="42">
        <f>320.51030625561*Deflactores!$Z$5</f>
        <v>330.62005835939391</v>
      </c>
      <c r="K53" s="42">
        <f>29.015124947*Deflactores!$AA$5</f>
        <v>29.015124947</v>
      </c>
      <c r="L53" s="42"/>
      <c r="M53" s="47">
        <f t="shared" si="15"/>
        <v>98.581973855743058</v>
      </c>
      <c r="N53" s="47">
        <f t="shared" si="16"/>
        <v>98.533960749273845</v>
      </c>
      <c r="O53" s="47">
        <f t="shared" si="17"/>
        <v>99.23600472757316</v>
      </c>
      <c r="P53" s="47">
        <f t="shared" si="18"/>
        <v>95.457143236924964</v>
      </c>
      <c r="Q53" s="47">
        <f t="shared" si="19"/>
        <v>99.565293978904961</v>
      </c>
      <c r="R53" s="47">
        <f t="shared" si="20"/>
        <v>97.823241893623106</v>
      </c>
      <c r="S53" s="47">
        <f t="shared" si="21"/>
        <v>95.880356444458528</v>
      </c>
      <c r="T53" s="47">
        <f t="shared" si="22"/>
        <v>8.2065597366060885</v>
      </c>
    </row>
    <row r="54" spans="1:20" x14ac:dyDescent="0.2">
      <c r="A54" s="16"/>
      <c r="B54" s="40"/>
      <c r="C54" s="77" t="s">
        <v>97</v>
      </c>
      <c r="D54" s="42">
        <f>407.95222582628*Deflactores!$T$5</f>
        <v>617.27353758472009</v>
      </c>
      <c r="E54" s="42">
        <f>624.51488868289*Deflactores!$U$5</f>
        <v>929.98233117922587</v>
      </c>
      <c r="F54" s="42">
        <f>1341.92286995228*Deflactores!$V$5</f>
        <v>1891.9658459437742</v>
      </c>
      <c r="G54" s="42">
        <f>881.859269576979*Deflactores!$W$5</f>
        <v>1099.1213034413299</v>
      </c>
      <c r="H54" s="42">
        <f>879.01134210214*Deflactores!$X$5</f>
        <v>1002.5363628776364</v>
      </c>
      <c r="I54" s="42">
        <f>1002.44102753403*Deflactores!$Y$5</f>
        <v>1086.7977936710652</v>
      </c>
      <c r="J54" s="42">
        <f>1069.42653867228*Deflactores!$Z$5</f>
        <v>1103.1591113483114</v>
      </c>
      <c r="K54" s="42">
        <f>110.25789577043*Deflactores!$AA$5</f>
        <v>110.25789577043</v>
      </c>
      <c r="L54" s="42"/>
      <c r="M54" s="47">
        <f t="shared" si="15"/>
        <v>95.260999219290667</v>
      </c>
      <c r="N54" s="47">
        <f t="shared" si="16"/>
        <v>98.717058870250668</v>
      </c>
      <c r="O54" s="47">
        <f t="shared" si="17"/>
        <v>95.24082420094858</v>
      </c>
      <c r="P54" s="47">
        <f t="shared" si="18"/>
        <v>94.285948414352703</v>
      </c>
      <c r="Q54" s="47">
        <f t="shared" si="19"/>
        <v>86.546177204574221</v>
      </c>
      <c r="R54" s="47">
        <f t="shared" si="20"/>
        <v>86.986791827020369</v>
      </c>
      <c r="S54" s="47">
        <f t="shared" si="21"/>
        <v>91.007141282510815</v>
      </c>
      <c r="T54" s="47">
        <f t="shared" si="22"/>
        <v>9.2324840023637833</v>
      </c>
    </row>
    <row r="55" spans="1:20" x14ac:dyDescent="0.2">
      <c r="A55" s="16"/>
      <c r="B55" s="34" t="s">
        <v>41</v>
      </c>
      <c r="C55" s="76" t="s">
        <v>42</v>
      </c>
      <c r="D55" s="41">
        <f t="shared" ref="D55:K55" si="23">+D56+D60</f>
        <v>78072.845373362507</v>
      </c>
      <c r="E55" s="41">
        <f t="shared" si="23"/>
        <v>79269.159830435863</v>
      </c>
      <c r="F55" s="41">
        <f t="shared" si="23"/>
        <v>84098.485330392388</v>
      </c>
      <c r="G55" s="41">
        <f t="shared" si="23"/>
        <v>88245.596648643492</v>
      </c>
      <c r="H55" s="41">
        <f t="shared" si="23"/>
        <v>85776.167882149297</v>
      </c>
      <c r="I55" s="41">
        <f t="shared" si="23"/>
        <v>98200.758361762419</v>
      </c>
      <c r="J55" s="41">
        <f t="shared" si="23"/>
        <v>108363.51529971368</v>
      </c>
      <c r="K55" s="41">
        <f t="shared" si="23"/>
        <v>24106.62674511733</v>
      </c>
      <c r="L55" s="71"/>
      <c r="M55" s="46">
        <f t="shared" si="15"/>
        <v>99.35370854856896</v>
      </c>
      <c r="N55" s="46">
        <f t="shared" si="16"/>
        <v>99.29011276928054</v>
      </c>
      <c r="O55" s="46">
        <f t="shared" si="17"/>
        <v>84.586254127038458</v>
      </c>
      <c r="P55" s="46">
        <f t="shared" si="18"/>
        <v>98.820376979270605</v>
      </c>
      <c r="Q55" s="46">
        <f t="shared" si="19"/>
        <v>95.872392139031817</v>
      </c>
      <c r="R55" s="46">
        <f t="shared" si="20"/>
        <v>95.918381508012047</v>
      </c>
      <c r="S55" s="46">
        <f t="shared" si="21"/>
        <v>93.29051535085884</v>
      </c>
      <c r="T55" s="46">
        <f t="shared" si="22"/>
        <v>23.998702547472735</v>
      </c>
    </row>
    <row r="56" spans="1:20" x14ac:dyDescent="0.2">
      <c r="A56" s="16"/>
      <c r="B56" s="34"/>
      <c r="C56" s="76" t="s">
        <v>43</v>
      </c>
      <c r="D56" s="41">
        <f t="shared" ref="D56:K56" si="24">+SUM(D57:D59)</f>
        <v>21332.056332154982</v>
      </c>
      <c r="E56" s="41">
        <f t="shared" si="24"/>
        <v>22112.613405226006</v>
      </c>
      <c r="F56" s="41">
        <f t="shared" si="24"/>
        <v>28632.704235373298</v>
      </c>
      <c r="G56" s="41">
        <f t="shared" si="24"/>
        <v>20566.864267822948</v>
      </c>
      <c r="H56" s="41">
        <f t="shared" si="24"/>
        <v>28445.905150670904</v>
      </c>
      <c r="I56" s="41">
        <f t="shared" si="24"/>
        <v>39018.479040148326</v>
      </c>
      <c r="J56" s="41">
        <f t="shared" si="24"/>
        <v>49402.135075676684</v>
      </c>
      <c r="K56" s="41">
        <f t="shared" si="24"/>
        <v>8631.4400322501297</v>
      </c>
      <c r="L56" s="71"/>
      <c r="M56" s="46">
        <f t="shared" si="15"/>
        <v>97.920436215609101</v>
      </c>
      <c r="N56" s="46">
        <f t="shared" si="16"/>
        <v>99.038908556381358</v>
      </c>
      <c r="O56" s="46">
        <f t="shared" si="17"/>
        <v>80.566235638046322</v>
      </c>
      <c r="P56" s="46">
        <f t="shared" si="18"/>
        <v>98.302711686827863</v>
      </c>
      <c r="Q56" s="46">
        <f t="shared" si="19"/>
        <v>93.959294241296945</v>
      </c>
      <c r="R56" s="46">
        <f t="shared" si="20"/>
        <v>96.59162358467897</v>
      </c>
      <c r="S56" s="46">
        <f t="shared" si="21"/>
        <v>88.987220257333547</v>
      </c>
      <c r="T56" s="46">
        <f t="shared" si="22"/>
        <v>22.474170491823759</v>
      </c>
    </row>
    <row r="57" spans="1:20" x14ac:dyDescent="0.2">
      <c r="A57" s="16"/>
      <c r="B57" s="32"/>
      <c r="C57" s="77" t="s">
        <v>98</v>
      </c>
      <c r="D57" s="42">
        <f>7910.47617477022*Deflactores!$T$5</f>
        <v>11969.361369434897</v>
      </c>
      <c r="E57" s="42">
        <f>6388.91910730776*Deflactores!$U$5</f>
        <v>9513.9155091409302</v>
      </c>
      <c r="F57" s="42">
        <f>10847.4859933545*Deflactores!$V$5</f>
        <v>15293.779898475093</v>
      </c>
      <c r="G57" s="42">
        <f>4261.28086287754*Deflactores!$W$5</f>
        <v>5311.1247314804259</v>
      </c>
      <c r="H57" s="42">
        <f>12570.0240204341*Deflactores!$X$5</f>
        <v>14336.45455881524</v>
      </c>
      <c r="I57" s="42">
        <f>18751.3539091923*Deflactores!$Y$5</f>
        <v>20329.305661986873</v>
      </c>
      <c r="J57" s="42">
        <f>31951.3541477027*Deflactores!$Z$5</f>
        <v>32959.185295434567</v>
      </c>
      <c r="K57" s="42">
        <f>4233.43765623155*Deflactores!$AA$5</f>
        <v>4233.4376562315501</v>
      </c>
      <c r="L57" s="42"/>
      <c r="M57" s="47">
        <f t="shared" si="15"/>
        <v>99.388399633902537</v>
      </c>
      <c r="N57" s="47">
        <f t="shared" si="16"/>
        <v>98.433201721859902</v>
      </c>
      <c r="O57" s="47">
        <f t="shared" si="17"/>
        <v>75.917390481882109</v>
      </c>
      <c r="P57" s="47">
        <f t="shared" si="18"/>
        <v>98.244261742361189</v>
      </c>
      <c r="Q57" s="47">
        <f t="shared" si="19"/>
        <v>95.285042047852386</v>
      </c>
      <c r="R57" s="47">
        <f t="shared" si="20"/>
        <v>96.113574003752333</v>
      </c>
      <c r="S57" s="47">
        <f t="shared" si="21"/>
        <v>92.714856987671084</v>
      </c>
      <c r="T57" s="47">
        <f t="shared" si="22"/>
        <v>24.508925069692932</v>
      </c>
    </row>
    <row r="58" spans="1:20" x14ac:dyDescent="0.2">
      <c r="A58" s="16"/>
      <c r="B58" s="32"/>
      <c r="C58" s="77" t="s">
        <v>61</v>
      </c>
      <c r="D58" s="42">
        <f>6110.39162561193*Deflactores!$T$5</f>
        <v>9245.6489166838819</v>
      </c>
      <c r="E58" s="42">
        <f>8217.53210757637*Deflactores!$U$5</f>
        <v>12236.953520934341</v>
      </c>
      <c r="F58" s="42">
        <f>9332.39927500143*Deflactores!$V$5</f>
        <v>13157.671789020951</v>
      </c>
      <c r="G58" s="42">
        <f>12138.6429293382*Deflactores!$W$5</f>
        <v>15129.217890858099</v>
      </c>
      <c r="H58" s="42">
        <f>12281.4127979816*Deflactores!$X$5</f>
        <v>14007.28560343949</v>
      </c>
      <c r="I58" s="42">
        <f>17125.0432933579*Deflactores!$Y$5</f>
        <v>18566.138811702847</v>
      </c>
      <c r="J58" s="42">
        <f>15711.6153676201*Deflactores!$Z$5</f>
        <v>16207.20172917056</v>
      </c>
      <c r="K58" s="42">
        <f>4335.13726565883*Deflactores!$AA$5</f>
        <v>4335.1372656588301</v>
      </c>
      <c r="L58" s="42"/>
      <c r="M58" s="47">
        <f t="shared" si="15"/>
        <v>96.817670243193447</v>
      </c>
      <c r="N58" s="47">
        <f t="shared" si="16"/>
        <v>99.773939366644953</v>
      </c>
      <c r="O58" s="47">
        <f t="shared" si="17"/>
        <v>86.762291864065887</v>
      </c>
      <c r="P58" s="47">
        <f t="shared" si="18"/>
        <v>98.664159931872859</v>
      </c>
      <c r="Q58" s="47">
        <f t="shared" si="19"/>
        <v>93.025474680170873</v>
      </c>
      <c r="R58" s="47">
        <f t="shared" si="20"/>
        <v>97.740382033882085</v>
      </c>
      <c r="S58" s="47">
        <f t="shared" si="21"/>
        <v>83.663837569783212</v>
      </c>
      <c r="T58" s="47">
        <f t="shared" si="22"/>
        <v>21.689716978977906</v>
      </c>
    </row>
    <row r="59" spans="1:20" x14ac:dyDescent="0.2">
      <c r="A59" s="16"/>
      <c r="B59" s="32"/>
      <c r="C59" s="77" t="s">
        <v>103</v>
      </c>
      <c r="D59" s="42">
        <f>77.35500081774*Deflactores!$T$5</f>
        <v>117.04604603620552</v>
      </c>
      <c r="E59" s="42">
        <f>242.92369930562*Deflactores!$U$5</f>
        <v>361.74437515073322</v>
      </c>
      <c r="F59" s="42">
        <f>128.557785414079*Deflactores!$V$5</f>
        <v>181.25254787725285</v>
      </c>
      <c r="G59" s="42">
        <f>101.51225849525*Deflactores!$W$5</f>
        <v>126.52164548442487</v>
      </c>
      <c r="H59" s="42">
        <f>89.57698384703*Deflactores!$X$5</f>
        <v>102.16498841617347</v>
      </c>
      <c r="I59" s="42">
        <f>113.48467759247*Deflactores!$Y$5</f>
        <v>123.03456645860567</v>
      </c>
      <c r="J59" s="42">
        <f>228.53931011643*Deflactores!$Z$5</f>
        <v>235.74805107156257</v>
      </c>
      <c r="K59" s="42">
        <f>62.86511035975*Deflactores!$AA$5</f>
        <v>62.865110359749998</v>
      </c>
      <c r="L59" s="42"/>
      <c r="M59" s="47">
        <f t="shared" si="15"/>
        <v>60.794391327100506</v>
      </c>
      <c r="N59" s="47">
        <f t="shared" si="16"/>
        <v>91.081179579682299</v>
      </c>
      <c r="O59" s="47">
        <f t="shared" si="17"/>
        <v>79.202590399289036</v>
      </c>
      <c r="P59" s="47">
        <f t="shared" si="18"/>
        <v>69.565773495565153</v>
      </c>
      <c r="Q59" s="47">
        <f t="shared" si="19"/>
        <v>59.613840996027697</v>
      </c>
      <c r="R59" s="47">
        <f t="shared" si="20"/>
        <v>49.490000603946541</v>
      </c>
      <c r="S59" s="47">
        <f t="shared" si="21"/>
        <v>39.608415930811489</v>
      </c>
      <c r="T59" s="47">
        <f t="shared" si="22"/>
        <v>5.485910407706668</v>
      </c>
    </row>
    <row r="60" spans="1:20" x14ac:dyDescent="0.2">
      <c r="A60" s="16"/>
      <c r="B60" s="34"/>
      <c r="C60" s="76" t="s">
        <v>44</v>
      </c>
      <c r="D60" s="41">
        <f t="shared" ref="D60:K60" si="25">+SUM(D61:D64)</f>
        <v>56740.789041207521</v>
      </c>
      <c r="E60" s="41">
        <f t="shared" si="25"/>
        <v>57156.546425209854</v>
      </c>
      <c r="F60" s="41">
        <f t="shared" si="25"/>
        <v>55465.781095019091</v>
      </c>
      <c r="G60" s="41">
        <f t="shared" si="25"/>
        <v>67678.73238082054</v>
      </c>
      <c r="H60" s="41">
        <f t="shared" si="25"/>
        <v>57330.262731478397</v>
      </c>
      <c r="I60" s="41">
        <f t="shared" si="25"/>
        <v>59182.2793216141</v>
      </c>
      <c r="J60" s="41">
        <f t="shared" si="25"/>
        <v>58961.380224036999</v>
      </c>
      <c r="K60" s="41">
        <f t="shared" si="25"/>
        <v>15475.1867128672</v>
      </c>
      <c r="L60" s="71"/>
      <c r="M60" s="46">
        <f t="shared" si="15"/>
        <v>99.903468749769402</v>
      </c>
      <c r="N60" s="46">
        <f t="shared" si="16"/>
        <v>99.387640371411905</v>
      </c>
      <c r="O60" s="46">
        <f t="shared" si="17"/>
        <v>86.822631855924129</v>
      </c>
      <c r="P60" s="46">
        <f t="shared" si="18"/>
        <v>98.978771982633958</v>
      </c>
      <c r="Q60" s="46">
        <f t="shared" si="19"/>
        <v>96.850837673178432</v>
      </c>
      <c r="R60" s="46">
        <f t="shared" si="20"/>
        <v>95.479627446618139</v>
      </c>
      <c r="S60" s="46">
        <f t="shared" si="21"/>
        <v>97.230117594529958</v>
      </c>
      <c r="T60" s="46">
        <f t="shared" si="22"/>
        <v>24.942412887219362</v>
      </c>
    </row>
    <row r="61" spans="1:20" x14ac:dyDescent="0.2">
      <c r="A61" s="16"/>
      <c r="B61" s="32"/>
      <c r="C61" s="77" t="s">
        <v>98</v>
      </c>
      <c r="D61" s="42">
        <f>17918.8522039321*Deflactores!$T$5</f>
        <v>27113.060278016488</v>
      </c>
      <c r="E61" s="42">
        <f>16086.0440212844*Deflactores!$U$5</f>
        <v>23954.171452847175</v>
      </c>
      <c r="F61" s="42">
        <f>15362.3871017508*Deflactores!$V$5</f>
        <v>21659.301260521224</v>
      </c>
      <c r="G61" s="42">
        <f>26110.6612382114*Deflactores!$W$5</f>
        <v>32543.496455647062</v>
      </c>
      <c r="H61" s="42">
        <f>17136.6081003664*Deflactores!$X$5</f>
        <v>19544.7680071055</v>
      </c>
      <c r="I61" s="42">
        <f>12104.2272690948*Deflactores!$Y$5</f>
        <v>13122.814339019858</v>
      </c>
      <c r="J61" s="42">
        <f>10249.4764859938*Deflactores!$Z$5</f>
        <v>10572.772381459708</v>
      </c>
      <c r="K61" s="42">
        <f>530.42891507*Deflactores!$AA$5</f>
        <v>530.42891507000002</v>
      </c>
      <c r="L61" s="42"/>
      <c r="M61" s="47">
        <f t="shared" si="15"/>
        <v>99.891234338761336</v>
      </c>
      <c r="N61" s="47">
        <f t="shared" si="16"/>
        <v>98.630906771496967</v>
      </c>
      <c r="O61" s="47">
        <f t="shared" si="17"/>
        <v>76.613391708123203</v>
      </c>
      <c r="P61" s="47">
        <f t="shared" si="18"/>
        <v>98.41988623734828</v>
      </c>
      <c r="Q61" s="47">
        <f t="shared" si="19"/>
        <v>97.958233185630732</v>
      </c>
      <c r="R61" s="47">
        <f t="shared" si="20"/>
        <v>86.942815677852892</v>
      </c>
      <c r="S61" s="47">
        <f t="shared" si="21"/>
        <v>98.698078978925636</v>
      </c>
      <c r="T61" s="47">
        <f t="shared" si="22"/>
        <v>5.1284477939125814</v>
      </c>
    </row>
    <row r="62" spans="1:20" x14ac:dyDescent="0.2">
      <c r="A62" s="16"/>
      <c r="B62" s="32"/>
      <c r="C62" s="77" t="s">
        <v>61</v>
      </c>
      <c r="D62" s="42">
        <f>18932.4838042307*Deflactores!$T$5</f>
        <v>28646.788798449699</v>
      </c>
      <c r="E62" s="42">
        <f>21370.5318677129*Deflactores!$U$5</f>
        <v>31823.447935389591</v>
      </c>
      <c r="F62" s="42">
        <f>22982.9098455461*Deflactores!$V$5</f>
        <v>32403.412626632118</v>
      </c>
      <c r="G62" s="42">
        <f>26773.0090416804*Deflactores!$W$5</f>
        <v>33369.025659903848</v>
      </c>
      <c r="H62" s="42">
        <f>28965.9260578736*Deflactores!$X$5</f>
        <v>33036.427138694198</v>
      </c>
      <c r="I62" s="42">
        <f>40909.4565866324*Deflactores!$Y$5</f>
        <v>44352.042601453693</v>
      </c>
      <c r="J62" s="42">
        <f>44846.001080691*Deflactores!$Z$5</f>
        <v>46260.563872972118</v>
      </c>
      <c r="K62" s="42">
        <f>14935.4512007702*Deflactores!$AA$5</f>
        <v>14935.4512007702</v>
      </c>
      <c r="L62" s="42"/>
      <c r="M62" s="47">
        <f t="shared" si="15"/>
        <v>99.947731669040294</v>
      </c>
      <c r="N62" s="47">
        <f t="shared" si="16"/>
        <v>99.953996115936022</v>
      </c>
      <c r="O62" s="47">
        <f t="shared" si="17"/>
        <v>95.211232895925633</v>
      </c>
      <c r="P62" s="47">
        <f t="shared" si="18"/>
        <v>99.679324468850226</v>
      </c>
      <c r="Q62" s="47">
        <f t="shared" si="19"/>
        <v>96.06826297899687</v>
      </c>
      <c r="R62" s="47">
        <f t="shared" si="20"/>
        <v>98.508860107453827</v>
      </c>
      <c r="S62" s="47">
        <f t="shared" si="21"/>
        <v>97.06886689186075</v>
      </c>
      <c r="T62" s="47">
        <f t="shared" si="22"/>
        <v>30.619530175278026</v>
      </c>
    </row>
    <row r="63" spans="1:20" x14ac:dyDescent="0.2">
      <c r="A63" s="16"/>
      <c r="B63" s="32"/>
      <c r="C63" s="77" t="s">
        <v>103</v>
      </c>
      <c r="D63" s="42">
        <f>158.461096266269*Deflactores!$T$5</f>
        <v>239.7678827801891</v>
      </c>
      <c r="E63" s="42">
        <f>152.99658738152*Deflactores!$U$5</f>
        <v>227.8314345645324</v>
      </c>
      <c r="F63" s="42">
        <f>160.79729992181*Deflactores!$V$5</f>
        <v>226.7067701013699</v>
      </c>
      <c r="G63" s="42">
        <f>181.39145927126*Deflactores!$W$5</f>
        <v>226.0805369126403</v>
      </c>
      <c r="H63" s="42">
        <f>203.39465589288*Deflactores!$X$5</f>
        <v>231.9771415690131</v>
      </c>
      <c r="I63" s="42">
        <f>147.8715608369*Deflactores!$Y$5</f>
        <v>160.31515236319879</v>
      </c>
      <c r="J63" s="42">
        <f>155.87468854149*Deflactores!$Z$5</f>
        <v>160.79139302696834</v>
      </c>
      <c r="K63" s="42">
        <f>9.306597027*Deflactores!$AA$5</f>
        <v>9.3065970270000005</v>
      </c>
      <c r="L63" s="42"/>
      <c r="M63" s="47">
        <f t="shared" si="15"/>
        <v>97.898106351678791</v>
      </c>
      <c r="N63" s="47">
        <f t="shared" si="16"/>
        <v>97.849973651726913</v>
      </c>
      <c r="O63" s="47">
        <f t="shared" si="17"/>
        <v>56.176440462735535</v>
      </c>
      <c r="P63" s="47">
        <f t="shared" si="18"/>
        <v>76.758409079206785</v>
      </c>
      <c r="Q63" s="47">
        <f t="shared" si="19"/>
        <v>68.904803532376818</v>
      </c>
      <c r="R63" s="47">
        <f t="shared" si="20"/>
        <v>50.087750210487911</v>
      </c>
      <c r="S63" s="47">
        <f t="shared" si="21"/>
        <v>52.872958163011518</v>
      </c>
      <c r="T63" s="47">
        <f t="shared" si="22"/>
        <v>3.6082056652939487</v>
      </c>
    </row>
    <row r="64" spans="1:20" x14ac:dyDescent="0.2">
      <c r="A64" s="16"/>
      <c r="B64" s="32"/>
      <c r="C64" s="77" t="s">
        <v>104</v>
      </c>
      <c r="D64" s="42">
        <f>489.836*Deflactores!$T$5</f>
        <v>741.17208196114939</v>
      </c>
      <c r="E64" s="42">
        <f>773*Deflactores!$U$5</f>
        <v>1151.0956024085528</v>
      </c>
      <c r="F64" s="42">
        <f>834.3623*Deflactores!$V$5</f>
        <v>1176.3604377643769</v>
      </c>
      <c r="G64" s="42">
        <f>1235.69407039082*Deflactores!$W$5</f>
        <v>1540.1297283569834</v>
      </c>
      <c r="H64" s="42">
        <f>3960.52839647297*Deflactores!$X$5</f>
        <v>4517.0904441096891</v>
      </c>
      <c r="I64" s="42">
        <f>1427.021447*Deflactores!$Y$5</f>
        <v>1547.1072287773486</v>
      </c>
      <c r="J64" s="42">
        <f>1907.097618124*Deflactores!$Z$5</f>
        <v>1967.2525765782041</v>
      </c>
      <c r="K64" s="42">
        <f>0*Deflactores!$AA$5</f>
        <v>0</v>
      </c>
      <c r="L64" s="42"/>
      <c r="M64" s="47">
        <f t="shared" si="15"/>
        <v>99.306648069156793</v>
      </c>
      <c r="N64" s="47">
        <f t="shared" si="16"/>
        <v>100</v>
      </c>
      <c r="O64" s="47">
        <f t="shared" si="17"/>
        <v>100</v>
      </c>
      <c r="P64" s="47">
        <f t="shared" si="18"/>
        <v>99.99999989170621</v>
      </c>
      <c r="Q64" s="47">
        <f t="shared" si="19"/>
        <v>99.999999999721524</v>
      </c>
      <c r="R64" s="47">
        <f t="shared" si="20"/>
        <v>100</v>
      </c>
      <c r="S64" s="47">
        <f t="shared" si="21"/>
        <v>100</v>
      </c>
      <c r="T64" s="47">
        <f t="shared" si="22"/>
        <v>0</v>
      </c>
    </row>
    <row r="65" spans="1:20" x14ac:dyDescent="0.2">
      <c r="A65" s="16"/>
      <c r="B65" s="34" t="s">
        <v>45</v>
      </c>
      <c r="C65" s="76" t="s">
        <v>46</v>
      </c>
      <c r="D65" s="41">
        <f>32396.2356068252*Deflactores!$T$5</f>
        <v>49018.825468962168</v>
      </c>
      <c r="E65" s="41">
        <f>34195.4435213849*Deflactores!$U$5</f>
        <v>50921.377309024829</v>
      </c>
      <c r="F65" s="41">
        <f>47539.6524494709*Deflactores!$V$5</f>
        <v>67025.758913874612</v>
      </c>
      <c r="G65" s="41">
        <f>56709.4881041401*Deflactores!$W$5</f>
        <v>70680.89958663423</v>
      </c>
      <c r="H65" s="41">
        <f>65247.8056745666*Deflactores!$X$5</f>
        <v>74416.8984558175</v>
      </c>
      <c r="I65" s="41">
        <f>74908.7800024841*Deflactores!$Y$5</f>
        <v>81212.454994543063</v>
      </c>
      <c r="J65" s="41">
        <f>62911.6282977905*Deflactores!$Z$5</f>
        <v>64896.029279981776</v>
      </c>
      <c r="K65" s="41">
        <f>32754.7731093058*Deflactores!$AA$5</f>
        <v>32754.773109305799</v>
      </c>
      <c r="L65" s="71"/>
      <c r="M65" s="46">
        <f t="shared" si="15"/>
        <v>96.794107625128206</v>
      </c>
      <c r="N65" s="46">
        <f t="shared" si="16"/>
        <v>95.965422045606715</v>
      </c>
      <c r="O65" s="46">
        <f t="shared" si="17"/>
        <v>96.277972461593393</v>
      </c>
      <c r="P65" s="46">
        <f t="shared" si="18"/>
        <v>95.645640539801789</v>
      </c>
      <c r="Q65" s="46">
        <f t="shared" si="19"/>
        <v>90.679362844322924</v>
      </c>
      <c r="R65" s="46">
        <f t="shared" si="20"/>
        <v>97.176004920468714</v>
      </c>
      <c r="S65" s="46">
        <f t="shared" si="21"/>
        <v>97.786367306953238</v>
      </c>
      <c r="T65" s="46">
        <f t="shared" si="22"/>
        <v>45.242127683611457</v>
      </c>
    </row>
    <row r="66" spans="1:20" x14ac:dyDescent="0.2">
      <c r="A66" s="16"/>
      <c r="B66" s="36" t="s">
        <v>47</v>
      </c>
      <c r="C66" s="78" t="s">
        <v>48</v>
      </c>
      <c r="D66" s="43">
        <f t="shared" ref="D66:K66" si="26">+D47+D65</f>
        <v>274930.21493517188</v>
      </c>
      <c r="E66" s="43">
        <f t="shared" si="26"/>
        <v>325138.00949390954</v>
      </c>
      <c r="F66" s="43">
        <f t="shared" si="26"/>
        <v>350190.90436771454</v>
      </c>
      <c r="G66" s="43">
        <f t="shared" si="26"/>
        <v>314655.72118996957</v>
      </c>
      <c r="H66" s="43">
        <f t="shared" si="26"/>
        <v>355121.97162446665</v>
      </c>
      <c r="I66" s="43">
        <f t="shared" si="26"/>
        <v>369818.8963678226</v>
      </c>
      <c r="J66" s="43">
        <f t="shared" si="26"/>
        <v>377807.65775099269</v>
      </c>
      <c r="K66" s="43">
        <f t="shared" si="26"/>
        <v>106373.66521775737</v>
      </c>
      <c r="L66" s="71"/>
      <c r="M66" s="48">
        <f t="shared" si="15"/>
        <v>98.952632077577448</v>
      </c>
      <c r="N66" s="48">
        <f t="shared" si="16"/>
        <v>90.673464516737283</v>
      </c>
      <c r="O66" s="48">
        <f t="shared" si="17"/>
        <v>97.511191441005636</v>
      </c>
      <c r="P66" s="48">
        <f t="shared" si="18"/>
        <v>96.31596402135024</v>
      </c>
      <c r="Q66" s="48">
        <f t="shared" si="19"/>
        <v>96.413572752462741</v>
      </c>
      <c r="R66" s="48">
        <f t="shared" si="20"/>
        <v>96.420127108284404</v>
      </c>
      <c r="S66" s="48">
        <f t="shared" si="21"/>
        <v>98.575912535591328</v>
      </c>
      <c r="T66" s="48">
        <f t="shared" si="22"/>
        <v>25.514812238984462</v>
      </c>
    </row>
    <row r="67" spans="1:20" x14ac:dyDescent="0.2">
      <c r="A67" s="16"/>
      <c r="B67" s="38" t="s">
        <v>49</v>
      </c>
      <c r="C67" s="79" t="s">
        <v>63</v>
      </c>
      <c r="D67" s="44">
        <f t="shared" ref="D67:K67" si="27">+D47+D55+D65</f>
        <v>353003.06030853442</v>
      </c>
      <c r="E67" s="44">
        <f t="shared" si="27"/>
        <v>404407.16932434542</v>
      </c>
      <c r="F67" s="44">
        <f t="shared" si="27"/>
        <v>434289.38969810691</v>
      </c>
      <c r="G67" s="44">
        <f t="shared" si="27"/>
        <v>402901.31783861306</v>
      </c>
      <c r="H67" s="44">
        <f t="shared" si="27"/>
        <v>440898.13950661593</v>
      </c>
      <c r="I67" s="44">
        <f t="shared" si="27"/>
        <v>468019.65472958499</v>
      </c>
      <c r="J67" s="44">
        <f t="shared" si="27"/>
        <v>486171.17305070633</v>
      </c>
      <c r="K67" s="44">
        <f t="shared" si="27"/>
        <v>130480.2919628747</v>
      </c>
      <c r="L67" s="71"/>
      <c r="M67" s="45">
        <f t="shared" si="15"/>
        <v>99.041058063521234</v>
      </c>
      <c r="N67" s="45">
        <f t="shared" si="16"/>
        <v>92.242559061969601</v>
      </c>
      <c r="O67" s="45">
        <f t="shared" si="17"/>
        <v>94.708805367560018</v>
      </c>
      <c r="P67" s="45">
        <f t="shared" si="18"/>
        <v>96.853576641402924</v>
      </c>
      <c r="Q67" s="45">
        <f t="shared" si="19"/>
        <v>96.307808588322857</v>
      </c>
      <c r="R67" s="45">
        <f t="shared" si="20"/>
        <v>96.314415234028615</v>
      </c>
      <c r="S67" s="45">
        <f t="shared" si="21"/>
        <v>97.346620978542546</v>
      </c>
      <c r="T67" s="45">
        <f t="shared" si="22"/>
        <v>25.220446570766331</v>
      </c>
    </row>
    <row r="68" spans="1:20" s="5" customFormat="1" x14ac:dyDescent="0.2">
      <c r="A68" s="70"/>
      <c r="B68" s="72" t="str">
        <f>+'C1 Aprop Resumen 2000-2026'!B20</f>
        <v>* Información con corte a 28 de febrero</v>
      </c>
      <c r="C68" s="68"/>
      <c r="D68" s="69"/>
      <c r="E68" s="69"/>
      <c r="F68" s="69"/>
      <c r="G68" s="69"/>
      <c r="H68" s="69"/>
      <c r="I68" s="69"/>
      <c r="M68" s="111"/>
      <c r="N68" s="111"/>
      <c r="O68" s="111"/>
      <c r="P68" s="111"/>
      <c r="Q68" s="111"/>
      <c r="R68" s="111"/>
      <c r="S68" s="111"/>
    </row>
    <row r="69" spans="1:20" x14ac:dyDescent="0.2">
      <c r="B69" s="1" t="s">
        <v>52</v>
      </c>
      <c r="M69" s="109"/>
      <c r="N69" s="109"/>
      <c r="O69" s="109"/>
      <c r="P69" s="109"/>
      <c r="Q69" s="109"/>
      <c r="R69" s="109"/>
      <c r="S69" s="109"/>
    </row>
    <row r="70" spans="1:20" x14ac:dyDescent="0.2">
      <c r="M70" s="109"/>
      <c r="N70" s="109"/>
      <c r="O70" s="109"/>
      <c r="P70" s="109"/>
      <c r="Q70" s="109"/>
      <c r="R70" s="109"/>
      <c r="S70" s="109"/>
    </row>
    <row r="71" spans="1:20" x14ac:dyDescent="0.2">
      <c r="M71" s="109"/>
      <c r="N71" s="109"/>
      <c r="O71" s="109"/>
      <c r="P71" s="109"/>
      <c r="Q71" s="109"/>
      <c r="R71" s="109"/>
      <c r="S71" s="109"/>
    </row>
    <row r="72" spans="1:20" x14ac:dyDescent="0.2">
      <c r="M72" s="109"/>
      <c r="N72" s="109"/>
      <c r="O72" s="109"/>
      <c r="P72" s="109"/>
      <c r="Q72" s="109"/>
      <c r="R72" s="109"/>
      <c r="S72" s="109"/>
    </row>
    <row r="73" spans="1:20" x14ac:dyDescent="0.2">
      <c r="M73" s="109"/>
      <c r="N73" s="109"/>
      <c r="O73" s="109"/>
      <c r="P73" s="109"/>
      <c r="Q73" s="109"/>
      <c r="R73" s="109"/>
      <c r="S73" s="109"/>
    </row>
    <row r="74" spans="1:20" ht="18" customHeight="1" x14ac:dyDescent="0.2">
      <c r="C74" s="131"/>
      <c r="D74" s="160" t="s">
        <v>112</v>
      </c>
      <c r="E74" s="158"/>
      <c r="F74" s="158"/>
      <c r="G74" s="158"/>
      <c r="H74" s="158"/>
      <c r="I74" s="158"/>
      <c r="J74" s="158"/>
      <c r="K74" s="169"/>
      <c r="L74" s="169"/>
      <c r="M74" s="158"/>
      <c r="N74" s="158"/>
      <c r="O74" s="158"/>
      <c r="P74" s="158"/>
      <c r="Q74" s="158"/>
      <c r="R74" s="158"/>
      <c r="S74" s="158"/>
      <c r="T74" s="158"/>
    </row>
    <row r="75" spans="1:20" ht="15.75" customHeight="1" x14ac:dyDescent="0.2">
      <c r="B75" s="2"/>
      <c r="C75" s="2"/>
      <c r="D75" s="2"/>
      <c r="E75" s="2"/>
      <c r="F75" s="2"/>
      <c r="G75" s="2"/>
      <c r="H75" s="2"/>
      <c r="I75" s="2"/>
    </row>
    <row r="76" spans="1:20" ht="15.75" customHeight="1" thickBot="1" x14ac:dyDescent="0.3">
      <c r="B76" s="19"/>
      <c r="C76" s="92"/>
      <c r="D76" s="168"/>
      <c r="E76" s="154"/>
      <c r="F76" s="154"/>
      <c r="G76" s="154"/>
      <c r="H76" s="154"/>
      <c r="I76" s="154"/>
      <c r="J76" s="154"/>
      <c r="K76" s="154"/>
      <c r="M76" s="168" t="s">
        <v>113</v>
      </c>
      <c r="N76" s="154"/>
      <c r="O76" s="154"/>
      <c r="P76" s="154"/>
      <c r="Q76" s="154"/>
      <c r="R76" s="154"/>
      <c r="S76" s="154"/>
      <c r="T76" s="154"/>
    </row>
    <row r="77" spans="1:20" x14ac:dyDescent="0.2">
      <c r="B77" s="49"/>
      <c r="C77" s="166" t="s">
        <v>38</v>
      </c>
      <c r="D77" s="153">
        <v>2019</v>
      </c>
      <c r="E77" s="153">
        <v>2020</v>
      </c>
      <c r="F77" s="153">
        <v>2021</v>
      </c>
      <c r="G77" s="153">
        <v>2022</v>
      </c>
      <c r="H77" s="153">
        <v>2023</v>
      </c>
      <c r="I77" s="153">
        <v>2024</v>
      </c>
      <c r="J77" s="153">
        <v>2025</v>
      </c>
      <c r="K77" s="153" t="s">
        <v>36</v>
      </c>
      <c r="L77" s="114"/>
      <c r="M77" s="153">
        <v>2019</v>
      </c>
      <c r="N77" s="153">
        <v>2020</v>
      </c>
      <c r="O77" s="153">
        <v>2021</v>
      </c>
      <c r="P77" s="153">
        <v>2022</v>
      </c>
      <c r="Q77" s="153">
        <v>2023</v>
      </c>
      <c r="R77" s="153">
        <v>2024</v>
      </c>
      <c r="S77" s="153">
        <v>2025</v>
      </c>
      <c r="T77" s="153" t="s">
        <v>36</v>
      </c>
    </row>
    <row r="78" spans="1:20" ht="12" customHeight="1" thickBot="1" x14ac:dyDescent="0.25">
      <c r="B78" s="84"/>
      <c r="C78" s="154"/>
      <c r="D78" s="154"/>
      <c r="E78" s="154"/>
      <c r="F78" s="154"/>
      <c r="G78" s="154"/>
      <c r="H78" s="154"/>
      <c r="I78" s="154"/>
      <c r="J78" s="154"/>
      <c r="K78" s="154"/>
      <c r="L78" s="114"/>
      <c r="M78" s="154"/>
      <c r="N78" s="154"/>
      <c r="O78" s="154"/>
      <c r="P78" s="154"/>
      <c r="Q78" s="154"/>
      <c r="R78" s="154"/>
      <c r="S78" s="154"/>
      <c r="T78" s="154"/>
    </row>
    <row r="79" spans="1:20" x14ac:dyDescent="0.2">
      <c r="B79" s="34" t="s">
        <v>39</v>
      </c>
      <c r="C79" s="76" t="s">
        <v>40</v>
      </c>
      <c r="D79" s="41">
        <f t="shared" ref="D79:K79" si="28">+SUM(D80:D86)</f>
        <v>214485.97566998049</v>
      </c>
      <c r="E79" s="41">
        <f t="shared" si="28"/>
        <v>257117.12284081333</v>
      </c>
      <c r="F79" s="41">
        <f t="shared" si="28"/>
        <v>272396.03599653952</v>
      </c>
      <c r="G79" s="41">
        <f t="shared" si="28"/>
        <v>225282.2017468375</v>
      </c>
      <c r="H79" s="41">
        <f t="shared" si="28"/>
        <v>259266.73212931323</v>
      </c>
      <c r="I79" s="41">
        <f t="shared" si="28"/>
        <v>269280.25279223843</v>
      </c>
      <c r="J79" s="41">
        <f t="shared" si="28"/>
        <v>291003.36046502198</v>
      </c>
      <c r="K79" s="41">
        <f t="shared" si="28"/>
        <v>38361.866622298148</v>
      </c>
      <c r="M79" s="46">
        <f t="shared" ref="M79:M99" si="29">+D79/D14*100</f>
        <v>94.404928151170992</v>
      </c>
      <c r="N79" s="46">
        <f t="shared" ref="N79:N99" si="30">+E79/E14*100</f>
        <v>84.157490334955327</v>
      </c>
      <c r="O79" s="46">
        <f t="shared" ref="O79:O99" si="31">+F79/F14*100</f>
        <v>94.087989696853683</v>
      </c>
      <c r="P79" s="46">
        <f t="shared" ref="P79:P99" si="32">+G79/G14*100</f>
        <v>89.117465327572646</v>
      </c>
      <c r="Q79" s="46">
        <f t="shared" ref="Q79:Q99" si="33">+H79/H14*100</f>
        <v>90.568481649866143</v>
      </c>
      <c r="R79" s="46">
        <f t="shared" ref="R79:R99" si="34">+I79/I14*100</f>
        <v>89.766984100901979</v>
      </c>
      <c r="S79" s="46">
        <f t="shared" ref="S79:S99" si="35">+J79/J14*100</f>
        <v>91.827964977156967</v>
      </c>
      <c r="T79" s="46">
        <f t="shared" ref="T79:T99" si="36">+K79/K14*100</f>
        <v>11.135176706526137</v>
      </c>
    </row>
    <row r="80" spans="1:20" x14ac:dyDescent="0.2">
      <c r="B80" s="40"/>
      <c r="C80" s="77" t="s">
        <v>92</v>
      </c>
      <c r="D80" s="42">
        <f>28930.3242307902*Deflactores!$T$5</f>
        <v>43774.546260270494</v>
      </c>
      <c r="E80" s="42">
        <f>29987.8604092728*Deflactores!$U$5</f>
        <v>44655.749343797492</v>
      </c>
      <c r="F80" s="42">
        <f>31805.4886393179*Deflactores!$V$5</f>
        <v>44842.29277743963</v>
      </c>
      <c r="G80" s="42">
        <f>35133.5886145727*Deflactores!$W$5</f>
        <v>43789.385727208428</v>
      </c>
      <c r="H80" s="42">
        <f>40712.2239028889*Deflactores!$X$5</f>
        <v>46433.399572129187</v>
      </c>
      <c r="I80" s="42">
        <f>46477.0791145016*Deflactores!$Y$5</f>
        <v>50388.188083414381</v>
      </c>
      <c r="J80" s="42">
        <f>52301.6159609008*Deflactores!$Z$5</f>
        <v>53951.348782816138</v>
      </c>
      <c r="K80" s="42">
        <f>7754.76267136674*Deflactores!$AA$5</f>
        <v>7754.7626713667396</v>
      </c>
      <c r="L80" s="42"/>
      <c r="M80" s="47">
        <f t="shared" si="29"/>
        <v>98.28746358829568</v>
      </c>
      <c r="N80" s="47">
        <f t="shared" si="30"/>
        <v>96.476834776136727</v>
      </c>
      <c r="O80" s="47">
        <f t="shared" si="31"/>
        <v>96.571812798125151</v>
      </c>
      <c r="P80" s="47">
        <f t="shared" si="32"/>
        <v>97.135570115112642</v>
      </c>
      <c r="Q80" s="47">
        <f t="shared" si="33"/>
        <v>95.603878854158907</v>
      </c>
      <c r="R80" s="47">
        <f t="shared" si="34"/>
        <v>97.197689509041012</v>
      </c>
      <c r="S80" s="47">
        <f t="shared" si="35"/>
        <v>96.978044858017867</v>
      </c>
      <c r="T80" s="47">
        <f t="shared" si="36"/>
        <v>12.443800093973673</v>
      </c>
    </row>
    <row r="81" spans="2:20" x14ac:dyDescent="0.2">
      <c r="B81" s="40"/>
      <c r="C81" s="77" t="s">
        <v>93</v>
      </c>
      <c r="D81" s="42">
        <f>7916.76693307716*Deflactores!$T$5</f>
        <v>11978.879931630141</v>
      </c>
      <c r="E81" s="42">
        <f>7830.61737594962*Deflactores!$U$5</f>
        <v>11660.788131435456</v>
      </c>
      <c r="F81" s="42">
        <f>8832.08523291498*Deflactores!$V$5</f>
        <v>12452.283199953012</v>
      </c>
      <c r="G81" s="42">
        <f>10918.0744858895*Deflactores!$W$5</f>
        <v>13607.940262120099</v>
      </c>
      <c r="H81" s="42">
        <f>11629.6451423471*Deflactores!$X$5</f>
        <v>13263.926850686139</v>
      </c>
      <c r="I81" s="42">
        <f>11110.7048443562*Deflactores!$Y$5</f>
        <v>12045.685660612906</v>
      </c>
      <c r="J81" s="42">
        <f>13886.6344887654*Deflactores!$Z$5</f>
        <v>14324.65607339835</v>
      </c>
      <c r="K81" s="42">
        <f>1102.06677544435*Deflactores!$AA$5</f>
        <v>1102.06677544435</v>
      </c>
      <c r="L81" s="42"/>
      <c r="M81" s="47">
        <f t="shared" si="29"/>
        <v>88.733010350834917</v>
      </c>
      <c r="N81" s="47">
        <f t="shared" si="30"/>
        <v>87.170137193609364</v>
      </c>
      <c r="O81" s="47">
        <f t="shared" si="31"/>
        <v>88.228046988514791</v>
      </c>
      <c r="P81" s="47">
        <f t="shared" si="32"/>
        <v>87.151275716755023</v>
      </c>
      <c r="Q81" s="47">
        <f t="shared" si="33"/>
        <v>78.526231413848976</v>
      </c>
      <c r="R81" s="47">
        <f t="shared" si="34"/>
        <v>70.747485392212781</v>
      </c>
      <c r="S81" s="47">
        <f t="shared" si="35"/>
        <v>74.492863628810625</v>
      </c>
      <c r="T81" s="47">
        <f t="shared" si="36"/>
        <v>6.5988918277702009</v>
      </c>
    </row>
    <row r="82" spans="2:20" x14ac:dyDescent="0.2">
      <c r="B82" s="40"/>
      <c r="C82" s="77" t="s">
        <v>58</v>
      </c>
      <c r="D82" s="42">
        <f>103909.33207771*Deflactores!$T$5</f>
        <v>157225.47136435207</v>
      </c>
      <c r="E82" s="42">
        <f>133619.23676565*Deflactores!$U$5</f>
        <v>198976.08775954327</v>
      </c>
      <c r="F82" s="42">
        <f>150390.836710539*Deflactores!$V$5</f>
        <v>212034.78453971446</v>
      </c>
      <c r="G82" s="42">
        <f>132938.086283949*Deflactores!$W$5</f>
        <v>165689.79622281485</v>
      </c>
      <c r="H82" s="42">
        <f>173020.915782757*Deflactores!$X$5</f>
        <v>197335.06418219485</v>
      </c>
      <c r="I82" s="42">
        <f>188855.069612431*Deflactores!$Y$5</f>
        <v>204747.47874524505</v>
      </c>
      <c r="J82" s="42">
        <f>213943.027469373*Deflactores!$Z$5</f>
        <v>220691.36263936112</v>
      </c>
      <c r="K82" s="42">
        <f>29393.0878942575*Deflactores!$AA$5</f>
        <v>29393.0878942575</v>
      </c>
      <c r="L82" s="42"/>
      <c r="M82" s="47">
        <f t="shared" si="29"/>
        <v>93.829810849140443</v>
      </c>
      <c r="N82" s="47">
        <f t="shared" si="30"/>
        <v>81.574215932982838</v>
      </c>
      <c r="O82" s="47">
        <f t="shared" si="31"/>
        <v>94.00794488436388</v>
      </c>
      <c r="P82" s="47">
        <f t="shared" si="32"/>
        <v>87.324916827771077</v>
      </c>
      <c r="Q82" s="47">
        <f t="shared" si="33"/>
        <v>90.382844815238528</v>
      </c>
      <c r="R82" s="47">
        <f t="shared" si="34"/>
        <v>89.482475798369563</v>
      </c>
      <c r="S82" s="47">
        <f t="shared" si="35"/>
        <v>92.032821730604326</v>
      </c>
      <c r="T82" s="47">
        <f t="shared" si="36"/>
        <v>11.167891284330791</v>
      </c>
    </row>
    <row r="83" spans="2:20" x14ac:dyDescent="0.2">
      <c r="B83" s="40"/>
      <c r="C83" s="77" t="s">
        <v>94</v>
      </c>
      <c r="D83" s="42">
        <f>56.45194425434*Deflactores!$T$5</f>
        <v>85.417578646207957</v>
      </c>
      <c r="E83" s="42">
        <f>56.68118135849*Deflactores!$U$5</f>
        <v>84.405509186390006</v>
      </c>
      <c r="F83" s="42">
        <f>70.72593952125*Deflactores!$V$5</f>
        <v>99.715911393065682</v>
      </c>
      <c r="G83" s="42">
        <f>66.9975835885899*Deflactores!$W$5</f>
        <v>83.503654088292564</v>
      </c>
      <c r="H83" s="42">
        <f>83.32313846065*Deflactores!$X$5</f>
        <v>95.032307519626016</v>
      </c>
      <c r="I83" s="42">
        <f>95.11583335392*Deflactores!$Y$5</f>
        <v>103.11995917257664</v>
      </c>
      <c r="J83" s="42">
        <f>99.36330705232*Deflactores!$Z$5</f>
        <v>102.49749145420938</v>
      </c>
      <c r="K83" s="42">
        <f>4.17715385456*Deflactores!$AA$5</f>
        <v>4.1771538545600002</v>
      </c>
      <c r="L83" s="42"/>
      <c r="M83" s="47">
        <f t="shared" si="29"/>
        <v>79.166450040651014</v>
      </c>
      <c r="N83" s="47">
        <f t="shared" si="30"/>
        <v>81.950541272258278</v>
      </c>
      <c r="O83" s="47">
        <f t="shared" si="31"/>
        <v>79.712175658961868</v>
      </c>
      <c r="P83" s="47">
        <f t="shared" si="32"/>
        <v>77.584883170307847</v>
      </c>
      <c r="Q83" s="47">
        <f t="shared" si="33"/>
        <v>82.688576094165199</v>
      </c>
      <c r="R83" s="47">
        <f t="shared" si="34"/>
        <v>90.120544518011414</v>
      </c>
      <c r="S83" s="47">
        <f t="shared" si="35"/>
        <v>85.409007021584173</v>
      </c>
      <c r="T83" s="47">
        <f t="shared" si="36"/>
        <v>3.3600968727833309</v>
      </c>
    </row>
    <row r="84" spans="2:20" x14ac:dyDescent="0.2">
      <c r="B84" s="40"/>
      <c r="C84" s="77" t="s">
        <v>95</v>
      </c>
      <c r="D84" s="42">
        <f>289.96309008*Deflactores!$T$5</f>
        <v>438.74387992406002</v>
      </c>
      <c r="E84" s="42">
        <f>319.153394823*Deflactores!$U$5</f>
        <v>475.26011549096489</v>
      </c>
      <c r="F84" s="42">
        <f>393.627104752729*Deflactores!$V$5</f>
        <v>554.97156722306909</v>
      </c>
      <c r="G84" s="42">
        <f>468.54035323696*Deflactores!$W$5</f>
        <v>583.97377170135303</v>
      </c>
      <c r="H84" s="42">
        <f>571.1550256005*Deflactores!$X$5</f>
        <v>651.41785387596599</v>
      </c>
      <c r="I84" s="42">
        <f>516.92552704158*Deflactores!$Y$5</f>
        <v>560.42550818478992</v>
      </c>
      <c r="J84" s="42">
        <f>521.325997017*Deflactores!$Z$5</f>
        <v>537.77001298850701</v>
      </c>
      <c r="K84" s="42">
        <f>0*Deflactores!$AA$5</f>
        <v>0</v>
      </c>
      <c r="L84" s="42"/>
      <c r="M84" s="47">
        <f t="shared" si="29"/>
        <v>99.690949687480639</v>
      </c>
      <c r="N84" s="47">
        <f t="shared" si="30"/>
        <v>99.732942558623535</v>
      </c>
      <c r="O84" s="47">
        <f t="shared" si="31"/>
        <v>83.049650133707701</v>
      </c>
      <c r="P84" s="47">
        <f t="shared" si="32"/>
        <v>99.346435919313066</v>
      </c>
      <c r="Q84" s="47">
        <f t="shared" si="33"/>
        <v>99.714712051225575</v>
      </c>
      <c r="R84" s="47">
        <f t="shared" si="34"/>
        <v>99.811485785454721</v>
      </c>
      <c r="S84" s="47">
        <f t="shared" si="35"/>
        <v>95.161625117832401</v>
      </c>
      <c r="T84" s="47">
        <f t="shared" si="36"/>
        <v>0</v>
      </c>
    </row>
    <row r="85" spans="2:20" x14ac:dyDescent="0.2">
      <c r="B85" s="40"/>
      <c r="C85" s="77" t="s">
        <v>96</v>
      </c>
      <c r="D85" s="42">
        <f>242.43691582327*Deflactores!$T$5</f>
        <v>366.83190628082241</v>
      </c>
      <c r="E85" s="42">
        <f>226.287615511899*Deflactores!$U$5</f>
        <v>336.97112431470163</v>
      </c>
      <c r="F85" s="42">
        <f>419.767443770919*Deflactores!$V$5</f>
        <v>591.82661286780535</v>
      </c>
      <c r="G85" s="42">
        <f>344.82860338001*Deflactores!$W$5</f>
        <v>429.78338731155753</v>
      </c>
      <c r="H85" s="42">
        <f>434.60266397204*Deflactores!$X$5</f>
        <v>495.6761684024234</v>
      </c>
      <c r="I85" s="42">
        <f>324.60056403218*Deflactores!$Y$5</f>
        <v>351.91613982756786</v>
      </c>
      <c r="J85" s="42">
        <f>285.97555456361*Deflactores!$Z$5</f>
        <v>294.99598825311051</v>
      </c>
      <c r="K85" s="42">
        <f>28.072016199*Deflactores!$AA$5</f>
        <v>28.072016199</v>
      </c>
      <c r="L85" s="42"/>
      <c r="M85" s="47">
        <f t="shared" si="29"/>
        <v>91.666391651712473</v>
      </c>
      <c r="N85" s="47">
        <f t="shared" si="30"/>
        <v>81.484492919214219</v>
      </c>
      <c r="O85" s="47">
        <f t="shared" si="31"/>
        <v>93.285046827819798</v>
      </c>
      <c r="P85" s="47">
        <f t="shared" si="32"/>
        <v>86.480507120605864</v>
      </c>
      <c r="Q85" s="47">
        <f t="shared" si="33"/>
        <v>90.563596975514798</v>
      </c>
      <c r="R85" s="47">
        <f t="shared" si="34"/>
        <v>94.735039437725646</v>
      </c>
      <c r="S85" s="47">
        <f t="shared" si="35"/>
        <v>85.549317980724666</v>
      </c>
      <c r="T85" s="47">
        <f t="shared" si="36"/>
        <v>7.9398134002482283</v>
      </c>
    </row>
    <row r="86" spans="2:20" x14ac:dyDescent="0.2">
      <c r="B86" s="40"/>
      <c r="C86" s="77" t="s">
        <v>97</v>
      </c>
      <c r="D86" s="42">
        <f>407.16656279366*Deflactores!$T$5</f>
        <v>616.08474887664852</v>
      </c>
      <c r="E86" s="42">
        <f>623.09024636622*Deflactores!$U$5</f>
        <v>927.86085704504205</v>
      </c>
      <c r="F86" s="42">
        <f>1290.99380875652*Deflactores!$V$5</f>
        <v>1820.1613879485208</v>
      </c>
      <c r="G86" s="42">
        <f>880.814167572469*Deflactores!$W$5</f>
        <v>1097.8187215928938</v>
      </c>
      <c r="H86" s="42">
        <f>869.96187078198*Deflactores!$X$5</f>
        <v>992.2151945050166</v>
      </c>
      <c r="I86" s="42">
        <f>999.34266134307*Deflactores!$Y$5</f>
        <v>1083.4386957811835</v>
      </c>
      <c r="J86" s="42">
        <f>1067.07119782311*Deflactores!$Z$5</f>
        <v>1100.7294767505778</v>
      </c>
      <c r="K86" s="42">
        <f>79.700111176*Deflactores!$AA$5</f>
        <v>79.700111175999993</v>
      </c>
      <c r="L86" s="42"/>
      <c r="M86" s="47">
        <f t="shared" si="29"/>
        <v>95.07753890016761</v>
      </c>
      <c r="N86" s="47">
        <f t="shared" si="30"/>
        <v>98.491865681117304</v>
      </c>
      <c r="O86" s="47">
        <f t="shared" si="31"/>
        <v>91.626215736724987</v>
      </c>
      <c r="P86" s="47">
        <f t="shared" si="32"/>
        <v>94.174209005260565</v>
      </c>
      <c r="Q86" s="47">
        <f t="shared" si="33"/>
        <v>85.655179431315375</v>
      </c>
      <c r="R86" s="47">
        <f t="shared" si="34"/>
        <v>86.71793118838518</v>
      </c>
      <c r="S86" s="47">
        <f t="shared" si="35"/>
        <v>90.806704104567771</v>
      </c>
      <c r="T86" s="47">
        <f t="shared" si="36"/>
        <v>6.6737170728445623</v>
      </c>
    </row>
    <row r="87" spans="2:20" x14ac:dyDescent="0.2">
      <c r="B87" s="34" t="s">
        <v>41</v>
      </c>
      <c r="C87" s="76" t="s">
        <v>42</v>
      </c>
      <c r="D87" s="41">
        <f t="shared" ref="D87:K87" si="37">+D88+D92</f>
        <v>78007.095803368284</v>
      </c>
      <c r="E87" s="41">
        <f t="shared" si="37"/>
        <v>67425.471360469528</v>
      </c>
      <c r="F87" s="41">
        <f t="shared" si="37"/>
        <v>76968.978580309849</v>
      </c>
      <c r="G87" s="41">
        <f t="shared" si="37"/>
        <v>85710.112762362362</v>
      </c>
      <c r="H87" s="41">
        <f t="shared" si="37"/>
        <v>85592.496150836174</v>
      </c>
      <c r="I87" s="41">
        <f t="shared" si="37"/>
        <v>89750.894399134704</v>
      </c>
      <c r="J87" s="41">
        <f t="shared" si="37"/>
        <v>107754.12460500812</v>
      </c>
      <c r="K87" s="41">
        <f t="shared" si="37"/>
        <v>21878.51677078622</v>
      </c>
      <c r="L87" s="71"/>
      <c r="M87" s="46">
        <f t="shared" si="29"/>
        <v>99.270037157022259</v>
      </c>
      <c r="N87" s="46">
        <f t="shared" si="30"/>
        <v>84.455072681777708</v>
      </c>
      <c r="O87" s="46">
        <f t="shared" si="31"/>
        <v>77.415396442815947</v>
      </c>
      <c r="P87" s="46">
        <f t="shared" si="32"/>
        <v>95.981057138023672</v>
      </c>
      <c r="Q87" s="46">
        <f t="shared" si="33"/>
        <v>95.667101454170492</v>
      </c>
      <c r="R87" s="46">
        <f t="shared" si="34"/>
        <v>87.664908838561459</v>
      </c>
      <c r="S87" s="46">
        <f t="shared" si="35"/>
        <v>92.765888849015838</v>
      </c>
      <c r="T87" s="46">
        <f t="shared" si="36"/>
        <v>21.780567713329681</v>
      </c>
    </row>
    <row r="88" spans="2:20" x14ac:dyDescent="0.2">
      <c r="B88" s="34"/>
      <c r="C88" s="76" t="s">
        <v>43</v>
      </c>
      <c r="D88" s="41">
        <f>+SUM(D89:D91)</f>
        <v>21330.542384120141</v>
      </c>
      <c r="E88" s="41">
        <f>+SUM(E89:E91)</f>
        <v>22111.229611105729</v>
      </c>
      <c r="F88" s="41">
        <f t="shared" ref="F88:K88" si="38">(+SUM(F89:F91))</f>
        <v>28631.570541499539</v>
      </c>
      <c r="G88" s="41">
        <f t="shared" si="38"/>
        <v>18910.155339054883</v>
      </c>
      <c r="H88" s="41">
        <f t="shared" si="38"/>
        <v>28435.617232994871</v>
      </c>
      <c r="I88" s="41">
        <f t="shared" si="38"/>
        <v>34628.981296035017</v>
      </c>
      <c r="J88" s="41">
        <f t="shared" si="38"/>
        <v>49389.934834957472</v>
      </c>
      <c r="K88" s="41">
        <f t="shared" si="38"/>
        <v>6740.1442399464904</v>
      </c>
      <c r="L88" s="71"/>
      <c r="M88" s="46">
        <f t="shared" si="29"/>
        <v>97.913486747181338</v>
      </c>
      <c r="N88" s="46">
        <f t="shared" si="30"/>
        <v>99.032710760723859</v>
      </c>
      <c r="O88" s="46">
        <f t="shared" si="31"/>
        <v>80.563045668736279</v>
      </c>
      <c r="P88" s="46">
        <f t="shared" si="32"/>
        <v>90.38419877922459</v>
      </c>
      <c r="Q88" s="46">
        <f t="shared" si="33"/>
        <v>93.925312356068375</v>
      </c>
      <c r="R88" s="46">
        <f t="shared" si="34"/>
        <v>85.72526681590476</v>
      </c>
      <c r="S88" s="46">
        <f t="shared" si="35"/>
        <v>88.965244172566969</v>
      </c>
      <c r="T88" s="46">
        <f t="shared" si="36"/>
        <v>17.54969625254434</v>
      </c>
    </row>
    <row r="89" spans="2:20" x14ac:dyDescent="0.2">
      <c r="B89" s="32"/>
      <c r="C89" s="77" t="s">
        <v>98</v>
      </c>
      <c r="D89" s="42">
        <f>7910.47617477022*Deflactores!$T$5</f>
        <v>11969.361369434897</v>
      </c>
      <c r="E89" s="42">
        <f>6388.91910730776*Deflactores!$U$5</f>
        <v>9513.9155091409302</v>
      </c>
      <c r="F89" s="42">
        <f>10847.4859933545*Deflactores!$V$5</f>
        <v>15293.779898475093</v>
      </c>
      <c r="G89" s="42">
        <f>4196.92598344154*Deflactores!$W$5</f>
        <v>5230.9148596689784</v>
      </c>
      <c r="H89" s="42">
        <f>12570.0240204341*Deflactores!$X$5</f>
        <v>14336.45455881524</v>
      </c>
      <c r="I89" s="42">
        <f>16973.3873916283*Deflactores!$Y$5</f>
        <v>18401.720861050555</v>
      </c>
      <c r="J89" s="42">
        <f>31951.3541477027*Deflactores!$Z$5</f>
        <v>32959.185295434567</v>
      </c>
      <c r="K89" s="42">
        <f>3993.47862642604*Deflactores!$AA$5</f>
        <v>3993.4786264260401</v>
      </c>
      <c r="L89" s="42"/>
      <c r="M89" s="47">
        <f t="shared" si="29"/>
        <v>99.388399633902537</v>
      </c>
      <c r="N89" s="47">
        <f t="shared" si="30"/>
        <v>98.433201721859902</v>
      </c>
      <c r="O89" s="47">
        <f t="shared" si="31"/>
        <v>75.917390481882109</v>
      </c>
      <c r="P89" s="47">
        <f t="shared" si="32"/>
        <v>96.760553481122784</v>
      </c>
      <c r="Q89" s="47">
        <f t="shared" si="33"/>
        <v>95.285042047852386</v>
      </c>
      <c r="R89" s="47">
        <f t="shared" si="34"/>
        <v>87.000273850086685</v>
      </c>
      <c r="S89" s="47">
        <f t="shared" si="35"/>
        <v>92.714856987671084</v>
      </c>
      <c r="T89" s="47">
        <f t="shared" si="36"/>
        <v>23.119714135490906</v>
      </c>
    </row>
    <row r="90" spans="2:20" x14ac:dyDescent="0.2">
      <c r="B90" s="32"/>
      <c r="C90" s="77" t="s">
        <v>61</v>
      </c>
      <c r="D90" s="42">
        <f>6110.39162561193*Deflactores!$T$5</f>
        <v>9245.6489166838819</v>
      </c>
      <c r="E90" s="42">
        <f>8217.53210757637*Deflactores!$U$5</f>
        <v>12236.953520934341</v>
      </c>
      <c r="F90" s="42">
        <f>9332.39927500143*Deflactores!$V$5</f>
        <v>13157.671789020951</v>
      </c>
      <c r="G90" s="42">
        <f>10879.5959443922*Deflactores!$W$5</f>
        <v>13559.981833667767</v>
      </c>
      <c r="H90" s="42">
        <f>12281.4127979816*Deflactores!$X$5</f>
        <v>14007.28560343949</v>
      </c>
      <c r="I90" s="42">
        <f>14870.5876881979*Deflactores!$Y$5</f>
        <v>16121.96772301097</v>
      </c>
      <c r="J90" s="42">
        <f>15711.6153676201*Deflactores!$Z$5</f>
        <v>16207.20172917056</v>
      </c>
      <c r="K90" s="42">
        <f>2711.16422692012*Deflactores!$AA$5</f>
        <v>2711.1642269201202</v>
      </c>
      <c r="L90" s="42"/>
      <c r="M90" s="47">
        <f t="shared" si="29"/>
        <v>96.817670243193447</v>
      </c>
      <c r="N90" s="47">
        <f t="shared" si="30"/>
        <v>99.773939366644953</v>
      </c>
      <c r="O90" s="47">
        <f t="shared" si="31"/>
        <v>86.762291864065887</v>
      </c>
      <c r="P90" s="47">
        <f t="shared" si="32"/>
        <v>88.430494290039277</v>
      </c>
      <c r="Q90" s="47">
        <f t="shared" si="33"/>
        <v>93.025474680170873</v>
      </c>
      <c r="R90" s="47">
        <f t="shared" si="34"/>
        <v>84.873182322204244</v>
      </c>
      <c r="S90" s="47">
        <f t="shared" si="35"/>
        <v>83.663837569783212</v>
      </c>
      <c r="T90" s="47">
        <f t="shared" si="36"/>
        <v>13.564595804439902</v>
      </c>
    </row>
    <row r="91" spans="2:20" x14ac:dyDescent="0.2">
      <c r="B91" s="32"/>
      <c r="C91" s="77" t="s">
        <v>103</v>
      </c>
      <c r="D91" s="42">
        <f>76.35444201683*Deflactores!$T$5</f>
        <v>115.53209800136322</v>
      </c>
      <c r="E91" s="42">
        <f>241.99443430562*Deflactores!$U$5</f>
        <v>360.36058103045872</v>
      </c>
      <c r="F91" s="42">
        <f>127.753685414079*Deflactores!$V$5</f>
        <v>180.1188540034928</v>
      </c>
      <c r="G91" s="42">
        <f>95.68492747293*Deflactores!$W$5</f>
        <v>119.25864571813692</v>
      </c>
      <c r="H91" s="42">
        <f>80.5566663216999*Deflactores!$X$5</f>
        <v>91.877070740140766</v>
      </c>
      <c r="I91" s="42">
        <f>97.1199380392699*Deflactores!$Y$5</f>
        <v>105.29271197348909</v>
      </c>
      <c r="J91" s="42">
        <f>216.71213027528*Deflactores!$Z$5</f>
        <v>223.54781035234666</v>
      </c>
      <c r="K91" s="42">
        <f>35.50138660033*Deflactores!$AA$5</f>
        <v>35.501386600330001</v>
      </c>
      <c r="L91" s="42"/>
      <c r="M91" s="47">
        <f t="shared" si="29"/>
        <v>60.008037986718321</v>
      </c>
      <c r="N91" s="47">
        <f t="shared" si="30"/>
        <v>90.732763379105549</v>
      </c>
      <c r="O91" s="47">
        <f t="shared" si="31"/>
        <v>78.707196030640446</v>
      </c>
      <c r="P91" s="47">
        <f t="shared" si="32"/>
        <v>65.572336683188809</v>
      </c>
      <c r="Q91" s="47">
        <f t="shared" si="33"/>
        <v>53.610783607904445</v>
      </c>
      <c r="R91" s="47">
        <f t="shared" si="34"/>
        <v>42.353433910073853</v>
      </c>
      <c r="S91" s="47">
        <f t="shared" si="35"/>
        <v>37.558633518332336</v>
      </c>
      <c r="T91" s="47">
        <f t="shared" si="36"/>
        <v>3.0980209073722351</v>
      </c>
    </row>
    <row r="92" spans="2:20" x14ac:dyDescent="0.2">
      <c r="B92" s="34"/>
      <c r="C92" s="76" t="s">
        <v>44</v>
      </c>
      <c r="D92" s="41">
        <f t="shared" ref="D92:K92" si="39">+SUM(D93:D96)</f>
        <v>56676.553419248135</v>
      </c>
      <c r="E92" s="41">
        <f t="shared" si="39"/>
        <v>45314.241749363791</v>
      </c>
      <c r="F92" s="41">
        <f t="shared" si="39"/>
        <v>48337.40803881031</v>
      </c>
      <c r="G92" s="41">
        <f t="shared" si="39"/>
        <v>66799.957423307482</v>
      </c>
      <c r="H92" s="41">
        <f t="shared" si="39"/>
        <v>57156.878917841299</v>
      </c>
      <c r="I92" s="41">
        <f t="shared" si="39"/>
        <v>55121.913103099694</v>
      </c>
      <c r="J92" s="41">
        <f t="shared" si="39"/>
        <v>58364.189770050652</v>
      </c>
      <c r="K92" s="41">
        <f t="shared" si="39"/>
        <v>15138.37253083973</v>
      </c>
      <c r="L92" s="71"/>
      <c r="M92" s="46">
        <f t="shared" si="29"/>
        <v>99.790369133788019</v>
      </c>
      <c r="N92" s="46">
        <f t="shared" si="30"/>
        <v>78.79544591767997</v>
      </c>
      <c r="O92" s="46">
        <f t="shared" si="31"/>
        <v>75.664326728468126</v>
      </c>
      <c r="P92" s="46">
        <f t="shared" si="32"/>
        <v>97.693581449597573</v>
      </c>
      <c r="Q92" s="46">
        <f t="shared" si="33"/>
        <v>96.5579318536399</v>
      </c>
      <c r="R92" s="46">
        <f t="shared" si="34"/>
        <v>88.928979883116767</v>
      </c>
      <c r="S92" s="46">
        <f t="shared" si="35"/>
        <v>96.245322159843852</v>
      </c>
      <c r="T92" s="46">
        <f t="shared" si="36"/>
        <v>24.399546519900184</v>
      </c>
    </row>
    <row r="93" spans="2:20" x14ac:dyDescent="0.2">
      <c r="B93" s="32"/>
      <c r="C93" s="77" t="s">
        <v>98</v>
      </c>
      <c r="D93" s="42">
        <f>17912.4359059928*Deflactores!$T$5</f>
        <v>27103.351761488189</v>
      </c>
      <c r="E93" s="42">
        <f>8621.15428168121*Deflactores!$U$5</f>
        <v>12837.998423452662</v>
      </c>
      <c r="F93" s="42">
        <f>10355.5871017508*Deflactores!$V$5</f>
        <v>14600.255759785294</v>
      </c>
      <c r="G93" s="42">
        <f>25458.9737706393*Deflactores!$W$5</f>
        <v>31731.253954484917</v>
      </c>
      <c r="H93" s="42">
        <f>17051.1250393413*Deflactores!$X$5</f>
        <v>19447.272249106743</v>
      </c>
      <c r="I93" s="42">
        <f>8643.83614344078*Deflactores!$Y$5</f>
        <v>9371.2266273207224</v>
      </c>
      <c r="J93" s="42">
        <f>10247.7990207593*Deflactores!$Z$5</f>
        <v>10571.042004486169</v>
      </c>
      <c r="K93" s="42">
        <f>202.744062721*Deflactores!$AA$5</f>
        <v>202.74406272100001</v>
      </c>
      <c r="L93" s="42"/>
      <c r="M93" s="47">
        <f t="shared" si="29"/>
        <v>99.855465757506934</v>
      </c>
      <c r="N93" s="47">
        <f t="shared" si="30"/>
        <v>52.860247248738887</v>
      </c>
      <c r="O93" s="47">
        <f t="shared" si="31"/>
        <v>51.644099692267474</v>
      </c>
      <c r="P93" s="47">
        <f t="shared" si="32"/>
        <v>95.963456435145957</v>
      </c>
      <c r="Q93" s="47">
        <f t="shared" si="33"/>
        <v>97.46958516518967</v>
      </c>
      <c r="R93" s="47">
        <f t="shared" si="34"/>
        <v>62.087354761386273</v>
      </c>
      <c r="S93" s="47">
        <f t="shared" si="35"/>
        <v>98.681925705495004</v>
      </c>
      <c r="T93" s="47">
        <f t="shared" si="36"/>
        <v>1.9602293759818323</v>
      </c>
    </row>
    <row r="94" spans="2:20" x14ac:dyDescent="0.2">
      <c r="B94" s="32"/>
      <c r="C94" s="77" t="s">
        <v>61</v>
      </c>
      <c r="D94" s="42">
        <f>18932.2539580717*Deflactores!$T$5</f>
        <v>28646.441017649195</v>
      </c>
      <c r="E94" s="42">
        <f>20925.9314488055*Deflactores!$U$5</f>
        <v>31161.381199253359</v>
      </c>
      <c r="F94" s="42">
        <f>22982.8898455461*Deflactores!$V$5</f>
        <v>32403.384428799167</v>
      </c>
      <c r="G94" s="42">
        <f>26772.9866756672*Deflactores!$W$5</f>
        <v>33368.997783617422</v>
      </c>
      <c r="H94" s="42">
        <f>28965.9060578736*Deflactores!$X$5</f>
        <v>33036.404328149787</v>
      </c>
      <c r="I94" s="42">
        <f>40687.9987502948*Deflactores!$Y$5</f>
        <v>44111.948789137437</v>
      </c>
      <c r="J94" s="42">
        <f>44845.9790189781*Deflactores!$Z$5</f>
        <v>46260.541115373802</v>
      </c>
      <c r="K94" s="42">
        <f>14935.4512007702*Deflactores!$AA$5</f>
        <v>14935.4512007702</v>
      </c>
      <c r="L94" s="42"/>
      <c r="M94" s="47">
        <f t="shared" si="29"/>
        <v>99.946518272929026</v>
      </c>
      <c r="N94" s="47">
        <f t="shared" si="30"/>
        <v>97.874516352881827</v>
      </c>
      <c r="O94" s="47">
        <f t="shared" si="31"/>
        <v>95.211150041984567</v>
      </c>
      <c r="P94" s="47">
        <f t="shared" si="32"/>
        <v>99.679241197332871</v>
      </c>
      <c r="Q94" s="47">
        <f t="shared" si="33"/>
        <v>96.068196647084832</v>
      </c>
      <c r="R94" s="47">
        <f t="shared" si="34"/>
        <v>97.975595653713611</v>
      </c>
      <c r="S94" s="47">
        <f t="shared" si="35"/>
        <v>97.068819139431966</v>
      </c>
      <c r="T94" s="47">
        <f t="shared" si="36"/>
        <v>30.619530175278026</v>
      </c>
    </row>
    <row r="95" spans="2:20" x14ac:dyDescent="0.2">
      <c r="B95" s="32"/>
      <c r="C95" s="77" t="s">
        <v>103</v>
      </c>
      <c r="D95" s="42">
        <f>122.65431899327*Deflactores!$T$5</f>
        <v>185.58855814960285</v>
      </c>
      <c r="E95" s="42">
        <f>109.97481267391*Deflactores!$U$5</f>
        <v>163.76652424921369</v>
      </c>
      <c r="F95" s="42">
        <f>111.64504218452*Deflactores!$V$5</f>
        <v>157.40741246147419</v>
      </c>
      <c r="G95" s="42">
        <f>128.07581098297*Deflactores!$W$5</f>
        <v>159.62961116736241</v>
      </c>
      <c r="H95" s="42">
        <f>144.94604767359*Deflactores!$X$5</f>
        <v>165.31491288912645</v>
      </c>
      <c r="I95" s="42">
        <f>84.5181420773*Deflactores!$Y$5</f>
        <v>91.630457864185004</v>
      </c>
      <c r="J95" s="42">
        <f>98.92710023622*Deflactores!$Z$5</f>
        <v>102.04752550871267</v>
      </c>
      <c r="K95" s="42">
        <f>0.17726734853*Deflactores!$AA$5</f>
        <v>0.17726734853000001</v>
      </c>
      <c r="L95" s="42"/>
      <c r="M95" s="47">
        <f t="shared" si="29"/>
        <v>75.776489297530475</v>
      </c>
      <c r="N95" s="47">
        <f t="shared" si="30"/>
        <v>70.335114702012561</v>
      </c>
      <c r="O95" s="47">
        <f t="shared" si="31"/>
        <v>39.00451729157173</v>
      </c>
      <c r="P95" s="47">
        <f t="shared" si="32"/>
        <v>54.197124451600907</v>
      </c>
      <c r="Q95" s="47">
        <f t="shared" si="33"/>
        <v>49.103939795759707</v>
      </c>
      <c r="R95" s="47">
        <f t="shared" si="34"/>
        <v>28.628382392552282</v>
      </c>
      <c r="S95" s="47">
        <f t="shared" si="35"/>
        <v>33.556239829056395</v>
      </c>
      <c r="T95" s="47">
        <f t="shared" si="36"/>
        <v>6.8727274790339216E-2</v>
      </c>
    </row>
    <row r="96" spans="2:20" x14ac:dyDescent="0.2">
      <c r="B96" s="32"/>
      <c r="C96" s="77" t="s">
        <v>104</v>
      </c>
      <c r="D96" s="42">
        <f>489.836*Deflactores!$T$5</f>
        <v>741.17208196114939</v>
      </c>
      <c r="E96" s="42">
        <f>773*Deflactores!$U$5</f>
        <v>1151.0956024085528</v>
      </c>
      <c r="F96" s="42">
        <f>834.3623*Deflactores!$V$5</f>
        <v>1176.3604377643769</v>
      </c>
      <c r="G96" s="42">
        <f>1235.65102185869*Deflactores!$W$5</f>
        <v>1540.0760740377762</v>
      </c>
      <c r="H96" s="42">
        <f>3952.45930680297*Deflactores!$X$5</f>
        <v>4507.8874276956458</v>
      </c>
      <c r="I96" s="42">
        <f>1427.021447*Deflactores!$Y$5</f>
        <v>1547.1072287773486</v>
      </c>
      <c r="J96" s="42">
        <f>1386.815262945*Deflactores!$Z$5</f>
        <v>1430.5591246819656</v>
      </c>
      <c r="K96" s="42">
        <f>0*Deflactores!$AA$5</f>
        <v>0</v>
      </c>
      <c r="L96" s="42"/>
      <c r="M96" s="47">
        <f t="shared" si="29"/>
        <v>99.306648069156793</v>
      </c>
      <c r="N96" s="47">
        <f t="shared" si="30"/>
        <v>100</v>
      </c>
      <c r="O96" s="47">
        <f t="shared" si="31"/>
        <v>100</v>
      </c>
      <c r="P96" s="47">
        <f t="shared" si="32"/>
        <v>99.996516138476764</v>
      </c>
      <c r="Q96" s="47">
        <f t="shared" si="33"/>
        <v>99.796262294490973</v>
      </c>
      <c r="R96" s="47">
        <f t="shared" si="34"/>
        <v>100</v>
      </c>
      <c r="S96" s="47">
        <f t="shared" si="35"/>
        <v>72.718630119689493</v>
      </c>
      <c r="T96" s="47">
        <f t="shared" si="36"/>
        <v>0</v>
      </c>
    </row>
    <row r="97" spans="2:20" x14ac:dyDescent="0.2">
      <c r="B97" s="34" t="s">
        <v>45</v>
      </c>
      <c r="C97" s="76" t="s">
        <v>46</v>
      </c>
      <c r="D97" s="41">
        <f>25313.31533228*Deflactores!$T$5</f>
        <v>38301.64101079759</v>
      </c>
      <c r="E97" s="41">
        <f>28600.6394548803*Deflactores!$U$5</f>
        <v>42590.000391442773</v>
      </c>
      <c r="F97" s="41">
        <f>38269.5755933448*Deflactores!$V$5</f>
        <v>53955.954982678391</v>
      </c>
      <c r="G97" s="41">
        <f>47226.7104513753*Deflactores!$W$5</f>
        <v>58861.867578328805</v>
      </c>
      <c r="H97" s="41">
        <f>51035.865060861*Deflactores!$X$5</f>
        <v>58207.793328432483</v>
      </c>
      <c r="I97" s="41">
        <f>41418.2077791406*Deflactores!$Y$5</f>
        <v>44903.605893815708</v>
      </c>
      <c r="J97" s="41">
        <f>39620.1741007452*Deflactores!$Z$5</f>
        <v>40869.900336218736</v>
      </c>
      <c r="K97" s="41">
        <f>4238.22166547426*Deflactores!$AA$5</f>
        <v>4238.2216654742597</v>
      </c>
      <c r="L97" s="71"/>
      <c r="M97" s="46">
        <f t="shared" si="29"/>
        <v>75.631619622661248</v>
      </c>
      <c r="N97" s="46">
        <f t="shared" si="30"/>
        <v>80.264273640591213</v>
      </c>
      <c r="O97" s="46">
        <f t="shared" si="31"/>
        <v>77.504082492170696</v>
      </c>
      <c r="P97" s="46">
        <f t="shared" si="32"/>
        <v>79.652085086971098</v>
      </c>
      <c r="Q97" s="46">
        <f t="shared" si="33"/>
        <v>70.928051573260149</v>
      </c>
      <c r="R97" s="46">
        <f t="shared" si="34"/>
        <v>53.730096295912055</v>
      </c>
      <c r="S97" s="46">
        <f t="shared" si="35"/>
        <v>61.58341473919495</v>
      </c>
      <c r="T97" s="46">
        <f t="shared" si="36"/>
        <v>5.8539915724941709</v>
      </c>
    </row>
    <row r="98" spans="2:20" x14ac:dyDescent="0.2">
      <c r="B98" s="36" t="s">
        <v>47</v>
      </c>
      <c r="C98" s="78" t="s">
        <v>48</v>
      </c>
      <c r="D98" s="43">
        <f t="shared" ref="D98:K98" si="40">+D79+D97</f>
        <v>252787.61668077807</v>
      </c>
      <c r="E98" s="43">
        <f t="shared" si="40"/>
        <v>299707.1232322561</v>
      </c>
      <c r="F98" s="43">
        <f t="shared" si="40"/>
        <v>326351.99097921792</v>
      </c>
      <c r="G98" s="43">
        <f t="shared" si="40"/>
        <v>284144.06932516629</v>
      </c>
      <c r="H98" s="43">
        <f t="shared" si="40"/>
        <v>317474.52545774571</v>
      </c>
      <c r="I98" s="43">
        <f t="shared" si="40"/>
        <v>314183.85868605413</v>
      </c>
      <c r="J98" s="43">
        <f t="shared" si="40"/>
        <v>331873.26080124069</v>
      </c>
      <c r="K98" s="43">
        <f t="shared" si="40"/>
        <v>42600.088287772407</v>
      </c>
      <c r="L98" s="71"/>
      <c r="M98" s="48">
        <f t="shared" si="29"/>
        <v>90.983088319626759</v>
      </c>
      <c r="N98" s="48">
        <f t="shared" si="30"/>
        <v>83.581379015369876</v>
      </c>
      <c r="O98" s="48">
        <f t="shared" si="31"/>
        <v>90.873209648279328</v>
      </c>
      <c r="P98" s="48">
        <f t="shared" si="32"/>
        <v>86.976362147503764</v>
      </c>
      <c r="Q98" s="48">
        <f t="shared" si="33"/>
        <v>86.192507653798771</v>
      </c>
      <c r="R98" s="48">
        <f t="shared" si="34"/>
        <v>81.914818002567614</v>
      </c>
      <c r="S98" s="48">
        <f t="shared" si="35"/>
        <v>86.590911694030197</v>
      </c>
      <c r="T98" s="48">
        <f t="shared" si="36"/>
        <v>10.218067148495962</v>
      </c>
    </row>
    <row r="99" spans="2:20" x14ac:dyDescent="0.2">
      <c r="B99" s="38" t="s">
        <v>49</v>
      </c>
      <c r="C99" s="79" t="s">
        <v>63</v>
      </c>
      <c r="D99" s="44">
        <f t="shared" ref="D99:K99" si="41">+D79+D87+D97</f>
        <v>330794.71248414635</v>
      </c>
      <c r="E99" s="44">
        <f t="shared" si="41"/>
        <v>367132.59459272563</v>
      </c>
      <c r="F99" s="44">
        <f t="shared" si="41"/>
        <v>403320.96955952776</v>
      </c>
      <c r="G99" s="44">
        <f t="shared" si="41"/>
        <v>369854.18208752869</v>
      </c>
      <c r="H99" s="44">
        <f t="shared" si="41"/>
        <v>403067.02160858188</v>
      </c>
      <c r="I99" s="44">
        <f t="shared" si="41"/>
        <v>403934.75308518886</v>
      </c>
      <c r="J99" s="44">
        <f t="shared" si="41"/>
        <v>439627.38540624885</v>
      </c>
      <c r="K99" s="44">
        <f t="shared" si="41"/>
        <v>64478.605058558627</v>
      </c>
      <c r="L99" s="71"/>
      <c r="M99" s="45">
        <f t="shared" si="29"/>
        <v>92.810125491866941</v>
      </c>
      <c r="N99" s="45">
        <f t="shared" si="30"/>
        <v>83.740478925913379</v>
      </c>
      <c r="O99" s="45">
        <f t="shared" si="31"/>
        <v>87.955285376007012</v>
      </c>
      <c r="P99" s="45">
        <f t="shared" si="32"/>
        <v>88.909365109862122</v>
      </c>
      <c r="Q99" s="45">
        <f t="shared" si="33"/>
        <v>88.044149174193109</v>
      </c>
      <c r="R99" s="45">
        <f t="shared" si="34"/>
        <v>83.12629425484343</v>
      </c>
      <c r="S99" s="45">
        <f t="shared" si="35"/>
        <v>88.027104096659841</v>
      </c>
      <c r="T99" s="45">
        <f t="shared" si="36"/>
        <v>12.463025560209621</v>
      </c>
    </row>
    <row r="100" spans="2:20" s="5" customFormat="1" x14ac:dyDescent="0.2">
      <c r="B100" s="72" t="str">
        <f>+'C1 Aprop Resumen 2000-2026'!B20</f>
        <v>* Información con corte a 28 de febrero</v>
      </c>
      <c r="C100" s="68"/>
      <c r="D100" s="69"/>
      <c r="E100" s="69"/>
      <c r="F100" s="69"/>
      <c r="G100" s="69"/>
      <c r="H100" s="69"/>
      <c r="I100" s="69"/>
      <c r="M100" s="111"/>
      <c r="N100" s="111"/>
      <c r="O100" s="111"/>
      <c r="P100" s="111"/>
      <c r="Q100" s="111"/>
      <c r="R100" s="111"/>
      <c r="S100" s="111"/>
    </row>
    <row r="101" spans="2:20" x14ac:dyDescent="0.2">
      <c r="B101" s="1" t="s">
        <v>52</v>
      </c>
      <c r="M101" s="109"/>
      <c r="N101" s="109"/>
      <c r="O101" s="109"/>
      <c r="P101" s="109"/>
      <c r="Q101" s="109"/>
      <c r="R101" s="109"/>
      <c r="S101" s="109"/>
    </row>
    <row r="102" spans="2:20" x14ac:dyDescent="0.2">
      <c r="M102" s="109"/>
      <c r="N102" s="109"/>
      <c r="O102" s="109"/>
      <c r="P102" s="109"/>
      <c r="Q102" s="109"/>
      <c r="R102" s="109"/>
      <c r="S102" s="109"/>
    </row>
    <row r="103" spans="2:20" x14ac:dyDescent="0.2">
      <c r="M103" s="109"/>
      <c r="N103" s="109"/>
      <c r="O103" s="109"/>
      <c r="P103" s="109"/>
      <c r="Q103" s="109"/>
      <c r="R103" s="109"/>
      <c r="S103" s="109"/>
    </row>
    <row r="104" spans="2:20" x14ac:dyDescent="0.2">
      <c r="M104" s="109"/>
      <c r="N104" s="109"/>
      <c r="O104" s="109"/>
      <c r="P104" s="109"/>
      <c r="Q104" s="109"/>
      <c r="R104" s="109"/>
      <c r="S104" s="109"/>
    </row>
    <row r="105" spans="2:20" x14ac:dyDescent="0.2">
      <c r="M105" s="109"/>
      <c r="N105" s="109"/>
      <c r="O105" s="109"/>
      <c r="P105" s="109"/>
      <c r="Q105" s="109"/>
      <c r="R105" s="109"/>
      <c r="S105" s="109"/>
    </row>
    <row r="106" spans="2:20" x14ac:dyDescent="0.2">
      <c r="M106" s="109"/>
      <c r="N106" s="109"/>
      <c r="O106" s="109"/>
      <c r="P106" s="109"/>
      <c r="Q106" s="109"/>
      <c r="R106" s="109"/>
      <c r="S106" s="109"/>
    </row>
    <row r="107" spans="2:20" ht="18" customHeight="1" x14ac:dyDescent="0.2">
      <c r="C107" s="131"/>
      <c r="D107" s="160" t="s">
        <v>114</v>
      </c>
      <c r="E107" s="158"/>
      <c r="F107" s="158"/>
      <c r="G107" s="158"/>
      <c r="H107" s="158"/>
      <c r="I107" s="158"/>
      <c r="J107" s="158"/>
      <c r="K107" s="169"/>
      <c r="L107" s="169"/>
      <c r="M107" s="158"/>
      <c r="N107" s="158"/>
      <c r="O107" s="158"/>
      <c r="P107" s="158"/>
      <c r="Q107" s="158"/>
      <c r="R107" s="158"/>
      <c r="S107" s="158"/>
      <c r="T107" s="158"/>
    </row>
    <row r="108" spans="2:20" x14ac:dyDescent="0.2">
      <c r="B108" s="157"/>
      <c r="C108" s="158"/>
      <c r="D108" s="158"/>
      <c r="E108" s="158"/>
      <c r="F108" s="158"/>
      <c r="G108" s="158"/>
      <c r="H108" s="158"/>
      <c r="I108" s="158"/>
    </row>
    <row r="109" spans="2:20" ht="12" customHeight="1" thickBot="1" x14ac:dyDescent="0.3">
      <c r="B109" s="19"/>
      <c r="C109" s="92"/>
      <c r="D109" s="168"/>
      <c r="E109" s="154"/>
      <c r="F109" s="154"/>
      <c r="G109" s="154"/>
      <c r="H109" s="154"/>
      <c r="I109" s="154"/>
      <c r="J109" s="154"/>
      <c r="K109" s="136"/>
      <c r="M109" s="168" t="s">
        <v>108</v>
      </c>
      <c r="N109" s="154"/>
      <c r="O109" s="154"/>
      <c r="P109" s="154"/>
      <c r="Q109" s="154"/>
      <c r="R109" s="154"/>
      <c r="S109" s="154"/>
      <c r="T109" s="154"/>
    </row>
    <row r="110" spans="2:20" x14ac:dyDescent="0.2">
      <c r="B110" s="49"/>
      <c r="C110" s="166" t="s">
        <v>38</v>
      </c>
      <c r="D110" s="153">
        <v>2019</v>
      </c>
      <c r="E110" s="153">
        <v>2020</v>
      </c>
      <c r="F110" s="153">
        <v>2021</v>
      </c>
      <c r="G110" s="153">
        <v>2022</v>
      </c>
      <c r="H110" s="153">
        <v>2023</v>
      </c>
      <c r="I110" s="153">
        <v>2024</v>
      </c>
      <c r="J110" s="153">
        <v>2025</v>
      </c>
      <c r="K110" s="153" t="s">
        <v>36</v>
      </c>
      <c r="L110" s="114"/>
      <c r="M110" s="153">
        <v>2019</v>
      </c>
      <c r="N110" s="153">
        <v>2020</v>
      </c>
      <c r="O110" s="153">
        <v>2021</v>
      </c>
      <c r="P110" s="153">
        <v>2022</v>
      </c>
      <c r="Q110" s="153">
        <v>2023</v>
      </c>
      <c r="R110" s="153">
        <v>2024</v>
      </c>
      <c r="S110" s="153">
        <v>2025</v>
      </c>
      <c r="T110" s="153" t="s">
        <v>36</v>
      </c>
    </row>
    <row r="111" spans="2:20" ht="12" customHeight="1" thickBot="1" x14ac:dyDescent="0.25">
      <c r="B111" s="84"/>
      <c r="C111" s="154"/>
      <c r="D111" s="154"/>
      <c r="E111" s="154"/>
      <c r="F111" s="154"/>
      <c r="G111" s="154"/>
      <c r="H111" s="154"/>
      <c r="I111" s="154"/>
      <c r="J111" s="154"/>
      <c r="K111" s="154"/>
      <c r="L111" s="114"/>
      <c r="M111" s="154"/>
      <c r="N111" s="154"/>
      <c r="O111" s="154"/>
      <c r="P111" s="154"/>
      <c r="Q111" s="154"/>
      <c r="R111" s="154"/>
      <c r="S111" s="154"/>
      <c r="T111" s="154"/>
    </row>
    <row r="112" spans="2:20" x14ac:dyDescent="0.2">
      <c r="B112" s="34" t="s">
        <v>39</v>
      </c>
      <c r="C112" s="76" t="s">
        <v>40</v>
      </c>
      <c r="D112" s="41">
        <f t="shared" ref="D112:K112" si="42">+SUM(D113:D119)</f>
        <v>214303.92265748503</v>
      </c>
      <c r="E112" s="41">
        <f t="shared" si="42"/>
        <v>256948.99632947386</v>
      </c>
      <c r="F112" s="41">
        <f t="shared" si="42"/>
        <v>272077.09175485047</v>
      </c>
      <c r="G112" s="41">
        <f t="shared" si="42"/>
        <v>224998.09681275877</v>
      </c>
      <c r="H112" s="41">
        <f t="shared" si="42"/>
        <v>258984.62470075142</v>
      </c>
      <c r="I112" s="41">
        <f t="shared" si="42"/>
        <v>268996.30457681697</v>
      </c>
      <c r="J112" s="41">
        <f t="shared" si="42"/>
        <v>290825.74910826021</v>
      </c>
      <c r="K112" s="41">
        <f t="shared" si="42"/>
        <v>37547.049275038989</v>
      </c>
      <c r="M112" s="46">
        <f t="shared" ref="M112:M132" si="43">+D112/D14*100</f>
        <v>94.324798429352825</v>
      </c>
      <c r="N112" s="46">
        <f t="shared" ref="N112:N132" si="44">+E112/E14*100</f>
        <v>84.102460529484688</v>
      </c>
      <c r="O112" s="46">
        <f t="shared" ref="O112:O132" si="45">+F112/F14*100</f>
        <v>93.977823546982492</v>
      </c>
      <c r="P112" s="46">
        <f t="shared" ref="P112:P132" si="46">+G112/G14*100</f>
        <v>89.005078679112032</v>
      </c>
      <c r="Q112" s="46">
        <f t="shared" ref="Q112:Q132" si="47">+H112/H14*100</f>
        <v>90.469934330442797</v>
      </c>
      <c r="R112" s="46">
        <f t="shared" ref="R112:R132" si="48">+I112/I14*100</f>
        <v>89.672327420083718</v>
      </c>
      <c r="S112" s="46">
        <f t="shared" ref="S112:S132" si="49">+J112/J14*100</f>
        <v>91.771918581602634</v>
      </c>
      <c r="T112" s="46">
        <f t="shared" ref="T112:T132" si="50">+K112/K14*100</f>
        <v>10.89866227320605</v>
      </c>
    </row>
    <row r="113" spans="2:20" x14ac:dyDescent="0.2">
      <c r="B113" s="40"/>
      <c r="C113" s="77" t="s">
        <v>92</v>
      </c>
      <c r="D113" s="42">
        <f>28924.5088056233*Deflactores!$T$5</f>
        <v>43765.746925843378</v>
      </c>
      <c r="E113" s="42">
        <f>29966.3832701618*Deflactores!$U$5</f>
        <v>44623.767144078236</v>
      </c>
      <c r="F113" s="42">
        <f>31756.5040253775*Deflactores!$V$5</f>
        <v>44773.229779388726</v>
      </c>
      <c r="G113" s="42">
        <f>35068.8963163301*Deflactores!$W$5</f>
        <v>43708.755307344356</v>
      </c>
      <c r="H113" s="42">
        <f>40683.1436015652*Deflactores!$X$5</f>
        <v>46400.232696886451</v>
      </c>
      <c r="I113" s="42">
        <f>46391.6393140337*Deflactores!$Y$5</f>
        <v>50295.558408361445</v>
      </c>
      <c r="J113" s="42">
        <f>52278.1250712076*Deflactores!$Z$5</f>
        <v>53927.116927647381</v>
      </c>
      <c r="K113" s="42">
        <f>7706.06191757693*Deflactores!$AA$5</f>
        <v>7706.0619175769298</v>
      </c>
      <c r="L113" s="42"/>
      <c r="M113" s="47">
        <f t="shared" si="43"/>
        <v>98.267706347250524</v>
      </c>
      <c r="N113" s="47">
        <f t="shared" si="44"/>
        <v>96.407738602778679</v>
      </c>
      <c r="O113" s="47">
        <f t="shared" si="45"/>
        <v>96.423079570942704</v>
      </c>
      <c r="P113" s="47">
        <f t="shared" si="46"/>
        <v>96.956712118544516</v>
      </c>
      <c r="Q113" s="47">
        <f t="shared" si="47"/>
        <v>95.535590037231941</v>
      </c>
      <c r="R113" s="47">
        <f t="shared" si="48"/>
        <v>97.019008934533872</v>
      </c>
      <c r="S113" s="47">
        <f t="shared" si="49"/>
        <v>96.934487875837334</v>
      </c>
      <c r="T113" s="47">
        <f t="shared" si="50"/>
        <v>12.36565167470304</v>
      </c>
    </row>
    <row r="114" spans="2:20" x14ac:dyDescent="0.2">
      <c r="B114" s="40"/>
      <c r="C114" s="77" t="s">
        <v>93</v>
      </c>
      <c r="D114" s="42">
        <f>7844.02082923427*Deflactores!$T$5</f>
        <v>11868.807619183126</v>
      </c>
      <c r="E114" s="42">
        <f>7768.65442813741*Deflactores!$U$5</f>
        <v>11568.517398267404</v>
      </c>
      <c r="F114" s="42">
        <f>8763.22141740989*Deflactores!$V$5</f>
        <v>12355.19268165695</v>
      </c>
      <c r="G114" s="42">
        <f>10814.8278396698*Deflactores!$W$5</f>
        <v>13479.256931021955</v>
      </c>
      <c r="H114" s="42">
        <f>11469.6871447423*Deflactores!$X$5</f>
        <v>13081.490400266284</v>
      </c>
      <c r="I114" s="42">
        <f>10983.745543477*Deflactores!$Y$5</f>
        <v>11908.042563122215</v>
      </c>
      <c r="J114" s="42">
        <f>13813.7620042364*Deflactores!$Z$5</f>
        <v>14249.4849958463</v>
      </c>
      <c r="K114" s="42">
        <f>1060.0963827845*Deflactores!$AA$5</f>
        <v>1060.0963827845001</v>
      </c>
      <c r="L114" s="42"/>
      <c r="M114" s="47">
        <f t="shared" si="43"/>
        <v>87.917654683573275</v>
      </c>
      <c r="N114" s="47">
        <f t="shared" si="44"/>
        <v>86.480367996317227</v>
      </c>
      <c r="O114" s="47">
        <f t="shared" si="45"/>
        <v>87.54013243719811</v>
      </c>
      <c r="P114" s="47">
        <f t="shared" si="46"/>
        <v>86.327130676972374</v>
      </c>
      <c r="Q114" s="47">
        <f t="shared" si="47"/>
        <v>77.446155574675487</v>
      </c>
      <c r="R114" s="47">
        <f t="shared" si="48"/>
        <v>69.939071217758382</v>
      </c>
      <c r="S114" s="47">
        <f t="shared" si="49"/>
        <v>74.101949613128639</v>
      </c>
      <c r="T114" s="47">
        <f t="shared" si="50"/>
        <v>6.3475839330922934</v>
      </c>
    </row>
    <row r="115" spans="2:20" x14ac:dyDescent="0.2">
      <c r="B115" s="40"/>
      <c r="C115" s="77" t="s">
        <v>58</v>
      </c>
      <c r="D115" s="42">
        <f>103868.433607807*Deflactores!$T$5</f>
        <v>157163.58778681382</v>
      </c>
      <c r="E115" s="42">
        <f>133590.601385534*Deflactores!$U$5</f>
        <v>198933.44602587598</v>
      </c>
      <c r="F115" s="42">
        <f>150287.793739377*Deflactores!$V$5</f>
        <v>211889.50511533886</v>
      </c>
      <c r="G115" s="42">
        <f>132879.300408608*Deflactores!$W$5</f>
        <v>165616.52738031605</v>
      </c>
      <c r="H115" s="42">
        <f>172974.963452394*Deflactores!$X$5</f>
        <v>197282.65429856617</v>
      </c>
      <c r="I115" s="42">
        <f>188815.625969979*Deflactores!$Y$5</f>
        <v>204704.71586701708</v>
      </c>
      <c r="J115" s="42">
        <f>213891.869978153*Deflactores!$Z$5</f>
        <v>220638.59150407292</v>
      </c>
      <c r="K115" s="42">
        <f>28671.251426014*Deflactores!$AA$5</f>
        <v>28671.251426014001</v>
      </c>
      <c r="L115" s="42"/>
      <c r="M115" s="47">
        <f t="shared" si="43"/>
        <v>93.792879655201602</v>
      </c>
      <c r="N115" s="47">
        <f t="shared" si="44"/>
        <v>81.556734103738421</v>
      </c>
      <c r="O115" s="47">
        <f t="shared" si="45"/>
        <v>93.943533659813255</v>
      </c>
      <c r="P115" s="47">
        <f t="shared" si="46"/>
        <v>87.286301320219422</v>
      </c>
      <c r="Q115" s="47">
        <f t="shared" si="47"/>
        <v>90.35884018940871</v>
      </c>
      <c r="R115" s="47">
        <f t="shared" si="48"/>
        <v>89.463786785740183</v>
      </c>
      <c r="S115" s="47">
        <f t="shared" si="49"/>
        <v>92.010815085539406</v>
      </c>
      <c r="T115" s="47">
        <f t="shared" si="50"/>
        <v>10.893629824241611</v>
      </c>
    </row>
    <row r="116" spans="2:20" x14ac:dyDescent="0.2">
      <c r="B116" s="40"/>
      <c r="C116" s="77" t="s">
        <v>94</v>
      </c>
      <c r="D116" s="42">
        <f>56.26756120934*Deflactores!$T$5</f>
        <v>85.138588197688478</v>
      </c>
      <c r="E116" s="42">
        <f>55.9119396153699*Deflactores!$U$5</f>
        <v>83.260010107871722</v>
      </c>
      <c r="F116" s="42">
        <f>65.97694464187*Deflactores!$V$5</f>
        <v>93.020343178576326</v>
      </c>
      <c r="G116" s="42">
        <f>66.35370229692*Deflactores!$W$5</f>
        <v>82.701140956122174</v>
      </c>
      <c r="H116" s="42">
        <f>72.90962038414*Deflactores!$X$5</f>
        <v>83.155406691227199</v>
      </c>
      <c r="I116" s="42">
        <f>88.15327172341*Deflactores!$Y$5</f>
        <v>95.571488578798792</v>
      </c>
      <c r="J116" s="42">
        <f>89.78774310567*Deflactores!$Z$5</f>
        <v>92.619888615626351</v>
      </c>
      <c r="K116" s="42">
        <f>4.13507066056*Deflactores!$AA$5</f>
        <v>4.1350706605600003</v>
      </c>
      <c r="L116" s="42"/>
      <c r="M116" s="47">
        <f t="shared" si="43"/>
        <v>78.907876995680766</v>
      </c>
      <c r="N116" s="47">
        <f t="shared" si="44"/>
        <v>80.838359491515192</v>
      </c>
      <c r="O116" s="47">
        <f t="shared" si="45"/>
        <v>74.359787036186347</v>
      </c>
      <c r="P116" s="47">
        <f t="shared" si="46"/>
        <v>76.839252475676872</v>
      </c>
      <c r="Q116" s="47">
        <f t="shared" si="47"/>
        <v>72.354364039921549</v>
      </c>
      <c r="R116" s="47">
        <f t="shared" si="48"/>
        <v>83.523642369795994</v>
      </c>
      <c r="S116" s="47">
        <f t="shared" si="49"/>
        <v>77.178208021260815</v>
      </c>
      <c r="T116" s="47">
        <f t="shared" si="50"/>
        <v>3.3262452088323444</v>
      </c>
    </row>
    <row r="117" spans="2:20" x14ac:dyDescent="0.2">
      <c r="B117" s="40"/>
      <c r="C117" s="77" t="s">
        <v>95</v>
      </c>
      <c r="D117" s="42">
        <f>289.96309008*Deflactores!$T$5</f>
        <v>438.74387992406002</v>
      </c>
      <c r="E117" s="42">
        <f>319.153394823*Deflactores!$U$5</f>
        <v>475.26011549096489</v>
      </c>
      <c r="F117" s="42">
        <f>393.627104752729*Deflactores!$V$5</f>
        <v>554.97156722306909</v>
      </c>
      <c r="G117" s="42">
        <f>468.54035323696*Deflactores!$W$5</f>
        <v>583.97377170135303</v>
      </c>
      <c r="H117" s="42">
        <f>571.1550256005*Deflactores!$X$5</f>
        <v>651.41785387596599</v>
      </c>
      <c r="I117" s="42">
        <f>516.78952704158*Deflactores!$Y$5</f>
        <v>560.27806360113891</v>
      </c>
      <c r="J117" s="42">
        <f>520.864119517*Deflactores!$Z$5</f>
        <v>537.29356663709666</v>
      </c>
      <c r="K117" s="42">
        <f>0*Deflactores!$AA$5</f>
        <v>0</v>
      </c>
      <c r="L117" s="42"/>
      <c r="M117" s="47">
        <f t="shared" si="43"/>
        <v>99.690949687480639</v>
      </c>
      <c r="N117" s="47">
        <f t="shared" si="44"/>
        <v>99.732942558623535</v>
      </c>
      <c r="O117" s="47">
        <f t="shared" si="45"/>
        <v>83.049650133707701</v>
      </c>
      <c r="P117" s="47">
        <f t="shared" si="46"/>
        <v>99.346435919313066</v>
      </c>
      <c r="Q117" s="47">
        <f t="shared" si="47"/>
        <v>99.714712051225575</v>
      </c>
      <c r="R117" s="47">
        <f t="shared" si="48"/>
        <v>99.785225983303874</v>
      </c>
      <c r="S117" s="47">
        <f t="shared" si="49"/>
        <v>95.077315081968365</v>
      </c>
      <c r="T117" s="47">
        <f t="shared" si="50"/>
        <v>0</v>
      </c>
    </row>
    <row r="118" spans="2:20" x14ac:dyDescent="0.2">
      <c r="B118" s="40"/>
      <c r="C118" s="77" t="s">
        <v>96</v>
      </c>
      <c r="D118" s="42">
        <f>242.10615010751*Deflactores!$T$5</f>
        <v>366.33142384549467</v>
      </c>
      <c r="E118" s="42">
        <f>226.270350891899*Deflactores!$U$5</f>
        <v>336.94541509327956</v>
      </c>
      <c r="F118" s="42">
        <f>419.402111152919*Deflactores!$V$5</f>
        <v>591.31153346112558</v>
      </c>
      <c r="G118" s="42">
        <f>344.349394140089*Deflactores!$W$5</f>
        <v>429.18611617933277</v>
      </c>
      <c r="H118" s="42">
        <f>432.998092394749*Deflactores!$X$5</f>
        <v>493.84611084113288</v>
      </c>
      <c r="I118" s="42">
        <f>324.24536599626*Deflactores!$Y$5</f>
        <v>351.53105139727506</v>
      </c>
      <c r="J118" s="42">
        <f>285.65837413061*Deflactores!$Z$5</f>
        <v>294.66880310111333</v>
      </c>
      <c r="K118" s="42">
        <f>28.070563934*Deflactores!$AA$5</f>
        <v>28.070563933999999</v>
      </c>
      <c r="L118" s="42"/>
      <c r="M118" s="47">
        <f t="shared" si="43"/>
        <v>91.541327778734001</v>
      </c>
      <c r="N118" s="47">
        <f t="shared" si="44"/>
        <v>81.478276057531531</v>
      </c>
      <c r="O118" s="47">
        <f t="shared" si="45"/>
        <v>93.203858848895806</v>
      </c>
      <c r="P118" s="47">
        <f t="shared" si="46"/>
        <v>86.36032492667232</v>
      </c>
      <c r="Q118" s="47">
        <f t="shared" si="47"/>
        <v>90.229232311672106</v>
      </c>
      <c r="R118" s="47">
        <f t="shared" si="48"/>
        <v>94.631374491728366</v>
      </c>
      <c r="S118" s="47">
        <f t="shared" si="49"/>
        <v>85.45443375273048</v>
      </c>
      <c r="T118" s="47">
        <f t="shared" si="50"/>
        <v>7.9394026455298654</v>
      </c>
    </row>
    <row r="119" spans="2:20" x14ac:dyDescent="0.2">
      <c r="B119" s="40"/>
      <c r="C119" s="77" t="s">
        <v>97</v>
      </c>
      <c r="D119" s="42">
        <f>406.82401151566*Deflactores!$T$5</f>
        <v>615.56643367749268</v>
      </c>
      <c r="E119" s="42">
        <f>623.04952689622*Deflactores!$U$5</f>
        <v>927.80022056011398</v>
      </c>
      <c r="F119" s="42">
        <f>1290.78056304652*Deflactores!$V$5</f>
        <v>1819.8607346031251</v>
      </c>
      <c r="G119" s="42">
        <f>880.715836791469*Deflactores!$W$5</f>
        <v>1097.6961652396187</v>
      </c>
      <c r="H119" s="42">
        <f>869.62232528598*Deflactores!$X$5</f>
        <v>991.82793362419875</v>
      </c>
      <c r="I119" s="42">
        <f>996.73088482207*Deflactores!$Y$5</f>
        <v>1080.6071347390669</v>
      </c>
      <c r="J119" s="42">
        <f>1052.76635636311*Deflactores!$Z$5</f>
        <v>1085.9734223397866</v>
      </c>
      <c r="K119" s="42">
        <f>77.433914069*Deflactores!$AA$5</f>
        <v>77.433914068999997</v>
      </c>
      <c r="L119" s="42"/>
      <c r="M119" s="47">
        <f t="shared" si="43"/>
        <v>94.997549688293532</v>
      </c>
      <c r="N119" s="47">
        <f t="shared" si="44"/>
        <v>98.485429155119292</v>
      </c>
      <c r="O119" s="47">
        <f t="shared" si="45"/>
        <v>91.611080964352837</v>
      </c>
      <c r="P119" s="47">
        <f t="shared" si="46"/>
        <v>94.16369575074846</v>
      </c>
      <c r="Q119" s="47">
        <f t="shared" si="47"/>
        <v>85.621748276040904</v>
      </c>
      <c r="R119" s="47">
        <f t="shared" si="48"/>
        <v>86.491294354605728</v>
      </c>
      <c r="S119" s="47">
        <f t="shared" si="49"/>
        <v>89.589376237063718</v>
      </c>
      <c r="T119" s="47">
        <f t="shared" si="50"/>
        <v>6.4839562544434575</v>
      </c>
    </row>
    <row r="120" spans="2:20" x14ac:dyDescent="0.2">
      <c r="B120" s="34" t="s">
        <v>41</v>
      </c>
      <c r="C120" s="76" t="s">
        <v>42</v>
      </c>
      <c r="D120" s="41">
        <f t="shared" ref="D120:K120" si="51">+D121+D125</f>
        <v>78007.095803368284</v>
      </c>
      <c r="E120" s="41">
        <f t="shared" si="51"/>
        <v>67425.471360469528</v>
      </c>
      <c r="F120" s="41">
        <f t="shared" si="51"/>
        <v>76968.978580309849</v>
      </c>
      <c r="G120" s="41">
        <f t="shared" si="51"/>
        <v>85709.61258529163</v>
      </c>
      <c r="H120" s="41">
        <f t="shared" si="51"/>
        <v>85584.812991235638</v>
      </c>
      <c r="I120" s="41">
        <f t="shared" si="51"/>
        <v>89750.894399134704</v>
      </c>
      <c r="J120" s="41">
        <f t="shared" si="51"/>
        <v>107754.12460500812</v>
      </c>
      <c r="K120" s="41">
        <f t="shared" si="51"/>
        <v>20999.214373800551</v>
      </c>
      <c r="L120" s="71"/>
      <c r="M120" s="46">
        <f t="shared" si="43"/>
        <v>99.270037157022259</v>
      </c>
      <c r="N120" s="46">
        <f t="shared" si="44"/>
        <v>84.455072681777708</v>
      </c>
      <c r="O120" s="46">
        <f t="shared" si="45"/>
        <v>77.415396442815947</v>
      </c>
      <c r="P120" s="46">
        <f t="shared" si="46"/>
        <v>95.980497022974731</v>
      </c>
      <c r="Q120" s="46">
        <f t="shared" si="47"/>
        <v>95.658513953606203</v>
      </c>
      <c r="R120" s="46">
        <f t="shared" si="48"/>
        <v>87.664908838561459</v>
      </c>
      <c r="S120" s="46">
        <f t="shared" si="49"/>
        <v>92.765888849015838</v>
      </c>
      <c r="T120" s="46">
        <f t="shared" si="50"/>
        <v>20.905201910488223</v>
      </c>
    </row>
    <row r="121" spans="2:20" x14ac:dyDescent="0.2">
      <c r="B121" s="34"/>
      <c r="C121" s="76" t="s">
        <v>43</v>
      </c>
      <c r="D121" s="41">
        <f t="shared" ref="D121:K121" si="52">+SUM(D122:D124)</f>
        <v>21330.542384120141</v>
      </c>
      <c r="E121" s="41">
        <f t="shared" si="52"/>
        <v>22111.229611105729</v>
      </c>
      <c r="F121" s="41">
        <f t="shared" si="52"/>
        <v>28631.570541499539</v>
      </c>
      <c r="G121" s="41">
        <f t="shared" si="52"/>
        <v>18910.155339054883</v>
      </c>
      <c r="H121" s="41">
        <f t="shared" si="52"/>
        <v>28435.617232994871</v>
      </c>
      <c r="I121" s="41">
        <f t="shared" si="52"/>
        <v>34628.981296035017</v>
      </c>
      <c r="J121" s="41">
        <f t="shared" si="52"/>
        <v>49389.934834957472</v>
      </c>
      <c r="K121" s="41">
        <f t="shared" si="52"/>
        <v>5861.0202265691505</v>
      </c>
      <c r="L121" s="71"/>
      <c r="M121" s="46">
        <f t="shared" si="43"/>
        <v>97.913486747181338</v>
      </c>
      <c r="N121" s="46">
        <f t="shared" si="44"/>
        <v>99.032710760723859</v>
      </c>
      <c r="O121" s="46">
        <f t="shared" si="45"/>
        <v>80.563045668736279</v>
      </c>
      <c r="P121" s="46">
        <f t="shared" si="46"/>
        <v>90.38419877922459</v>
      </c>
      <c r="Q121" s="46">
        <f t="shared" si="47"/>
        <v>93.925312356068375</v>
      </c>
      <c r="R121" s="46">
        <f t="shared" si="48"/>
        <v>85.72526681590476</v>
      </c>
      <c r="S121" s="46">
        <f t="shared" si="49"/>
        <v>88.965244172566969</v>
      </c>
      <c r="T121" s="46">
        <f t="shared" si="50"/>
        <v>15.260671143608018</v>
      </c>
    </row>
    <row r="122" spans="2:20" x14ac:dyDescent="0.2">
      <c r="B122" s="32"/>
      <c r="C122" s="77" t="s">
        <v>98</v>
      </c>
      <c r="D122" s="42">
        <f>7910.47617477022*Deflactores!$T$5</f>
        <v>11969.361369434897</v>
      </c>
      <c r="E122" s="42">
        <f>6388.91910730776*Deflactores!$U$5</f>
        <v>9513.9155091409302</v>
      </c>
      <c r="F122" s="42">
        <f>10847.4859933545*Deflactores!$V$5</f>
        <v>15293.779898475093</v>
      </c>
      <c r="G122" s="42">
        <f>4196.92598344154*Deflactores!$W$5</f>
        <v>5230.9148596689784</v>
      </c>
      <c r="H122" s="42">
        <f>12570.0240204341*Deflactores!$X$5</f>
        <v>14336.45455881524</v>
      </c>
      <c r="I122" s="42">
        <f>16973.3873916283*Deflactores!$Y$5</f>
        <v>18401.720861050555</v>
      </c>
      <c r="J122" s="42">
        <f>31951.3541477027*Deflactores!$Z$5</f>
        <v>32959.185295434567</v>
      </c>
      <c r="K122" s="42">
        <f>3869.56349930578*Deflactores!$AA$5</f>
        <v>3869.5634993057802</v>
      </c>
      <c r="L122" s="42"/>
      <c r="M122" s="47">
        <f t="shared" si="43"/>
        <v>99.388399633902537</v>
      </c>
      <c r="N122" s="47">
        <f t="shared" si="44"/>
        <v>98.433201721859902</v>
      </c>
      <c r="O122" s="47">
        <f t="shared" si="45"/>
        <v>75.917390481882109</v>
      </c>
      <c r="P122" s="47">
        <f t="shared" si="46"/>
        <v>96.760553481122784</v>
      </c>
      <c r="Q122" s="47">
        <f t="shared" si="47"/>
        <v>95.285042047852386</v>
      </c>
      <c r="R122" s="47">
        <f t="shared" si="48"/>
        <v>87.000273850086685</v>
      </c>
      <c r="S122" s="47">
        <f t="shared" si="49"/>
        <v>92.714856987671084</v>
      </c>
      <c r="T122" s="47">
        <f t="shared" si="50"/>
        <v>22.40232396414364</v>
      </c>
    </row>
    <row r="123" spans="2:20" x14ac:dyDescent="0.2">
      <c r="B123" s="32"/>
      <c r="C123" s="77" t="s">
        <v>61</v>
      </c>
      <c r="D123" s="42">
        <f>6110.39162561193*Deflactores!$T$5</f>
        <v>9245.6489166838819</v>
      </c>
      <c r="E123" s="42">
        <f>8217.53210757637*Deflactores!$U$5</f>
        <v>12236.953520934341</v>
      </c>
      <c r="F123" s="42">
        <f>9332.39927500143*Deflactores!$V$5</f>
        <v>13157.671789020951</v>
      </c>
      <c r="G123" s="42">
        <f>10879.5959443922*Deflactores!$W$5</f>
        <v>13559.981833667767</v>
      </c>
      <c r="H123" s="42">
        <f>12281.4127979816*Deflactores!$X$5</f>
        <v>14007.28560343949</v>
      </c>
      <c r="I123" s="42">
        <f>14870.5876881979*Deflactores!$Y$5</f>
        <v>16121.96772301097</v>
      </c>
      <c r="J123" s="42">
        <f>15711.6153676201*Deflactores!$Z$5</f>
        <v>16207.20172917056</v>
      </c>
      <c r="K123" s="42">
        <f>1957.64771808566*Deflactores!$AA$5</f>
        <v>1957.64771808566</v>
      </c>
      <c r="L123" s="42"/>
      <c r="M123" s="47">
        <f t="shared" si="43"/>
        <v>96.817670243193447</v>
      </c>
      <c r="N123" s="47">
        <f t="shared" si="44"/>
        <v>99.773939366644953</v>
      </c>
      <c r="O123" s="47">
        <f t="shared" si="45"/>
        <v>86.762291864065887</v>
      </c>
      <c r="P123" s="47">
        <f t="shared" si="46"/>
        <v>88.430494290039277</v>
      </c>
      <c r="Q123" s="47">
        <f t="shared" si="47"/>
        <v>93.025474680170873</v>
      </c>
      <c r="R123" s="47">
        <f t="shared" si="48"/>
        <v>84.873182322204244</v>
      </c>
      <c r="S123" s="47">
        <f t="shared" si="49"/>
        <v>83.663837569783212</v>
      </c>
      <c r="T123" s="47">
        <f t="shared" si="50"/>
        <v>9.7945745077502018</v>
      </c>
    </row>
    <row r="124" spans="2:20" x14ac:dyDescent="0.2">
      <c r="B124" s="32"/>
      <c r="C124" s="77" t="s">
        <v>103</v>
      </c>
      <c r="D124" s="42">
        <f>76.35444201683*Deflactores!$T$5</f>
        <v>115.53209800136322</v>
      </c>
      <c r="E124" s="42">
        <f>241.99443430562*Deflactores!$U$5</f>
        <v>360.36058103045872</v>
      </c>
      <c r="F124" s="42">
        <f>127.753685414079*Deflactores!$V$5</f>
        <v>180.1188540034928</v>
      </c>
      <c r="G124" s="42">
        <f>95.68492747293*Deflactores!$W$5</f>
        <v>119.25864571813692</v>
      </c>
      <c r="H124" s="42">
        <f>80.5566663216999*Deflactores!$X$5</f>
        <v>91.877070740140766</v>
      </c>
      <c r="I124" s="42">
        <f>97.1199380392699*Deflactores!$Y$5</f>
        <v>105.29271197348909</v>
      </c>
      <c r="J124" s="42">
        <f>216.71213027528*Deflactores!$Z$5</f>
        <v>223.54781035234666</v>
      </c>
      <c r="K124" s="42">
        <f>33.8090091777099*Deflactores!$AA$5</f>
        <v>33.809009177709903</v>
      </c>
      <c r="L124" s="42"/>
      <c r="M124" s="47">
        <f t="shared" si="43"/>
        <v>60.008037986718321</v>
      </c>
      <c r="N124" s="47">
        <f t="shared" si="44"/>
        <v>90.732763379105549</v>
      </c>
      <c r="O124" s="47">
        <f t="shared" si="45"/>
        <v>78.707196030640446</v>
      </c>
      <c r="P124" s="47">
        <f t="shared" si="46"/>
        <v>65.572336683188809</v>
      </c>
      <c r="Q124" s="47">
        <f t="shared" si="47"/>
        <v>53.610783607904445</v>
      </c>
      <c r="R124" s="47">
        <f t="shared" si="48"/>
        <v>42.353433910073853</v>
      </c>
      <c r="S124" s="47">
        <f t="shared" si="49"/>
        <v>37.558633518332336</v>
      </c>
      <c r="T124" s="47">
        <f t="shared" si="50"/>
        <v>2.950335953613469</v>
      </c>
    </row>
    <row r="125" spans="2:20" x14ac:dyDescent="0.2">
      <c r="B125" s="34"/>
      <c r="C125" s="76" t="s">
        <v>44</v>
      </c>
      <c r="D125" s="41">
        <f t="shared" ref="D125:K125" si="53">+SUM(D126:D129)</f>
        <v>56676.553419248135</v>
      </c>
      <c r="E125" s="41">
        <f t="shared" si="53"/>
        <v>45314.241749363791</v>
      </c>
      <c r="F125" s="41">
        <f t="shared" si="53"/>
        <v>48337.40803881031</v>
      </c>
      <c r="G125" s="41">
        <f t="shared" si="53"/>
        <v>66799.457246236751</v>
      </c>
      <c r="H125" s="41">
        <f t="shared" si="53"/>
        <v>57149.195758240763</v>
      </c>
      <c r="I125" s="41">
        <f t="shared" si="53"/>
        <v>55121.913103099694</v>
      </c>
      <c r="J125" s="41">
        <f t="shared" si="53"/>
        <v>58364.189770050652</v>
      </c>
      <c r="K125" s="41">
        <f t="shared" si="53"/>
        <v>15138.194147231399</v>
      </c>
      <c r="L125" s="71"/>
      <c r="M125" s="46">
        <f t="shared" si="43"/>
        <v>99.790369133788019</v>
      </c>
      <c r="N125" s="46">
        <f t="shared" si="44"/>
        <v>78.79544591767997</v>
      </c>
      <c r="O125" s="46">
        <f t="shared" si="45"/>
        <v>75.664326728468126</v>
      </c>
      <c r="P125" s="46">
        <f t="shared" si="46"/>
        <v>97.692849950787036</v>
      </c>
      <c r="Q125" s="46">
        <f t="shared" si="47"/>
        <v>96.54495231355348</v>
      </c>
      <c r="R125" s="46">
        <f t="shared" si="48"/>
        <v>88.928979883116767</v>
      </c>
      <c r="S125" s="46">
        <f t="shared" si="49"/>
        <v>96.245322159843852</v>
      </c>
      <c r="T125" s="46">
        <f t="shared" si="50"/>
        <v>24.399259006883778</v>
      </c>
    </row>
    <row r="126" spans="2:20" x14ac:dyDescent="0.2">
      <c r="B126" s="32"/>
      <c r="C126" s="77" t="s">
        <v>98</v>
      </c>
      <c r="D126" s="42">
        <f>17912.4359059928*Deflactores!$T$5</f>
        <v>27103.351761488189</v>
      </c>
      <c r="E126" s="42">
        <f>8621.15428168121*Deflactores!$U$5</f>
        <v>12837.998423452662</v>
      </c>
      <c r="F126" s="42">
        <f>10355.5871017508*Deflactores!$V$5</f>
        <v>14600.255759785294</v>
      </c>
      <c r="G126" s="42">
        <f>25458.8849784223*Deflactores!$W$5</f>
        <v>31731.143286693976</v>
      </c>
      <c r="H126" s="42">
        <f>17051.1250393413*Deflactores!$X$5</f>
        <v>19447.272249106743</v>
      </c>
      <c r="I126" s="42">
        <f>8643.83614344078*Deflactores!$Y$5</f>
        <v>9371.2266273207224</v>
      </c>
      <c r="J126" s="42">
        <f>10247.7990207593*Deflactores!$Z$5</f>
        <v>10571.042004486169</v>
      </c>
      <c r="K126" s="42">
        <f>202.743008721*Deflactores!$AA$5</f>
        <v>202.743008721</v>
      </c>
      <c r="L126" s="42"/>
      <c r="M126" s="47">
        <f t="shared" si="43"/>
        <v>99.855465757506934</v>
      </c>
      <c r="N126" s="47">
        <f t="shared" si="44"/>
        <v>52.860247248738887</v>
      </c>
      <c r="O126" s="47">
        <f t="shared" si="45"/>
        <v>51.644099692267474</v>
      </c>
      <c r="P126" s="47">
        <f t="shared" si="46"/>
        <v>95.963121747340978</v>
      </c>
      <c r="Q126" s="47">
        <f t="shared" si="47"/>
        <v>97.46958516518967</v>
      </c>
      <c r="R126" s="47">
        <f t="shared" si="48"/>
        <v>62.087354761386273</v>
      </c>
      <c r="S126" s="47">
        <f t="shared" si="49"/>
        <v>98.681925705495004</v>
      </c>
      <c r="T126" s="47">
        <f t="shared" si="50"/>
        <v>1.9602191853911211</v>
      </c>
    </row>
    <row r="127" spans="2:20" x14ac:dyDescent="0.2">
      <c r="B127" s="32"/>
      <c r="C127" s="77" t="s">
        <v>61</v>
      </c>
      <c r="D127" s="42">
        <f>18932.2539580717*Deflactores!$T$5</f>
        <v>28646.441017649195</v>
      </c>
      <c r="E127" s="42">
        <f>20925.9314488055*Deflactores!$U$5</f>
        <v>31161.381199253359</v>
      </c>
      <c r="F127" s="42">
        <f>22982.8898455461*Deflactores!$V$5</f>
        <v>32403.384428799167</v>
      </c>
      <c r="G127" s="42">
        <f>26772.9866756672*Deflactores!$W$5</f>
        <v>33368.997783617422</v>
      </c>
      <c r="H127" s="42">
        <f>28965.9060578736*Deflactores!$X$5</f>
        <v>33036.404328149787</v>
      </c>
      <c r="I127" s="42">
        <f>40687.9987502948*Deflactores!$Y$5</f>
        <v>44111.948789137437</v>
      </c>
      <c r="J127" s="42">
        <f>44845.9790189781*Deflactores!$Z$5</f>
        <v>46260.541115373802</v>
      </c>
      <c r="K127" s="42">
        <f>14935.4511385104*Deflactores!$AA$5</f>
        <v>14935.4511385104</v>
      </c>
      <c r="L127" s="42"/>
      <c r="M127" s="47">
        <f t="shared" si="43"/>
        <v>99.946518272929026</v>
      </c>
      <c r="N127" s="47">
        <f t="shared" si="44"/>
        <v>97.874516352881827</v>
      </c>
      <c r="O127" s="47">
        <f t="shared" si="45"/>
        <v>95.211150041984567</v>
      </c>
      <c r="P127" s="47">
        <f t="shared" si="46"/>
        <v>99.679241197332871</v>
      </c>
      <c r="Q127" s="47">
        <f t="shared" si="47"/>
        <v>96.068196647084832</v>
      </c>
      <c r="R127" s="47">
        <f t="shared" si="48"/>
        <v>97.975595653713611</v>
      </c>
      <c r="S127" s="47">
        <f t="shared" si="49"/>
        <v>97.068819139431966</v>
      </c>
      <c r="T127" s="47">
        <f t="shared" si="50"/>
        <v>30.619530047637699</v>
      </c>
    </row>
    <row r="128" spans="2:20" x14ac:dyDescent="0.2">
      <c r="B128" s="32"/>
      <c r="C128" s="77" t="s">
        <v>103</v>
      </c>
      <c r="D128" s="42">
        <f>122.65431899327*Deflactores!$T$5</f>
        <v>185.58855814960285</v>
      </c>
      <c r="E128" s="42">
        <f>109.97481267391*Deflactores!$U$5</f>
        <v>163.76652424921369</v>
      </c>
      <c r="F128" s="42">
        <f>111.64504218452*Deflactores!$V$5</f>
        <v>157.40741246147419</v>
      </c>
      <c r="G128" s="42">
        <f>128.07581098297*Deflactores!$W$5</f>
        <v>159.62961116736241</v>
      </c>
      <c r="H128" s="42">
        <f>144.94604767359*Deflactores!$X$5</f>
        <v>165.31491288912645</v>
      </c>
      <c r="I128" s="42">
        <f>84.5181420773*Deflactores!$Y$5</f>
        <v>91.630457864185004</v>
      </c>
      <c r="J128" s="42">
        <f>98.92710023622*Deflactores!$Z$5</f>
        <v>102.04752550871267</v>
      </c>
      <c r="K128" s="42">
        <f>0*Deflactores!$AA$5</f>
        <v>0</v>
      </c>
      <c r="L128" s="42"/>
      <c r="M128" s="47">
        <f t="shared" si="43"/>
        <v>75.776489297530475</v>
      </c>
      <c r="N128" s="47">
        <f t="shared" si="44"/>
        <v>70.335114702012561</v>
      </c>
      <c r="O128" s="47">
        <f t="shared" si="45"/>
        <v>39.00451729157173</v>
      </c>
      <c r="P128" s="47">
        <f t="shared" si="46"/>
        <v>54.197124451600907</v>
      </c>
      <c r="Q128" s="47">
        <f t="shared" si="47"/>
        <v>49.103939795759707</v>
      </c>
      <c r="R128" s="47">
        <f t="shared" si="48"/>
        <v>28.628382392552282</v>
      </c>
      <c r="S128" s="47">
        <f t="shared" si="49"/>
        <v>33.556239829056395</v>
      </c>
      <c r="T128" s="47">
        <f t="shared" si="50"/>
        <v>0</v>
      </c>
    </row>
    <row r="129" spans="2:20" x14ac:dyDescent="0.2">
      <c r="B129" s="32"/>
      <c r="C129" s="77" t="s">
        <v>104</v>
      </c>
      <c r="D129" s="42">
        <f>489.836*Deflactores!$T$5</f>
        <v>741.17208196114939</v>
      </c>
      <c r="E129" s="42">
        <f>773*Deflactores!$U$5</f>
        <v>1151.0956024085528</v>
      </c>
      <c r="F129" s="42">
        <f>834.3623*Deflactores!$V$5</f>
        <v>1176.3604377643769</v>
      </c>
      <c r="G129" s="42">
        <f>1235.33850642669*Deflactores!$W$5</f>
        <v>1539.6865647579903</v>
      </c>
      <c r="H129" s="42">
        <f>3945.72280857495*Deflactores!$X$5</f>
        <v>4500.2042680951117</v>
      </c>
      <c r="I129" s="42">
        <f>1427.021447*Deflactores!$Y$5</f>
        <v>1547.1072287773486</v>
      </c>
      <c r="J129" s="42">
        <f>1386.815262945*Deflactores!$Z$5</f>
        <v>1430.5591246819656</v>
      </c>
      <c r="K129" s="42">
        <f>0*Deflactores!$AA$5</f>
        <v>0</v>
      </c>
      <c r="L129" s="42"/>
      <c r="M129" s="47">
        <f t="shared" si="43"/>
        <v>99.306648069156793</v>
      </c>
      <c r="N129" s="47">
        <f t="shared" si="44"/>
        <v>100</v>
      </c>
      <c r="O129" s="47">
        <f t="shared" si="45"/>
        <v>100</v>
      </c>
      <c r="P129" s="47">
        <f t="shared" si="46"/>
        <v>99.971225458594901</v>
      </c>
      <c r="Q129" s="47">
        <f t="shared" si="47"/>
        <v>99.626171398690303</v>
      </c>
      <c r="R129" s="47">
        <f t="shared" si="48"/>
        <v>100</v>
      </c>
      <c r="S129" s="47">
        <f t="shared" si="49"/>
        <v>72.718630119689493</v>
      </c>
      <c r="T129" s="47">
        <f t="shared" si="50"/>
        <v>0</v>
      </c>
    </row>
    <row r="130" spans="2:20" x14ac:dyDescent="0.2">
      <c r="B130" s="34" t="s">
        <v>45</v>
      </c>
      <c r="C130" s="76" t="s">
        <v>46</v>
      </c>
      <c r="D130" s="41">
        <f>24907.3019435067*Deflactores!$T$5</f>
        <v>37687.301132427674</v>
      </c>
      <c r="E130" s="41">
        <f>28458.8377295793*Deflactores!$U$5</f>
        <v>42378.839534511426</v>
      </c>
      <c r="F130" s="41">
        <f>37971.2673806502*Deflactores!$V$5</f>
        <v>53535.372725217654</v>
      </c>
      <c r="G130" s="41">
        <f>47064.8026897365*Deflactores!$W$5</f>
        <v>58660.070901524494</v>
      </c>
      <c r="H130" s="41">
        <f>50861.7565781303*Deflactores!$X$5</f>
        <v>58009.217864541941</v>
      </c>
      <c r="I130" s="41">
        <f>41047.5022231425*Deflactores!$Y$5</f>
        <v>44501.704964689328</v>
      </c>
      <c r="J130" s="41">
        <f>39461.4456841916*Deflactores!$Z$5</f>
        <v>40706.165200967291</v>
      </c>
      <c r="K130" s="41">
        <f>4119.49024589201*Deflactores!$AA$5</f>
        <v>4119.4902458920096</v>
      </c>
      <c r="L130" s="71"/>
      <c r="M130" s="46">
        <f t="shared" si="43"/>
        <v>74.418524862914353</v>
      </c>
      <c r="N130" s="46">
        <f t="shared" si="44"/>
        <v>79.866324059770719</v>
      </c>
      <c r="O130" s="46">
        <f t="shared" si="45"/>
        <v>76.899944506151456</v>
      </c>
      <c r="P130" s="46">
        <f t="shared" si="46"/>
        <v>79.379013118099309</v>
      </c>
      <c r="Q130" s="46">
        <f t="shared" si="47"/>
        <v>70.686081040817157</v>
      </c>
      <c r="R130" s="46">
        <f t="shared" si="48"/>
        <v>53.249195593317246</v>
      </c>
      <c r="S130" s="46">
        <f t="shared" si="49"/>
        <v>61.336696037690508</v>
      </c>
      <c r="T130" s="46">
        <f t="shared" si="50"/>
        <v>5.6899952588310949</v>
      </c>
    </row>
    <row r="131" spans="2:20" x14ac:dyDescent="0.2">
      <c r="B131" s="36" t="s">
        <v>47</v>
      </c>
      <c r="C131" s="78" t="s">
        <v>48</v>
      </c>
      <c r="D131" s="43">
        <f t="shared" ref="D131:K131" si="54">+D112+D130</f>
        <v>251991.22378991271</v>
      </c>
      <c r="E131" s="43">
        <f t="shared" si="54"/>
        <v>299327.8358639853</v>
      </c>
      <c r="F131" s="43">
        <f t="shared" si="54"/>
        <v>325612.46448006813</v>
      </c>
      <c r="G131" s="43">
        <f t="shared" si="54"/>
        <v>283658.16771428328</v>
      </c>
      <c r="H131" s="43">
        <f t="shared" si="54"/>
        <v>316993.84256529337</v>
      </c>
      <c r="I131" s="43">
        <f t="shared" si="54"/>
        <v>313498.0095415063</v>
      </c>
      <c r="J131" s="43">
        <f t="shared" si="54"/>
        <v>331531.91430922749</v>
      </c>
      <c r="K131" s="43">
        <f t="shared" si="54"/>
        <v>41666.539520931001</v>
      </c>
      <c r="L131" s="71"/>
      <c r="M131" s="48">
        <f t="shared" si="43"/>
        <v>90.696451317078385</v>
      </c>
      <c r="N131" s="48">
        <f t="shared" si="44"/>
        <v>83.475604548145682</v>
      </c>
      <c r="O131" s="48">
        <f t="shared" si="45"/>
        <v>90.667287366646988</v>
      </c>
      <c r="P131" s="48">
        <f t="shared" si="46"/>
        <v>86.827627899498566</v>
      </c>
      <c r="Q131" s="48">
        <f t="shared" si="47"/>
        <v>86.062005013226226</v>
      </c>
      <c r="R131" s="48">
        <f t="shared" si="48"/>
        <v>81.736001662072582</v>
      </c>
      <c r="S131" s="48">
        <f t="shared" si="49"/>
        <v>86.50184906850977</v>
      </c>
      <c r="T131" s="48">
        <f t="shared" si="50"/>
        <v>9.9941459227571148</v>
      </c>
    </row>
    <row r="132" spans="2:20" x14ac:dyDescent="0.2">
      <c r="B132" s="38" t="s">
        <v>49</v>
      </c>
      <c r="C132" s="79" t="s">
        <v>63</v>
      </c>
      <c r="D132" s="44">
        <f t="shared" ref="D132:K132" si="55">+D112+D120+D130</f>
        <v>329998.31959328102</v>
      </c>
      <c r="E132" s="44">
        <f t="shared" si="55"/>
        <v>366753.30722445482</v>
      </c>
      <c r="F132" s="44">
        <f t="shared" si="55"/>
        <v>402581.44306037796</v>
      </c>
      <c r="G132" s="44">
        <f t="shared" si="55"/>
        <v>369367.78029957489</v>
      </c>
      <c r="H132" s="44">
        <f t="shared" si="55"/>
        <v>402578.65555652895</v>
      </c>
      <c r="I132" s="44">
        <f t="shared" si="55"/>
        <v>403248.90394064097</v>
      </c>
      <c r="J132" s="44">
        <f t="shared" si="55"/>
        <v>439286.0389142356</v>
      </c>
      <c r="K132" s="44">
        <f t="shared" si="55"/>
        <v>62665.753894731548</v>
      </c>
      <c r="L132" s="71"/>
      <c r="M132" s="45">
        <f t="shared" si="43"/>
        <v>92.586683818368058</v>
      </c>
      <c r="N132" s="45">
        <f t="shared" si="44"/>
        <v>83.653966024750844</v>
      </c>
      <c r="O132" s="45">
        <f t="shared" si="45"/>
        <v>87.794011182039668</v>
      </c>
      <c r="P132" s="45">
        <f t="shared" si="46"/>
        <v>88.792438828506619</v>
      </c>
      <c r="Q132" s="45">
        <f t="shared" si="47"/>
        <v>87.937472688066904</v>
      </c>
      <c r="R132" s="45">
        <f t="shared" si="48"/>
        <v>82.985152406144664</v>
      </c>
      <c r="S132" s="45">
        <f t="shared" si="49"/>
        <v>87.958755890467657</v>
      </c>
      <c r="T132" s="45">
        <f t="shared" si="50"/>
        <v>12.112620796162485</v>
      </c>
    </row>
    <row r="133" spans="2:20" s="5" customFormat="1" x14ac:dyDescent="0.2">
      <c r="B133" s="72" t="str">
        <f>+'C1 Aprop Resumen 2000-2026'!B20</f>
        <v>* Información con corte a 28 de febrero</v>
      </c>
      <c r="C133" s="68"/>
      <c r="D133" s="69"/>
      <c r="E133" s="69"/>
      <c r="F133" s="69"/>
      <c r="G133" s="69"/>
      <c r="H133" s="69"/>
      <c r="I133" s="69"/>
      <c r="M133" s="111"/>
      <c r="N133" s="111"/>
      <c r="O133" s="111"/>
      <c r="P133" s="111"/>
      <c r="Q133" s="111"/>
      <c r="R133" s="111"/>
      <c r="S133" s="111"/>
    </row>
    <row r="134" spans="2:20" x14ac:dyDescent="0.2">
      <c r="B134" s="1" t="s">
        <v>52</v>
      </c>
      <c r="M134" s="109"/>
      <c r="N134" s="109"/>
      <c r="O134" s="109"/>
      <c r="P134" s="109"/>
      <c r="Q134" s="109"/>
      <c r="R134" s="109"/>
      <c r="S134" s="109"/>
    </row>
    <row r="135" spans="2:20" x14ac:dyDescent="0.2">
      <c r="M135" s="109"/>
      <c r="N135" s="109"/>
      <c r="O135" s="109"/>
      <c r="P135" s="109"/>
      <c r="Q135" s="109"/>
      <c r="R135" s="109"/>
      <c r="S135" s="109"/>
    </row>
    <row r="136" spans="2:20" x14ac:dyDescent="0.2">
      <c r="M136" s="109"/>
      <c r="N136" s="109"/>
      <c r="O136" s="109"/>
      <c r="P136" s="109"/>
      <c r="Q136" s="109"/>
      <c r="R136" s="109"/>
      <c r="S136" s="109"/>
    </row>
    <row r="137" spans="2:20" x14ac:dyDescent="0.2">
      <c r="M137" s="109"/>
      <c r="N137" s="109"/>
      <c r="O137" s="109"/>
      <c r="P137" s="109"/>
      <c r="Q137" s="109"/>
      <c r="R137" s="109"/>
      <c r="S137" s="109"/>
    </row>
    <row r="138" spans="2:20" x14ac:dyDescent="0.2">
      <c r="M138" s="109"/>
      <c r="N138" s="109"/>
      <c r="O138" s="109"/>
      <c r="P138" s="109"/>
      <c r="Q138" s="109"/>
      <c r="R138" s="109"/>
      <c r="S138" s="109"/>
    </row>
  </sheetData>
  <mergeCells count="106">
    <mergeCell ref="B12:B13"/>
    <mergeCell ref="N12:N13"/>
    <mergeCell ref="N77:N78"/>
    <mergeCell ref="P6:P7"/>
    <mergeCell ref="P77:P78"/>
    <mergeCell ref="R6:R7"/>
    <mergeCell ref="D45:D46"/>
    <mergeCell ref="F45:F46"/>
    <mergeCell ref="R12:R13"/>
    <mergeCell ref="I6:I7"/>
    <mergeCell ref="K6:K7"/>
    <mergeCell ref="C12:C13"/>
    <mergeCell ref="G6:G7"/>
    <mergeCell ref="Q6:Q7"/>
    <mergeCell ref="E6:E7"/>
    <mergeCell ref="M77:M78"/>
    <mergeCell ref="E77:E78"/>
    <mergeCell ref="R110:R111"/>
    <mergeCell ref="T110:T111"/>
    <mergeCell ref="H12:H13"/>
    <mergeCell ref="J12:J13"/>
    <mergeCell ref="L6:L7"/>
    <mergeCell ref="N6:N7"/>
    <mergeCell ref="O77:O78"/>
    <mergeCell ref="D42:T42"/>
    <mergeCell ref="G77:G78"/>
    <mergeCell ref="Q77:Q78"/>
    <mergeCell ref="I77:I78"/>
    <mergeCell ref="T45:T46"/>
    <mergeCell ref="D44:K44"/>
    <mergeCell ref="T12:T13"/>
    <mergeCell ref="M11:T11"/>
    <mergeCell ref="M109:T109"/>
    <mergeCell ref="H45:H46"/>
    <mergeCell ref="J45:J46"/>
    <mergeCell ref="K77:K78"/>
    <mergeCell ref="D107:T107"/>
    <mergeCell ref="D43:K43"/>
    <mergeCell ref="O110:O111"/>
    <mergeCell ref="Q110:Q111"/>
    <mergeCell ref="D74:T74"/>
    <mergeCell ref="S77:S78"/>
    <mergeCell ref="J6:J7"/>
    <mergeCell ref="I12:I13"/>
    <mergeCell ref="K12:K13"/>
    <mergeCell ref="M6:M7"/>
    <mergeCell ref="M4:T4"/>
    <mergeCell ref="I45:I46"/>
    <mergeCell ref="J77:J78"/>
    <mergeCell ref="C45:C46"/>
    <mergeCell ref="D77:D78"/>
    <mergeCell ref="O45:O46"/>
    <mergeCell ref="D12:D13"/>
    <mergeCell ref="R45:R46"/>
    <mergeCell ref="A7:C7"/>
    <mergeCell ref="E12:E13"/>
    <mergeCell ref="G12:G13"/>
    <mergeCell ref="Q12:Q13"/>
    <mergeCell ref="S12:S13"/>
    <mergeCell ref="M44:T44"/>
    <mergeCell ref="K45:K46"/>
    <mergeCell ref="D11:K11"/>
    <mergeCell ref="M12:M13"/>
    <mergeCell ref="O12:O13"/>
    <mergeCell ref="D76:K76"/>
    <mergeCell ref="J110:J111"/>
    <mergeCell ref="C77:C78"/>
    <mergeCell ref="D110:D111"/>
    <mergeCell ref="D6:D7"/>
    <mergeCell ref="N45:N46"/>
    <mergeCell ref="N110:N111"/>
    <mergeCell ref="F6:F7"/>
    <mergeCell ref="P45:P46"/>
    <mergeCell ref="P110:P111"/>
    <mergeCell ref="F12:F13"/>
    <mergeCell ref="D10:K10"/>
    <mergeCell ref="H6:H7"/>
    <mergeCell ref="F110:F111"/>
    <mergeCell ref="H110:H111"/>
    <mergeCell ref="K110:K111"/>
    <mergeCell ref="M110:M111"/>
    <mergeCell ref="D109:J109"/>
    <mergeCell ref="D2:T2"/>
    <mergeCell ref="C110:C111"/>
    <mergeCell ref="E110:E111"/>
    <mergeCell ref="E45:E46"/>
    <mergeCell ref="F77:F78"/>
    <mergeCell ref="H77:H78"/>
    <mergeCell ref="G110:G111"/>
    <mergeCell ref="G45:G46"/>
    <mergeCell ref="B108:I108"/>
    <mergeCell ref="I110:I111"/>
    <mergeCell ref="Q45:Q46"/>
    <mergeCell ref="S45:S46"/>
    <mergeCell ref="S110:S111"/>
    <mergeCell ref="D9:T9"/>
    <mergeCell ref="A5:C6"/>
    <mergeCell ref="M76:T76"/>
    <mergeCell ref="O6:O7"/>
    <mergeCell ref="S6:S7"/>
    <mergeCell ref="M45:M46"/>
    <mergeCell ref="P12:P13"/>
    <mergeCell ref="R77:R78"/>
    <mergeCell ref="T6:T7"/>
    <mergeCell ref="T77:T78"/>
    <mergeCell ref="D4:K4"/>
  </mergeCells>
  <pageMargins left="0.7" right="0.7" top="0.75" bottom="0.75" header="0.3" footer="0.3"/>
  <pageSetup orientation="portrait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/>
  <dimension ref="A1:T138"/>
  <sheetViews>
    <sheetView showGridLines="0" zoomScaleNormal="100" workbookViewId="0">
      <pane xSplit="3" ySplit="7" topLeftCell="D110" activePane="bottomRight" state="frozen"/>
      <selection activeCell="C204" sqref="C204:V204"/>
      <selection pane="topRight" activeCell="C204" sqref="C204:V204"/>
      <selection pane="bottomLeft" activeCell="C204" sqref="C204:V204"/>
      <selection pane="bottomRight" activeCell="L112" sqref="L112"/>
    </sheetView>
  </sheetViews>
  <sheetFormatPr baseColWidth="10" defaultColWidth="11.42578125" defaultRowHeight="11.25" x14ac:dyDescent="0.2"/>
  <cols>
    <col min="1" max="2" width="2.7109375" style="3" customWidth="1"/>
    <col min="3" max="3" width="45.7109375" style="3" customWidth="1"/>
    <col min="4" max="10" width="10.7109375" style="3" customWidth="1"/>
    <col min="11" max="12" width="10.7109375" style="5" customWidth="1"/>
    <col min="13" max="33" width="10.7109375" style="3" customWidth="1"/>
    <col min="34" max="34" width="11.42578125" style="3" customWidth="1"/>
    <col min="35" max="16384" width="11.42578125" style="3"/>
  </cols>
  <sheetData>
    <row r="1" spans="1:20" ht="16.5" customHeight="1" x14ac:dyDescent="0.2">
      <c r="I1" s="4"/>
    </row>
    <row r="2" spans="1:20" ht="16.5" customHeight="1" x14ac:dyDescent="0.2">
      <c r="D2" s="159"/>
      <c r="E2" s="158"/>
      <c r="F2" s="158"/>
      <c r="G2" s="158"/>
      <c r="H2" s="158"/>
      <c r="I2" s="158"/>
      <c r="J2" s="158"/>
      <c r="K2" s="169"/>
      <c r="L2" s="169"/>
      <c r="M2" s="158"/>
      <c r="N2" s="158"/>
      <c r="O2" s="158"/>
      <c r="P2" s="158"/>
      <c r="Q2" s="158"/>
      <c r="R2" s="158"/>
      <c r="S2" s="158"/>
      <c r="T2" s="158"/>
    </row>
    <row r="3" spans="1:20" ht="16.5" customHeight="1" x14ac:dyDescent="0.2">
      <c r="I3" s="4"/>
    </row>
    <row r="4" spans="1:20" s="98" customFormat="1" ht="16.5" customHeight="1" x14ac:dyDescent="0.25">
      <c r="A4" s="120"/>
      <c r="D4" s="161"/>
      <c r="E4" s="152"/>
      <c r="F4" s="152"/>
      <c r="G4" s="152"/>
      <c r="H4" s="152"/>
      <c r="I4" s="152"/>
      <c r="J4" s="152"/>
      <c r="K4" s="152"/>
      <c r="L4" s="133"/>
      <c r="M4" s="161"/>
      <c r="N4" s="152"/>
      <c r="O4" s="152"/>
      <c r="P4" s="152"/>
      <c r="Q4" s="152"/>
      <c r="R4" s="152"/>
      <c r="S4" s="152"/>
      <c r="T4" s="152"/>
    </row>
    <row r="5" spans="1:20" s="98" customFormat="1" ht="16.5" customHeight="1" x14ac:dyDescent="0.25">
      <c r="A5" s="165" t="s">
        <v>7</v>
      </c>
      <c r="B5" s="152"/>
      <c r="C5" s="152"/>
      <c r="D5" s="147"/>
      <c r="E5" s="147"/>
      <c r="F5" s="147"/>
      <c r="G5" s="147"/>
      <c r="H5" s="147"/>
      <c r="I5" s="147"/>
      <c r="J5" s="147"/>
      <c r="K5" s="147"/>
      <c r="L5" s="133"/>
      <c r="M5" s="147"/>
      <c r="N5" s="147"/>
      <c r="O5" s="147"/>
      <c r="P5" s="147"/>
      <c r="Q5" s="147"/>
      <c r="R5" s="147"/>
      <c r="S5" s="147"/>
      <c r="T5" s="147"/>
    </row>
    <row r="6" spans="1:20" s="98" customFormat="1" ht="16.5" customHeight="1" x14ac:dyDescent="0.25">
      <c r="A6" s="152"/>
      <c r="B6" s="152"/>
      <c r="C6" s="152"/>
      <c r="D6" s="151">
        <v>2019</v>
      </c>
      <c r="E6" s="151">
        <v>2020</v>
      </c>
      <c r="F6" s="151">
        <v>2021</v>
      </c>
      <c r="G6" s="151">
        <v>2022</v>
      </c>
      <c r="H6" s="151">
        <v>2023</v>
      </c>
      <c r="I6" s="151">
        <v>2024</v>
      </c>
      <c r="J6" s="151">
        <v>2025</v>
      </c>
      <c r="K6" s="151" t="s">
        <v>36</v>
      </c>
      <c r="L6" s="151"/>
      <c r="M6" s="151">
        <v>2019</v>
      </c>
      <c r="N6" s="151">
        <v>2020</v>
      </c>
      <c r="O6" s="151">
        <v>2021</v>
      </c>
      <c r="P6" s="151">
        <v>2022</v>
      </c>
      <c r="Q6" s="151">
        <v>2023</v>
      </c>
      <c r="R6" s="151">
        <v>2024</v>
      </c>
      <c r="S6" s="151">
        <v>2025</v>
      </c>
      <c r="T6" s="151" t="s">
        <v>36</v>
      </c>
    </row>
    <row r="7" spans="1:20" s="98" customFormat="1" ht="16.5" customHeight="1" x14ac:dyDescent="0.25">
      <c r="A7" s="162" t="s">
        <v>227</v>
      </c>
      <c r="B7" s="152"/>
      <c r="C7" s="152"/>
      <c r="D7" s="152"/>
      <c r="E7" s="152"/>
      <c r="F7" s="152"/>
      <c r="G7" s="152"/>
      <c r="H7" s="152"/>
      <c r="I7" s="152"/>
      <c r="J7" s="152"/>
      <c r="K7" s="152"/>
      <c r="L7" s="152"/>
      <c r="M7" s="152"/>
      <c r="N7" s="152"/>
      <c r="O7" s="152"/>
      <c r="P7" s="152"/>
      <c r="Q7" s="152"/>
      <c r="R7" s="152"/>
      <c r="S7" s="152"/>
      <c r="T7" s="152"/>
    </row>
    <row r="8" spans="1:20" s="98" customFormat="1" ht="16.5" customHeight="1" x14ac:dyDescent="0.25">
      <c r="A8" s="97"/>
      <c r="D8" s="132"/>
      <c r="E8" s="132"/>
      <c r="F8" s="132"/>
      <c r="G8" s="132"/>
      <c r="H8" s="132"/>
      <c r="I8" s="132"/>
      <c r="J8" s="132"/>
      <c r="K8" s="132"/>
      <c r="L8" s="132"/>
      <c r="M8" s="132"/>
      <c r="N8" s="132"/>
      <c r="O8" s="132"/>
      <c r="P8" s="132"/>
      <c r="Q8" s="132"/>
      <c r="R8" s="132"/>
      <c r="S8" s="132"/>
      <c r="T8" s="132"/>
    </row>
    <row r="9" spans="1:20" ht="16.5" customHeight="1" x14ac:dyDescent="0.2">
      <c r="C9" s="138"/>
      <c r="D9" s="174" t="s">
        <v>115</v>
      </c>
      <c r="E9" s="158"/>
      <c r="F9" s="158"/>
      <c r="G9" s="158"/>
      <c r="H9" s="158"/>
      <c r="I9" s="158"/>
      <c r="J9" s="158"/>
      <c r="K9" s="169"/>
      <c r="L9" s="169"/>
      <c r="M9" s="158"/>
      <c r="N9" s="158"/>
      <c r="O9" s="158"/>
      <c r="P9" s="158"/>
      <c r="Q9" s="158"/>
      <c r="R9" s="158"/>
      <c r="S9" s="158"/>
      <c r="T9" s="158"/>
    </row>
    <row r="11" spans="1:20" ht="12" customHeight="1" thickBot="1" x14ac:dyDescent="0.3">
      <c r="B11" s="115"/>
      <c r="C11" s="92"/>
      <c r="D11" s="168"/>
      <c r="E11" s="154"/>
      <c r="F11" s="154"/>
      <c r="G11" s="154"/>
      <c r="H11" s="154"/>
      <c r="I11" s="154"/>
      <c r="J11" s="154"/>
      <c r="K11" s="154"/>
      <c r="M11" s="168" t="s">
        <v>91</v>
      </c>
      <c r="N11" s="154"/>
      <c r="O11" s="154"/>
      <c r="P11" s="154"/>
      <c r="Q11" s="154"/>
      <c r="R11" s="154"/>
      <c r="S11" s="154"/>
      <c r="T11" s="154"/>
    </row>
    <row r="12" spans="1:20" ht="13.5" customHeight="1" x14ac:dyDescent="0.2">
      <c r="B12" s="163"/>
      <c r="C12" s="166" t="s">
        <v>38</v>
      </c>
      <c r="D12" s="153">
        <v>2019</v>
      </c>
      <c r="E12" s="153">
        <v>2020</v>
      </c>
      <c r="F12" s="153">
        <v>2021</v>
      </c>
      <c r="G12" s="153">
        <v>2022</v>
      </c>
      <c r="H12" s="153">
        <v>2023</v>
      </c>
      <c r="I12" s="153">
        <v>2024</v>
      </c>
      <c r="J12" s="153">
        <v>2025</v>
      </c>
      <c r="K12" s="153" t="s">
        <v>36</v>
      </c>
      <c r="L12" s="114"/>
      <c r="M12" s="49">
        <v>2019</v>
      </c>
      <c r="N12" s="49">
        <v>2020</v>
      </c>
      <c r="O12" s="49">
        <v>2021</v>
      </c>
      <c r="P12" s="49">
        <v>2022</v>
      </c>
      <c r="Q12" s="49">
        <v>2023</v>
      </c>
      <c r="R12" s="49">
        <v>2024</v>
      </c>
      <c r="S12" s="135">
        <v>2025</v>
      </c>
      <c r="T12" s="114" t="s">
        <v>36</v>
      </c>
    </row>
    <row r="13" spans="1:20" ht="12" customHeight="1" thickBot="1" x14ac:dyDescent="0.25">
      <c r="B13" s="154"/>
      <c r="C13" s="154"/>
      <c r="D13" s="154"/>
      <c r="E13" s="154"/>
      <c r="F13" s="154"/>
      <c r="G13" s="154"/>
      <c r="H13" s="154"/>
      <c r="I13" s="154"/>
      <c r="J13" s="154"/>
      <c r="K13" s="154"/>
      <c r="L13" s="114"/>
      <c r="M13" s="84"/>
      <c r="N13" s="84"/>
      <c r="O13" s="84"/>
      <c r="P13" s="84"/>
      <c r="Q13" s="84"/>
      <c r="R13" s="84"/>
      <c r="S13" s="84"/>
      <c r="T13" s="84"/>
    </row>
    <row r="14" spans="1:20" x14ac:dyDescent="0.2">
      <c r="B14" s="34" t="s">
        <v>39</v>
      </c>
      <c r="C14" s="76" t="s">
        <v>40</v>
      </c>
      <c r="D14" s="51">
        <f t="shared" ref="D14:K14" si="0">+SUM(D15:D21)</f>
        <v>9872.8918515250134</v>
      </c>
      <c r="E14" s="51">
        <f t="shared" si="0"/>
        <v>9941.7868461265189</v>
      </c>
      <c r="F14" s="51">
        <f t="shared" si="0"/>
        <v>12042.13701387187</v>
      </c>
      <c r="G14" s="51">
        <f t="shared" si="0"/>
        <v>10579.900137287566</v>
      </c>
      <c r="H14" s="51">
        <f t="shared" si="0"/>
        <v>11794.660338354437</v>
      </c>
      <c r="I14" s="51">
        <f t="shared" si="0"/>
        <v>14601.353691162691</v>
      </c>
      <c r="J14" s="51">
        <f t="shared" si="0"/>
        <v>12939.483685374356</v>
      </c>
      <c r="K14" s="51">
        <f t="shared" si="0"/>
        <v>13655.525596213</v>
      </c>
      <c r="L14" s="73"/>
      <c r="M14" s="119">
        <f t="shared" ref="M14:M34" si="1">+(D14/D$34)*100</f>
        <v>43.924574039183952</v>
      </c>
      <c r="N14" s="119">
        <f t="shared" ref="N14:N34" si="2">+(E14/E$34)*100</f>
        <v>45.084309829417727</v>
      </c>
      <c r="O14" s="119">
        <f t="shared" ref="O14:O34" si="3">+(F14/F$34)*100</f>
        <v>45.585166256754491</v>
      </c>
      <c r="P14" s="119">
        <f t="shared" ref="P14:P34" si="4">+(G14/G$34)*100</f>
        <v>44.920670784268736</v>
      </c>
      <c r="Q14" s="119">
        <f t="shared" ref="Q14:Q34" si="5">+(H14/H$34)*100</f>
        <v>47.484593322173687</v>
      </c>
      <c r="R14" s="119">
        <f t="shared" ref="R14:R34" si="6">+(I14/I$34)*100</f>
        <v>49.909729257126969</v>
      </c>
      <c r="S14" s="119">
        <f t="shared" ref="S14:S34" si="7">+(J14/J$34)*100</f>
        <v>47.645128044172431</v>
      </c>
      <c r="T14" s="119">
        <f t="shared" ref="T14:T34" si="8">+(K14/K$34)*100</f>
        <v>46.044190988372385</v>
      </c>
    </row>
    <row r="15" spans="1:20" x14ac:dyDescent="0.2">
      <c r="B15" s="40"/>
      <c r="C15" s="77" t="s">
        <v>92</v>
      </c>
      <c r="D15" s="52">
        <f>1863.2089883463*Deflactores!$T$5</f>
        <v>2819.2262002412112</v>
      </c>
      <c r="E15" s="52">
        <f>1954.06705205901*Deflactores!$U$5</f>
        <v>2909.8550975893545</v>
      </c>
      <c r="F15" s="52">
        <f>2217.456540964*Deflactores!$V$5</f>
        <v>3126.3734558139695</v>
      </c>
      <c r="G15" s="52">
        <f>2488.839629829*Deflactores!$W$5</f>
        <v>3102.0104367744561</v>
      </c>
      <c r="H15" s="52">
        <f>2821.514818766*Deflactores!$X$5</f>
        <v>3218.014454109662</v>
      </c>
      <c r="I15" s="52">
        <f>3277.5208366*Deflactores!$Y$5</f>
        <v>3553.3286408779832</v>
      </c>
      <c r="J15" s="52">
        <f>3488.657640394*Deflactores!$Z$5</f>
        <v>3598.6992310417195</v>
      </c>
      <c r="K15" s="52">
        <f>4255.314575531*Deflactores!$AA$5</f>
        <v>4255.3145755309997</v>
      </c>
      <c r="L15" s="52"/>
      <c r="M15" s="109">
        <f t="shared" si="1"/>
        <v>12.54275969270082</v>
      </c>
      <c r="N15" s="109">
        <f t="shared" si="2"/>
        <v>13.195697192959061</v>
      </c>
      <c r="O15" s="109">
        <f t="shared" si="3"/>
        <v>11.8347975612479</v>
      </c>
      <c r="P15" s="109">
        <f t="shared" si="4"/>
        <v>13.170671536738682</v>
      </c>
      <c r="Q15" s="109">
        <f t="shared" si="5"/>
        <v>12.955532696551836</v>
      </c>
      <c r="R15" s="109">
        <f t="shared" si="6"/>
        <v>12.145837583206522</v>
      </c>
      <c r="S15" s="109">
        <f t="shared" si="7"/>
        <v>13.250952651940146</v>
      </c>
      <c r="T15" s="109">
        <f t="shared" si="8"/>
        <v>14.34822231124453</v>
      </c>
    </row>
    <row r="16" spans="1:20" x14ac:dyDescent="0.2">
      <c r="B16" s="40"/>
      <c r="C16" s="77" t="s">
        <v>93</v>
      </c>
      <c r="D16" s="52">
        <f>790.799266779*Deflactores!$T$5</f>
        <v>1196.56035687851</v>
      </c>
      <c r="E16" s="52">
        <f>817.223551508299*Deflactores!$U$5</f>
        <v>1216.9501116764584</v>
      </c>
      <c r="F16" s="52">
        <f>918.913218713*Deflactores!$V$5</f>
        <v>1295.5680718468432</v>
      </c>
      <c r="G16" s="52">
        <f>966.058614986*Deflactores!$W$5</f>
        <v>1204.0646855291127</v>
      </c>
      <c r="H16" s="52">
        <f>1128.924715155*Deflactores!$X$5</f>
        <v>1287.5693676346818</v>
      </c>
      <c r="I16" s="52">
        <f>1304.742570945*Deflactores!$Y$5</f>
        <v>1414.538420180136</v>
      </c>
      <c r="J16" s="52">
        <f>1599.56648705337*Deflactores!$Z$5</f>
        <v>1650.0210912954358</v>
      </c>
      <c r="K16" s="52">
        <f>1468.367009532*Deflactores!$AA$5</f>
        <v>1468.3670095320001</v>
      </c>
      <c r="L16" s="52"/>
      <c r="M16" s="109">
        <f t="shared" si="1"/>
        <v>5.3235065043221415</v>
      </c>
      <c r="N16" s="109">
        <f t="shared" si="2"/>
        <v>5.5186614570339927</v>
      </c>
      <c r="O16" s="109">
        <f t="shared" si="3"/>
        <v>4.9043359898703098</v>
      </c>
      <c r="P16" s="109">
        <f t="shared" si="4"/>
        <v>5.1122782483544356</v>
      </c>
      <c r="Q16" s="109">
        <f t="shared" si="5"/>
        <v>5.1836768539577349</v>
      </c>
      <c r="R16" s="109">
        <f t="shared" si="6"/>
        <v>4.8351153645243246</v>
      </c>
      <c r="S16" s="109">
        <f t="shared" si="7"/>
        <v>6.0756262059525685</v>
      </c>
      <c r="T16" s="109">
        <f t="shared" si="8"/>
        <v>4.9510925486944579</v>
      </c>
    </row>
    <row r="17" spans="2:20" x14ac:dyDescent="0.2">
      <c r="B17" s="40"/>
      <c r="C17" s="77" t="s">
        <v>58</v>
      </c>
      <c r="D17" s="52">
        <f>2316.4896230847*Deflactores!$T$5</f>
        <v>3505.0862672059325</v>
      </c>
      <c r="E17" s="52">
        <f>2425.31169772414*Deflactores!$U$5</f>
        <v>3611.5984860546941</v>
      </c>
      <c r="F17" s="52">
        <f>3456.90999714055*Deflactores!$V$5</f>
        <v>4873.868531150446</v>
      </c>
      <c r="G17" s="52">
        <f>2913.824616056*Deflactores!$W$5</f>
        <v>3631.6981864183253</v>
      </c>
      <c r="H17" s="52">
        <f>4302.768849133*Deflactores!$X$5</f>
        <v>4907.4249963565853</v>
      </c>
      <c r="I17" s="52">
        <f>6644.760302604*Deflactores!$Y$5</f>
        <v>7203.9258549779943</v>
      </c>
      <c r="J17" s="52">
        <f>5231.38097777463*Deflactores!$Z$5</f>
        <v>5396.3927225251209</v>
      </c>
      <c r="K17" s="52">
        <f>5663.026702748*Deflactores!$AA$5</f>
        <v>5663.0267027480004</v>
      </c>
      <c r="L17" s="52"/>
      <c r="M17" s="109">
        <f t="shared" si="1"/>
        <v>15.594156562530619</v>
      </c>
      <c r="N17" s="109">
        <f t="shared" si="2"/>
        <v>16.377983922295179</v>
      </c>
      <c r="O17" s="109">
        <f t="shared" si="3"/>
        <v>18.449890335089396</v>
      </c>
      <c r="P17" s="109">
        <f t="shared" si="4"/>
        <v>15.419646357999387</v>
      </c>
      <c r="Q17" s="109">
        <f t="shared" si="5"/>
        <v>19.756997957227611</v>
      </c>
      <c r="R17" s="109">
        <f t="shared" si="6"/>
        <v>24.624154486989784</v>
      </c>
      <c r="S17" s="109">
        <f t="shared" si="7"/>
        <v>19.870330879737189</v>
      </c>
      <c r="T17" s="109">
        <f t="shared" si="8"/>
        <v>19.094796552239167</v>
      </c>
    </row>
    <row r="18" spans="2:20" x14ac:dyDescent="0.2">
      <c r="B18" s="40"/>
      <c r="C18" s="77" t="s">
        <v>94</v>
      </c>
      <c r="D18" s="52">
        <f>1377.8367988614*Deflactores!$T$5</f>
        <v>2084.8083211825779</v>
      </c>
      <c r="E18" s="52">
        <f>1279.043380693*Deflactores!$U$5</f>
        <v>1904.6587461907902</v>
      </c>
      <c r="F18" s="52">
        <f>1717.614450152*Deflactores!$V$5</f>
        <v>2421.6502669059068</v>
      </c>
      <c r="G18" s="52">
        <f>1806.257785013*Deflactores!$W$5</f>
        <v>2251.2621679044883</v>
      </c>
      <c r="H18" s="52">
        <f>1773.381554525*Deflactores!$X$5</f>
        <v>2022.5899354336148</v>
      </c>
      <c r="I18" s="52">
        <f>1980.1056419455*Deflactores!$Y$5</f>
        <v>2146.7342055978893</v>
      </c>
      <c r="J18" s="52">
        <f>1909.907392806*Deflactores!$Z$5</f>
        <v>1970.1509790670111</v>
      </c>
      <c r="K18" s="52">
        <f>1981.850479439*Deflactores!$AA$5</f>
        <v>1981.8504794390001</v>
      </c>
      <c r="L18" s="52"/>
      <c r="M18" s="109">
        <f t="shared" si="1"/>
        <v>9.2753287322949802</v>
      </c>
      <c r="N18" s="109">
        <f t="shared" si="2"/>
        <v>8.6373029679299869</v>
      </c>
      <c r="O18" s="109">
        <f t="shared" si="3"/>
        <v>9.1670880264404069</v>
      </c>
      <c r="P18" s="109">
        <f t="shared" si="4"/>
        <v>9.5585218557122875</v>
      </c>
      <c r="Q18" s="109">
        <f t="shared" si="5"/>
        <v>8.1428254639324589</v>
      </c>
      <c r="R18" s="109">
        <f t="shared" si="6"/>
        <v>7.3378760116776895</v>
      </c>
      <c r="S18" s="109">
        <f t="shared" si="7"/>
        <v>7.2543926748869874</v>
      </c>
      <c r="T18" s="109">
        <f t="shared" si="8"/>
        <v>6.68247452965071</v>
      </c>
    </row>
    <row r="19" spans="2:20" x14ac:dyDescent="0.2">
      <c r="B19" s="40"/>
      <c r="C19" s="77" t="s">
        <v>95</v>
      </c>
      <c r="D19" s="52">
        <f>80.7731435*Deflactores!$T$5</f>
        <v>122.2180463143617</v>
      </c>
      <c r="E19" s="52">
        <f>103.114626294*Deflactores!$U$5</f>
        <v>153.5508316572118</v>
      </c>
      <c r="F19" s="52">
        <f>105.34410756*Deflactores!$V$5</f>
        <v>148.52377736287846</v>
      </c>
      <c r="G19" s="52">
        <f>170.112788486*Deflactores!$W$5</f>
        <v>212.02316090917981</v>
      </c>
      <c r="H19" s="52">
        <f>189.714629994*Deflactores!$X$5</f>
        <v>216.37469965292075</v>
      </c>
      <c r="I19" s="52">
        <f>127.972288652*Deflactores!$Y$5</f>
        <v>138.74132955248473</v>
      </c>
      <c r="J19" s="52">
        <f>162.478377139*Deflactores!$Z$5</f>
        <v>167.60337962110552</v>
      </c>
      <c r="K19" s="52">
        <f>132.924205*Deflactores!$AA$5</f>
        <v>132.924205</v>
      </c>
      <c r="L19" s="52"/>
      <c r="M19" s="109">
        <f t="shared" si="1"/>
        <v>0.54374905600028112</v>
      </c>
      <c r="N19" s="109">
        <f t="shared" si="2"/>
        <v>0.69632686519483267</v>
      </c>
      <c r="O19" s="109">
        <f t="shared" si="3"/>
        <v>0.56223252370976906</v>
      </c>
      <c r="P19" s="109">
        <f t="shared" si="4"/>
        <v>0.9002185735453534</v>
      </c>
      <c r="Q19" s="109">
        <f t="shared" si="5"/>
        <v>0.87111153042834355</v>
      </c>
      <c r="R19" s="109">
        <f t="shared" si="6"/>
        <v>0.47423974113642248</v>
      </c>
      <c r="S19" s="109">
        <f t="shared" si="7"/>
        <v>0.61714089038264297</v>
      </c>
      <c r="T19" s="109">
        <f t="shared" si="8"/>
        <v>0.44819860201462269</v>
      </c>
    </row>
    <row r="20" spans="2:20" x14ac:dyDescent="0.2">
      <c r="B20" s="40"/>
      <c r="C20" s="77" t="s">
        <v>96</v>
      </c>
      <c r="D20" s="52">
        <f>8.357250844*Deflactores!$T$5</f>
        <v>12.64537724364696</v>
      </c>
      <c r="E20" s="52">
        <f>7.146149*Deflactores!$U$5</f>
        <v>10.641527410163361</v>
      </c>
      <c r="F20" s="52">
        <f>19.85*Deflactores!$V$5</f>
        <v>27.986349203005556</v>
      </c>
      <c r="G20" s="52">
        <f>17.904*Deflactores!$W$5</f>
        <v>22.314975297876355</v>
      </c>
      <c r="H20" s="52">
        <f>11.120135*Deflactores!$X$5</f>
        <v>12.682816664170963</v>
      </c>
      <c r="I20" s="52">
        <f>11.853109917*Deflactores!$Y$5</f>
        <v>12.850565122644001</v>
      </c>
      <c r="J20" s="52">
        <f>10.77826497*Deflactores!$Z$5</f>
        <v>11.118240268231743</v>
      </c>
      <c r="K20" s="52">
        <f>18.756*Deflactores!$AA$5</f>
        <v>18.756</v>
      </c>
      <c r="L20" s="52"/>
      <c r="M20" s="109">
        <f t="shared" si="1"/>
        <v>5.6259383506382321E-2</v>
      </c>
      <c r="N20" s="109">
        <f t="shared" si="2"/>
        <v>4.8257514091138536E-2</v>
      </c>
      <c r="O20" s="109">
        <f t="shared" si="3"/>
        <v>0.10594152681280655</v>
      </c>
      <c r="P20" s="109">
        <f t="shared" si="4"/>
        <v>9.4746041636266834E-2</v>
      </c>
      <c r="Q20" s="109">
        <f t="shared" si="5"/>
        <v>5.106025728604139E-2</v>
      </c>
      <c r="R20" s="109">
        <f t="shared" si="6"/>
        <v>4.392525786567459E-2</v>
      </c>
      <c r="S20" s="109">
        <f t="shared" si="7"/>
        <v>4.0939035442699709E-2</v>
      </c>
      <c r="T20" s="109">
        <f t="shared" si="8"/>
        <v>6.3242153521898159E-2</v>
      </c>
    </row>
    <row r="21" spans="2:20" x14ac:dyDescent="0.2">
      <c r="B21" s="40"/>
      <c r="C21" s="77" t="s">
        <v>97</v>
      </c>
      <c r="D21" s="52">
        <f>87.467492406*Deflactores!$T$5</f>
        <v>132.34728245877406</v>
      </c>
      <c r="E21" s="52">
        <f>90.34286204455*Deflactores!$U$5</f>
        <v>134.53204554784483</v>
      </c>
      <c r="F21" s="52">
        <f>105.09074356945*Deflactores!$V$5</f>
        <v>148.16656158882307</v>
      </c>
      <c r="G21" s="52">
        <f>125.586107823*Deflactores!$W$5</f>
        <v>156.52652445412653</v>
      </c>
      <c r="H21" s="52">
        <f>113.985941024*Deflactores!$X$5</f>
        <v>130.00406850280109</v>
      </c>
      <c r="I21" s="52">
        <f>121.048297185*Deflactores!$Y$5</f>
        <v>131.23467485356039</v>
      </c>
      <c r="J21" s="52">
        <f>141.048979575*Deflactores!$Z$5</f>
        <v>145.49804155573304</v>
      </c>
      <c r="K21" s="52">
        <f>135.286623963*Deflactores!$AA$5</f>
        <v>135.28662396300001</v>
      </c>
      <c r="L21" s="52"/>
      <c r="M21" s="109">
        <f t="shared" si="1"/>
        <v>0.58881410782872734</v>
      </c>
      <c r="N21" s="109">
        <f t="shared" si="2"/>
        <v>0.61007990991352901</v>
      </c>
      <c r="O21" s="109">
        <f t="shared" si="3"/>
        <v>0.56088029358391245</v>
      </c>
      <c r="P21" s="109">
        <f t="shared" si="4"/>
        <v>0.66458817028231976</v>
      </c>
      <c r="Q21" s="109">
        <f t="shared" si="5"/>
        <v>0.52338856278965873</v>
      </c>
      <c r="R21" s="109">
        <f t="shared" si="6"/>
        <v>0.4485808117265549</v>
      </c>
      <c r="S21" s="109">
        <f t="shared" si="7"/>
        <v>0.53574570583019843</v>
      </c>
      <c r="T21" s="109">
        <f t="shared" si="8"/>
        <v>0.45616429100700329</v>
      </c>
    </row>
    <row r="22" spans="2:20" x14ac:dyDescent="0.2">
      <c r="B22" s="34" t="s">
        <v>41</v>
      </c>
      <c r="C22" s="76" t="s">
        <v>42</v>
      </c>
      <c r="D22" s="51">
        <f t="shared" ref="D22:K22" si="9">+D23+D27</f>
        <v>1.9912429055048477</v>
      </c>
      <c r="E22" s="51">
        <f t="shared" si="9"/>
        <v>1.7348336051823596</v>
      </c>
      <c r="F22" s="51">
        <f t="shared" si="9"/>
        <v>1.8103008753984449</v>
      </c>
      <c r="G22" s="51">
        <f t="shared" si="9"/>
        <v>21.461185431835712</v>
      </c>
      <c r="H22" s="51">
        <f t="shared" si="9"/>
        <v>60.002995757241514</v>
      </c>
      <c r="I22" s="51">
        <f t="shared" si="9"/>
        <v>0</v>
      </c>
      <c r="J22" s="51">
        <f t="shared" si="9"/>
        <v>0</v>
      </c>
      <c r="K22" s="51">
        <f t="shared" si="9"/>
        <v>0</v>
      </c>
      <c r="L22" s="73"/>
      <c r="M22" s="119">
        <f t="shared" si="1"/>
        <v>8.8590554569213959E-3</v>
      </c>
      <c r="N22" s="119">
        <f t="shared" si="2"/>
        <v>7.8671748820485516E-3</v>
      </c>
      <c r="O22" s="119">
        <f t="shared" si="3"/>
        <v>6.8528423389241097E-3</v>
      </c>
      <c r="P22" s="119">
        <f t="shared" si="4"/>
        <v>9.1120977789379776E-2</v>
      </c>
      <c r="Q22" s="119">
        <f t="shared" si="5"/>
        <v>0.24156845300406868</v>
      </c>
      <c r="R22" s="119">
        <f t="shared" si="6"/>
        <v>0</v>
      </c>
      <c r="S22" s="119">
        <f t="shared" si="7"/>
        <v>0</v>
      </c>
      <c r="T22" s="119">
        <f t="shared" si="8"/>
        <v>0</v>
      </c>
    </row>
    <row r="23" spans="2:20" ht="11.25" hidden="1" customHeight="1" x14ac:dyDescent="0.2">
      <c r="B23" s="34"/>
      <c r="C23" s="76" t="s">
        <v>43</v>
      </c>
      <c r="D23" s="51">
        <f t="shared" ref="D23:K23" si="10">+SUM(D24:D26)</f>
        <v>0</v>
      </c>
      <c r="E23" s="51">
        <f t="shared" si="10"/>
        <v>0</v>
      </c>
      <c r="F23" s="51">
        <f t="shared" si="10"/>
        <v>0</v>
      </c>
      <c r="G23" s="51">
        <f t="shared" si="10"/>
        <v>0</v>
      </c>
      <c r="H23" s="51">
        <f t="shared" si="10"/>
        <v>0</v>
      </c>
      <c r="I23" s="51">
        <f t="shared" si="10"/>
        <v>0</v>
      </c>
      <c r="J23" s="51">
        <f t="shared" si="10"/>
        <v>0</v>
      </c>
      <c r="K23" s="51">
        <f t="shared" si="10"/>
        <v>0</v>
      </c>
      <c r="L23" s="73"/>
      <c r="M23" s="119">
        <f t="shared" si="1"/>
        <v>0</v>
      </c>
      <c r="N23" s="119">
        <f t="shared" si="2"/>
        <v>0</v>
      </c>
      <c r="O23" s="119">
        <f t="shared" si="3"/>
        <v>0</v>
      </c>
      <c r="P23" s="119">
        <f t="shared" si="4"/>
        <v>0</v>
      </c>
      <c r="Q23" s="119">
        <f t="shared" si="5"/>
        <v>0</v>
      </c>
      <c r="R23" s="119">
        <f t="shared" si="6"/>
        <v>0</v>
      </c>
      <c r="S23" s="119">
        <f t="shared" si="7"/>
        <v>0</v>
      </c>
      <c r="T23" s="119">
        <f t="shared" si="8"/>
        <v>0</v>
      </c>
    </row>
    <row r="24" spans="2:20" ht="11.25" hidden="1" customHeight="1" x14ac:dyDescent="0.2">
      <c r="B24" s="34"/>
      <c r="C24" s="85" t="s">
        <v>98</v>
      </c>
      <c r="D24" s="53">
        <f>0*Deflactores!$T$5</f>
        <v>0</v>
      </c>
      <c r="E24" s="53">
        <f>0*Deflactores!$U$5</f>
        <v>0</v>
      </c>
      <c r="F24" s="53">
        <f>0*Deflactores!$V$5</f>
        <v>0</v>
      </c>
      <c r="G24" s="53">
        <f>0*Deflactores!$W$5</f>
        <v>0</v>
      </c>
      <c r="H24" s="53">
        <f>0*Deflactores!$X$5</f>
        <v>0</v>
      </c>
      <c r="I24" s="53">
        <f>0*Deflactores!$Y$5</f>
        <v>0</v>
      </c>
      <c r="J24" s="53">
        <f>0*Deflactores!$Z$5</f>
        <v>0</v>
      </c>
      <c r="K24" s="53">
        <f>0*Deflactores!$AA$5</f>
        <v>0</v>
      </c>
      <c r="L24" s="52"/>
      <c r="M24" s="109">
        <f t="shared" si="1"/>
        <v>0</v>
      </c>
      <c r="N24" s="109">
        <f t="shared" si="2"/>
        <v>0</v>
      </c>
      <c r="O24" s="109">
        <f t="shared" si="3"/>
        <v>0</v>
      </c>
      <c r="P24" s="109">
        <f t="shared" si="4"/>
        <v>0</v>
      </c>
      <c r="Q24" s="109">
        <f t="shared" si="5"/>
        <v>0</v>
      </c>
      <c r="R24" s="109">
        <f t="shared" si="6"/>
        <v>0</v>
      </c>
      <c r="S24" s="109">
        <f t="shared" si="7"/>
        <v>0</v>
      </c>
      <c r="T24" s="109">
        <f t="shared" si="8"/>
        <v>0</v>
      </c>
    </row>
    <row r="25" spans="2:20" ht="11.25" hidden="1" customHeight="1" x14ac:dyDescent="0.2">
      <c r="B25" s="34"/>
      <c r="C25" s="85" t="s">
        <v>61</v>
      </c>
      <c r="D25" s="53">
        <f>0*Deflactores!$T$5</f>
        <v>0</v>
      </c>
      <c r="E25" s="53">
        <f>0*Deflactores!$U$5</f>
        <v>0</v>
      </c>
      <c r="F25" s="53">
        <f>0*Deflactores!$V$5</f>
        <v>0</v>
      </c>
      <c r="G25" s="53">
        <f>0*Deflactores!$W$5</f>
        <v>0</v>
      </c>
      <c r="H25" s="53">
        <f>0*Deflactores!$X$5</f>
        <v>0</v>
      </c>
      <c r="I25" s="53">
        <f>0*Deflactores!$Y$5</f>
        <v>0</v>
      </c>
      <c r="J25" s="53">
        <f>0*Deflactores!$Z$5</f>
        <v>0</v>
      </c>
      <c r="K25" s="53">
        <f>0*Deflactores!$AA$5</f>
        <v>0</v>
      </c>
      <c r="L25" s="52"/>
      <c r="M25" s="109">
        <f t="shared" si="1"/>
        <v>0</v>
      </c>
      <c r="N25" s="109">
        <f t="shared" si="2"/>
        <v>0</v>
      </c>
      <c r="O25" s="109">
        <f t="shared" si="3"/>
        <v>0</v>
      </c>
      <c r="P25" s="109">
        <f t="shared" si="4"/>
        <v>0</v>
      </c>
      <c r="Q25" s="109">
        <f t="shared" si="5"/>
        <v>0</v>
      </c>
      <c r="R25" s="109">
        <f t="shared" si="6"/>
        <v>0</v>
      </c>
      <c r="S25" s="109">
        <f t="shared" si="7"/>
        <v>0</v>
      </c>
      <c r="T25" s="109">
        <f t="shared" si="8"/>
        <v>0</v>
      </c>
    </row>
    <row r="26" spans="2:20" ht="11.25" hidden="1" customHeight="1" x14ac:dyDescent="0.2">
      <c r="B26" s="34"/>
      <c r="C26" s="85" t="s">
        <v>99</v>
      </c>
      <c r="D26" s="53">
        <f>0*Deflactores!$T$5</f>
        <v>0</v>
      </c>
      <c r="E26" s="53">
        <f>0*Deflactores!$U$5</f>
        <v>0</v>
      </c>
      <c r="F26" s="53">
        <f>0*Deflactores!$V$5</f>
        <v>0</v>
      </c>
      <c r="G26" s="53">
        <f>0*Deflactores!$W$5</f>
        <v>0</v>
      </c>
      <c r="H26" s="53">
        <f>0*Deflactores!$X$5</f>
        <v>0</v>
      </c>
      <c r="I26" s="53">
        <f>0*Deflactores!$Y$5</f>
        <v>0</v>
      </c>
      <c r="J26" s="53">
        <f>0*Deflactores!$Z$5</f>
        <v>0</v>
      </c>
      <c r="K26" s="53">
        <f>0*Deflactores!$AA$5</f>
        <v>0</v>
      </c>
      <c r="L26" s="52"/>
      <c r="M26" s="109">
        <f t="shared" si="1"/>
        <v>0</v>
      </c>
      <c r="N26" s="109">
        <f t="shared" si="2"/>
        <v>0</v>
      </c>
      <c r="O26" s="109">
        <f t="shared" si="3"/>
        <v>0</v>
      </c>
      <c r="P26" s="109">
        <f t="shared" si="4"/>
        <v>0</v>
      </c>
      <c r="Q26" s="109">
        <f t="shared" si="5"/>
        <v>0</v>
      </c>
      <c r="R26" s="109">
        <f t="shared" si="6"/>
        <v>0</v>
      </c>
      <c r="S26" s="109">
        <f t="shared" si="7"/>
        <v>0</v>
      </c>
      <c r="T26" s="109">
        <f t="shared" si="8"/>
        <v>0</v>
      </c>
    </row>
    <row r="27" spans="2:20" x14ac:dyDescent="0.2">
      <c r="B27" s="34"/>
      <c r="C27" s="76" t="s">
        <v>44</v>
      </c>
      <c r="D27" s="51">
        <f t="shared" ref="D27:K27" si="11">+SUM(D28:D31)</f>
        <v>1.9912429055048477</v>
      </c>
      <c r="E27" s="51">
        <f t="shared" si="11"/>
        <v>1.7348336051823596</v>
      </c>
      <c r="F27" s="51">
        <f t="shared" si="11"/>
        <v>1.8103008753984449</v>
      </c>
      <c r="G27" s="51">
        <f t="shared" si="11"/>
        <v>21.461185431835712</v>
      </c>
      <c r="H27" s="51">
        <f t="shared" si="11"/>
        <v>60.002995757241514</v>
      </c>
      <c r="I27" s="51">
        <f t="shared" si="11"/>
        <v>0</v>
      </c>
      <c r="J27" s="51">
        <f t="shared" si="11"/>
        <v>0</v>
      </c>
      <c r="K27" s="51">
        <f t="shared" si="11"/>
        <v>0</v>
      </c>
      <c r="L27" s="73"/>
      <c r="M27" s="119">
        <f t="shared" si="1"/>
        <v>8.8590554569213959E-3</v>
      </c>
      <c r="N27" s="119">
        <f t="shared" si="2"/>
        <v>7.8671748820485516E-3</v>
      </c>
      <c r="O27" s="119">
        <f t="shared" si="3"/>
        <v>6.8528423389241097E-3</v>
      </c>
      <c r="P27" s="119">
        <f t="shared" si="4"/>
        <v>9.1120977789379776E-2</v>
      </c>
      <c r="Q27" s="119">
        <f t="shared" si="5"/>
        <v>0.24156845300406868</v>
      </c>
      <c r="R27" s="119">
        <f t="shared" si="6"/>
        <v>0</v>
      </c>
      <c r="S27" s="119">
        <f t="shared" si="7"/>
        <v>0</v>
      </c>
      <c r="T27" s="119">
        <f t="shared" si="8"/>
        <v>0</v>
      </c>
    </row>
    <row r="28" spans="2:20" x14ac:dyDescent="0.2">
      <c r="B28" s="32"/>
      <c r="C28" s="83" t="s">
        <v>98</v>
      </c>
      <c r="D28" s="52">
        <f>1.207*Deflactores!$T$5</f>
        <v>1.8263147317206316</v>
      </c>
      <c r="E28" s="52">
        <f>1.099*Deflactores!$U$5</f>
        <v>1.6365511863479942</v>
      </c>
      <c r="F28" s="52">
        <f>1.284*Deflactores!$V$5</f>
        <v>1.8103008753984449</v>
      </c>
      <c r="G28" s="52">
        <f>1.409*Deflactores!$W$5</f>
        <v>1.7561327186498985</v>
      </c>
      <c r="H28" s="52">
        <f>0*Deflactores!$X$5</f>
        <v>0</v>
      </c>
      <c r="I28" s="52">
        <f>0*Deflactores!$Y$5</f>
        <v>0</v>
      </c>
      <c r="J28" s="52">
        <f>0*Deflactores!$Z$5</f>
        <v>0</v>
      </c>
      <c r="K28" s="52">
        <f>0*Deflactores!$AA$5</f>
        <v>0</v>
      </c>
      <c r="L28" s="52"/>
      <c r="M28" s="109">
        <f t="shared" si="1"/>
        <v>8.1252887055502463E-3</v>
      </c>
      <c r="N28" s="109">
        <f t="shared" si="2"/>
        <v>7.4214808543960169E-3</v>
      </c>
      <c r="O28" s="109">
        <f t="shared" si="3"/>
        <v>6.8528423389241097E-3</v>
      </c>
      <c r="P28" s="109">
        <f t="shared" si="4"/>
        <v>7.456276399994413E-3</v>
      </c>
      <c r="Q28" s="109">
        <f t="shared" si="5"/>
        <v>0</v>
      </c>
      <c r="R28" s="109">
        <f t="shared" si="6"/>
        <v>0</v>
      </c>
      <c r="S28" s="109">
        <f t="shared" si="7"/>
        <v>0</v>
      </c>
      <c r="T28" s="109">
        <f t="shared" si="8"/>
        <v>0</v>
      </c>
    </row>
    <row r="29" spans="2:20" x14ac:dyDescent="0.2">
      <c r="B29" s="32"/>
      <c r="C29" s="83" t="s">
        <v>61</v>
      </c>
      <c r="D29" s="52">
        <f>0.109*Deflactores!$T$5</f>
        <v>0.16492817378421609</v>
      </c>
      <c r="E29" s="52">
        <f>0.066*Deflactores!$U$5</f>
        <v>9.8282418834365448E-2</v>
      </c>
      <c r="F29" s="52">
        <f>0*Deflactores!$V$5</f>
        <v>0</v>
      </c>
      <c r="G29" s="52">
        <f>0*Deflactores!$W$5</f>
        <v>0</v>
      </c>
      <c r="H29" s="52">
        <f>0*Deflactores!$X$5</f>
        <v>0</v>
      </c>
      <c r="I29" s="52">
        <f>0*Deflactores!$Y$5</f>
        <v>0</v>
      </c>
      <c r="J29" s="52">
        <f>0*Deflactores!$Z$5</f>
        <v>0</v>
      </c>
      <c r="K29" s="52">
        <f>0*Deflactores!$AA$5</f>
        <v>0</v>
      </c>
      <c r="L29" s="52"/>
      <c r="M29" s="109">
        <f t="shared" si="1"/>
        <v>7.3376675137114896E-4</v>
      </c>
      <c r="N29" s="109">
        <f t="shared" si="2"/>
        <v>4.4569402765253608E-4</v>
      </c>
      <c r="O29" s="109">
        <f t="shared" si="3"/>
        <v>0</v>
      </c>
      <c r="P29" s="109">
        <f t="shared" si="4"/>
        <v>0</v>
      </c>
      <c r="Q29" s="109">
        <f t="shared" si="5"/>
        <v>0</v>
      </c>
      <c r="R29" s="109">
        <f t="shared" si="6"/>
        <v>0</v>
      </c>
      <c r="S29" s="109">
        <f t="shared" si="7"/>
        <v>0</v>
      </c>
      <c r="T29" s="109">
        <f t="shared" si="8"/>
        <v>0</v>
      </c>
    </row>
    <row r="30" spans="2:20" ht="11.25" hidden="1" customHeight="1" x14ac:dyDescent="0.2">
      <c r="B30" s="32"/>
      <c r="C30" s="83" t="s">
        <v>99</v>
      </c>
      <c r="D30" s="52">
        <f>0*Deflactores!$T$5</f>
        <v>0</v>
      </c>
      <c r="E30" s="52">
        <f>0*Deflactores!$U$5</f>
        <v>0</v>
      </c>
      <c r="F30" s="52">
        <f>0*Deflactores!$V$5</f>
        <v>0</v>
      </c>
      <c r="G30" s="52">
        <f>0*Deflactores!$W$5</f>
        <v>0</v>
      </c>
      <c r="H30" s="52">
        <f>0*Deflactores!$X$5</f>
        <v>0</v>
      </c>
      <c r="I30" s="52">
        <f>0*Deflactores!$Y$5</f>
        <v>0</v>
      </c>
      <c r="J30" s="52">
        <f>0*Deflactores!$Z$5</f>
        <v>0</v>
      </c>
      <c r="K30" s="52">
        <f>0*Deflactores!$AA$5</f>
        <v>0</v>
      </c>
      <c r="L30" s="52"/>
      <c r="M30" s="109">
        <f t="shared" si="1"/>
        <v>0</v>
      </c>
      <c r="N30" s="109">
        <f t="shared" si="2"/>
        <v>0</v>
      </c>
      <c r="O30" s="109">
        <f t="shared" si="3"/>
        <v>0</v>
      </c>
      <c r="P30" s="109">
        <f t="shared" si="4"/>
        <v>0</v>
      </c>
      <c r="Q30" s="109">
        <f t="shared" si="5"/>
        <v>0</v>
      </c>
      <c r="R30" s="109">
        <f t="shared" si="6"/>
        <v>0</v>
      </c>
      <c r="S30" s="109">
        <f t="shared" si="7"/>
        <v>0</v>
      </c>
      <c r="T30" s="109">
        <f t="shared" si="8"/>
        <v>0</v>
      </c>
    </row>
    <row r="31" spans="2:20" x14ac:dyDescent="0.2">
      <c r="B31" s="32"/>
      <c r="C31" s="83" t="s">
        <v>100</v>
      </c>
      <c r="D31" s="52">
        <f>0*Deflactores!$T$5</f>
        <v>0</v>
      </c>
      <c r="E31" s="52">
        <f>0*Deflactores!$U$5</f>
        <v>0</v>
      </c>
      <c r="F31" s="52">
        <f>0*Deflactores!$V$5</f>
        <v>0</v>
      </c>
      <c r="G31" s="52">
        <f>15.809977787*Deflactores!$W$5</f>
        <v>19.705052713185815</v>
      </c>
      <c r="H31" s="52">
        <f>52.609876094*Deflactores!$X$5</f>
        <v>60.002995757241514</v>
      </c>
      <c r="I31" s="52">
        <f>0*Deflactores!$Y$5</f>
        <v>0</v>
      </c>
      <c r="J31" s="52">
        <f>0*Deflactores!$Z$5</f>
        <v>0</v>
      </c>
      <c r="K31" s="52">
        <f>0*Deflactores!$AA$5</f>
        <v>0</v>
      </c>
      <c r="L31" s="52"/>
      <c r="M31" s="109">
        <f t="shared" si="1"/>
        <v>0</v>
      </c>
      <c r="N31" s="109">
        <f t="shared" si="2"/>
        <v>0</v>
      </c>
      <c r="O31" s="109">
        <f t="shared" si="3"/>
        <v>0</v>
      </c>
      <c r="P31" s="109">
        <f t="shared" si="4"/>
        <v>8.3664701389385351E-2</v>
      </c>
      <c r="Q31" s="109">
        <f t="shared" si="5"/>
        <v>0.24156845300406868</v>
      </c>
      <c r="R31" s="109">
        <f t="shared" si="6"/>
        <v>0</v>
      </c>
      <c r="S31" s="109">
        <f t="shared" si="7"/>
        <v>0</v>
      </c>
      <c r="T31" s="109">
        <f t="shared" si="8"/>
        <v>0</v>
      </c>
    </row>
    <row r="32" spans="2:20" x14ac:dyDescent="0.2">
      <c r="B32" s="34" t="s">
        <v>45</v>
      </c>
      <c r="C32" s="76" t="s">
        <v>46</v>
      </c>
      <c r="D32" s="51">
        <f>8328.608214074*Deflactores!$T$5</f>
        <v>12602.038008361893</v>
      </c>
      <c r="E32" s="51">
        <f>8130.951040119*Deflactores!$U$5</f>
        <v>12108.023267374165</v>
      </c>
      <c r="F32" s="51">
        <f>10194.287862127*Deflactores!$V$5</f>
        <v>14372.841309090536</v>
      </c>
      <c r="G32" s="51">
        <f>10391.029147916*Deflactores!$W$5</f>
        <v>12951.047741022046</v>
      </c>
      <c r="H32" s="51">
        <f>11384.434174935*Deflactores!$X$5</f>
        <v>12984.257067564651</v>
      </c>
      <c r="I32" s="51">
        <f>13516.72167078*Deflactores!$Y$5</f>
        <v>14654.172052002226</v>
      </c>
      <c r="J32" s="51">
        <f>13783.780597375*Deflactores!$Z$5</f>
        <v>14218.557895242217</v>
      </c>
      <c r="K32" s="51">
        <f>16001.908497181*Deflactores!$AA$5</f>
        <v>16001.908497181001</v>
      </c>
      <c r="L32" s="73"/>
      <c r="M32" s="113">
        <f t="shared" si="1"/>
        <v>56.066566905359139</v>
      </c>
      <c r="N32" s="113">
        <f t="shared" si="2"/>
        <v>54.907822995700215</v>
      </c>
      <c r="O32" s="113">
        <f t="shared" si="3"/>
        <v>54.40798090090658</v>
      </c>
      <c r="P32" s="113">
        <f t="shared" si="4"/>
        <v>54.988208237941883</v>
      </c>
      <c r="Q32" s="113">
        <f t="shared" si="5"/>
        <v>52.273838224822235</v>
      </c>
      <c r="R32" s="113">
        <f t="shared" si="6"/>
        <v>50.090270742873045</v>
      </c>
      <c r="S32" s="113">
        <f t="shared" si="7"/>
        <v>52.354871955827562</v>
      </c>
      <c r="T32" s="113">
        <f t="shared" si="8"/>
        <v>53.955809011627622</v>
      </c>
    </row>
    <row r="33" spans="1:20" x14ac:dyDescent="0.2">
      <c r="B33" s="36" t="s">
        <v>47</v>
      </c>
      <c r="C33" s="78" t="s">
        <v>48</v>
      </c>
      <c r="D33" s="54">
        <f t="shared" ref="D33:K33" si="12">+D14+D32</f>
        <v>22474.929859886906</v>
      </c>
      <c r="E33" s="54">
        <f t="shared" si="12"/>
        <v>22049.810113500684</v>
      </c>
      <c r="F33" s="54">
        <f t="shared" si="12"/>
        <v>26414.978322962408</v>
      </c>
      <c r="G33" s="54">
        <f t="shared" si="12"/>
        <v>23530.947878309613</v>
      </c>
      <c r="H33" s="54">
        <f t="shared" si="12"/>
        <v>24778.917405919088</v>
      </c>
      <c r="I33" s="54">
        <f t="shared" si="12"/>
        <v>29255.525743164915</v>
      </c>
      <c r="J33" s="54">
        <f t="shared" si="12"/>
        <v>27158.041580616573</v>
      </c>
      <c r="K33" s="54">
        <f t="shared" si="12"/>
        <v>29657.434093394</v>
      </c>
      <c r="L33" s="73"/>
      <c r="M33" s="112">
        <f t="shared" si="1"/>
        <v>99.991140944543076</v>
      </c>
      <c r="N33" s="112">
        <f t="shared" si="2"/>
        <v>99.992132825117935</v>
      </c>
      <c r="O33" s="112">
        <f t="shared" si="3"/>
        <v>99.99314715766107</v>
      </c>
      <c r="P33" s="112">
        <f t="shared" si="4"/>
        <v>99.908879022210613</v>
      </c>
      <c r="Q33" s="112">
        <f t="shared" si="5"/>
        <v>99.758431546995922</v>
      </c>
      <c r="R33" s="112">
        <f t="shared" si="6"/>
        <v>100</v>
      </c>
      <c r="S33" s="112">
        <f t="shared" si="7"/>
        <v>100</v>
      </c>
      <c r="T33" s="112">
        <f t="shared" si="8"/>
        <v>100</v>
      </c>
    </row>
    <row r="34" spans="1:20" x14ac:dyDescent="0.2">
      <c r="B34" s="38" t="s">
        <v>49</v>
      </c>
      <c r="C34" s="79" t="s">
        <v>50</v>
      </c>
      <c r="D34" s="55">
        <f t="shared" ref="D34:K34" si="13">+D14+D22+D32</f>
        <v>22476.92110279241</v>
      </c>
      <c r="E34" s="55">
        <f t="shared" si="13"/>
        <v>22051.544947105867</v>
      </c>
      <c r="F34" s="55">
        <f t="shared" si="13"/>
        <v>26416.788623837805</v>
      </c>
      <c r="G34" s="55">
        <f t="shared" si="13"/>
        <v>23552.409063741448</v>
      </c>
      <c r="H34" s="55">
        <f t="shared" si="13"/>
        <v>24838.920401676332</v>
      </c>
      <c r="I34" s="55">
        <f t="shared" si="13"/>
        <v>29255.525743164915</v>
      </c>
      <c r="J34" s="55">
        <f t="shared" si="13"/>
        <v>27158.041580616573</v>
      </c>
      <c r="K34" s="55">
        <f t="shared" si="13"/>
        <v>29657.434093394</v>
      </c>
      <c r="L34" s="73"/>
      <c r="M34" s="107">
        <f t="shared" si="1"/>
        <v>100</v>
      </c>
      <c r="N34" s="107">
        <f t="shared" si="2"/>
        <v>100</v>
      </c>
      <c r="O34" s="107">
        <f t="shared" si="3"/>
        <v>100</v>
      </c>
      <c r="P34" s="107">
        <f t="shared" si="4"/>
        <v>100</v>
      </c>
      <c r="Q34" s="107">
        <f t="shared" si="5"/>
        <v>100</v>
      </c>
      <c r="R34" s="107">
        <f t="shared" si="6"/>
        <v>100</v>
      </c>
      <c r="S34" s="107">
        <f t="shared" si="7"/>
        <v>100</v>
      </c>
      <c r="T34" s="107">
        <f t="shared" si="8"/>
        <v>100</v>
      </c>
    </row>
    <row r="35" spans="1:20" s="5" customFormat="1" x14ac:dyDescent="0.2">
      <c r="B35" s="72" t="str">
        <f>+'C1 Aprop Resumen 2000-2026'!B20</f>
        <v>* Información con corte a 28 de febrero</v>
      </c>
      <c r="C35" s="72"/>
      <c r="D35" s="73"/>
      <c r="E35" s="73"/>
      <c r="F35" s="73"/>
      <c r="G35" s="73"/>
      <c r="H35" s="73"/>
      <c r="I35" s="73"/>
    </row>
    <row r="36" spans="1:20" x14ac:dyDescent="0.2">
      <c r="B36" s="1" t="s">
        <v>52</v>
      </c>
    </row>
    <row r="42" spans="1:20" ht="22.5" customHeight="1" x14ac:dyDescent="0.2">
      <c r="A42" s="5"/>
      <c r="C42" s="138"/>
      <c r="D42" s="174" t="s">
        <v>116</v>
      </c>
      <c r="E42" s="158"/>
      <c r="F42" s="158"/>
      <c r="G42" s="158"/>
      <c r="H42" s="158"/>
      <c r="I42" s="158"/>
      <c r="J42" s="158"/>
      <c r="K42" s="169"/>
      <c r="L42" s="169"/>
      <c r="M42" s="158"/>
      <c r="N42" s="158"/>
      <c r="O42" s="158"/>
      <c r="P42" s="158"/>
      <c r="Q42" s="158"/>
      <c r="R42" s="158"/>
      <c r="S42" s="158"/>
      <c r="T42" s="158"/>
    </row>
    <row r="43" spans="1:20" x14ac:dyDescent="0.2">
      <c r="A43" s="5"/>
    </row>
    <row r="44" spans="1:20" ht="12" customHeight="1" thickBot="1" x14ac:dyDescent="0.3">
      <c r="A44" s="5"/>
      <c r="B44" s="115"/>
      <c r="C44" s="92"/>
      <c r="D44" s="168"/>
      <c r="E44" s="154"/>
      <c r="F44" s="154"/>
      <c r="G44" s="154"/>
      <c r="H44" s="154"/>
      <c r="I44" s="154"/>
      <c r="J44" s="154"/>
      <c r="K44" s="154"/>
      <c r="M44" s="168" t="s">
        <v>111</v>
      </c>
      <c r="N44" s="154"/>
      <c r="O44" s="154"/>
      <c r="P44" s="154"/>
      <c r="Q44" s="154"/>
      <c r="R44" s="154"/>
      <c r="S44" s="154"/>
      <c r="T44" s="154"/>
    </row>
    <row r="45" spans="1:20" x14ac:dyDescent="0.2">
      <c r="A45" s="5"/>
      <c r="B45" s="49"/>
      <c r="C45" s="166" t="s">
        <v>38</v>
      </c>
      <c r="D45" s="153">
        <v>2019</v>
      </c>
      <c r="E45" s="153">
        <v>2020</v>
      </c>
      <c r="F45" s="153">
        <v>2021</v>
      </c>
      <c r="G45" s="153">
        <v>2022</v>
      </c>
      <c r="H45" s="153">
        <v>2023</v>
      </c>
      <c r="I45" s="153">
        <v>2024</v>
      </c>
      <c r="J45" s="153">
        <v>2025</v>
      </c>
      <c r="K45" s="153" t="s">
        <v>36</v>
      </c>
      <c r="L45" s="114"/>
      <c r="M45" s="153">
        <v>2019</v>
      </c>
      <c r="N45" s="153">
        <v>2020</v>
      </c>
      <c r="O45" s="153">
        <v>2021</v>
      </c>
      <c r="P45" s="153">
        <v>2022</v>
      </c>
      <c r="Q45" s="153">
        <v>2023</v>
      </c>
      <c r="R45" s="153">
        <v>2024</v>
      </c>
      <c r="S45" s="153">
        <v>2025</v>
      </c>
      <c r="T45" s="153" t="s">
        <v>36</v>
      </c>
    </row>
    <row r="46" spans="1:20" ht="15.75" customHeight="1" thickBot="1" x14ac:dyDescent="0.25">
      <c r="A46" s="5"/>
      <c r="B46" s="84"/>
      <c r="C46" s="154"/>
      <c r="D46" s="154"/>
      <c r="E46" s="154"/>
      <c r="F46" s="154"/>
      <c r="G46" s="154"/>
      <c r="H46" s="154"/>
      <c r="I46" s="154"/>
      <c r="J46" s="154"/>
      <c r="K46" s="154"/>
      <c r="L46" s="114"/>
      <c r="M46" s="154"/>
      <c r="N46" s="154"/>
      <c r="O46" s="154"/>
      <c r="P46" s="154"/>
      <c r="Q46" s="154"/>
      <c r="R46" s="154"/>
      <c r="S46" s="154"/>
      <c r="T46" s="154"/>
    </row>
    <row r="47" spans="1:20" x14ac:dyDescent="0.2">
      <c r="A47" s="5"/>
      <c r="B47" s="34" t="s">
        <v>39</v>
      </c>
      <c r="C47" s="76" t="s">
        <v>40</v>
      </c>
      <c r="D47" s="41">
        <f t="shared" ref="D47:K47" si="14">+SUM(D48:D54)</f>
        <v>9228.6788166776278</v>
      </c>
      <c r="E47" s="41">
        <f t="shared" si="14"/>
        <v>9358.186795834401</v>
      </c>
      <c r="F47" s="41">
        <f t="shared" si="14"/>
        <v>9613.2547805517715</v>
      </c>
      <c r="G47" s="41">
        <f t="shared" si="14"/>
        <v>9499.9437696935092</v>
      </c>
      <c r="H47" s="41">
        <f t="shared" si="14"/>
        <v>10555.310332820691</v>
      </c>
      <c r="I47" s="41">
        <f t="shared" si="14"/>
        <v>13243.250623157599</v>
      </c>
      <c r="J47" s="41">
        <f t="shared" si="14"/>
        <v>12486.692778569757</v>
      </c>
      <c r="K47" s="41">
        <f t="shared" si="14"/>
        <v>4332.5207733987299</v>
      </c>
      <c r="M47" s="46">
        <f t="shared" ref="M47:M60" si="15">+D47/D14*100</f>
        <v>93.474930703835497</v>
      </c>
      <c r="N47" s="46">
        <f t="shared" ref="N47:N60" si="16">+E47/E14*100</f>
        <v>94.12982737082622</v>
      </c>
      <c r="O47" s="46">
        <f t="shared" ref="O47:O60" si="17">+F47/F14*100</f>
        <v>79.830139529867822</v>
      </c>
      <c r="P47" s="46">
        <f t="shared" ref="P47:P60" si="18">+G47/G14*100</f>
        <v>89.792376548169088</v>
      </c>
      <c r="Q47" s="46">
        <f t="shared" ref="Q47:Q60" si="19">+H47/H14*100</f>
        <v>89.492278963697075</v>
      </c>
      <c r="R47" s="46">
        <f t="shared" ref="R47:R67" si="20">+IFERROR(I47/I14*100,0)</f>
        <v>90.698786586978784</v>
      </c>
      <c r="S47" s="46">
        <f t="shared" ref="S47:S67" si="21">+IFERROR(J47/J14*100,0)</f>
        <v>96.500703445251119</v>
      </c>
      <c r="T47" s="46">
        <f t="shared" ref="T47:T67" si="22">+IFERROR(K47/K14*100,0)</f>
        <v>31.727235563896862</v>
      </c>
    </row>
    <row r="48" spans="1:20" x14ac:dyDescent="0.2">
      <c r="A48" s="5"/>
      <c r="B48" s="40"/>
      <c r="C48" s="77" t="s">
        <v>92</v>
      </c>
      <c r="D48" s="42">
        <f>1781.49693159196*Deflactores!$T$5</f>
        <v>2695.5874819233627</v>
      </c>
      <c r="E48" s="42">
        <f>1886.10546296503*Deflactores!$U$5</f>
        <v>2808.651622377482</v>
      </c>
      <c r="F48" s="42">
        <f>2028.4528990106*Deflactores!$V$5</f>
        <v>2859.8987996755473</v>
      </c>
      <c r="G48" s="42">
        <f>2301.67815445915*Deflactores!$W$5</f>
        <v>2868.7383355907937</v>
      </c>
      <c r="H48" s="42">
        <f>2628.19089177269*Deflactores!$X$5</f>
        <v>2997.5232529818227</v>
      </c>
      <c r="I48" s="42">
        <f>3058.52670402736*Deflactores!$Y$5</f>
        <v>3315.905856325428</v>
      </c>
      <c r="J48" s="42">
        <f>3326.89343628075*Deflactores!$Z$5</f>
        <v>3431.8325513732948</v>
      </c>
      <c r="K48" s="42">
        <f>459.03335432061*Deflactores!$AA$5</f>
        <v>459.03335432060999</v>
      </c>
      <c r="L48" s="42"/>
      <c r="M48" s="47">
        <f t="shared" si="15"/>
        <v>95.614444903098942</v>
      </c>
      <c r="N48" s="47">
        <f t="shared" si="16"/>
        <v>96.522044163102365</v>
      </c>
      <c r="O48" s="47">
        <f t="shared" si="17"/>
        <v>91.476557106673482</v>
      </c>
      <c r="P48" s="47">
        <f t="shared" si="18"/>
        <v>92.479970459860084</v>
      </c>
      <c r="Q48" s="47">
        <f t="shared" si="19"/>
        <v>93.148222163941668</v>
      </c>
      <c r="R48" s="47">
        <f t="shared" si="20"/>
        <v>93.318299303328985</v>
      </c>
      <c r="S48" s="47">
        <f t="shared" si="21"/>
        <v>95.363139041210687</v>
      </c>
      <c r="T48" s="47">
        <f t="shared" si="22"/>
        <v>10.787295420182408</v>
      </c>
    </row>
    <row r="49" spans="1:20" x14ac:dyDescent="0.2">
      <c r="A49" s="5"/>
      <c r="B49" s="40"/>
      <c r="C49" s="77" t="s">
        <v>93</v>
      </c>
      <c r="D49" s="42">
        <f>741.02435722106*Deflactores!$T$5</f>
        <v>1121.245816202679</v>
      </c>
      <c r="E49" s="42">
        <f>734.21236200137*Deflactores!$U$5</f>
        <v>1093.335861751324</v>
      </c>
      <c r="F49" s="42">
        <f>827.84188222845*Deflactores!$V$5</f>
        <v>1167.1673552100151</v>
      </c>
      <c r="G49" s="42">
        <f>886.62022705567*Deflactores!$W$5</f>
        <v>1105.0552091903933</v>
      </c>
      <c r="H49" s="42">
        <f>1017.49445614204*Deflactores!$X$5</f>
        <v>1160.4801240326522</v>
      </c>
      <c r="I49" s="42">
        <f>1227.87169923863*Deflactores!$Y$5</f>
        <v>1331.1987608152681</v>
      </c>
      <c r="J49" s="42">
        <f>1522.69346062164*Deflactores!$Z$5</f>
        <v>1570.7232840515949</v>
      </c>
      <c r="K49" s="42">
        <f>817.2197322705*Deflactores!$AA$5</f>
        <v>817.2197322705</v>
      </c>
      <c r="L49" s="42"/>
      <c r="M49" s="47">
        <f t="shared" si="15"/>
        <v>93.705746622568583</v>
      </c>
      <c r="N49" s="47">
        <f t="shared" si="16"/>
        <v>89.842291089907988</v>
      </c>
      <c r="O49" s="47">
        <f t="shared" si="17"/>
        <v>90.089234257387048</v>
      </c>
      <c r="P49" s="47">
        <f t="shared" si="18"/>
        <v>91.777063348119796</v>
      </c>
      <c r="Q49" s="47">
        <f t="shared" si="19"/>
        <v>90.129522587548209</v>
      </c>
      <c r="R49" s="47">
        <f t="shared" si="20"/>
        <v>94.108349538200954</v>
      </c>
      <c r="S49" s="47">
        <f t="shared" si="21"/>
        <v>95.194133719734211</v>
      </c>
      <c r="T49" s="47">
        <f t="shared" si="22"/>
        <v>55.655004979372656</v>
      </c>
    </row>
    <row r="50" spans="1:20" x14ac:dyDescent="0.2">
      <c r="A50" s="5"/>
      <c r="B50" s="40"/>
      <c r="C50" s="77" t="s">
        <v>58</v>
      </c>
      <c r="D50" s="42">
        <f>2088.63834213929*Deflactores!$T$5</f>
        <v>3160.3239216947327</v>
      </c>
      <c r="E50" s="42">
        <f>2232.41333142929*Deflactores!$U$5</f>
        <v>3324.3482128932505</v>
      </c>
      <c r="F50" s="42">
        <f>2365.1154886035*Deflactores!$V$5</f>
        <v>3334.5565727705116</v>
      </c>
      <c r="G50" s="42">
        <f>2488.56069730384*Deflactores!$W$5</f>
        <v>3101.662784160028</v>
      </c>
      <c r="H50" s="42">
        <f>3804.91054569478*Deflactores!$X$5</f>
        <v>4339.6040492869552</v>
      </c>
      <c r="I50" s="42">
        <f>5832.52046723462*Deflactores!$Y$5</f>
        <v>6323.3349406349307</v>
      </c>
      <c r="J50" s="42">
        <f>5094.89243668883*Deflactores!$Z$5</f>
        <v>5255.5989678831484</v>
      </c>
      <c r="K50" s="42">
        <f>2415.42126001335*Deflactores!$AA$5</f>
        <v>2415.4212600133501</v>
      </c>
      <c r="L50" s="42"/>
      <c r="M50" s="47">
        <f t="shared" si="15"/>
        <v>90.163941220595817</v>
      </c>
      <c r="N50" s="47">
        <f t="shared" si="16"/>
        <v>92.046450504656306</v>
      </c>
      <c r="O50" s="47">
        <f t="shared" si="17"/>
        <v>68.417039800279767</v>
      </c>
      <c r="P50" s="47">
        <f t="shared" si="18"/>
        <v>85.405301458130481</v>
      </c>
      <c r="Q50" s="47">
        <f t="shared" si="19"/>
        <v>88.429350474205975</v>
      </c>
      <c r="R50" s="47">
        <f t="shared" si="20"/>
        <v>87.776235734928264</v>
      </c>
      <c r="S50" s="47">
        <f t="shared" si="21"/>
        <v>97.390965374808914</v>
      </c>
      <c r="T50" s="47">
        <f t="shared" si="22"/>
        <v>42.652478732640617</v>
      </c>
    </row>
    <row r="51" spans="1:20" x14ac:dyDescent="0.2">
      <c r="A51" s="5"/>
      <c r="B51" s="40"/>
      <c r="C51" s="77" t="s">
        <v>94</v>
      </c>
      <c r="D51" s="42">
        <f>1327.9699698226*Deflactores!$T$5</f>
        <v>2009.3546969093759</v>
      </c>
      <c r="E51" s="42">
        <f>1242.22817009404*Deflactores!$U$5</f>
        <v>1849.8362015307544</v>
      </c>
      <c r="F51" s="42">
        <f>1393.39188223485*Deflactores!$V$5</f>
        <v>1964.5315764663831</v>
      </c>
      <c r="G51" s="42">
        <f>1671.11939626236*Deflactores!$W$5</f>
        <v>2082.8299847741628</v>
      </c>
      <c r="H51" s="42">
        <f>1605.07440479274*Deflactores!$X$5</f>
        <v>1830.6310497435197</v>
      </c>
      <c r="I51" s="42">
        <f>1852.21457548907*Deflactores!$Y$5</f>
        <v>2008.0809331984119</v>
      </c>
      <c r="J51" s="42">
        <f>1857.41206738678*Deflactores!$Z$5</f>
        <v>1915.9998107115814</v>
      </c>
      <c r="K51" s="42">
        <f>625.65712569173*Deflactores!$AA$5</f>
        <v>625.65712569173002</v>
      </c>
      <c r="L51" s="42"/>
      <c r="M51" s="47">
        <f t="shared" si="15"/>
        <v>96.380788415579516</v>
      </c>
      <c r="N51" s="47">
        <f t="shared" si="16"/>
        <v>97.121660519519423</v>
      </c>
      <c r="O51" s="47">
        <f t="shared" si="17"/>
        <v>81.123670222472924</v>
      </c>
      <c r="P51" s="47">
        <f t="shared" si="18"/>
        <v>92.518322142502626</v>
      </c>
      <c r="Q51" s="47">
        <f t="shared" si="19"/>
        <v>90.509253392040549</v>
      </c>
      <c r="R51" s="47">
        <f t="shared" si="20"/>
        <v>93.541199835642402</v>
      </c>
      <c r="S51" s="47">
        <f t="shared" si="21"/>
        <v>97.251420376875203</v>
      </c>
      <c r="T51" s="47">
        <f t="shared" si="22"/>
        <v>31.569340481671148</v>
      </c>
    </row>
    <row r="52" spans="1:20" x14ac:dyDescent="0.2">
      <c r="A52" s="5"/>
      <c r="B52" s="40"/>
      <c r="C52" s="77" t="s">
        <v>95</v>
      </c>
      <c r="D52" s="42">
        <f>76.63693438415*Deflactores!$T$5</f>
        <v>115.95953791191428</v>
      </c>
      <c r="E52" s="42">
        <f>97.14882839743*Deflactores!$U$5</f>
        <v>144.6669976033956</v>
      </c>
      <c r="F52" s="42">
        <f>98.6148182650999*Deflactores!$V$5</f>
        <v>139.03620859234337</v>
      </c>
      <c r="G52" s="42">
        <f>165.48617508932*Deflactores!$W$5</f>
        <v>206.25669734462787</v>
      </c>
      <c r="H52" s="42">
        <f>102.297077948179*Deflactores!$X$5</f>
        <v>116.67260198704068</v>
      </c>
      <c r="I52" s="42">
        <f>124.19693508654*Deflactores!$Y$5</f>
        <v>134.64827488635294</v>
      </c>
      <c r="J52" s="42">
        <f>162.14627640011*Deflactores!$Z$5</f>
        <v>167.26080353687365</v>
      </c>
      <c r="K52" s="42">
        <f>0.1852773932*Deflactores!$AA$5</f>
        <v>0.1852773932</v>
      </c>
      <c r="L52" s="42"/>
      <c r="M52" s="47">
        <f t="shared" si="15"/>
        <v>94.879227257200895</v>
      </c>
      <c r="N52" s="47">
        <f t="shared" si="16"/>
        <v>94.214401864231817</v>
      </c>
      <c r="O52" s="47">
        <f t="shared" si="17"/>
        <v>93.612087613854086</v>
      </c>
      <c r="P52" s="47">
        <f t="shared" si="18"/>
        <v>97.280267146369908</v>
      </c>
      <c r="Q52" s="47">
        <f t="shared" si="19"/>
        <v>53.921554680002423</v>
      </c>
      <c r="R52" s="47">
        <f t="shared" si="20"/>
        <v>97.049866338073826</v>
      </c>
      <c r="S52" s="47">
        <f t="shared" si="21"/>
        <v>99.795603116711419</v>
      </c>
      <c r="T52" s="47">
        <f t="shared" si="22"/>
        <v>0.13938574483104865</v>
      </c>
    </row>
    <row r="53" spans="1:20" x14ac:dyDescent="0.2">
      <c r="A53" s="5"/>
      <c r="B53" s="40"/>
      <c r="C53" s="77" t="s">
        <v>96</v>
      </c>
      <c r="D53" s="42">
        <f>7.59070268202*Deflactores!$T$5</f>
        <v>11.485511294353302</v>
      </c>
      <c r="E53" s="42">
        <f>6.90862965865*Deflactores!$U$5</f>
        <v>10.287830813378157</v>
      </c>
      <c r="F53" s="42">
        <f>8.15309606241*Deflactores!$V$5</f>
        <v>11.494982039710621</v>
      </c>
      <c r="G53" s="42">
        <f>11.48050290653*Deflactores!$W$5</f>
        <v>14.308933130385091</v>
      </c>
      <c r="H53" s="42">
        <f>7.86689177436*Deflactores!$X$5</f>
        <v>8.9724042101181762</v>
      </c>
      <c r="I53" s="42">
        <f>9.99873387698*Deflactores!$Y$5</f>
        <v>10.840140834755596</v>
      </c>
      <c r="J53" s="42">
        <f>8.960916642*Deflactores!$Z$5</f>
        <v>9.2435679143776301</v>
      </c>
      <c r="K53" s="42">
        <f>0.411621156*Deflactores!$AA$5</f>
        <v>0.41162115599999999</v>
      </c>
      <c r="L53" s="42"/>
      <c r="M53" s="47">
        <f t="shared" si="15"/>
        <v>90.827747350310361</v>
      </c>
      <c r="N53" s="47">
        <f t="shared" si="16"/>
        <v>96.676260999455778</v>
      </c>
      <c r="O53" s="47">
        <f t="shared" si="17"/>
        <v>41.07353180055415</v>
      </c>
      <c r="P53" s="47">
        <f t="shared" si="18"/>
        <v>64.122558682584909</v>
      </c>
      <c r="Q53" s="47">
        <f t="shared" si="19"/>
        <v>70.744570766092323</v>
      </c>
      <c r="R53" s="47">
        <f t="shared" si="20"/>
        <v>84.355362828784592</v>
      </c>
      <c r="S53" s="47">
        <f t="shared" si="21"/>
        <v>83.13876738920068</v>
      </c>
      <c r="T53" s="47">
        <f t="shared" si="22"/>
        <v>2.194610556621881</v>
      </c>
    </row>
    <row r="54" spans="1:20" x14ac:dyDescent="0.2">
      <c r="A54" s="5"/>
      <c r="B54" s="40"/>
      <c r="C54" s="77" t="s">
        <v>97</v>
      </c>
      <c r="D54" s="42">
        <f>75.81895466297*Deflactores!$T$5</f>
        <v>114.72185074121026</v>
      </c>
      <c r="E54" s="42">
        <f>85.32517457889*Deflactores!$U$5</f>
        <v>127.06006886481542</v>
      </c>
      <c r="F54" s="42">
        <f>96.8650931713699*Deflactores!$V$5</f>
        <v>136.56928579726079</v>
      </c>
      <c r="G54" s="42">
        <f>97.1557447349799*Deflactores!$W$5</f>
        <v>121.09182550311982</v>
      </c>
      <c r="H54" s="42">
        <f>88.9297938245*Deflactores!$X$5</f>
        <v>101.42685057858171</v>
      </c>
      <c r="I54" s="42">
        <f>109.986226942709*Deflactores!$Y$5</f>
        <v>119.24171646245135</v>
      </c>
      <c r="J54" s="42">
        <f>131.87413039484*Deflactores!$Z$5</f>
        <v>136.03379309888626</v>
      </c>
      <c r="K54" s="42">
        <f>14.59240255334*Deflactores!$AA$5</f>
        <v>14.592402553339999</v>
      </c>
      <c r="L54" s="42"/>
      <c r="M54" s="47">
        <f t="shared" si="15"/>
        <v>86.682437757606323</v>
      </c>
      <c r="N54" s="47">
        <f t="shared" si="16"/>
        <v>94.445950291916063</v>
      </c>
      <c r="O54" s="47">
        <f t="shared" si="17"/>
        <v>92.172811687602035</v>
      </c>
      <c r="P54" s="47">
        <f t="shared" si="18"/>
        <v>77.361856672802048</v>
      </c>
      <c r="Q54" s="47">
        <f t="shared" si="19"/>
        <v>78.01821261955071</v>
      </c>
      <c r="R54" s="47">
        <f t="shared" si="20"/>
        <v>90.861440846718665</v>
      </c>
      <c r="S54" s="47">
        <f t="shared" si="21"/>
        <v>93.495274331083351</v>
      </c>
      <c r="T54" s="47">
        <f t="shared" si="22"/>
        <v>10.786286275671218</v>
      </c>
    </row>
    <row r="55" spans="1:20" x14ac:dyDescent="0.2">
      <c r="A55" s="5"/>
      <c r="B55" s="34" t="s">
        <v>41</v>
      </c>
      <c r="C55" s="76" t="s">
        <v>42</v>
      </c>
      <c r="D55" s="41">
        <f t="shared" ref="D55:K55" si="23">+D56+D60</f>
        <v>1.8985805076833304</v>
      </c>
      <c r="E55" s="41">
        <f t="shared" si="23"/>
        <v>1.4823918976083477</v>
      </c>
      <c r="F55" s="41">
        <f t="shared" si="23"/>
        <v>1.8103008749049829</v>
      </c>
      <c r="G55" s="41">
        <f t="shared" si="23"/>
        <v>21.44662031277624</v>
      </c>
      <c r="H55" s="41">
        <f t="shared" si="23"/>
        <v>60.001952628582018</v>
      </c>
      <c r="I55" s="41">
        <f t="shared" si="23"/>
        <v>0</v>
      </c>
      <c r="J55" s="41">
        <f t="shared" si="23"/>
        <v>0</v>
      </c>
      <c r="K55" s="41">
        <f t="shared" si="23"/>
        <v>0</v>
      </c>
      <c r="L55" s="71"/>
      <c r="M55" s="46">
        <f t="shared" si="15"/>
        <v>95.346504559270514</v>
      </c>
      <c r="N55" s="46">
        <f t="shared" si="16"/>
        <v>85.448650128755361</v>
      </c>
      <c r="O55" s="46">
        <f t="shared" si="17"/>
        <v>99.999999972741435</v>
      </c>
      <c r="P55" s="46">
        <f t="shared" si="18"/>
        <v>99.932132737468137</v>
      </c>
      <c r="Q55" s="46">
        <f t="shared" si="19"/>
        <v>99.998261539034289</v>
      </c>
      <c r="R55" s="46">
        <f t="shared" si="20"/>
        <v>0</v>
      </c>
      <c r="S55" s="46">
        <f t="shared" si="21"/>
        <v>0</v>
      </c>
      <c r="T55" s="46">
        <f t="shared" si="22"/>
        <v>0</v>
      </c>
    </row>
    <row r="56" spans="1:20" ht="11.25" hidden="1" customHeight="1" x14ac:dyDescent="0.2">
      <c r="A56" s="5"/>
      <c r="B56" s="34"/>
      <c r="C56" s="76" t="s">
        <v>43</v>
      </c>
      <c r="D56" s="41">
        <f>0*Deflactores!$T$5</f>
        <v>0</v>
      </c>
      <c r="E56" s="41">
        <f>0*Deflactores!$U$5</f>
        <v>0</v>
      </c>
      <c r="F56" s="41">
        <f>0*Deflactores!$V$5</f>
        <v>0</v>
      </c>
      <c r="G56" s="41">
        <f>0*Deflactores!$W$5</f>
        <v>0</v>
      </c>
      <c r="H56" s="41">
        <f>0*Deflactores!$X$5</f>
        <v>0</v>
      </c>
      <c r="I56" s="41">
        <f>0*Deflactores!$Y$5</f>
        <v>0</v>
      </c>
      <c r="J56" s="41">
        <f>0*Deflactores!$Z$5</f>
        <v>0</v>
      </c>
      <c r="K56" s="41">
        <f>0*Deflactores!$AA$5</f>
        <v>0</v>
      </c>
      <c r="L56" s="71"/>
      <c r="M56" s="46" t="e">
        <f t="shared" si="15"/>
        <v>#DIV/0!</v>
      </c>
      <c r="N56" s="46" t="e">
        <f t="shared" si="16"/>
        <v>#DIV/0!</v>
      </c>
      <c r="O56" s="46" t="e">
        <f t="shared" si="17"/>
        <v>#DIV/0!</v>
      </c>
      <c r="P56" s="46" t="e">
        <f t="shared" si="18"/>
        <v>#DIV/0!</v>
      </c>
      <c r="Q56" s="46" t="e">
        <f t="shared" si="19"/>
        <v>#DIV/0!</v>
      </c>
      <c r="R56" s="46">
        <f t="shared" si="20"/>
        <v>0</v>
      </c>
      <c r="S56" s="46">
        <f t="shared" si="21"/>
        <v>0</v>
      </c>
      <c r="T56" s="46">
        <f t="shared" si="22"/>
        <v>0</v>
      </c>
    </row>
    <row r="57" spans="1:20" ht="11.25" hidden="1" customHeight="1" x14ac:dyDescent="0.2">
      <c r="A57" s="5"/>
      <c r="B57" s="34"/>
      <c r="C57" s="86" t="s">
        <v>98</v>
      </c>
      <c r="D57" s="50">
        <f>0*Deflactores!$T$5</f>
        <v>0</v>
      </c>
      <c r="E57" s="50">
        <f>0*Deflactores!$U$5</f>
        <v>0</v>
      </c>
      <c r="F57" s="50">
        <f>0*Deflactores!$V$5</f>
        <v>0</v>
      </c>
      <c r="G57" s="50">
        <f>0*Deflactores!$W$5</f>
        <v>0</v>
      </c>
      <c r="H57" s="50">
        <f>0*Deflactores!$X$5</f>
        <v>0</v>
      </c>
      <c r="I57" s="50">
        <f>0*Deflactores!$Y$5</f>
        <v>0</v>
      </c>
      <c r="J57" s="50">
        <f>0*Deflactores!$Z$5</f>
        <v>0</v>
      </c>
      <c r="K57" s="50">
        <f>0*Deflactores!$AA$5</f>
        <v>0</v>
      </c>
      <c r="L57" s="42"/>
      <c r="M57" s="116" t="e">
        <f t="shared" si="15"/>
        <v>#DIV/0!</v>
      </c>
      <c r="N57" s="116" t="e">
        <f t="shared" si="16"/>
        <v>#DIV/0!</v>
      </c>
      <c r="O57" s="116" t="e">
        <f t="shared" si="17"/>
        <v>#DIV/0!</v>
      </c>
      <c r="P57" s="116" t="e">
        <f t="shared" si="18"/>
        <v>#DIV/0!</v>
      </c>
      <c r="Q57" s="116" t="e">
        <f t="shared" si="19"/>
        <v>#DIV/0!</v>
      </c>
      <c r="R57" s="116">
        <f t="shared" si="20"/>
        <v>0</v>
      </c>
      <c r="S57" s="116">
        <f t="shared" si="21"/>
        <v>0</v>
      </c>
      <c r="T57" s="116">
        <f t="shared" si="22"/>
        <v>0</v>
      </c>
    </row>
    <row r="58" spans="1:20" ht="11.25" hidden="1" customHeight="1" x14ac:dyDescent="0.2">
      <c r="A58" s="5"/>
      <c r="B58" s="34"/>
      <c r="C58" s="86" t="s">
        <v>61</v>
      </c>
      <c r="D58" s="50">
        <f>0*Deflactores!$T$5</f>
        <v>0</v>
      </c>
      <c r="E58" s="50">
        <f>0*Deflactores!$U$5</f>
        <v>0</v>
      </c>
      <c r="F58" s="50">
        <f>0*Deflactores!$V$5</f>
        <v>0</v>
      </c>
      <c r="G58" s="50">
        <f>0*Deflactores!$W$5</f>
        <v>0</v>
      </c>
      <c r="H58" s="50">
        <f>0*Deflactores!$X$5</f>
        <v>0</v>
      </c>
      <c r="I58" s="50">
        <f>0*Deflactores!$Y$5</f>
        <v>0</v>
      </c>
      <c r="J58" s="50">
        <f>0*Deflactores!$Z$5</f>
        <v>0</v>
      </c>
      <c r="K58" s="50">
        <f>0*Deflactores!$AA$5</f>
        <v>0</v>
      </c>
      <c r="L58" s="42"/>
      <c r="M58" s="116" t="e">
        <f t="shared" si="15"/>
        <v>#DIV/0!</v>
      </c>
      <c r="N58" s="116" t="e">
        <f t="shared" si="16"/>
        <v>#DIV/0!</v>
      </c>
      <c r="O58" s="116" t="e">
        <f t="shared" si="17"/>
        <v>#DIV/0!</v>
      </c>
      <c r="P58" s="116" t="e">
        <f t="shared" si="18"/>
        <v>#DIV/0!</v>
      </c>
      <c r="Q58" s="116" t="e">
        <f t="shared" si="19"/>
        <v>#DIV/0!</v>
      </c>
      <c r="R58" s="116">
        <f t="shared" si="20"/>
        <v>0</v>
      </c>
      <c r="S58" s="116">
        <f t="shared" si="21"/>
        <v>0</v>
      </c>
      <c r="T58" s="116">
        <f t="shared" si="22"/>
        <v>0</v>
      </c>
    </row>
    <row r="59" spans="1:20" ht="11.25" hidden="1" customHeight="1" x14ac:dyDescent="0.2">
      <c r="A59" s="5"/>
      <c r="B59" s="34"/>
      <c r="C59" s="86" t="s">
        <v>103</v>
      </c>
      <c r="D59" s="50">
        <f>0*Deflactores!$T$5</f>
        <v>0</v>
      </c>
      <c r="E59" s="50">
        <f>0*Deflactores!$U$5</f>
        <v>0</v>
      </c>
      <c r="F59" s="50">
        <f>0*Deflactores!$V$5</f>
        <v>0</v>
      </c>
      <c r="G59" s="50">
        <f>0*Deflactores!$W$5</f>
        <v>0</v>
      </c>
      <c r="H59" s="50">
        <f>0*Deflactores!$X$5</f>
        <v>0</v>
      </c>
      <c r="I59" s="50">
        <f>0*Deflactores!$Y$5</f>
        <v>0</v>
      </c>
      <c r="J59" s="50">
        <f>0*Deflactores!$Z$5</f>
        <v>0</v>
      </c>
      <c r="K59" s="50">
        <f>0*Deflactores!$AA$5</f>
        <v>0</v>
      </c>
      <c r="L59" s="42"/>
      <c r="M59" s="116" t="e">
        <f t="shared" si="15"/>
        <v>#DIV/0!</v>
      </c>
      <c r="N59" s="116" t="e">
        <f t="shared" si="16"/>
        <v>#DIV/0!</v>
      </c>
      <c r="O59" s="116" t="e">
        <f t="shared" si="17"/>
        <v>#DIV/0!</v>
      </c>
      <c r="P59" s="116" t="e">
        <f t="shared" si="18"/>
        <v>#DIV/0!</v>
      </c>
      <c r="Q59" s="116" t="e">
        <f t="shared" si="19"/>
        <v>#DIV/0!</v>
      </c>
      <c r="R59" s="116">
        <f t="shared" si="20"/>
        <v>0</v>
      </c>
      <c r="S59" s="116">
        <f t="shared" si="21"/>
        <v>0</v>
      </c>
      <c r="T59" s="116">
        <f t="shared" si="22"/>
        <v>0</v>
      </c>
    </row>
    <row r="60" spans="1:20" x14ac:dyDescent="0.2">
      <c r="A60" s="5"/>
      <c r="B60" s="34"/>
      <c r="C60" s="76" t="s">
        <v>44</v>
      </c>
      <c r="D60" s="41">
        <f t="shared" ref="D60:K60" si="24">+SUM(D61:D64)</f>
        <v>1.8985805076833304</v>
      </c>
      <c r="E60" s="41">
        <f t="shared" si="24"/>
        <v>1.4823918976083477</v>
      </c>
      <c r="F60" s="41">
        <f t="shared" si="24"/>
        <v>1.8103008749049829</v>
      </c>
      <c r="G60" s="41">
        <f t="shared" si="24"/>
        <v>21.44662031277624</v>
      </c>
      <c r="H60" s="41">
        <f t="shared" si="24"/>
        <v>60.001952628582018</v>
      </c>
      <c r="I60" s="41">
        <f t="shared" si="24"/>
        <v>0</v>
      </c>
      <c r="J60" s="41">
        <f t="shared" si="24"/>
        <v>0</v>
      </c>
      <c r="K60" s="41">
        <f t="shared" si="24"/>
        <v>0</v>
      </c>
      <c r="L60" s="71"/>
      <c r="M60" s="46">
        <f t="shared" si="15"/>
        <v>95.346504559270514</v>
      </c>
      <c r="N60" s="46">
        <f t="shared" si="16"/>
        <v>85.448650128755361</v>
      </c>
      <c r="O60" s="46">
        <f t="shared" si="17"/>
        <v>99.999999972741435</v>
      </c>
      <c r="P60" s="46">
        <f t="shared" si="18"/>
        <v>99.932132737468137</v>
      </c>
      <c r="Q60" s="46">
        <f t="shared" si="19"/>
        <v>99.998261539034289</v>
      </c>
      <c r="R60" s="46">
        <f t="shared" si="20"/>
        <v>0</v>
      </c>
      <c r="S60" s="46">
        <f t="shared" si="21"/>
        <v>0</v>
      </c>
      <c r="T60" s="46">
        <f t="shared" si="22"/>
        <v>0</v>
      </c>
    </row>
    <row r="61" spans="1:20" x14ac:dyDescent="0.2">
      <c r="A61" s="5"/>
      <c r="B61" s="32"/>
      <c r="C61" s="77" t="s">
        <v>98</v>
      </c>
      <c r="D61" s="42">
        <f>1.207*Deflactores!$T$5</f>
        <v>1.8263147317206316</v>
      </c>
      <c r="E61" s="42">
        <f>0.92979906*Deflactores!$U$5</f>
        <v>1.384589403738171</v>
      </c>
      <c r="F61" s="42">
        <f>1.28399999965*Deflactores!$V$5</f>
        <v>1.8103008749049829</v>
      </c>
      <c r="G61" s="42">
        <f>1.39735526252999*Deflactores!$W$5</f>
        <v>1.7416190887910108</v>
      </c>
      <c r="H61" s="42">
        <f>0*Deflactores!$X$5</f>
        <v>0</v>
      </c>
      <c r="I61" s="42">
        <f>0*Deflactores!$Y$5</f>
        <v>0</v>
      </c>
      <c r="J61" s="42">
        <f>0*Deflactores!$Z$5</f>
        <v>0</v>
      </c>
      <c r="K61" s="42">
        <f>0*Deflactores!$AA$5</f>
        <v>0</v>
      </c>
      <c r="L61" s="42"/>
      <c r="M61" s="47">
        <f t="shared" ref="M61:P63" si="25">+D61/D28*100</f>
        <v>100</v>
      </c>
      <c r="N61" s="47">
        <f t="shared" si="25"/>
        <v>84.604100090991807</v>
      </c>
      <c r="O61" s="47">
        <f t="shared" si="25"/>
        <v>99.999999972741435</v>
      </c>
      <c r="P61" s="47">
        <f t="shared" si="25"/>
        <v>99.173545956706192</v>
      </c>
      <c r="Q61" s="47"/>
      <c r="R61" s="47">
        <f t="shared" si="20"/>
        <v>0</v>
      </c>
      <c r="S61" s="47">
        <f t="shared" si="21"/>
        <v>0</v>
      </c>
      <c r="T61" s="47">
        <f t="shared" si="22"/>
        <v>0</v>
      </c>
    </row>
    <row r="62" spans="1:20" ht="11.25" hidden="1" customHeight="1" x14ac:dyDescent="0.2">
      <c r="A62" s="5"/>
      <c r="B62" s="32"/>
      <c r="C62" s="77" t="s">
        <v>61</v>
      </c>
      <c r="D62" s="42">
        <f>0.04776*Deflactores!$T$5</f>
        <v>7.2265775962698717E-2</v>
      </c>
      <c r="E62" s="42">
        <f>0.065677714*Deflactores!$U$5</f>
        <v>9.7802493870176768E-2</v>
      </c>
      <c r="F62" s="42">
        <f>0*Deflactores!$V$5</f>
        <v>0</v>
      </c>
      <c r="G62" s="42">
        <f>0*Deflactores!$W$5</f>
        <v>0</v>
      </c>
      <c r="H62" s="42">
        <f>0*Deflactores!$X$5</f>
        <v>0</v>
      </c>
      <c r="I62" s="42">
        <f>0*Deflactores!$Y$5</f>
        <v>0</v>
      </c>
      <c r="J62" s="42">
        <f>0*Deflactores!$Z$5</f>
        <v>0</v>
      </c>
      <c r="K62" s="42">
        <f>0*Deflactores!$AA$5</f>
        <v>0</v>
      </c>
      <c r="L62" s="42"/>
      <c r="M62" s="47">
        <f t="shared" si="25"/>
        <v>43.816513761467888</v>
      </c>
      <c r="N62" s="47">
        <f t="shared" si="25"/>
        <v>99.511687878787868</v>
      </c>
      <c r="O62" s="47" t="e">
        <f t="shared" si="25"/>
        <v>#DIV/0!</v>
      </c>
      <c r="P62" s="47" t="e">
        <f t="shared" si="25"/>
        <v>#DIV/0!</v>
      </c>
      <c r="Q62" s="47" t="e">
        <f t="shared" ref="Q62:Q67" si="26">+H62/H29*100</f>
        <v>#DIV/0!</v>
      </c>
      <c r="R62" s="47">
        <f t="shared" si="20"/>
        <v>0</v>
      </c>
      <c r="S62" s="47">
        <f t="shared" si="21"/>
        <v>0</v>
      </c>
      <c r="T62" s="47">
        <f t="shared" si="22"/>
        <v>0</v>
      </c>
    </row>
    <row r="63" spans="1:20" ht="11.25" hidden="1" customHeight="1" x14ac:dyDescent="0.2">
      <c r="A63" s="5"/>
      <c r="B63" s="32"/>
      <c r="C63" s="77" t="s">
        <v>103</v>
      </c>
      <c r="D63" s="42">
        <f>0*Deflactores!$T$5</f>
        <v>0</v>
      </c>
      <c r="E63" s="42">
        <f>0*Deflactores!$U$5</f>
        <v>0</v>
      </c>
      <c r="F63" s="42">
        <f>0*Deflactores!$V$5</f>
        <v>0</v>
      </c>
      <c r="G63" s="42">
        <f>0*Deflactores!$W$5</f>
        <v>0</v>
      </c>
      <c r="H63" s="42">
        <f>0*Deflactores!$X$5</f>
        <v>0</v>
      </c>
      <c r="I63" s="42">
        <f>0*Deflactores!$Y$5</f>
        <v>0</v>
      </c>
      <c r="J63" s="42">
        <f>0*Deflactores!$Z$5</f>
        <v>0</v>
      </c>
      <c r="K63" s="42">
        <f>0*Deflactores!$AA$5</f>
        <v>0</v>
      </c>
      <c r="L63" s="42"/>
      <c r="M63" s="47" t="e">
        <f t="shared" si="25"/>
        <v>#DIV/0!</v>
      </c>
      <c r="N63" s="47" t="e">
        <f t="shared" si="25"/>
        <v>#DIV/0!</v>
      </c>
      <c r="O63" s="47" t="e">
        <f t="shared" si="25"/>
        <v>#DIV/0!</v>
      </c>
      <c r="P63" s="47" t="e">
        <f t="shared" si="25"/>
        <v>#DIV/0!</v>
      </c>
      <c r="Q63" s="47" t="e">
        <f t="shared" si="26"/>
        <v>#DIV/0!</v>
      </c>
      <c r="R63" s="47">
        <f t="shared" si="20"/>
        <v>0</v>
      </c>
      <c r="S63" s="47">
        <f t="shared" si="21"/>
        <v>0</v>
      </c>
      <c r="T63" s="47">
        <f t="shared" si="22"/>
        <v>0</v>
      </c>
    </row>
    <row r="64" spans="1:20" x14ac:dyDescent="0.2">
      <c r="A64" s="5"/>
      <c r="B64" s="32"/>
      <c r="C64" s="77" t="s">
        <v>104</v>
      </c>
      <c r="D64" s="42">
        <f>0*Deflactores!$T$5</f>
        <v>0</v>
      </c>
      <c r="E64" s="42">
        <f>0*Deflactores!$U$5</f>
        <v>0</v>
      </c>
      <c r="F64" s="42">
        <f>0*Deflactores!$V$5</f>
        <v>0</v>
      </c>
      <c r="G64" s="42">
        <f>15.80993647561*Deflactores!$W$5</f>
        <v>19.705001223985228</v>
      </c>
      <c r="H64" s="42">
        <f>52.60896149184*Deflactores!$X$5</f>
        <v>60.001952628582018</v>
      </c>
      <c r="I64" s="42">
        <f>0*Deflactores!$Y$5</f>
        <v>0</v>
      </c>
      <c r="J64" s="42">
        <f>0*Deflactores!$Z$5</f>
        <v>0</v>
      </c>
      <c r="K64" s="42">
        <f>0*Deflactores!$AA$5</f>
        <v>0</v>
      </c>
      <c r="L64" s="42"/>
      <c r="M64" s="47"/>
      <c r="N64" s="47"/>
      <c r="O64" s="47"/>
      <c r="P64" s="47">
        <f>+G64/G31*100</f>
        <v>99.999738700518421</v>
      </c>
      <c r="Q64" s="47">
        <f t="shared" si="26"/>
        <v>99.998261539034289</v>
      </c>
      <c r="R64" s="47">
        <f t="shared" si="20"/>
        <v>0</v>
      </c>
      <c r="S64" s="47">
        <f t="shared" si="21"/>
        <v>0</v>
      </c>
      <c r="T64" s="47">
        <f t="shared" si="22"/>
        <v>0</v>
      </c>
    </row>
    <row r="65" spans="1:20" x14ac:dyDescent="0.2">
      <c r="A65" s="5"/>
      <c r="B65" s="34" t="s">
        <v>45</v>
      </c>
      <c r="C65" s="76" t="s">
        <v>46</v>
      </c>
      <c r="D65" s="41">
        <f>8005.54910054924*Deflactores!$T$5</f>
        <v>12113.216452233579</v>
      </c>
      <c r="E65" s="41">
        <f>7818.80395699719*Deflactores!$U$5</f>
        <v>11643.196443718054</v>
      </c>
      <c r="F65" s="41">
        <f>8937.78277133517*Deflactores!$V$5</f>
        <v>12601.305276533643</v>
      </c>
      <c r="G65" s="41">
        <f>9252.58190189913*Deflactores!$W$5</f>
        <v>11532.123356929005</v>
      </c>
      <c r="H65" s="41">
        <f>9758.63758099337*Deflactores!$X$5</f>
        <v>11129.991797026541</v>
      </c>
      <c r="I65" s="41">
        <f>12556.9014015897*Deflactores!$Y$5</f>
        <v>13613.581611043468</v>
      </c>
      <c r="J65" s="41">
        <f>13158.8312288678*Deflactores!$Z$5</f>
        <v>13573.895952537838</v>
      </c>
      <c r="K65" s="41">
        <f>5759.14125136367*Deflactores!$AA$5</f>
        <v>5759.1412513636697</v>
      </c>
      <c r="L65" s="71"/>
      <c r="M65" s="46">
        <f t="shared" ref="M65:O67" si="27">+D65/D32*100</f>
        <v>96.121091240924969</v>
      </c>
      <c r="N65" s="46">
        <f t="shared" si="27"/>
        <v>96.1610015657253</v>
      </c>
      <c r="O65" s="46">
        <f t="shared" si="27"/>
        <v>87.674420147974288</v>
      </c>
      <c r="P65" s="46">
        <f>+G65/G32*100</f>
        <v>89.043941367008927</v>
      </c>
      <c r="Q65" s="46">
        <f t="shared" si="26"/>
        <v>85.719126932798019</v>
      </c>
      <c r="R65" s="46">
        <f t="shared" si="20"/>
        <v>92.899015807470477</v>
      </c>
      <c r="S65" s="46">
        <f t="shared" si="21"/>
        <v>95.466052552909787</v>
      </c>
      <c r="T65" s="46">
        <f t="shared" si="22"/>
        <v>35.990339854638201</v>
      </c>
    </row>
    <row r="66" spans="1:20" x14ac:dyDescent="0.2">
      <c r="A66" s="5"/>
      <c r="B66" s="36" t="s">
        <v>47</v>
      </c>
      <c r="C66" s="78" t="s">
        <v>48</v>
      </c>
      <c r="D66" s="43">
        <f t="shared" ref="D66:K66" si="28">+D47+D65</f>
        <v>21341.895268911205</v>
      </c>
      <c r="E66" s="43">
        <f t="shared" si="28"/>
        <v>21001.383239552455</v>
      </c>
      <c r="F66" s="43">
        <f t="shared" si="28"/>
        <v>22214.560057085415</v>
      </c>
      <c r="G66" s="43">
        <f t="shared" si="28"/>
        <v>21032.067126622514</v>
      </c>
      <c r="H66" s="43">
        <f t="shared" si="28"/>
        <v>21685.30212984723</v>
      </c>
      <c r="I66" s="43">
        <f t="shared" si="28"/>
        <v>26856.832234201065</v>
      </c>
      <c r="J66" s="43">
        <f t="shared" si="28"/>
        <v>26060.588731107593</v>
      </c>
      <c r="K66" s="43">
        <f t="shared" si="28"/>
        <v>10091.6620247624</v>
      </c>
      <c r="L66" s="71"/>
      <c r="M66" s="48">
        <f t="shared" si="27"/>
        <v>94.958673517384668</v>
      </c>
      <c r="N66" s="48">
        <f t="shared" si="27"/>
        <v>95.245188649918148</v>
      </c>
      <c r="O66" s="48">
        <f t="shared" si="27"/>
        <v>84.098346723890387</v>
      </c>
      <c r="P66" s="48">
        <f>+G66/G33*100</f>
        <v>89.380450100820113</v>
      </c>
      <c r="Q66" s="48">
        <f t="shared" si="26"/>
        <v>87.515131410330028</v>
      </c>
      <c r="R66" s="48">
        <f t="shared" si="20"/>
        <v>91.800887360486882</v>
      </c>
      <c r="S66" s="48">
        <f t="shared" si="21"/>
        <v>95.959013295375968</v>
      </c>
      <c r="T66" s="48">
        <f t="shared" si="22"/>
        <v>34.027427972975758</v>
      </c>
    </row>
    <row r="67" spans="1:20" x14ac:dyDescent="0.2">
      <c r="A67" s="5"/>
      <c r="B67" s="38" t="s">
        <v>49</v>
      </c>
      <c r="C67" s="79" t="s">
        <v>63</v>
      </c>
      <c r="D67" s="44">
        <f t="shared" ref="D67:K67" si="29">+D47+D55+D65</f>
        <v>21343.793849418889</v>
      </c>
      <c r="E67" s="44">
        <f t="shared" si="29"/>
        <v>21002.865631450062</v>
      </c>
      <c r="F67" s="44">
        <f t="shared" si="29"/>
        <v>22216.370357960321</v>
      </c>
      <c r="G67" s="44">
        <f t="shared" si="29"/>
        <v>21053.513746935292</v>
      </c>
      <c r="H67" s="44">
        <f t="shared" si="29"/>
        <v>21745.304082475814</v>
      </c>
      <c r="I67" s="44">
        <f t="shared" si="29"/>
        <v>26856.832234201065</v>
      </c>
      <c r="J67" s="44">
        <f t="shared" si="29"/>
        <v>26060.588731107593</v>
      </c>
      <c r="K67" s="44">
        <f t="shared" si="29"/>
        <v>10091.6620247624</v>
      </c>
      <c r="L67" s="71"/>
      <c r="M67" s="45">
        <f t="shared" si="27"/>
        <v>94.958707875551752</v>
      </c>
      <c r="N67" s="45">
        <f t="shared" si="27"/>
        <v>95.244417939100273</v>
      </c>
      <c r="O67" s="45">
        <f t="shared" si="27"/>
        <v>84.099436439116829</v>
      </c>
      <c r="P67" s="45">
        <f>+G67/G34*100</f>
        <v>89.390064897211872</v>
      </c>
      <c r="Q67" s="45">
        <f t="shared" si="26"/>
        <v>87.545286714668407</v>
      </c>
      <c r="R67" s="45">
        <f t="shared" si="20"/>
        <v>91.800887360486882</v>
      </c>
      <c r="S67" s="45">
        <f t="shared" si="21"/>
        <v>95.959013295375968</v>
      </c>
      <c r="T67" s="45">
        <f t="shared" si="22"/>
        <v>34.027427972975758</v>
      </c>
    </row>
    <row r="68" spans="1:20" s="5" customFormat="1" x14ac:dyDescent="0.2">
      <c r="B68" s="72" t="str">
        <f>+'C1 Aprop Resumen 2000-2026'!B20</f>
        <v>* Información con corte a 28 de febrero</v>
      </c>
      <c r="C68" s="68"/>
      <c r="D68" s="69"/>
      <c r="E68" s="69"/>
      <c r="F68" s="69"/>
      <c r="G68" s="69"/>
      <c r="H68" s="69"/>
      <c r="I68" s="69"/>
      <c r="M68" s="111"/>
      <c r="N68" s="111"/>
      <c r="O68" s="111"/>
      <c r="P68" s="111"/>
      <c r="Q68" s="111"/>
      <c r="R68" s="111"/>
      <c r="S68" s="111"/>
    </row>
    <row r="69" spans="1:20" x14ac:dyDescent="0.2">
      <c r="B69" s="1" t="s">
        <v>52</v>
      </c>
      <c r="M69" s="109"/>
      <c r="N69" s="109"/>
      <c r="O69" s="109"/>
      <c r="P69" s="109"/>
      <c r="Q69" s="109"/>
      <c r="R69" s="109"/>
      <c r="S69" s="109"/>
    </row>
    <row r="70" spans="1:20" x14ac:dyDescent="0.2">
      <c r="M70" s="109"/>
      <c r="N70" s="109"/>
      <c r="O70" s="109"/>
      <c r="P70" s="109"/>
      <c r="Q70" s="109"/>
      <c r="R70" s="109"/>
      <c r="S70" s="109"/>
    </row>
    <row r="71" spans="1:20" x14ac:dyDescent="0.2">
      <c r="M71" s="109"/>
      <c r="N71" s="109"/>
      <c r="O71" s="109"/>
      <c r="P71" s="109"/>
      <c r="Q71" s="109"/>
      <c r="R71" s="109"/>
      <c r="S71" s="109"/>
    </row>
    <row r="72" spans="1:20" x14ac:dyDescent="0.2">
      <c r="M72" s="109"/>
      <c r="N72" s="109"/>
      <c r="O72" s="109"/>
      <c r="P72" s="109"/>
      <c r="Q72" s="109"/>
      <c r="R72" s="109"/>
      <c r="S72" s="109"/>
    </row>
    <row r="73" spans="1:20" x14ac:dyDescent="0.2">
      <c r="M73" s="109"/>
      <c r="N73" s="109"/>
      <c r="O73" s="109"/>
      <c r="P73" s="109"/>
      <c r="Q73" s="109"/>
      <c r="R73" s="109"/>
      <c r="S73" s="109"/>
    </row>
    <row r="74" spans="1:20" ht="19.5" customHeight="1" x14ac:dyDescent="0.2">
      <c r="C74" s="138"/>
      <c r="D74" s="174" t="s">
        <v>117</v>
      </c>
      <c r="E74" s="158"/>
      <c r="F74" s="158"/>
      <c r="G74" s="158"/>
      <c r="H74" s="158"/>
      <c r="I74" s="158"/>
      <c r="J74" s="158"/>
      <c r="K74" s="169"/>
      <c r="L74" s="169"/>
      <c r="M74" s="158"/>
      <c r="N74" s="158"/>
      <c r="O74" s="158"/>
      <c r="P74" s="158"/>
      <c r="Q74" s="158"/>
      <c r="R74" s="158"/>
      <c r="S74" s="158"/>
      <c r="T74" s="158"/>
    </row>
    <row r="75" spans="1:20" ht="15" customHeight="1" x14ac:dyDescent="0.2"/>
    <row r="76" spans="1:20" ht="12" customHeight="1" thickBot="1" x14ac:dyDescent="0.3">
      <c r="B76" s="115"/>
      <c r="C76" s="92"/>
      <c r="D76" s="168"/>
      <c r="E76" s="154"/>
      <c r="F76" s="154"/>
      <c r="G76" s="154"/>
      <c r="H76" s="154"/>
      <c r="I76" s="154"/>
      <c r="J76" s="154"/>
      <c r="K76" s="154"/>
      <c r="M76" s="168" t="s">
        <v>113</v>
      </c>
      <c r="N76" s="154"/>
      <c r="O76" s="154"/>
      <c r="P76" s="154"/>
      <c r="Q76" s="154"/>
      <c r="R76" s="154"/>
      <c r="S76" s="154"/>
      <c r="T76" s="154"/>
    </row>
    <row r="77" spans="1:20" ht="11.25" customHeight="1" x14ac:dyDescent="0.2">
      <c r="B77" s="49"/>
      <c r="C77" s="166" t="s">
        <v>38</v>
      </c>
      <c r="D77" s="153">
        <v>2019</v>
      </c>
      <c r="E77" s="153">
        <v>2020</v>
      </c>
      <c r="F77" s="153">
        <v>2021</v>
      </c>
      <c r="G77" s="153">
        <v>2022</v>
      </c>
      <c r="H77" s="153">
        <v>2023</v>
      </c>
      <c r="I77" s="153">
        <v>2024</v>
      </c>
      <c r="J77" s="153">
        <v>2025</v>
      </c>
      <c r="K77" s="153" t="s">
        <v>36</v>
      </c>
      <c r="L77" s="114"/>
      <c r="M77" s="153">
        <v>2019</v>
      </c>
      <c r="N77" s="153">
        <v>2020</v>
      </c>
      <c r="O77" s="153">
        <v>2021</v>
      </c>
      <c r="P77" s="153">
        <v>2022</v>
      </c>
      <c r="Q77" s="153">
        <v>2023</v>
      </c>
      <c r="R77" s="153">
        <v>2024</v>
      </c>
      <c r="S77" s="153">
        <v>2025</v>
      </c>
      <c r="T77" s="153" t="s">
        <v>36</v>
      </c>
    </row>
    <row r="78" spans="1:20" ht="12" customHeight="1" thickBot="1" x14ac:dyDescent="0.25">
      <c r="B78" s="84"/>
      <c r="C78" s="154"/>
      <c r="D78" s="154"/>
      <c r="E78" s="154"/>
      <c r="F78" s="154"/>
      <c r="G78" s="154"/>
      <c r="H78" s="154"/>
      <c r="I78" s="154"/>
      <c r="J78" s="154"/>
      <c r="K78" s="154"/>
      <c r="L78" s="114"/>
      <c r="M78" s="154"/>
      <c r="N78" s="154"/>
      <c r="O78" s="154"/>
      <c r="P78" s="154"/>
      <c r="Q78" s="154"/>
      <c r="R78" s="154"/>
      <c r="S78" s="154"/>
      <c r="T78" s="154"/>
    </row>
    <row r="79" spans="1:20" x14ac:dyDescent="0.2">
      <c r="B79" s="34" t="s">
        <v>39</v>
      </c>
      <c r="C79" s="76" t="s">
        <v>40</v>
      </c>
      <c r="D79" s="41">
        <f t="shared" ref="D79:K79" si="30">+SUM(D80:D86)</f>
        <v>9067.9715675103253</v>
      </c>
      <c r="E79" s="41">
        <f t="shared" si="30"/>
        <v>9031.8878634882967</v>
      </c>
      <c r="F79" s="41">
        <f t="shared" si="30"/>
        <v>9347.2528007821002</v>
      </c>
      <c r="G79" s="41">
        <f t="shared" si="30"/>
        <v>9167.9451920078336</v>
      </c>
      <c r="H79" s="41">
        <f t="shared" si="30"/>
        <v>10088.749165246731</v>
      </c>
      <c r="I79" s="41">
        <f t="shared" si="30"/>
        <v>12967.742470491605</v>
      </c>
      <c r="J79" s="41">
        <f t="shared" si="30"/>
        <v>12065.393244750978</v>
      </c>
      <c r="K79" s="41">
        <f t="shared" si="30"/>
        <v>2875.4361465558486</v>
      </c>
      <c r="M79" s="46">
        <f t="shared" ref="M79:M99" si="31">+IFERROR(D79/D14*100,0)</f>
        <v>91.847168022099254</v>
      </c>
      <c r="N79" s="46">
        <f t="shared" ref="N79:N99" si="32">+IFERROR(E79/E14*100,0)</f>
        <v>90.847731934700121</v>
      </c>
      <c r="O79" s="46">
        <f t="shared" ref="O79:O99" si="33">+IFERROR(F79/F14*100,0)</f>
        <v>77.621212829704447</v>
      </c>
      <c r="P79" s="46">
        <f t="shared" ref="P79:P99" si="34">+IFERROR(G79/G14*100,0)</f>
        <v>86.654364153178818</v>
      </c>
      <c r="Q79" s="46">
        <f t="shared" ref="Q79:Q99" si="35">+IFERROR(H79/H14*100,0)</f>
        <v>85.536580756290675</v>
      </c>
      <c r="R79" s="46">
        <f t="shared" ref="R79:R99" si="36">+IFERROR(I79/I14*100,0)</f>
        <v>88.811919393064144</v>
      </c>
      <c r="S79" s="46">
        <f t="shared" ref="S79:S99" si="37">+IFERROR(J79/J14*100,0)</f>
        <v>93.244781152965388</v>
      </c>
      <c r="T79" s="46">
        <f t="shared" ref="T79:T99" si="38">+IFERROR(K79/K14*100,0)</f>
        <v>21.056942307319719</v>
      </c>
    </row>
    <row r="80" spans="1:20" x14ac:dyDescent="0.2">
      <c r="B80" s="40"/>
      <c r="C80" s="77" t="s">
        <v>92</v>
      </c>
      <c r="D80" s="42">
        <f>1779.55407590069*Deflactores!$T$5</f>
        <v>2692.6477420968722</v>
      </c>
      <c r="E80" s="42">
        <f>1885.74742445303*Deflactores!$U$5</f>
        <v>2808.1184573624028</v>
      </c>
      <c r="F80" s="42">
        <f>2026.9811169646*Deflactores!$V$5</f>
        <v>2857.8237464619415</v>
      </c>
      <c r="G80" s="42">
        <f>2300.91899804177*Deflactores!$W$5</f>
        <v>2867.7921472138355</v>
      </c>
      <c r="H80" s="42">
        <f>2627.88533386949*Deflactores!$X$5</f>
        <v>2997.1747558757552</v>
      </c>
      <c r="I80" s="42">
        <f>3056.49474455984*Deflactores!$Y$5</f>
        <v>3313.7029047248116</v>
      </c>
      <c r="J80" s="42">
        <f>3325.97780088275*Deflactores!$Z$5</f>
        <v>3430.8880343864334</v>
      </c>
      <c r="K80" s="42">
        <f>438.40179126661*Deflactores!$AA$5</f>
        <v>438.40179126661002</v>
      </c>
      <c r="L80" s="42"/>
      <c r="M80" s="47">
        <f t="shared" si="31"/>
        <v>95.510170197286442</v>
      </c>
      <c r="N80" s="47">
        <f t="shared" si="32"/>
        <v>96.503721428904328</v>
      </c>
      <c r="O80" s="47">
        <f t="shared" si="33"/>
        <v>91.410184574954769</v>
      </c>
      <c r="P80" s="47">
        <f t="shared" si="34"/>
        <v>92.44946803582755</v>
      </c>
      <c r="Q80" s="47">
        <f t="shared" si="35"/>
        <v>93.137392594620678</v>
      </c>
      <c r="R80" s="47">
        <f t="shared" si="36"/>
        <v>93.256302459713851</v>
      </c>
      <c r="S80" s="47">
        <f t="shared" si="37"/>
        <v>95.336892974889992</v>
      </c>
      <c r="T80" s="47">
        <f t="shared" si="38"/>
        <v>10.302453167329093</v>
      </c>
    </row>
    <row r="81" spans="2:20" x14ac:dyDescent="0.2">
      <c r="B81" s="40"/>
      <c r="C81" s="77" t="s">
        <v>93</v>
      </c>
      <c r="D81" s="42">
        <f>712.056124095219*Deflactores!$T$5</f>
        <v>1077.4139098980884</v>
      </c>
      <c r="E81" s="42">
        <f>648.24061833601*Deflactores!$U$5</f>
        <v>965.31296904163287</v>
      </c>
      <c r="F81" s="42">
        <f>784.060510290659*Deflactores!$V$5</f>
        <v>1105.4403645985446</v>
      </c>
      <c r="G81" s="42">
        <f>835.7171789664*Deflactores!$W$5</f>
        <v>1041.6112714838096</v>
      </c>
      <c r="H81" s="42">
        <f>922.743946829239*Deflactores!$X$5</f>
        <v>1052.4145889963349</v>
      </c>
      <c r="I81" s="42">
        <f>1157.33588166117*Deflactores!$Y$5</f>
        <v>1254.7272589389486</v>
      </c>
      <c r="J81" s="42">
        <f>1401.82325657843*Deflactores!$Z$5</f>
        <v>1446.0405105659652</v>
      </c>
      <c r="K81" s="42">
        <f>145.196787540729*Deflactores!$AA$5</f>
        <v>145.19678754072899</v>
      </c>
      <c r="L81" s="42"/>
      <c r="M81" s="47">
        <f t="shared" si="31"/>
        <v>90.04258779797442</v>
      </c>
      <c r="N81" s="47">
        <f t="shared" si="32"/>
        <v>79.322312375798816</v>
      </c>
      <c r="O81" s="47">
        <f t="shared" si="33"/>
        <v>85.324761285814191</v>
      </c>
      <c r="P81" s="47">
        <f t="shared" si="34"/>
        <v>86.507916393718105</v>
      </c>
      <c r="Q81" s="47">
        <f t="shared" si="35"/>
        <v>81.736535168560593</v>
      </c>
      <c r="R81" s="47">
        <f t="shared" si="36"/>
        <v>88.702239616734062</v>
      </c>
      <c r="S81" s="47">
        <f t="shared" si="37"/>
        <v>87.637698584245072</v>
      </c>
      <c r="T81" s="47">
        <f t="shared" si="38"/>
        <v>9.8883171985051828</v>
      </c>
    </row>
    <row r="82" spans="2:20" x14ac:dyDescent="0.2">
      <c r="B82" s="40"/>
      <c r="C82" s="77" t="s">
        <v>58</v>
      </c>
      <c r="D82" s="42">
        <f>2065.15477798075*Deflactores!$T$5</f>
        <v>3124.7908817808566</v>
      </c>
      <c r="E82" s="42">
        <f>2209.70690164954*Deflactores!$U$5</f>
        <v>3290.5354425622436</v>
      </c>
      <c r="F82" s="42">
        <f>2318.27067858402*Deflactores!$V$5</f>
        <v>3268.5104663950142</v>
      </c>
      <c r="G82" s="42">
        <f>2455.81387675348*Deflactores!$W$5</f>
        <v>3060.84819012153</v>
      </c>
      <c r="H82" s="42">
        <f>3608.61932743485*Deflactores!$X$5</f>
        <v>4115.7285716981078</v>
      </c>
      <c r="I82" s="42">
        <f>5790.88007783567*Deflactores!$Y$5</f>
        <v>6278.1904562379705</v>
      </c>
      <c r="J82" s="42">
        <f>4942.63343202682*Deflactores!$Z$5</f>
        <v>5098.5373070735568</v>
      </c>
      <c r="K82" s="42">
        <f>2151.46221795346*Deflactores!$AA$5</f>
        <v>2151.4622179534599</v>
      </c>
      <c r="L82" s="42"/>
      <c r="M82" s="47">
        <f t="shared" si="31"/>
        <v>89.150184719184466</v>
      </c>
      <c r="N82" s="47">
        <f t="shared" si="32"/>
        <v>91.110223222981261</v>
      </c>
      <c r="O82" s="47">
        <f t="shared" si="33"/>
        <v>67.061933359607934</v>
      </c>
      <c r="P82" s="47">
        <f t="shared" si="34"/>
        <v>84.281458232635174</v>
      </c>
      <c r="Q82" s="47">
        <f t="shared" si="35"/>
        <v>83.867375960992661</v>
      </c>
      <c r="R82" s="47">
        <f t="shared" si="36"/>
        <v>87.149570701087526</v>
      </c>
      <c r="S82" s="47">
        <f t="shared" si="37"/>
        <v>94.480471849124626</v>
      </c>
      <c r="T82" s="47">
        <f t="shared" si="38"/>
        <v>37.991383952144467</v>
      </c>
    </row>
    <row r="83" spans="2:20" x14ac:dyDescent="0.2">
      <c r="B83" s="40"/>
      <c r="C83" s="77" t="s">
        <v>94</v>
      </c>
      <c r="D83" s="42">
        <f>1276.78228807442*Deflactores!$T$5</f>
        <v>1931.9024870839175</v>
      </c>
      <c r="E83" s="42">
        <f>1135.38322764875*Deflactores!$U$5</f>
        <v>1690.7304532922446</v>
      </c>
      <c r="F83" s="42">
        <f>1299.14074657603*Deflactores!$V$5</f>
        <v>1831.6476875330036</v>
      </c>
      <c r="G83" s="42">
        <f>1490.56013321123*Deflactores!$W$5</f>
        <v>1857.7866707220669</v>
      </c>
      <c r="H83" s="42">
        <f>1491.71701789337*Deflactores!$X$5</f>
        <v>1701.3438643294753</v>
      </c>
      <c r="I83" s="42">
        <f>1716.91769330227*Deflactores!$Y$5</f>
        <v>1861.3986356742348</v>
      </c>
      <c r="J83" s="42">
        <f>1731.67057523641*Deflactores!$Z$5</f>
        <v>1786.2920956660689</v>
      </c>
      <c r="K83" s="42">
        <f>126.14906288233*Deflactores!$AA$5</f>
        <v>126.14906288233</v>
      </c>
      <c r="L83" s="42"/>
      <c r="M83" s="47">
        <f t="shared" si="31"/>
        <v>92.665712595970135</v>
      </c>
      <c r="N83" s="47">
        <f t="shared" si="32"/>
        <v>88.768156325830532</v>
      </c>
      <c r="O83" s="47">
        <f t="shared" si="33"/>
        <v>75.636342396925158</v>
      </c>
      <c r="P83" s="47">
        <f t="shared" si="34"/>
        <v>82.522004642903283</v>
      </c>
      <c r="Q83" s="47">
        <f t="shared" si="35"/>
        <v>84.11709336251252</v>
      </c>
      <c r="R83" s="47">
        <f t="shared" si="36"/>
        <v>86.708388528975561</v>
      </c>
      <c r="S83" s="47">
        <f t="shared" si="37"/>
        <v>90.667776969660935</v>
      </c>
      <c r="T83" s="47">
        <f t="shared" si="38"/>
        <v>6.3652159530238048</v>
      </c>
    </row>
    <row r="84" spans="2:20" x14ac:dyDescent="0.2">
      <c r="B84" s="40"/>
      <c r="C84" s="77" t="s">
        <v>95</v>
      </c>
      <c r="D84" s="42">
        <f>76.38493438415*Deflactores!$T$5</f>
        <v>115.57823607894528</v>
      </c>
      <c r="E84" s="42">
        <f>94.13545400243*Deflactores!$U$5</f>
        <v>140.1796987489389</v>
      </c>
      <c r="F84" s="42">
        <f>96.30619608708*Deflactores!$V$5</f>
        <v>135.78130146630468</v>
      </c>
      <c r="G84" s="42">
        <f>164.77276731703*Deflactores!$W$5</f>
        <v>205.3675286216629</v>
      </c>
      <c r="H84" s="42">
        <f>97.9376440831799*Deflactores!$X$5</f>
        <v>111.70054899763348</v>
      </c>
      <c r="I84" s="42">
        <f>119.6500671094*Deflactores!$Y$5</f>
        <v>129.71878182896546</v>
      </c>
      <c r="J84" s="42">
        <f>155.35662822622*Deflactores!$Z$5</f>
        <v>160.25699170406156</v>
      </c>
      <c r="K84" s="42">
        <f>0.1377773932*Deflactores!$AA$5</f>
        <v>0.13777739319999999</v>
      </c>
      <c r="L84" s="42"/>
      <c r="M84" s="47">
        <f t="shared" si="31"/>
        <v>94.567242370788748</v>
      </c>
      <c r="N84" s="47">
        <f t="shared" si="32"/>
        <v>91.292047874984661</v>
      </c>
      <c r="O84" s="47">
        <f t="shared" si="33"/>
        <v>91.420581860478194</v>
      </c>
      <c r="P84" s="47">
        <f t="shared" si="34"/>
        <v>96.860893753787664</v>
      </c>
      <c r="Q84" s="47">
        <f t="shared" si="35"/>
        <v>51.623664493496001</v>
      </c>
      <c r="R84" s="47">
        <f t="shared" si="36"/>
        <v>93.496856522406247</v>
      </c>
      <c r="S84" s="47">
        <f t="shared" si="37"/>
        <v>95.616802039641655</v>
      </c>
      <c r="T84" s="47">
        <f t="shared" si="38"/>
        <v>0.1036510943962388</v>
      </c>
    </row>
    <row r="85" spans="2:20" x14ac:dyDescent="0.2">
      <c r="B85" s="40"/>
      <c r="C85" s="77" t="s">
        <v>96</v>
      </c>
      <c r="D85" s="42">
        <f>7.59070268202*Deflactores!$T$5</f>
        <v>11.485511294353302</v>
      </c>
      <c r="E85" s="42">
        <f>6.85472104864999*Deflactores!$U$5</f>
        <v>10.207554016608469</v>
      </c>
      <c r="F85" s="42">
        <f>8.14563549441*Deflactores!$V$5</f>
        <v>11.484463447201765</v>
      </c>
      <c r="G85" s="42">
        <f>10.81918451553*Deflactores!$W$5</f>
        <v>13.48468695303945</v>
      </c>
      <c r="H85" s="42">
        <f>7.86689177436*Deflactores!$X$5</f>
        <v>8.9724042101181762</v>
      </c>
      <c r="I85" s="42">
        <f>9.99873387698*Deflactores!$Y$5</f>
        <v>10.840140834755596</v>
      </c>
      <c r="J85" s="42">
        <f>8.960916642*Deflactores!$Z$5</f>
        <v>9.2435679143776301</v>
      </c>
      <c r="K85" s="42">
        <f>0.390671859*Deflactores!$AA$5</f>
        <v>0.39067185900000001</v>
      </c>
      <c r="L85" s="42"/>
      <c r="M85" s="47">
        <f t="shared" si="31"/>
        <v>90.827747350310361</v>
      </c>
      <c r="N85" s="47">
        <f t="shared" si="32"/>
        <v>95.921888119740984</v>
      </c>
      <c r="O85" s="47">
        <f t="shared" si="33"/>
        <v>41.035947075113341</v>
      </c>
      <c r="P85" s="47">
        <f t="shared" si="34"/>
        <v>60.428867937499994</v>
      </c>
      <c r="Q85" s="47">
        <f t="shared" si="35"/>
        <v>70.744570766092323</v>
      </c>
      <c r="R85" s="47">
        <f t="shared" si="36"/>
        <v>84.355362828784592</v>
      </c>
      <c r="S85" s="47">
        <f t="shared" si="37"/>
        <v>83.13876738920068</v>
      </c>
      <c r="T85" s="47">
        <f t="shared" si="38"/>
        <v>2.0829167146513115</v>
      </c>
    </row>
    <row r="86" spans="2:20" x14ac:dyDescent="0.2">
      <c r="B86" s="40"/>
      <c r="C86" s="77" t="s">
        <v>97</v>
      </c>
      <c r="D86" s="42">
        <f>75.44287210446*Deflactores!$T$5</f>
        <v>114.15279927729144</v>
      </c>
      <c r="E86" s="42">
        <f>85.15273777239*Deflactores!$U$5</f>
        <v>126.80328846422611</v>
      </c>
      <c r="F86" s="42">
        <f>96.8618908563699*Deflactores!$V$5</f>
        <v>136.56477088008961</v>
      </c>
      <c r="G86" s="42">
        <f>97.1259552932899*Deflactores!$W$5</f>
        <v>121.05469689189049</v>
      </c>
      <c r="H86" s="42">
        <f>88.9189046155*Deflactores!$X$5</f>
        <v>101.41443113930647</v>
      </c>
      <c r="I86" s="42">
        <f>109.9148123653*Deflactores!$Y$5</f>
        <v>119.16429225191702</v>
      </c>
      <c r="J86" s="42">
        <f>130.03314435884*Deflactores!$Z$5</f>
        <v>134.13473744051461</v>
      </c>
      <c r="K86" s="42">
        <f>13.69783766052*Deflactores!$AA$5</f>
        <v>13.697837660519999</v>
      </c>
      <c r="L86" s="42"/>
      <c r="M86" s="47">
        <f t="shared" si="31"/>
        <v>86.252469379452364</v>
      </c>
      <c r="N86" s="47">
        <f t="shared" si="32"/>
        <v>94.255080971864018</v>
      </c>
      <c r="O86" s="47">
        <f t="shared" si="33"/>
        <v>92.169764497248991</v>
      </c>
      <c r="P86" s="47">
        <f t="shared" si="34"/>
        <v>77.33813634082712</v>
      </c>
      <c r="Q86" s="47">
        <f t="shared" si="35"/>
        <v>78.00865950369959</v>
      </c>
      <c r="R86" s="47">
        <f t="shared" si="36"/>
        <v>90.802444083385552</v>
      </c>
      <c r="S86" s="47">
        <f t="shared" si="37"/>
        <v>92.190063870470922</v>
      </c>
      <c r="T86" s="47">
        <f t="shared" si="38"/>
        <v>10.125049512852259</v>
      </c>
    </row>
    <row r="87" spans="2:20" x14ac:dyDescent="0.2">
      <c r="B87" s="34" t="s">
        <v>41</v>
      </c>
      <c r="C87" s="76" t="s">
        <v>42</v>
      </c>
      <c r="D87" s="41">
        <f>+D88+D92</f>
        <v>1.8985805076833304</v>
      </c>
      <c r="E87" s="41">
        <f>+E88+E92</f>
        <v>1.4823918961192202</v>
      </c>
      <c r="F87" s="41">
        <f>+F88+F92</f>
        <v>1.8103008749049829</v>
      </c>
      <c r="G87" s="41">
        <f>+G88+G92</f>
        <v>21.44662031277624</v>
      </c>
      <c r="H87" s="41">
        <f>+H88+H92</f>
        <v>60.001952628582018</v>
      </c>
      <c r="I87" s="41">
        <f>(+I88+I92)/1000000000</f>
        <v>0</v>
      </c>
      <c r="J87" s="41">
        <f>(+J88+J92)/1000000000</f>
        <v>0</v>
      </c>
      <c r="K87" s="41">
        <f>(+K88+K92)/1000000000</f>
        <v>0</v>
      </c>
      <c r="L87" s="71"/>
      <c r="M87" s="46">
        <f t="shared" si="31"/>
        <v>95.346504559270514</v>
      </c>
      <c r="N87" s="46">
        <f t="shared" si="32"/>
        <v>85.448650042918459</v>
      </c>
      <c r="O87" s="46">
        <f t="shared" si="33"/>
        <v>99.999999972741435</v>
      </c>
      <c r="P87" s="46">
        <f t="shared" si="34"/>
        <v>99.932132737468137</v>
      </c>
      <c r="Q87" s="46">
        <f t="shared" si="35"/>
        <v>99.998261539034289</v>
      </c>
      <c r="R87" s="46">
        <f t="shared" si="36"/>
        <v>0</v>
      </c>
      <c r="S87" s="46">
        <f t="shared" si="37"/>
        <v>0</v>
      </c>
      <c r="T87" s="46">
        <f t="shared" si="38"/>
        <v>0</v>
      </c>
    </row>
    <row r="88" spans="2:20" ht="11.25" hidden="1" customHeight="1" x14ac:dyDescent="0.2">
      <c r="B88" s="34"/>
      <c r="C88" s="76" t="s">
        <v>43</v>
      </c>
      <c r="D88" s="41">
        <f>+SUM(D89:D91)</f>
        <v>0</v>
      </c>
      <c r="E88" s="41">
        <f>+SUM(E89:E91)</f>
        <v>0</v>
      </c>
      <c r="F88" s="41"/>
      <c r="G88" s="41"/>
      <c r="H88" s="41"/>
      <c r="I88" s="41">
        <f>0*Deflactores!$Y$5</f>
        <v>0</v>
      </c>
      <c r="J88" s="41">
        <f>0*Deflactores!$Z$5</f>
        <v>0</v>
      </c>
      <c r="K88" s="41">
        <f>0*Deflactores!$AA$5</f>
        <v>0</v>
      </c>
      <c r="L88" s="71"/>
      <c r="M88" s="46">
        <f t="shared" si="31"/>
        <v>0</v>
      </c>
      <c r="N88" s="46">
        <f t="shared" si="32"/>
        <v>0</v>
      </c>
      <c r="O88" s="46">
        <f t="shared" si="33"/>
        <v>0</v>
      </c>
      <c r="P88" s="46">
        <f t="shared" si="34"/>
        <v>0</v>
      </c>
      <c r="Q88" s="46">
        <f t="shared" si="35"/>
        <v>0</v>
      </c>
      <c r="R88" s="46">
        <f t="shared" si="36"/>
        <v>0</v>
      </c>
      <c r="S88" s="46">
        <f t="shared" si="37"/>
        <v>0</v>
      </c>
      <c r="T88" s="46">
        <f t="shared" si="38"/>
        <v>0</v>
      </c>
    </row>
    <row r="89" spans="2:20" ht="11.25" hidden="1" customHeight="1" x14ac:dyDescent="0.2">
      <c r="B89" s="34"/>
      <c r="C89" s="86" t="s">
        <v>98</v>
      </c>
      <c r="D89" s="50">
        <f>0*Deflactores!$T$5</f>
        <v>0</v>
      </c>
      <c r="E89" s="50">
        <f>0*Deflactores!$U$5</f>
        <v>0</v>
      </c>
      <c r="F89" s="50"/>
      <c r="G89" s="50"/>
      <c r="H89" s="50"/>
      <c r="I89" s="50">
        <f>0*Deflactores!$Y$5</f>
        <v>0</v>
      </c>
      <c r="J89" s="50">
        <f>0*Deflactores!$Z$5</f>
        <v>0</v>
      </c>
      <c r="K89" s="50">
        <f>0*Deflactores!$AA$5</f>
        <v>0</v>
      </c>
      <c r="L89" s="42"/>
      <c r="M89" s="116">
        <f t="shared" si="31"/>
        <v>0</v>
      </c>
      <c r="N89" s="116">
        <f t="shared" si="32"/>
        <v>0</v>
      </c>
      <c r="O89" s="116">
        <f t="shared" si="33"/>
        <v>0</v>
      </c>
      <c r="P89" s="116">
        <f t="shared" si="34"/>
        <v>0</v>
      </c>
      <c r="Q89" s="116">
        <f t="shared" si="35"/>
        <v>0</v>
      </c>
      <c r="R89" s="116">
        <f t="shared" si="36"/>
        <v>0</v>
      </c>
      <c r="S89" s="116">
        <f t="shared" si="37"/>
        <v>0</v>
      </c>
      <c r="T89" s="116">
        <f t="shared" si="38"/>
        <v>0</v>
      </c>
    </row>
    <row r="90" spans="2:20" ht="11.25" hidden="1" customHeight="1" x14ac:dyDescent="0.2">
      <c r="B90" s="34"/>
      <c r="C90" s="86" t="s">
        <v>61</v>
      </c>
      <c r="D90" s="50">
        <f>0*Deflactores!$T$5</f>
        <v>0</v>
      </c>
      <c r="E90" s="50">
        <f>0*Deflactores!$U$5</f>
        <v>0</v>
      </c>
      <c r="F90" s="50"/>
      <c r="G90" s="50"/>
      <c r="H90" s="50"/>
      <c r="I90" s="50">
        <f>0*Deflactores!$Y$5</f>
        <v>0</v>
      </c>
      <c r="J90" s="50">
        <f>0*Deflactores!$Z$5</f>
        <v>0</v>
      </c>
      <c r="K90" s="50">
        <f>0*Deflactores!$AA$5</f>
        <v>0</v>
      </c>
      <c r="L90" s="42"/>
      <c r="M90" s="116">
        <f t="shared" si="31"/>
        <v>0</v>
      </c>
      <c r="N90" s="116">
        <f t="shared" si="32"/>
        <v>0</v>
      </c>
      <c r="O90" s="116">
        <f t="shared" si="33"/>
        <v>0</v>
      </c>
      <c r="P90" s="116">
        <f t="shared" si="34"/>
        <v>0</v>
      </c>
      <c r="Q90" s="116">
        <f t="shared" si="35"/>
        <v>0</v>
      </c>
      <c r="R90" s="116">
        <f t="shared" si="36"/>
        <v>0</v>
      </c>
      <c r="S90" s="116">
        <f t="shared" si="37"/>
        <v>0</v>
      </c>
      <c r="T90" s="116">
        <f t="shared" si="38"/>
        <v>0</v>
      </c>
    </row>
    <row r="91" spans="2:20" ht="11.25" hidden="1" customHeight="1" x14ac:dyDescent="0.2">
      <c r="B91" s="34"/>
      <c r="C91" s="86" t="s">
        <v>103</v>
      </c>
      <c r="D91" s="50">
        <f>0*Deflactores!$T$5</f>
        <v>0</v>
      </c>
      <c r="E91" s="50">
        <f>0*Deflactores!$U$5</f>
        <v>0</v>
      </c>
      <c r="F91" s="50"/>
      <c r="G91" s="50"/>
      <c r="H91" s="50"/>
      <c r="I91" s="50">
        <f>0*Deflactores!$Y$5</f>
        <v>0</v>
      </c>
      <c r="J91" s="50">
        <f>0*Deflactores!$Z$5</f>
        <v>0</v>
      </c>
      <c r="K91" s="50">
        <f>0*Deflactores!$AA$5</f>
        <v>0</v>
      </c>
      <c r="L91" s="42"/>
      <c r="M91" s="116">
        <f t="shared" si="31"/>
        <v>0</v>
      </c>
      <c r="N91" s="116">
        <f t="shared" si="32"/>
        <v>0</v>
      </c>
      <c r="O91" s="116">
        <f t="shared" si="33"/>
        <v>0</v>
      </c>
      <c r="P91" s="116">
        <f t="shared" si="34"/>
        <v>0</v>
      </c>
      <c r="Q91" s="116">
        <f t="shared" si="35"/>
        <v>0</v>
      </c>
      <c r="R91" s="116">
        <f t="shared" si="36"/>
        <v>0</v>
      </c>
      <c r="S91" s="116">
        <f t="shared" si="37"/>
        <v>0</v>
      </c>
      <c r="T91" s="116">
        <f t="shared" si="38"/>
        <v>0</v>
      </c>
    </row>
    <row r="92" spans="2:20" x14ac:dyDescent="0.2">
      <c r="B92" s="34"/>
      <c r="C92" s="76" t="s">
        <v>44</v>
      </c>
      <c r="D92" s="41">
        <f>+SUM(D93:D96)</f>
        <v>1.8985805076833304</v>
      </c>
      <c r="E92" s="41">
        <f>+SUM(E93:E96)</f>
        <v>1.4823918961192202</v>
      </c>
      <c r="F92" s="41">
        <f>+SUM(F93:F96)</f>
        <v>1.8103008749049829</v>
      </c>
      <c r="G92" s="41">
        <f>+SUM(G93:G96)</f>
        <v>21.44662031277624</v>
      </c>
      <c r="H92" s="41">
        <f>+SUM(H93:H96)</f>
        <v>60.001952628582018</v>
      </c>
      <c r="I92" s="41">
        <f>(+SUM(I93:I96))/1000000000</f>
        <v>0</v>
      </c>
      <c r="J92" s="41">
        <f>(+SUM(J93:J96))/1000000000</f>
        <v>0</v>
      </c>
      <c r="K92" s="41">
        <f>(+SUM(K93:K96))/1000000000</f>
        <v>0</v>
      </c>
      <c r="L92" s="71"/>
      <c r="M92" s="46">
        <f t="shared" si="31"/>
        <v>95.346504559270514</v>
      </c>
      <c r="N92" s="46">
        <f t="shared" si="32"/>
        <v>85.448650042918459</v>
      </c>
      <c r="O92" s="46">
        <f t="shared" si="33"/>
        <v>99.999999972741435</v>
      </c>
      <c r="P92" s="46">
        <f t="shared" si="34"/>
        <v>99.932132737468137</v>
      </c>
      <c r="Q92" s="46">
        <f t="shared" si="35"/>
        <v>99.998261539034289</v>
      </c>
      <c r="R92" s="46">
        <f t="shared" si="36"/>
        <v>0</v>
      </c>
      <c r="S92" s="46">
        <f t="shared" si="37"/>
        <v>0</v>
      </c>
      <c r="T92" s="46">
        <f t="shared" si="38"/>
        <v>0</v>
      </c>
    </row>
    <row r="93" spans="2:20" x14ac:dyDescent="0.2">
      <c r="B93" s="32"/>
      <c r="C93" s="77" t="s">
        <v>98</v>
      </c>
      <c r="D93" s="42">
        <f>1.207*Deflactores!$T$5</f>
        <v>1.8263147317206316</v>
      </c>
      <c r="E93" s="42">
        <f>0.929799059*Deflactores!$U$5</f>
        <v>1.3845894022490435</v>
      </c>
      <c r="F93" s="42">
        <f>1.28399999965*Deflactores!$V$5</f>
        <v>1.8103008749049829</v>
      </c>
      <c r="G93" s="42">
        <f>1.39735526252999*Deflactores!$W$5</f>
        <v>1.7416190887910108</v>
      </c>
      <c r="H93" s="42">
        <f>0*Deflactores!$X$5</f>
        <v>0</v>
      </c>
      <c r="I93" s="42">
        <f>0*Deflactores!$Y$5</f>
        <v>0</v>
      </c>
      <c r="J93" s="42">
        <f>0*Deflactores!$Z$5</f>
        <v>0</v>
      </c>
      <c r="K93" s="42">
        <f>0*Deflactores!$AA$5</f>
        <v>0</v>
      </c>
      <c r="L93" s="42"/>
      <c r="M93" s="47">
        <f t="shared" si="31"/>
        <v>100</v>
      </c>
      <c r="N93" s="47">
        <f t="shared" si="32"/>
        <v>84.604100000000003</v>
      </c>
      <c r="O93" s="47">
        <f t="shared" si="33"/>
        <v>99.999999972741435</v>
      </c>
      <c r="P93" s="47">
        <f t="shared" si="34"/>
        <v>99.173545956706192</v>
      </c>
      <c r="Q93" s="47">
        <f t="shared" si="35"/>
        <v>0</v>
      </c>
      <c r="R93" s="47">
        <f t="shared" si="36"/>
        <v>0</v>
      </c>
      <c r="S93" s="47">
        <f t="shared" si="37"/>
        <v>0</v>
      </c>
      <c r="T93" s="47">
        <f t="shared" si="38"/>
        <v>0</v>
      </c>
    </row>
    <row r="94" spans="2:20" ht="11.25" hidden="1" customHeight="1" x14ac:dyDescent="0.2">
      <c r="B94" s="32"/>
      <c r="C94" s="77" t="s">
        <v>61</v>
      </c>
      <c r="D94" s="42">
        <f>0.04776*Deflactores!$T$5</f>
        <v>7.2265775962698717E-2</v>
      </c>
      <c r="E94" s="42">
        <f>0.065677714*Deflactores!$U$5</f>
        <v>9.7802493870176768E-2</v>
      </c>
      <c r="F94" s="42">
        <f>0*Deflactores!$V$5</f>
        <v>0</v>
      </c>
      <c r="G94" s="42">
        <f>0*Deflactores!$W$5</f>
        <v>0</v>
      </c>
      <c r="H94" s="42">
        <f>0*Deflactores!$X$5</f>
        <v>0</v>
      </c>
      <c r="I94" s="42">
        <f>0*Deflactores!$Y$5</f>
        <v>0</v>
      </c>
      <c r="J94" s="42">
        <f>0*Deflactores!$Z$5</f>
        <v>0</v>
      </c>
      <c r="K94" s="42">
        <f>0*Deflactores!$AA$5</f>
        <v>0</v>
      </c>
      <c r="L94" s="42"/>
      <c r="M94" s="47">
        <f t="shared" si="31"/>
        <v>43.816513761467888</v>
      </c>
      <c r="N94" s="47">
        <f t="shared" si="32"/>
        <v>99.511687878787868</v>
      </c>
      <c r="O94" s="47">
        <f t="shared" si="33"/>
        <v>0</v>
      </c>
      <c r="P94" s="47">
        <f t="shared" si="34"/>
        <v>0</v>
      </c>
      <c r="Q94" s="47">
        <f t="shared" si="35"/>
        <v>0</v>
      </c>
      <c r="R94" s="47">
        <f t="shared" si="36"/>
        <v>0</v>
      </c>
      <c r="S94" s="47">
        <f t="shared" si="37"/>
        <v>0</v>
      </c>
      <c r="T94" s="47">
        <f t="shared" si="38"/>
        <v>0</v>
      </c>
    </row>
    <row r="95" spans="2:20" ht="11.25" hidden="1" customHeight="1" x14ac:dyDescent="0.2">
      <c r="B95" s="32"/>
      <c r="C95" s="77" t="s">
        <v>103</v>
      </c>
      <c r="D95" s="42">
        <f>0*Deflactores!$T$5</f>
        <v>0</v>
      </c>
      <c r="E95" s="42">
        <f>0*Deflactores!$U$5</f>
        <v>0</v>
      </c>
      <c r="F95" s="42">
        <f>0*Deflactores!$V$5</f>
        <v>0</v>
      </c>
      <c r="G95" s="42">
        <f>0*Deflactores!$W$5</f>
        <v>0</v>
      </c>
      <c r="H95" s="42">
        <f>0*Deflactores!$X$5</f>
        <v>0</v>
      </c>
      <c r="I95" s="42">
        <f>0*Deflactores!$Y$5</f>
        <v>0</v>
      </c>
      <c r="J95" s="42">
        <f>0*Deflactores!$Z$5</f>
        <v>0</v>
      </c>
      <c r="K95" s="42">
        <f>0*Deflactores!$AA$5</f>
        <v>0</v>
      </c>
      <c r="L95" s="42"/>
      <c r="M95" s="47">
        <f t="shared" si="31"/>
        <v>0</v>
      </c>
      <c r="N95" s="47">
        <f t="shared" si="32"/>
        <v>0</v>
      </c>
      <c r="O95" s="47">
        <f t="shared" si="33"/>
        <v>0</v>
      </c>
      <c r="P95" s="47">
        <f t="shared" si="34"/>
        <v>0</v>
      </c>
      <c r="Q95" s="47">
        <f t="shared" si="35"/>
        <v>0</v>
      </c>
      <c r="R95" s="47">
        <f t="shared" si="36"/>
        <v>0</v>
      </c>
      <c r="S95" s="47">
        <f t="shared" si="37"/>
        <v>0</v>
      </c>
      <c r="T95" s="47">
        <f t="shared" si="38"/>
        <v>0</v>
      </c>
    </row>
    <row r="96" spans="2:20" x14ac:dyDescent="0.2">
      <c r="B96" s="32"/>
      <c r="C96" s="77" t="s">
        <v>104</v>
      </c>
      <c r="D96" s="42">
        <f>0*Deflactores!$T$5</f>
        <v>0</v>
      </c>
      <c r="E96" s="42">
        <f>0*Deflactores!$U$5</f>
        <v>0</v>
      </c>
      <c r="F96" s="42">
        <f>0*Deflactores!$V$5</f>
        <v>0</v>
      </c>
      <c r="G96" s="42">
        <f>15.80993647561*Deflactores!$W$5</f>
        <v>19.705001223985228</v>
      </c>
      <c r="H96" s="42">
        <f>52.60896149184*Deflactores!$X$5</f>
        <v>60.001952628582018</v>
      </c>
      <c r="I96" s="42">
        <f>0*Deflactores!$Y$5</f>
        <v>0</v>
      </c>
      <c r="J96" s="42">
        <f>0*Deflactores!$Z$5</f>
        <v>0</v>
      </c>
      <c r="K96" s="42">
        <f>0*Deflactores!$AA$5</f>
        <v>0</v>
      </c>
      <c r="L96" s="42"/>
      <c r="M96" s="47">
        <f t="shared" si="31"/>
        <v>0</v>
      </c>
      <c r="N96" s="47">
        <f t="shared" si="32"/>
        <v>0</v>
      </c>
      <c r="O96" s="47">
        <f t="shared" si="33"/>
        <v>0</v>
      </c>
      <c r="P96" s="47">
        <f t="shared" si="34"/>
        <v>99.999738700518421</v>
      </c>
      <c r="Q96" s="47">
        <f t="shared" si="35"/>
        <v>99.998261539034289</v>
      </c>
      <c r="R96" s="47">
        <f t="shared" si="36"/>
        <v>0</v>
      </c>
      <c r="S96" s="47">
        <f t="shared" si="37"/>
        <v>0</v>
      </c>
      <c r="T96" s="47">
        <f t="shared" si="38"/>
        <v>0</v>
      </c>
    </row>
    <row r="97" spans="2:20" x14ac:dyDescent="0.2">
      <c r="B97" s="34" t="s">
        <v>45</v>
      </c>
      <c r="C97" s="76" t="s">
        <v>46</v>
      </c>
      <c r="D97" s="41">
        <f>6959.40172850088*Deflactores!$T$5</f>
        <v>10530.288235893277</v>
      </c>
      <c r="E97" s="41">
        <f>6729.4852342876*Deflactores!$U$5</f>
        <v>10021.061914180784</v>
      </c>
      <c r="F97" s="41">
        <f>7598.02360959152*Deflactores!$V$5</f>
        <v>10712.390024720857</v>
      </c>
      <c r="G97" s="41">
        <f>7662.11537174356*Deflactores!$W$5</f>
        <v>9549.8165354075209</v>
      </c>
      <c r="H97" s="41">
        <f>8358.6898277071*Deflactores!$X$5</f>
        <v>9533.3132769952808</v>
      </c>
      <c r="I97" s="41">
        <f>10193.5715379068*Deflactores!$Y$5</f>
        <v>11051.374347953051</v>
      </c>
      <c r="J97" s="41">
        <f>10549.6319339336*Deflactores!$Z$5</f>
        <v>10882.395534843125</v>
      </c>
      <c r="K97" s="41">
        <f>868.95903661734*Deflactores!$AA$5</f>
        <v>868.95903661733996</v>
      </c>
      <c r="L97" s="71"/>
      <c r="M97" s="46">
        <f t="shared" si="31"/>
        <v>83.560200571574711</v>
      </c>
      <c r="N97" s="46">
        <f t="shared" si="32"/>
        <v>82.763814479801738</v>
      </c>
      <c r="O97" s="46">
        <f t="shared" si="33"/>
        <v>74.532166565740084</v>
      </c>
      <c r="P97" s="46">
        <f t="shared" si="34"/>
        <v>73.737791153056833</v>
      </c>
      <c r="Q97" s="46">
        <f t="shared" si="35"/>
        <v>73.422092826627662</v>
      </c>
      <c r="R97" s="46">
        <f t="shared" si="36"/>
        <v>75.414525697772746</v>
      </c>
      <c r="S97" s="46">
        <f t="shared" si="37"/>
        <v>76.536563096068761</v>
      </c>
      <c r="T97" s="46">
        <f t="shared" si="38"/>
        <v>5.4303462413275359</v>
      </c>
    </row>
    <row r="98" spans="2:20" x14ac:dyDescent="0.2">
      <c r="B98" s="36" t="s">
        <v>47</v>
      </c>
      <c r="C98" s="78" t="s">
        <v>48</v>
      </c>
      <c r="D98" s="43">
        <f t="shared" ref="D98:K98" si="39">+D79+D97</f>
        <v>19598.259803403602</v>
      </c>
      <c r="E98" s="43">
        <f t="shared" si="39"/>
        <v>19052.949777669081</v>
      </c>
      <c r="F98" s="43">
        <f t="shared" si="39"/>
        <v>20059.642825502957</v>
      </c>
      <c r="G98" s="43">
        <f t="shared" si="39"/>
        <v>18717.761727415353</v>
      </c>
      <c r="H98" s="43">
        <f t="shared" si="39"/>
        <v>19622.062442242011</v>
      </c>
      <c r="I98" s="43">
        <f t="shared" si="39"/>
        <v>24019.116818444658</v>
      </c>
      <c r="J98" s="43">
        <f t="shared" si="39"/>
        <v>22947.788779594102</v>
      </c>
      <c r="K98" s="43">
        <f t="shared" si="39"/>
        <v>3744.3951831731883</v>
      </c>
      <c r="L98" s="71"/>
      <c r="M98" s="48">
        <f t="shared" si="31"/>
        <v>87.200538224514929</v>
      </c>
      <c r="N98" s="48">
        <f t="shared" si="32"/>
        <v>86.408679619437251</v>
      </c>
      <c r="O98" s="48">
        <f t="shared" si="33"/>
        <v>75.940409945614874</v>
      </c>
      <c r="P98" s="48">
        <f t="shared" si="34"/>
        <v>79.545294240649923</v>
      </c>
      <c r="Q98" s="48">
        <f t="shared" si="35"/>
        <v>79.188538065649198</v>
      </c>
      <c r="R98" s="48">
        <f t="shared" si="36"/>
        <v>82.101128618604093</v>
      </c>
      <c r="S98" s="48">
        <f t="shared" si="37"/>
        <v>84.49721498317669</v>
      </c>
      <c r="T98" s="48">
        <f t="shared" si="38"/>
        <v>12.625485978934462</v>
      </c>
    </row>
    <row r="99" spans="2:20" x14ac:dyDescent="0.2">
      <c r="B99" s="38" t="s">
        <v>49</v>
      </c>
      <c r="C99" s="79" t="s">
        <v>63</v>
      </c>
      <c r="D99" s="44">
        <f t="shared" ref="D99:K99" si="40">+D79+D87+D97</f>
        <v>19600.158383911286</v>
      </c>
      <c r="E99" s="44">
        <f t="shared" si="40"/>
        <v>19054.4321695652</v>
      </c>
      <c r="F99" s="44">
        <f t="shared" si="40"/>
        <v>20061.453126377863</v>
      </c>
      <c r="G99" s="44">
        <f t="shared" si="40"/>
        <v>18739.20834772813</v>
      </c>
      <c r="H99" s="44">
        <f t="shared" si="40"/>
        <v>19682.064394870591</v>
      </c>
      <c r="I99" s="44">
        <f t="shared" si="40"/>
        <v>24019.116818444658</v>
      </c>
      <c r="J99" s="44">
        <f t="shared" si="40"/>
        <v>22947.788779594102</v>
      </c>
      <c r="K99" s="44">
        <f t="shared" si="40"/>
        <v>3744.3951831731883</v>
      </c>
      <c r="L99" s="71"/>
      <c r="M99" s="45">
        <f t="shared" si="31"/>
        <v>87.201259880190037</v>
      </c>
      <c r="N99" s="45">
        <f t="shared" si="32"/>
        <v>86.408604092231542</v>
      </c>
      <c r="O99" s="45">
        <f t="shared" si="33"/>
        <v>75.942058711386835</v>
      </c>
      <c r="P99" s="45">
        <f t="shared" si="34"/>
        <v>79.563870927228578</v>
      </c>
      <c r="Q99" s="45">
        <f t="shared" si="35"/>
        <v>79.238807792718262</v>
      </c>
      <c r="R99" s="45">
        <f t="shared" si="36"/>
        <v>82.101128618604093</v>
      </c>
      <c r="S99" s="45">
        <f t="shared" si="37"/>
        <v>84.49721498317669</v>
      </c>
      <c r="T99" s="45">
        <f t="shared" si="38"/>
        <v>12.625485978934462</v>
      </c>
    </row>
    <row r="100" spans="2:20" s="5" customFormat="1" x14ac:dyDescent="0.2">
      <c r="B100" s="72" t="str">
        <f>+'C1 Aprop Resumen 2000-2026'!B20</f>
        <v>* Información con corte a 28 de febrero</v>
      </c>
      <c r="C100" s="68"/>
      <c r="D100" s="69"/>
      <c r="E100" s="69"/>
      <c r="F100" s="69"/>
      <c r="G100" s="69"/>
      <c r="H100" s="69"/>
      <c r="I100" s="69"/>
      <c r="M100" s="111"/>
      <c r="N100" s="111"/>
      <c r="O100" s="111"/>
      <c r="P100" s="111"/>
      <c r="Q100" s="111"/>
      <c r="R100" s="111"/>
      <c r="S100" s="111"/>
    </row>
    <row r="101" spans="2:20" x14ac:dyDescent="0.2">
      <c r="B101" s="1" t="s">
        <v>52</v>
      </c>
      <c r="M101" s="109"/>
      <c r="N101" s="109"/>
      <c r="O101" s="109"/>
      <c r="P101" s="109"/>
      <c r="Q101" s="109"/>
      <c r="R101" s="109"/>
      <c r="S101" s="109"/>
    </row>
    <row r="102" spans="2:20" x14ac:dyDescent="0.2">
      <c r="M102" s="109"/>
      <c r="N102" s="109"/>
      <c r="O102" s="109"/>
      <c r="P102" s="109"/>
      <c r="Q102" s="109"/>
      <c r="R102" s="109"/>
      <c r="S102" s="109"/>
    </row>
    <row r="103" spans="2:20" x14ac:dyDescent="0.2">
      <c r="M103" s="109"/>
      <c r="N103" s="109"/>
      <c r="O103" s="109"/>
      <c r="P103" s="109"/>
      <c r="Q103" s="109"/>
      <c r="R103" s="109"/>
      <c r="S103" s="109"/>
    </row>
    <row r="104" spans="2:20" x14ac:dyDescent="0.2">
      <c r="M104" s="109"/>
      <c r="N104" s="109"/>
      <c r="O104" s="109"/>
      <c r="P104" s="109"/>
      <c r="Q104" s="109"/>
      <c r="R104" s="109"/>
      <c r="S104" s="109"/>
    </row>
    <row r="105" spans="2:20" x14ac:dyDescent="0.2">
      <c r="M105" s="109"/>
      <c r="N105" s="109"/>
      <c r="O105" s="109"/>
      <c r="P105" s="109"/>
      <c r="Q105" s="109"/>
      <c r="R105" s="109"/>
      <c r="S105" s="109"/>
    </row>
    <row r="106" spans="2:20" x14ac:dyDescent="0.2">
      <c r="M106" s="109"/>
      <c r="N106" s="109"/>
      <c r="O106" s="109"/>
      <c r="P106" s="109"/>
      <c r="Q106" s="109"/>
      <c r="R106" s="109"/>
      <c r="S106" s="109"/>
    </row>
    <row r="107" spans="2:20" ht="18" customHeight="1" x14ac:dyDescent="0.2">
      <c r="C107" s="131"/>
      <c r="D107" s="160" t="s">
        <v>118</v>
      </c>
      <c r="E107" s="158"/>
      <c r="F107" s="158"/>
      <c r="G107" s="158"/>
      <c r="H107" s="158"/>
      <c r="I107" s="158"/>
      <c r="J107" s="158"/>
      <c r="K107" s="169"/>
      <c r="L107" s="169"/>
      <c r="M107" s="158"/>
      <c r="N107" s="158"/>
      <c r="O107" s="158"/>
      <c r="P107" s="158"/>
      <c r="Q107" s="158"/>
      <c r="R107" s="158"/>
      <c r="S107" s="158"/>
      <c r="T107" s="158"/>
    </row>
    <row r="109" spans="2:20" ht="12" customHeight="1" thickBot="1" x14ac:dyDescent="0.3">
      <c r="B109" s="115"/>
      <c r="C109" s="92"/>
      <c r="D109" s="168"/>
      <c r="E109" s="154"/>
      <c r="F109" s="154"/>
      <c r="G109" s="154"/>
      <c r="H109" s="154"/>
      <c r="I109" s="154"/>
      <c r="J109" s="154"/>
      <c r="K109" s="136"/>
      <c r="M109" s="168" t="s">
        <v>108</v>
      </c>
      <c r="N109" s="154"/>
      <c r="O109" s="154"/>
      <c r="P109" s="154"/>
      <c r="Q109" s="154"/>
      <c r="R109" s="154"/>
      <c r="S109" s="154"/>
      <c r="T109" s="154"/>
    </row>
    <row r="110" spans="2:20" x14ac:dyDescent="0.2">
      <c r="B110" s="49"/>
      <c r="C110" s="166" t="s">
        <v>38</v>
      </c>
      <c r="D110" s="153">
        <v>2019</v>
      </c>
      <c r="E110" s="153">
        <v>2020</v>
      </c>
      <c r="F110" s="153">
        <v>2021</v>
      </c>
      <c r="G110" s="153">
        <v>2022</v>
      </c>
      <c r="H110" s="153">
        <v>2023</v>
      </c>
      <c r="I110" s="153">
        <v>2024</v>
      </c>
      <c r="J110" s="153">
        <v>2025</v>
      </c>
      <c r="K110" s="153" t="s">
        <v>36</v>
      </c>
      <c r="L110" s="114"/>
      <c r="M110" s="153">
        <v>2019</v>
      </c>
      <c r="N110" s="153">
        <v>2020</v>
      </c>
      <c r="O110" s="153">
        <v>2021</v>
      </c>
      <c r="P110" s="153">
        <v>2022</v>
      </c>
      <c r="Q110" s="153">
        <v>2023</v>
      </c>
      <c r="R110" s="153">
        <v>2024</v>
      </c>
      <c r="S110" s="153">
        <v>2025</v>
      </c>
      <c r="T110" s="153" t="s">
        <v>36</v>
      </c>
    </row>
    <row r="111" spans="2:20" ht="12" customHeight="1" thickBot="1" x14ac:dyDescent="0.25">
      <c r="B111" s="84"/>
      <c r="C111" s="154"/>
      <c r="D111" s="154"/>
      <c r="E111" s="154"/>
      <c r="F111" s="154"/>
      <c r="G111" s="154"/>
      <c r="H111" s="154"/>
      <c r="I111" s="154"/>
      <c r="J111" s="154"/>
      <c r="K111" s="154"/>
      <c r="L111" s="114"/>
      <c r="M111" s="154"/>
      <c r="N111" s="154"/>
      <c r="O111" s="154"/>
      <c r="P111" s="154"/>
      <c r="Q111" s="154"/>
      <c r="R111" s="154"/>
      <c r="S111" s="154"/>
      <c r="T111" s="154"/>
    </row>
    <row r="112" spans="2:20" x14ac:dyDescent="0.2">
      <c r="B112" s="34" t="s">
        <v>39</v>
      </c>
      <c r="C112" s="76" t="s">
        <v>40</v>
      </c>
      <c r="D112" s="41">
        <f t="shared" ref="D112:K112" si="41">+SUM(D113:D119)</f>
        <v>8695.1045316765121</v>
      </c>
      <c r="E112" s="41">
        <f t="shared" si="41"/>
        <v>8783.189376209164</v>
      </c>
      <c r="F112" s="41">
        <f t="shared" si="41"/>
        <v>9195.2322678671571</v>
      </c>
      <c r="G112" s="41">
        <f t="shared" si="41"/>
        <v>9040.7280448780766</v>
      </c>
      <c r="H112" s="41">
        <f t="shared" si="41"/>
        <v>9904.8350340069665</v>
      </c>
      <c r="I112" s="41">
        <f t="shared" si="41"/>
        <v>12685.253953486852</v>
      </c>
      <c r="J112" s="41">
        <f t="shared" si="41"/>
        <v>11868.751110991689</v>
      </c>
      <c r="K112" s="41">
        <f t="shared" si="41"/>
        <v>2778.0175603985604</v>
      </c>
      <c r="M112" s="46">
        <f t="shared" ref="M112:M132" si="42">+IFERROR(D112/D14*100,0)</f>
        <v>88.070493047418779</v>
      </c>
      <c r="N112" s="46">
        <f t="shared" ref="N112:N132" si="43">+IFERROR(E112/E14*100,0)</f>
        <v>88.346184766888626</v>
      </c>
      <c r="O112" s="46">
        <f t="shared" ref="O112:O132" si="44">+IFERROR(F112/F14*100,0)</f>
        <v>76.358807886629776</v>
      </c>
      <c r="P112" s="46">
        <f t="shared" ref="P112:P132" si="45">+IFERROR(G112/G14*100,0)</f>
        <v>85.451922301375362</v>
      </c>
      <c r="Q112" s="46">
        <f t="shared" ref="Q112:Q132" si="46">+IFERROR(H112/H14*100,0)</f>
        <v>83.977280819168257</v>
      </c>
      <c r="R112" s="46">
        <f t="shared" ref="R112:R132" si="47">+IFERROR(I112/I14*100,0)</f>
        <v>86.877245917030706</v>
      </c>
      <c r="S112" s="46">
        <f t="shared" ref="S112:S132" si="48">+IFERROR(J112/J14*100,0)</f>
        <v>91.725074968849569</v>
      </c>
      <c r="T112" s="46">
        <f t="shared" ref="T112:T132" si="49">+IFERROR(K112/K14*100,0)</f>
        <v>20.343541819942619</v>
      </c>
    </row>
    <row r="113" spans="2:20" x14ac:dyDescent="0.2">
      <c r="B113" s="40"/>
      <c r="C113" s="77" t="s">
        <v>92</v>
      </c>
      <c r="D113" s="42">
        <f>1777.81986384859*Deflactores!$T$5</f>
        <v>2690.0237014848776</v>
      </c>
      <c r="E113" s="42">
        <f>1876.23022912936*Deflactores!$U$5</f>
        <v>2793.9461395301391</v>
      </c>
      <c r="F113" s="42">
        <f>2016.35645920928*Deflactores!$V$5</f>
        <v>2842.8441302351002</v>
      </c>
      <c r="G113" s="42">
        <f>2285.93848297032*Deflactores!$W$5</f>
        <v>2849.1209104081568</v>
      </c>
      <c r="H113" s="42">
        <f>2623.89421298016*Deflactores!$X$5</f>
        <v>2992.6227738607963</v>
      </c>
      <c r="I113" s="42">
        <f>3042.42943149226*Deflactores!$Y$5</f>
        <v>3298.4539765691648</v>
      </c>
      <c r="J113" s="42">
        <f>3321.09448975875*Deflactores!$Z$5</f>
        <v>3425.8506905716094</v>
      </c>
      <c r="K113" s="42">
        <f>432.15682202007*Deflactores!$AA$5</f>
        <v>432.15682202007002</v>
      </c>
      <c r="L113" s="42"/>
      <c r="M113" s="47">
        <f t="shared" si="42"/>
        <v>95.417093571800692</v>
      </c>
      <c r="N113" s="47">
        <f t="shared" si="43"/>
        <v>96.016675945299156</v>
      </c>
      <c r="O113" s="47">
        <f t="shared" si="44"/>
        <v>90.931047439274948</v>
      </c>
      <c r="P113" s="47">
        <f t="shared" si="45"/>
        <v>91.847560428285988</v>
      </c>
      <c r="Q113" s="47">
        <f t="shared" si="46"/>
        <v>92.995939469413429</v>
      </c>
      <c r="R113" s="47">
        <f t="shared" si="47"/>
        <v>92.827157573417068</v>
      </c>
      <c r="S113" s="47">
        <f t="shared" si="48"/>
        <v>95.196916180736906</v>
      </c>
      <c r="T113" s="47">
        <f t="shared" si="49"/>
        <v>10.155696232308356</v>
      </c>
    </row>
    <row r="114" spans="2:20" x14ac:dyDescent="0.2">
      <c r="B114" s="40"/>
      <c r="C114" s="77" t="s">
        <v>93</v>
      </c>
      <c r="D114" s="42">
        <f>677.85449709817*Deflactores!$T$5</f>
        <v>1025.6633421818292</v>
      </c>
      <c r="E114" s="42">
        <f>626.86868298353*Deflactores!$U$5</f>
        <v>933.48743113839919</v>
      </c>
      <c r="F114" s="42">
        <f>769.325592788099*Deflactores!$V$5</f>
        <v>1084.665727484987</v>
      </c>
      <c r="G114" s="42">
        <f>818.668765471919*Deflactores!$W$5</f>
        <v>1020.3626719531279</v>
      </c>
      <c r="H114" s="42">
        <f>883.698180045949*Deflactores!$X$5</f>
        <v>1007.8818291310596</v>
      </c>
      <c r="I114" s="42">
        <f>1094.58546687968*Deflactores!$Y$5</f>
        <v>1186.6963120170835</v>
      </c>
      <c r="J114" s="42">
        <f>1370.90945881626*Deflactores!$Z$5</f>
        <v>1414.1516089588886</v>
      </c>
      <c r="K114" s="42">
        <f>138.81105934709*Deflactores!$AA$5</f>
        <v>138.81105934709001</v>
      </c>
      <c r="L114" s="42"/>
      <c r="M114" s="47">
        <f t="shared" si="42"/>
        <v>85.717643601154975</v>
      </c>
      <c r="N114" s="47">
        <f t="shared" si="43"/>
        <v>76.707123996433694</v>
      </c>
      <c r="O114" s="47">
        <f t="shared" si="44"/>
        <v>83.721245610721709</v>
      </c>
      <c r="P114" s="47">
        <f t="shared" si="45"/>
        <v>84.743177357181693</v>
      </c>
      <c r="Q114" s="47">
        <f t="shared" si="46"/>
        <v>78.277866378770739</v>
      </c>
      <c r="R114" s="47">
        <f t="shared" si="47"/>
        <v>83.892829992271416</v>
      </c>
      <c r="S114" s="47">
        <f t="shared" si="48"/>
        <v>85.705062584905178</v>
      </c>
      <c r="T114" s="47">
        <f t="shared" si="49"/>
        <v>9.4534308143665022</v>
      </c>
    </row>
    <row r="115" spans="2:20" x14ac:dyDescent="0.2">
      <c r="B115" s="40"/>
      <c r="C115" s="77" t="s">
        <v>58</v>
      </c>
      <c r="D115" s="42">
        <f>2035.26367946193*Deflactores!$T$5</f>
        <v>3079.5625855321127</v>
      </c>
      <c r="E115" s="42">
        <f>2180.11323424623*Deflactores!$U$5</f>
        <v>3246.4666968868341</v>
      </c>
      <c r="F115" s="42">
        <f>2296.62704005753*Deflactores!$V$5</f>
        <v>3237.9952812148645</v>
      </c>
      <c r="G115" s="42">
        <f>2415.72274837126*Deflactores!$W$5</f>
        <v>3010.8798847421049</v>
      </c>
      <c r="H115" s="42">
        <f>3592.07949941069*Deflactores!$X$5</f>
        <v>4096.8644476126228</v>
      </c>
      <c r="I115" s="42">
        <f>5785.70547408869*Deflactores!$Y$5</f>
        <v>6272.5804025980333</v>
      </c>
      <c r="J115" s="42">
        <f>4932.61669579893*Deflactores!$Z$5</f>
        <v>5088.2046162002889</v>
      </c>
      <c r="K115" s="42">
        <f>2119.54687907596*Deflactores!$AA$5</f>
        <v>2119.5468790759601</v>
      </c>
      <c r="L115" s="42"/>
      <c r="M115" s="47">
        <f t="shared" si="42"/>
        <v>87.859822862133868</v>
      </c>
      <c r="N115" s="47">
        <f t="shared" si="43"/>
        <v>89.890022642945297</v>
      </c>
      <c r="O115" s="47">
        <f t="shared" si="44"/>
        <v>66.435835528180647</v>
      </c>
      <c r="P115" s="47">
        <f t="shared" si="45"/>
        <v>82.905564564865799</v>
      </c>
      <c r="Q115" s="47">
        <f t="shared" si="46"/>
        <v>83.482976319643271</v>
      </c>
      <c r="R115" s="47">
        <f t="shared" si="47"/>
        <v>87.071695751332712</v>
      </c>
      <c r="S115" s="47">
        <f t="shared" si="48"/>
        <v>94.288997814439597</v>
      </c>
      <c r="T115" s="47">
        <f t="shared" si="49"/>
        <v>37.42781007985436</v>
      </c>
    </row>
    <row r="116" spans="2:20" x14ac:dyDescent="0.2">
      <c r="B116" s="40"/>
      <c r="C116" s="77" t="s">
        <v>94</v>
      </c>
      <c r="D116" s="42">
        <f>1099.49360443077*Deflactores!$T$5</f>
        <v>1663.6465345522217</v>
      </c>
      <c r="E116" s="42">
        <f>1035.7869693662*Deflactores!$U$5</f>
        <v>1542.4189204004078</v>
      </c>
      <c r="F116" s="42">
        <f>1241.63256146731*Deflactores!$V$5</f>
        <v>1750.5673776849571</v>
      </c>
      <c r="G116" s="42">
        <f>1462.52516368401*Deflactores!$W$5</f>
        <v>1822.8447777106376</v>
      </c>
      <c r="H116" s="42">
        <f>1394.46766281418*Deflactores!$X$5</f>
        <v>1590.428327676527</v>
      </c>
      <c r="I116" s="42">
        <f>1540.36849746059*Deflactores!$Y$5</f>
        <v>1669.9925865950784</v>
      </c>
      <c r="J116" s="42">
        <f>1587.20455910097*Deflactores!$Z$5</f>
        <v>1637.2692350796247</v>
      </c>
      <c r="K116" s="42">
        <f>73.62307848592*Deflactores!$AA$5</f>
        <v>73.623078485920004</v>
      </c>
      <c r="L116" s="42"/>
      <c r="M116" s="47">
        <f t="shared" si="42"/>
        <v>79.798536759894645</v>
      </c>
      <c r="N116" s="47">
        <f t="shared" si="43"/>
        <v>80.981379130784376</v>
      </c>
      <c r="O116" s="47">
        <f t="shared" si="44"/>
        <v>72.288199564077487</v>
      </c>
      <c r="P116" s="47">
        <f t="shared" si="45"/>
        <v>80.969902292960015</v>
      </c>
      <c r="Q116" s="47">
        <f t="shared" si="46"/>
        <v>78.633256292534739</v>
      </c>
      <c r="R116" s="47">
        <f t="shared" si="47"/>
        <v>77.792238193268403</v>
      </c>
      <c r="S116" s="47">
        <f t="shared" si="48"/>
        <v>83.103744457948764</v>
      </c>
      <c r="T116" s="47">
        <f t="shared" si="49"/>
        <v>3.7148654376166865</v>
      </c>
    </row>
    <row r="117" spans="2:20" x14ac:dyDescent="0.2">
      <c r="B117" s="40"/>
      <c r="C117" s="77" t="s">
        <v>95</v>
      </c>
      <c r="D117" s="42">
        <f>73.17248509815*Deflactores!$T$5</f>
        <v>110.71747099532703</v>
      </c>
      <c r="E117" s="42">
        <f>88.66551612843*Deflactores!$U$5</f>
        <v>132.03426351969003</v>
      </c>
      <c r="F117" s="42">
        <f>93.4329775578699*Deflactores!$V$5</f>
        <v>131.73037466051025</v>
      </c>
      <c r="G117" s="42">
        <f>162.94144234403*Deflactores!$W$5</f>
        <v>203.08502350912499</v>
      </c>
      <c r="H117" s="42">
        <f>93.51852258297*Deflactores!$X$5</f>
        <v>106.66042063553549</v>
      </c>
      <c r="I117" s="42">
        <f>119.4216127413*Deflactores!$Y$5</f>
        <v>129.47110271729105</v>
      </c>
      <c r="J117" s="42">
        <f>155.02019612622*Deflactores!$Z$5</f>
        <v>159.90994763600818</v>
      </c>
      <c r="K117" s="42">
        <f>0.1368*Deflactores!$AA$5</f>
        <v>0.1368</v>
      </c>
      <c r="L117" s="42"/>
      <c r="M117" s="47">
        <f t="shared" si="42"/>
        <v>90.590116872385934</v>
      </c>
      <c r="N117" s="47">
        <f t="shared" si="43"/>
        <v>85.987332074139758</v>
      </c>
      <c r="O117" s="47">
        <f t="shared" si="44"/>
        <v>88.693121734079</v>
      </c>
      <c r="P117" s="47">
        <f t="shared" si="45"/>
        <v>95.784358009885779</v>
      </c>
      <c r="Q117" s="47">
        <f t="shared" si="46"/>
        <v>49.294312508174855</v>
      </c>
      <c r="R117" s="47">
        <f t="shared" si="47"/>
        <v>93.318337898955463</v>
      </c>
      <c r="S117" s="47">
        <f t="shared" si="48"/>
        <v>95.409739348639874</v>
      </c>
      <c r="T117" s="47">
        <f t="shared" si="49"/>
        <v>0.10291579325225229</v>
      </c>
    </row>
    <row r="118" spans="2:20" x14ac:dyDescent="0.2">
      <c r="B118" s="40"/>
      <c r="C118" s="77" t="s">
        <v>96</v>
      </c>
      <c r="D118" s="42">
        <f>7.50318300614*Deflactores!$T$5</f>
        <v>11.353085052948945</v>
      </c>
      <c r="E118" s="42">
        <f>6.84796501064999*Deflactores!$U$5</f>
        <v>10.197493414239123</v>
      </c>
      <c r="F118" s="42">
        <f>7.74970486141*Deflactores!$V$5</f>
        <v>10.926244154743074</v>
      </c>
      <c r="G118" s="42">
        <f>10.74657216953*Deflactores!$W$5</f>
        <v>13.394185237930486</v>
      </c>
      <c r="H118" s="42">
        <f>7.86639170135999*Deflactores!$X$5</f>
        <v>8.9718338632493815</v>
      </c>
      <c r="I118" s="42">
        <f>9.99702953998*Deflactores!$Y$5</f>
        <v>10.838293075495555</v>
      </c>
      <c r="J118" s="42">
        <f>8.948030302*Deflactores!$Z$5</f>
        <v>9.2302751047559592</v>
      </c>
      <c r="K118" s="42">
        <f>0.271124307*Deflactores!$AA$5</f>
        <v>0.27112430700000001</v>
      </c>
      <c r="L118" s="42"/>
      <c r="M118" s="47">
        <f t="shared" si="42"/>
        <v>89.780516897214241</v>
      </c>
      <c r="N118" s="47">
        <f t="shared" si="43"/>
        <v>95.827347157888667</v>
      </c>
      <c r="O118" s="47">
        <f t="shared" si="44"/>
        <v>39.041334314408054</v>
      </c>
      <c r="P118" s="47">
        <f t="shared" si="45"/>
        <v>60.023303002289985</v>
      </c>
      <c r="Q118" s="47">
        <f t="shared" si="46"/>
        <v>70.740073761334656</v>
      </c>
      <c r="R118" s="47">
        <f t="shared" si="47"/>
        <v>84.34098401164772</v>
      </c>
      <c r="S118" s="47">
        <f t="shared" si="48"/>
        <v>83.019208814273554</v>
      </c>
      <c r="T118" s="47">
        <f t="shared" si="49"/>
        <v>1.4455337332053741</v>
      </c>
    </row>
    <row r="119" spans="2:20" x14ac:dyDescent="0.2">
      <c r="B119" s="40"/>
      <c r="C119" s="77" t="s">
        <v>97</v>
      </c>
      <c r="D119" s="42">
        <f>75.4329670253399*Deflactores!$T$5</f>
        <v>114.13781187719543</v>
      </c>
      <c r="E119" s="42">
        <f>83.69896228284*Deflactores!$U$5</f>
        <v>124.63843131945207</v>
      </c>
      <c r="F119" s="42">
        <f>96.8181722853699*Deflactores!$V$5</f>
        <v>136.50313243199577</v>
      </c>
      <c r="G119" s="42">
        <f>97.11463795103*Deflactores!$W$5</f>
        <v>121.04059131699286</v>
      </c>
      <c r="H119" s="42">
        <f>88.9109873015*Deflactores!$X$5</f>
        <v>101.4054012271755</v>
      </c>
      <c r="I119" s="42">
        <f>108.12261579003*Deflactores!$Y$5</f>
        <v>117.22127991470283</v>
      </c>
      <c r="J119" s="42">
        <f>130.03314435884*Deflactores!$Z$5</f>
        <v>134.13473744051461</v>
      </c>
      <c r="K119" s="42">
        <f>13.47179716252*Deflactores!$AA$5</f>
        <v>13.47179716252</v>
      </c>
      <c r="L119" s="42"/>
      <c r="M119" s="47">
        <f t="shared" si="42"/>
        <v>86.241145081878926</v>
      </c>
      <c r="N119" s="47">
        <f t="shared" si="43"/>
        <v>92.645905153598363</v>
      </c>
      <c r="O119" s="47">
        <f t="shared" si="44"/>
        <v>92.128163715376971</v>
      </c>
      <c r="P119" s="47">
        <f t="shared" si="45"/>
        <v>77.329124721265003</v>
      </c>
      <c r="Q119" s="47">
        <f t="shared" si="46"/>
        <v>78.001713634824128</v>
      </c>
      <c r="R119" s="47">
        <f t="shared" si="47"/>
        <v>89.321880856187931</v>
      </c>
      <c r="S119" s="47">
        <f t="shared" si="48"/>
        <v>92.190063870470922</v>
      </c>
      <c r="T119" s="47">
        <f t="shared" si="49"/>
        <v>9.9579668468957028</v>
      </c>
    </row>
    <row r="120" spans="2:20" x14ac:dyDescent="0.2">
      <c r="B120" s="34" t="s">
        <v>41</v>
      </c>
      <c r="C120" s="76" t="s">
        <v>42</v>
      </c>
      <c r="D120" s="41">
        <f t="shared" ref="D120:K120" si="50">+D121+D125</f>
        <v>1.8985805076833304</v>
      </c>
      <c r="E120" s="41">
        <f t="shared" si="50"/>
        <v>1.4823918961192202</v>
      </c>
      <c r="F120" s="41">
        <f t="shared" si="50"/>
        <v>1.8103008749049829</v>
      </c>
      <c r="G120" s="41">
        <f t="shared" si="50"/>
        <v>21.44662031277624</v>
      </c>
      <c r="H120" s="41">
        <f t="shared" si="50"/>
        <v>60.001952628582018</v>
      </c>
      <c r="I120" s="41">
        <f t="shared" si="50"/>
        <v>0</v>
      </c>
      <c r="J120" s="41">
        <f t="shared" si="50"/>
        <v>0</v>
      </c>
      <c r="K120" s="41">
        <f t="shared" si="50"/>
        <v>0</v>
      </c>
      <c r="L120" s="71"/>
      <c r="M120" s="46">
        <f t="shared" si="42"/>
        <v>95.346504559270514</v>
      </c>
      <c r="N120" s="46">
        <f t="shared" si="43"/>
        <v>85.448650042918459</v>
      </c>
      <c r="O120" s="46">
        <f t="shared" si="44"/>
        <v>99.999999972741435</v>
      </c>
      <c r="P120" s="46">
        <f t="shared" si="45"/>
        <v>99.932132737468137</v>
      </c>
      <c r="Q120" s="46">
        <f t="shared" si="46"/>
        <v>99.998261539034289</v>
      </c>
      <c r="R120" s="46">
        <f t="shared" si="47"/>
        <v>0</v>
      </c>
      <c r="S120" s="46">
        <f t="shared" si="48"/>
        <v>0</v>
      </c>
      <c r="T120" s="46">
        <f t="shared" si="49"/>
        <v>0</v>
      </c>
    </row>
    <row r="121" spans="2:20" ht="11.25" hidden="1" customHeight="1" x14ac:dyDescent="0.2">
      <c r="B121" s="34"/>
      <c r="C121" s="76" t="s">
        <v>43</v>
      </c>
      <c r="D121" s="41">
        <f>+SUM(D122:D124)</f>
        <v>0</v>
      </c>
      <c r="E121" s="41">
        <f>+SUM(E122:E124)</f>
        <v>0</v>
      </c>
      <c r="F121" s="41"/>
      <c r="G121" s="41"/>
      <c r="H121" s="41"/>
      <c r="I121" s="41"/>
      <c r="J121" s="41"/>
      <c r="K121" s="41"/>
      <c r="L121" s="71"/>
      <c r="M121" s="46">
        <f t="shared" si="42"/>
        <v>0</v>
      </c>
      <c r="N121" s="46">
        <f t="shared" si="43"/>
        <v>0</v>
      </c>
      <c r="O121" s="46">
        <f t="shared" si="44"/>
        <v>0</v>
      </c>
      <c r="P121" s="46">
        <f t="shared" si="45"/>
        <v>0</v>
      </c>
      <c r="Q121" s="46">
        <f t="shared" si="46"/>
        <v>0</v>
      </c>
      <c r="R121" s="46">
        <f t="shared" si="47"/>
        <v>0</v>
      </c>
      <c r="S121" s="46">
        <f t="shared" si="48"/>
        <v>0</v>
      </c>
      <c r="T121" s="46">
        <f t="shared" si="49"/>
        <v>0</v>
      </c>
    </row>
    <row r="122" spans="2:20" ht="11.25" hidden="1" customHeight="1" x14ac:dyDescent="0.2">
      <c r="B122" s="34"/>
      <c r="C122" s="86" t="s">
        <v>98</v>
      </c>
      <c r="D122" s="50">
        <f>0*Deflactores!$T$5</f>
        <v>0</v>
      </c>
      <c r="E122" s="50">
        <f>0*Deflactores!$U$5</f>
        <v>0</v>
      </c>
      <c r="F122" s="50"/>
      <c r="G122" s="50"/>
      <c r="H122" s="50"/>
      <c r="I122" s="50"/>
      <c r="J122" s="50"/>
      <c r="K122" s="50"/>
      <c r="L122" s="42"/>
      <c r="M122" s="116">
        <f t="shared" si="42"/>
        <v>0</v>
      </c>
      <c r="N122" s="116">
        <f t="shared" si="43"/>
        <v>0</v>
      </c>
      <c r="O122" s="116">
        <f t="shared" si="44"/>
        <v>0</v>
      </c>
      <c r="P122" s="116">
        <f t="shared" si="45"/>
        <v>0</v>
      </c>
      <c r="Q122" s="116">
        <f t="shared" si="46"/>
        <v>0</v>
      </c>
      <c r="R122" s="116">
        <f t="shared" si="47"/>
        <v>0</v>
      </c>
      <c r="S122" s="116">
        <f t="shared" si="48"/>
        <v>0</v>
      </c>
      <c r="T122" s="116">
        <f t="shared" si="49"/>
        <v>0</v>
      </c>
    </row>
    <row r="123" spans="2:20" ht="11.25" hidden="1" customHeight="1" x14ac:dyDescent="0.2">
      <c r="B123" s="34"/>
      <c r="C123" s="86" t="s">
        <v>61</v>
      </c>
      <c r="D123" s="50">
        <f>0*Deflactores!$T$5</f>
        <v>0</v>
      </c>
      <c r="E123" s="50">
        <f>0*Deflactores!$U$5</f>
        <v>0</v>
      </c>
      <c r="F123" s="50"/>
      <c r="G123" s="50"/>
      <c r="H123" s="50"/>
      <c r="I123" s="50"/>
      <c r="J123" s="50"/>
      <c r="K123" s="50"/>
      <c r="L123" s="42"/>
      <c r="M123" s="116">
        <f t="shared" si="42"/>
        <v>0</v>
      </c>
      <c r="N123" s="116">
        <f t="shared" si="43"/>
        <v>0</v>
      </c>
      <c r="O123" s="116">
        <f t="shared" si="44"/>
        <v>0</v>
      </c>
      <c r="P123" s="116">
        <f t="shared" si="45"/>
        <v>0</v>
      </c>
      <c r="Q123" s="116">
        <f t="shared" si="46"/>
        <v>0</v>
      </c>
      <c r="R123" s="116">
        <f t="shared" si="47"/>
        <v>0</v>
      </c>
      <c r="S123" s="116">
        <f t="shared" si="48"/>
        <v>0</v>
      </c>
      <c r="T123" s="116">
        <f t="shared" si="49"/>
        <v>0</v>
      </c>
    </row>
    <row r="124" spans="2:20" ht="11.25" hidden="1" customHeight="1" x14ac:dyDescent="0.2">
      <c r="B124" s="34"/>
      <c r="C124" s="86" t="s">
        <v>103</v>
      </c>
      <c r="D124" s="50">
        <f>0*Deflactores!$T$5</f>
        <v>0</v>
      </c>
      <c r="E124" s="50">
        <f>0*Deflactores!$U$5</f>
        <v>0</v>
      </c>
      <c r="F124" s="50"/>
      <c r="G124" s="50"/>
      <c r="H124" s="50"/>
      <c r="I124" s="50"/>
      <c r="J124" s="50"/>
      <c r="K124" s="50"/>
      <c r="L124" s="42"/>
      <c r="M124" s="116">
        <f t="shared" si="42"/>
        <v>0</v>
      </c>
      <c r="N124" s="116">
        <f t="shared" si="43"/>
        <v>0</v>
      </c>
      <c r="O124" s="116">
        <f t="shared" si="44"/>
        <v>0</v>
      </c>
      <c r="P124" s="116">
        <f t="shared" si="45"/>
        <v>0</v>
      </c>
      <c r="Q124" s="116">
        <f t="shared" si="46"/>
        <v>0</v>
      </c>
      <c r="R124" s="116">
        <f t="shared" si="47"/>
        <v>0</v>
      </c>
      <c r="S124" s="116">
        <f t="shared" si="48"/>
        <v>0</v>
      </c>
      <c r="T124" s="116">
        <f t="shared" si="49"/>
        <v>0</v>
      </c>
    </row>
    <row r="125" spans="2:20" x14ac:dyDescent="0.2">
      <c r="B125" s="34"/>
      <c r="C125" s="76" t="s">
        <v>44</v>
      </c>
      <c r="D125" s="41">
        <f t="shared" ref="D125:K125" si="51">+SUM(D126:D129)</f>
        <v>1.8985805076833304</v>
      </c>
      <c r="E125" s="41">
        <f t="shared" si="51"/>
        <v>1.4823918961192202</v>
      </c>
      <c r="F125" s="41">
        <f t="shared" si="51"/>
        <v>1.8103008749049829</v>
      </c>
      <c r="G125" s="41">
        <f t="shared" si="51"/>
        <v>21.44662031277624</v>
      </c>
      <c r="H125" s="41">
        <f t="shared" si="51"/>
        <v>60.001952628582018</v>
      </c>
      <c r="I125" s="41">
        <f t="shared" si="51"/>
        <v>0</v>
      </c>
      <c r="J125" s="41">
        <f t="shared" si="51"/>
        <v>0</v>
      </c>
      <c r="K125" s="41">
        <f t="shared" si="51"/>
        <v>0</v>
      </c>
      <c r="L125" s="71"/>
      <c r="M125" s="46">
        <f t="shared" si="42"/>
        <v>95.346504559270514</v>
      </c>
      <c r="N125" s="46">
        <f t="shared" si="43"/>
        <v>85.448650042918459</v>
      </c>
      <c r="O125" s="46">
        <f t="shared" si="44"/>
        <v>99.999999972741435</v>
      </c>
      <c r="P125" s="46">
        <f t="shared" si="45"/>
        <v>99.932132737468137</v>
      </c>
      <c r="Q125" s="46">
        <f t="shared" si="46"/>
        <v>99.998261539034289</v>
      </c>
      <c r="R125" s="46">
        <f t="shared" si="47"/>
        <v>0</v>
      </c>
      <c r="S125" s="46">
        <f t="shared" si="48"/>
        <v>0</v>
      </c>
      <c r="T125" s="46">
        <f t="shared" si="49"/>
        <v>0</v>
      </c>
    </row>
    <row r="126" spans="2:20" x14ac:dyDescent="0.2">
      <c r="B126" s="32"/>
      <c r="C126" s="77" t="s">
        <v>98</v>
      </c>
      <c r="D126" s="42">
        <f>1.207*Deflactores!$T$5</f>
        <v>1.8263147317206316</v>
      </c>
      <c r="E126" s="42">
        <f>0.929799059*Deflactores!$U$5</f>
        <v>1.3845894022490435</v>
      </c>
      <c r="F126" s="42">
        <f>1.28399999965*Deflactores!$V$5</f>
        <v>1.8103008749049829</v>
      </c>
      <c r="G126" s="42">
        <f>1.39735526252999*Deflactores!$W$5</f>
        <v>1.7416190887910108</v>
      </c>
      <c r="H126" s="42">
        <f>0*Deflactores!$X$5</f>
        <v>0</v>
      </c>
      <c r="I126" s="42">
        <f>0*Deflactores!$Y$5</f>
        <v>0</v>
      </c>
      <c r="J126" s="42">
        <f>0*Deflactores!$Z$5</f>
        <v>0</v>
      </c>
      <c r="K126" s="42">
        <f>0*Deflactores!$AA$5</f>
        <v>0</v>
      </c>
      <c r="L126" s="42"/>
      <c r="M126" s="47">
        <f t="shared" si="42"/>
        <v>100</v>
      </c>
      <c r="N126" s="47">
        <f t="shared" si="43"/>
        <v>84.604100000000003</v>
      </c>
      <c r="O126" s="47">
        <f t="shared" si="44"/>
        <v>99.999999972741435</v>
      </c>
      <c r="P126" s="47">
        <f t="shared" si="45"/>
        <v>99.173545956706192</v>
      </c>
      <c r="Q126" s="47">
        <f t="shared" si="46"/>
        <v>0</v>
      </c>
      <c r="R126" s="47">
        <f t="shared" si="47"/>
        <v>0</v>
      </c>
      <c r="S126" s="47">
        <f t="shared" si="48"/>
        <v>0</v>
      </c>
      <c r="T126" s="47">
        <f t="shared" si="49"/>
        <v>0</v>
      </c>
    </row>
    <row r="127" spans="2:20" ht="11.25" hidden="1" customHeight="1" x14ac:dyDescent="0.2">
      <c r="B127" s="32"/>
      <c r="C127" s="77" t="s">
        <v>61</v>
      </c>
      <c r="D127" s="42">
        <f>0.04776*Deflactores!$T$5</f>
        <v>7.2265775962698717E-2</v>
      </c>
      <c r="E127" s="42">
        <f>0.065677714*Deflactores!$U$5</f>
        <v>9.7802493870176768E-2</v>
      </c>
      <c r="F127" s="42">
        <f>0*Deflactores!$V$5</f>
        <v>0</v>
      </c>
      <c r="G127" s="42">
        <f>0*Deflactores!$W$5</f>
        <v>0</v>
      </c>
      <c r="H127" s="42">
        <f>0*Deflactores!$X$5</f>
        <v>0</v>
      </c>
      <c r="I127" s="42">
        <f>0*Deflactores!$Y$5</f>
        <v>0</v>
      </c>
      <c r="J127" s="42">
        <f>0*Deflactores!$Z$5</f>
        <v>0</v>
      </c>
      <c r="K127" s="42">
        <f>0*Deflactores!$AA$5</f>
        <v>0</v>
      </c>
      <c r="L127" s="42"/>
      <c r="M127" s="47">
        <f t="shared" si="42"/>
        <v>43.816513761467888</v>
      </c>
      <c r="N127" s="47">
        <f t="shared" si="43"/>
        <v>99.511687878787868</v>
      </c>
      <c r="O127" s="47">
        <f t="shared" si="44"/>
        <v>0</v>
      </c>
      <c r="P127" s="47">
        <f t="shared" si="45"/>
        <v>0</v>
      </c>
      <c r="Q127" s="47">
        <f t="shared" si="46"/>
        <v>0</v>
      </c>
      <c r="R127" s="47">
        <f t="shared" si="47"/>
        <v>0</v>
      </c>
      <c r="S127" s="47">
        <f t="shared" si="48"/>
        <v>0</v>
      </c>
      <c r="T127" s="47">
        <f t="shared" si="49"/>
        <v>0</v>
      </c>
    </row>
    <row r="128" spans="2:20" ht="11.25" hidden="1" customHeight="1" x14ac:dyDescent="0.2">
      <c r="B128" s="32"/>
      <c r="C128" s="77" t="s">
        <v>103</v>
      </c>
      <c r="D128" s="42">
        <f>0*Deflactores!$T$5</f>
        <v>0</v>
      </c>
      <c r="E128" s="42">
        <f>0*Deflactores!$U$5</f>
        <v>0</v>
      </c>
      <c r="F128" s="42">
        <f>0*Deflactores!$V$5</f>
        <v>0</v>
      </c>
      <c r="G128" s="42">
        <f>0*Deflactores!$W$5</f>
        <v>0</v>
      </c>
      <c r="H128" s="42">
        <f>0*Deflactores!$X$5</f>
        <v>0</v>
      </c>
      <c r="I128" s="42">
        <f>0*Deflactores!$Y$5</f>
        <v>0</v>
      </c>
      <c r="J128" s="42">
        <f>0*Deflactores!$Z$5</f>
        <v>0</v>
      </c>
      <c r="K128" s="42">
        <f>0*Deflactores!$AA$5</f>
        <v>0</v>
      </c>
      <c r="L128" s="42"/>
      <c r="M128" s="47">
        <f t="shared" si="42"/>
        <v>0</v>
      </c>
      <c r="N128" s="47">
        <f t="shared" si="43"/>
        <v>0</v>
      </c>
      <c r="O128" s="47">
        <f t="shared" si="44"/>
        <v>0</v>
      </c>
      <c r="P128" s="47">
        <f t="shared" si="45"/>
        <v>0</v>
      </c>
      <c r="Q128" s="47">
        <f t="shared" si="46"/>
        <v>0</v>
      </c>
      <c r="R128" s="47">
        <f t="shared" si="47"/>
        <v>0</v>
      </c>
      <c r="S128" s="47">
        <f t="shared" si="48"/>
        <v>0</v>
      </c>
      <c r="T128" s="47">
        <f t="shared" si="49"/>
        <v>0</v>
      </c>
    </row>
    <row r="129" spans="2:20" x14ac:dyDescent="0.2">
      <c r="B129" s="32"/>
      <c r="C129" s="77" t="s">
        <v>104</v>
      </c>
      <c r="D129" s="42">
        <f>0*Deflactores!$T$5</f>
        <v>0</v>
      </c>
      <c r="E129" s="42">
        <f>0*Deflactores!$U$5</f>
        <v>0</v>
      </c>
      <c r="F129" s="42">
        <f>0*Deflactores!$V$5</f>
        <v>0</v>
      </c>
      <c r="G129" s="42">
        <f>15.80993647561*Deflactores!$W$5</f>
        <v>19.705001223985228</v>
      </c>
      <c r="H129" s="42">
        <f>52.60896149184*Deflactores!$X$5</f>
        <v>60.001952628582018</v>
      </c>
      <c r="I129" s="42">
        <f>0*Deflactores!$Y$5</f>
        <v>0</v>
      </c>
      <c r="J129" s="42">
        <f>0*Deflactores!$Z$5</f>
        <v>0</v>
      </c>
      <c r="K129" s="42">
        <f>0*Deflactores!$AA$5</f>
        <v>0</v>
      </c>
      <c r="L129" s="42"/>
      <c r="M129" s="47">
        <f t="shared" si="42"/>
        <v>0</v>
      </c>
      <c r="N129" s="47">
        <f t="shared" si="43"/>
        <v>0</v>
      </c>
      <c r="O129" s="47">
        <f t="shared" si="44"/>
        <v>0</v>
      </c>
      <c r="P129" s="47">
        <f t="shared" si="45"/>
        <v>99.999738700518421</v>
      </c>
      <c r="Q129" s="47">
        <f t="shared" si="46"/>
        <v>99.998261539034289</v>
      </c>
      <c r="R129" s="47">
        <f t="shared" si="47"/>
        <v>0</v>
      </c>
      <c r="S129" s="47">
        <f t="shared" si="48"/>
        <v>0</v>
      </c>
      <c r="T129" s="47">
        <f t="shared" si="49"/>
        <v>0</v>
      </c>
    </row>
    <row r="130" spans="2:20" x14ac:dyDescent="0.2">
      <c r="B130" s="34" t="s">
        <v>45</v>
      </c>
      <c r="C130" s="76" t="s">
        <v>46</v>
      </c>
      <c r="D130" s="41">
        <f>6532.93259677042*Deflactores!$T$5</f>
        <v>9884.9967214745138</v>
      </c>
      <c r="E130" s="41">
        <f>6233.86656176937*Deflactores!$U$5</f>
        <v>9283.0224906267085</v>
      </c>
      <c r="F130" s="41">
        <f>7315.66648140949*Deflactores!$V$5</f>
        <v>10314.297068083069</v>
      </c>
      <c r="G130" s="41">
        <f>7321.85827349704*Deflactores!$W$5</f>
        <v>9125.7309264766554</v>
      </c>
      <c r="H130" s="41">
        <f>7908.28377368452*Deflactores!$X$5</f>
        <v>9019.6129120625665</v>
      </c>
      <c r="I130" s="41">
        <f>9391.88622206542*Deflactores!$Y$5</f>
        <v>10182.226130208814</v>
      </c>
      <c r="J130" s="41">
        <f>10207.098206267*Deflactores!$Z$5</f>
        <v>10529.057377470814</v>
      </c>
      <c r="K130" s="41">
        <f>799.33476962631*Deflactores!$AA$5</f>
        <v>799.33476962631005</v>
      </c>
      <c r="L130" s="71"/>
      <c r="M130" s="46">
        <f t="shared" si="42"/>
        <v>78.439667575319746</v>
      </c>
      <c r="N130" s="46">
        <f t="shared" si="43"/>
        <v>76.668356887291424</v>
      </c>
      <c r="O130" s="46">
        <f t="shared" si="44"/>
        <v>71.76240832464687</v>
      </c>
      <c r="P130" s="46">
        <f t="shared" si="45"/>
        <v>70.46326373711976</v>
      </c>
      <c r="Q130" s="46">
        <f t="shared" si="46"/>
        <v>69.465760459980629</v>
      </c>
      <c r="R130" s="46">
        <f t="shared" si="47"/>
        <v>69.483462416545038</v>
      </c>
      <c r="S130" s="46">
        <f t="shared" si="48"/>
        <v>74.051513909114689</v>
      </c>
      <c r="T130" s="46">
        <f t="shared" si="49"/>
        <v>4.9952464718013223</v>
      </c>
    </row>
    <row r="131" spans="2:20" x14ac:dyDescent="0.2">
      <c r="B131" s="36" t="s">
        <v>47</v>
      </c>
      <c r="C131" s="78" t="s">
        <v>48</v>
      </c>
      <c r="D131" s="43">
        <f t="shared" ref="D131:K131" si="52">+D112+D130</f>
        <v>18580.101253151028</v>
      </c>
      <c r="E131" s="43">
        <f t="shared" si="52"/>
        <v>18066.211866835874</v>
      </c>
      <c r="F131" s="43">
        <f t="shared" si="52"/>
        <v>19509.529335950225</v>
      </c>
      <c r="G131" s="43">
        <f t="shared" si="52"/>
        <v>18166.458971354732</v>
      </c>
      <c r="H131" s="43">
        <f t="shared" si="52"/>
        <v>18924.447946069533</v>
      </c>
      <c r="I131" s="43">
        <f t="shared" si="52"/>
        <v>22867.480083695664</v>
      </c>
      <c r="J131" s="43">
        <f t="shared" si="52"/>
        <v>22397.808488462502</v>
      </c>
      <c r="K131" s="43">
        <f t="shared" si="52"/>
        <v>3577.3523300248703</v>
      </c>
      <c r="L131" s="71"/>
      <c r="M131" s="48">
        <f t="shared" si="42"/>
        <v>82.670341438140198</v>
      </c>
      <c r="N131" s="48">
        <f t="shared" si="43"/>
        <v>81.933639218844206</v>
      </c>
      <c r="O131" s="48">
        <f t="shared" si="44"/>
        <v>73.857828302628931</v>
      </c>
      <c r="P131" s="48">
        <f t="shared" si="45"/>
        <v>77.202410482155855</v>
      </c>
      <c r="Q131" s="48">
        <f t="shared" si="46"/>
        <v>76.3731830412774</v>
      </c>
      <c r="R131" s="48">
        <f t="shared" si="47"/>
        <v>78.164652669208252</v>
      </c>
      <c r="S131" s="48">
        <f t="shared" si="48"/>
        <v>82.472104705990361</v>
      </c>
      <c r="T131" s="48">
        <f t="shared" si="49"/>
        <v>12.062244895358976</v>
      </c>
    </row>
    <row r="132" spans="2:20" x14ac:dyDescent="0.2">
      <c r="B132" s="38" t="s">
        <v>49</v>
      </c>
      <c r="C132" s="79" t="s">
        <v>63</v>
      </c>
      <c r="D132" s="44">
        <f t="shared" ref="D132:K132" si="53">+D112+D120+D130</f>
        <v>18581.999833658709</v>
      </c>
      <c r="E132" s="44">
        <f t="shared" si="53"/>
        <v>18067.694258731994</v>
      </c>
      <c r="F132" s="44">
        <f t="shared" si="53"/>
        <v>19511.339636825134</v>
      </c>
      <c r="G132" s="44">
        <f t="shared" si="53"/>
        <v>18187.905591667506</v>
      </c>
      <c r="H132" s="44">
        <f t="shared" si="53"/>
        <v>18984.449898698113</v>
      </c>
      <c r="I132" s="44">
        <f t="shared" si="53"/>
        <v>22867.480083695664</v>
      </c>
      <c r="J132" s="44">
        <f t="shared" si="53"/>
        <v>22397.808488462502</v>
      </c>
      <c r="K132" s="44">
        <f t="shared" si="53"/>
        <v>3577.3523300248703</v>
      </c>
      <c r="L132" s="71"/>
      <c r="M132" s="45">
        <f t="shared" si="42"/>
        <v>82.671464426460901</v>
      </c>
      <c r="N132" s="45">
        <f t="shared" si="43"/>
        <v>81.933915750892865</v>
      </c>
      <c r="O132" s="45">
        <f t="shared" si="44"/>
        <v>73.85961978443747</v>
      </c>
      <c r="P132" s="45">
        <f t="shared" si="45"/>
        <v>77.223122027323697</v>
      </c>
      <c r="Q132" s="45">
        <f t="shared" si="46"/>
        <v>76.430253777925415</v>
      </c>
      <c r="R132" s="45">
        <f t="shared" si="47"/>
        <v>78.164652669208252</v>
      </c>
      <c r="S132" s="45">
        <f t="shared" si="48"/>
        <v>82.472104705990361</v>
      </c>
      <c r="T132" s="45">
        <f t="shared" si="49"/>
        <v>12.062244895358976</v>
      </c>
    </row>
    <row r="133" spans="2:20" s="5" customFormat="1" x14ac:dyDescent="0.2">
      <c r="B133" s="72" t="str">
        <f>+'C1 Aprop Resumen 2000-2026'!B20</f>
        <v>* Información con corte a 28 de febrero</v>
      </c>
      <c r="C133" s="68"/>
      <c r="D133" s="69"/>
      <c r="E133" s="69"/>
      <c r="F133" s="69"/>
      <c r="G133" s="69"/>
      <c r="H133" s="69"/>
      <c r="I133" s="69"/>
      <c r="M133" s="111"/>
      <c r="N133" s="111"/>
      <c r="O133" s="111"/>
      <c r="P133" s="111"/>
      <c r="Q133" s="111"/>
      <c r="R133" s="111"/>
      <c r="S133" s="111"/>
    </row>
    <row r="134" spans="2:20" x14ac:dyDescent="0.2">
      <c r="B134" s="1" t="s">
        <v>52</v>
      </c>
      <c r="M134" s="109"/>
      <c r="N134" s="109"/>
      <c r="O134" s="109"/>
      <c r="P134" s="109"/>
      <c r="Q134" s="109"/>
      <c r="R134" s="109"/>
      <c r="S134" s="109"/>
    </row>
    <row r="135" spans="2:20" x14ac:dyDescent="0.2">
      <c r="M135" s="109"/>
      <c r="N135" s="109"/>
      <c r="O135" s="109"/>
      <c r="P135" s="109"/>
      <c r="Q135" s="109"/>
      <c r="R135" s="109"/>
      <c r="S135" s="109"/>
    </row>
    <row r="136" spans="2:20" x14ac:dyDescent="0.2">
      <c r="M136" s="109"/>
      <c r="N136" s="109"/>
      <c r="O136" s="109"/>
      <c r="P136" s="109"/>
      <c r="Q136" s="109"/>
      <c r="R136" s="109"/>
      <c r="S136" s="109"/>
    </row>
    <row r="137" spans="2:20" x14ac:dyDescent="0.2">
      <c r="M137" s="109"/>
      <c r="N137" s="109"/>
      <c r="O137" s="109"/>
      <c r="P137" s="109"/>
      <c r="Q137" s="109"/>
      <c r="R137" s="109"/>
      <c r="S137" s="109"/>
    </row>
    <row r="138" spans="2:20" x14ac:dyDescent="0.2">
      <c r="M138" s="109"/>
      <c r="N138" s="109"/>
      <c r="O138" s="109"/>
      <c r="P138" s="109"/>
      <c r="Q138" s="109"/>
      <c r="R138" s="109"/>
      <c r="S138" s="109"/>
    </row>
  </sheetData>
  <mergeCells count="95">
    <mergeCell ref="B12:B13"/>
    <mergeCell ref="N77:N78"/>
    <mergeCell ref="P6:P7"/>
    <mergeCell ref="P77:P78"/>
    <mergeCell ref="R6:R7"/>
    <mergeCell ref="D45:D46"/>
    <mergeCell ref="F45:F46"/>
    <mergeCell ref="M11:T11"/>
    <mergeCell ref="I6:I7"/>
    <mergeCell ref="K6:K7"/>
    <mergeCell ref="A7:C7"/>
    <mergeCell ref="D11:K11"/>
    <mergeCell ref="C12:C13"/>
    <mergeCell ref="G6:G7"/>
    <mergeCell ref="Q6:Q7"/>
    <mergeCell ref="S6:S7"/>
    <mergeCell ref="M109:T109"/>
    <mergeCell ref="H45:H46"/>
    <mergeCell ref="J45:J46"/>
    <mergeCell ref="K77:K78"/>
    <mergeCell ref="D107:T107"/>
    <mergeCell ref="D109:J109"/>
    <mergeCell ref="M45:M46"/>
    <mergeCell ref="R77:R78"/>
    <mergeCell ref="O110:O111"/>
    <mergeCell ref="Q110:Q111"/>
    <mergeCell ref="D74:T74"/>
    <mergeCell ref="E12:E13"/>
    <mergeCell ref="G12:G13"/>
    <mergeCell ref="F110:F111"/>
    <mergeCell ref="H110:H111"/>
    <mergeCell ref="R110:R111"/>
    <mergeCell ref="T110:T111"/>
    <mergeCell ref="I77:I78"/>
    <mergeCell ref="T45:T46"/>
    <mergeCell ref="D44:K44"/>
    <mergeCell ref="M44:T44"/>
    <mergeCell ref="K45:K46"/>
    <mergeCell ref="K110:K111"/>
    <mergeCell ref="M110:M111"/>
    <mergeCell ref="M4:T4"/>
    <mergeCell ref="I45:I46"/>
    <mergeCell ref="J77:J78"/>
    <mergeCell ref="D77:D78"/>
    <mergeCell ref="C45:C46"/>
    <mergeCell ref="O45:O46"/>
    <mergeCell ref="D12:D13"/>
    <mergeCell ref="R45:R46"/>
    <mergeCell ref="H12:H13"/>
    <mergeCell ref="J12:J13"/>
    <mergeCell ref="L6:L7"/>
    <mergeCell ref="N6:N7"/>
    <mergeCell ref="O77:O78"/>
    <mergeCell ref="D42:T42"/>
    <mergeCell ref="G77:G78"/>
    <mergeCell ref="Q77:Q78"/>
    <mergeCell ref="T6:T7"/>
    <mergeCell ref="T77:T78"/>
    <mergeCell ref="D4:K4"/>
    <mergeCell ref="J110:J111"/>
    <mergeCell ref="C77:C78"/>
    <mergeCell ref="D110:D111"/>
    <mergeCell ref="D6:D7"/>
    <mergeCell ref="N45:N46"/>
    <mergeCell ref="N110:N111"/>
    <mergeCell ref="F6:F7"/>
    <mergeCell ref="P45:P46"/>
    <mergeCell ref="P110:P111"/>
    <mergeCell ref="F12:F13"/>
    <mergeCell ref="H6:H7"/>
    <mergeCell ref="S77:S78"/>
    <mergeCell ref="J6:J7"/>
    <mergeCell ref="I12:I13"/>
    <mergeCell ref="K12:K13"/>
    <mergeCell ref="M6:M7"/>
    <mergeCell ref="M77:M78"/>
    <mergeCell ref="E6:E7"/>
    <mergeCell ref="D76:K76"/>
    <mergeCell ref="E77:E78"/>
    <mergeCell ref="D2:T2"/>
    <mergeCell ref="C110:C111"/>
    <mergeCell ref="E110:E111"/>
    <mergeCell ref="F77:F78"/>
    <mergeCell ref="E45:E46"/>
    <mergeCell ref="H77:H78"/>
    <mergeCell ref="G110:G111"/>
    <mergeCell ref="G45:G46"/>
    <mergeCell ref="I110:I111"/>
    <mergeCell ref="Q45:Q46"/>
    <mergeCell ref="S45:S46"/>
    <mergeCell ref="S110:S111"/>
    <mergeCell ref="D9:T9"/>
    <mergeCell ref="A5:C6"/>
    <mergeCell ref="M76:T76"/>
    <mergeCell ref="O6:O7"/>
  </mergeCells>
  <pageMargins left="0.7" right="0.7" top="0.75" bottom="0.75" header="0.3" footer="0.3"/>
  <pageSetup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27</vt:i4>
      </vt:variant>
    </vt:vector>
  </HeadingPairs>
  <TitlesOfParts>
    <vt:vector size="27" baseType="lpstr">
      <vt:lpstr>Indice</vt:lpstr>
      <vt:lpstr>Deflactores</vt:lpstr>
      <vt:lpstr>C1 Aprop Resumen 2000-2026</vt:lpstr>
      <vt:lpstr>C2 Ejecución 00-18</vt:lpstr>
      <vt:lpstr>C3 Ejecución Nación 00-18</vt:lpstr>
      <vt:lpstr>C4 Ejecución Propios 00-18</vt:lpstr>
      <vt:lpstr>C5 Ejecución PGN 2019-2026</vt:lpstr>
      <vt:lpstr>C6 Ejec. Nac 19-26</vt:lpstr>
      <vt:lpstr>C7 Ejec. Prop 19-26</vt:lpstr>
      <vt:lpstr>C8 A Ejec. Sect. PGN 00-18</vt:lpstr>
      <vt:lpstr>C8 B Ejec. Sect. PGN 19-26</vt:lpstr>
      <vt:lpstr>C9 A Ejec. Sect. Nac 00-18</vt:lpstr>
      <vt:lpstr>C9 B Ejec. Sect. Nac 19-26</vt:lpstr>
      <vt:lpstr>C10 A Ejec. Sect Prop 00-18</vt:lpstr>
      <vt:lpstr>C10 B Ejec. Sect Prop 19-26</vt:lpstr>
      <vt:lpstr>C11 A Sec. Fto 00-18</vt:lpstr>
      <vt:lpstr>C11 B Sec. Fto 19-26</vt:lpstr>
      <vt:lpstr>C12 A Sec. Fto. Nac 00-18</vt:lpstr>
      <vt:lpstr>C12 B Sec. Fto. Nac 19-26</vt:lpstr>
      <vt:lpstr>C13 A Sec. Fto. Prop 00-18</vt:lpstr>
      <vt:lpstr>C13 B Sec. Fto. Prop 19-26</vt:lpstr>
      <vt:lpstr>C14 A Sec. Invsión 00-18</vt:lpstr>
      <vt:lpstr>C14 B Sec. Invsión 19-26</vt:lpstr>
      <vt:lpstr>C15 A Sec. Invsión Nac 00-18</vt:lpstr>
      <vt:lpstr>C15 B Sec. Invsión Nac 19-26</vt:lpstr>
      <vt:lpstr>C16 A Sec. Invsión Prop 00-18</vt:lpstr>
      <vt:lpstr>C16 B Sec. Invsión Prop 19-26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Sebastian Estupiñan Heredia</dc:creator>
  <cp:lastModifiedBy>Andres Camilo Luengas Olaya</cp:lastModifiedBy>
  <dcterms:created xsi:type="dcterms:W3CDTF">2012-12-14T21:56:21Z</dcterms:created>
  <dcterms:modified xsi:type="dcterms:W3CDTF">2026-03-19T20:24:55Z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9250145-e870-4645-b500-839dad81cdfa_Enabled">
    <vt:lpwstr>true</vt:lpwstr>
  </property>
  <property fmtid="{D5CDD505-2E9C-101B-9397-08002B2CF9AE}" pid="3" name="MSIP_Label_99250145-e870-4645-b500-839dad81cdfa_SetDate">
    <vt:lpwstr>2025-12-15T09:23:40Z</vt:lpwstr>
  </property>
  <property fmtid="{D5CDD505-2E9C-101B-9397-08002B2CF9AE}" pid="4" name="MSIP_Label_99250145-e870-4645-b500-839dad81cdfa_Method">
    <vt:lpwstr>Privileged</vt:lpwstr>
  </property>
  <property fmtid="{D5CDD505-2E9C-101B-9397-08002B2CF9AE}" pid="5" name="MSIP_Label_99250145-e870-4645-b500-839dad81cdfa_Name">
    <vt:lpwstr>Pública</vt:lpwstr>
  </property>
  <property fmtid="{D5CDD505-2E9C-101B-9397-08002B2CF9AE}" pid="6" name="MSIP_Label_99250145-e870-4645-b500-839dad81cdfa_SiteId">
    <vt:lpwstr>b4ea60d8-be49-40bc-98c4-18c43bfd721e</vt:lpwstr>
  </property>
  <property fmtid="{D5CDD505-2E9C-101B-9397-08002B2CF9AE}" pid="7" name="MSIP_Label_99250145-e870-4645-b500-839dad81cdfa_ActionId">
    <vt:lpwstr>15dafff2-3f42-4f81-917d-a0b4d4694282</vt:lpwstr>
  </property>
  <property fmtid="{D5CDD505-2E9C-101B-9397-08002B2CF9AE}" pid="8" name="MSIP_Label_99250145-e870-4645-b500-839dad81cdfa_ContentBits">
    <vt:lpwstr>0</vt:lpwstr>
  </property>
  <property fmtid="{D5CDD505-2E9C-101B-9397-08002B2CF9AE}" pid="9" name="MSIP_Label_99250145-e870-4645-b500-839dad81cdfa_Tag">
    <vt:lpwstr>10, 0, 1, 1</vt:lpwstr>
  </property>
</Properties>
</file>